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spreadsheetml.comments+xml" PartName="/xl/comments1.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46.xml"/>
  <Override ContentType="application/vnd.openxmlformats-officedocument.spreadsheetml.externalLink+xml" PartName="/xl/externalLinks/externalLink47.xml"/>
  <Override ContentType="application/vnd.openxmlformats-officedocument.spreadsheetml.externalLink+xml" PartName="/xl/externalLinks/externalLink48.xml"/>
  <Override ContentType="application/vnd.openxmlformats-officedocument.spreadsheetml.externalLink+xml" PartName="/xl/externalLinks/externalLink49.xml"/>
  <Override ContentType="application/vnd.openxmlformats-officedocument.spreadsheetml.externalLink+xml" PartName="/xl/externalLinks/externalLink5.xml"/>
  <Override ContentType="application/vnd.openxmlformats-officedocument.spreadsheetml.externalLink+xml" PartName="/xl/externalLinks/externalLink50.xml"/>
  <Override ContentType="application/vnd.openxmlformats-officedocument.spreadsheetml.externalLink+xml" PartName="/xl/externalLinks/externalLink51.xml"/>
  <Override ContentType="application/vnd.openxmlformats-officedocument.spreadsheetml.externalLink+xml" PartName="/xl/externalLinks/externalLink52.xml"/>
  <Override ContentType="application/vnd.openxmlformats-officedocument.spreadsheetml.externalLink+xml" PartName="/xl/externalLinks/externalLink53.xml"/>
  <Override ContentType="application/vnd.openxmlformats-officedocument.spreadsheetml.externalLink+xml" PartName="/xl/externalLinks/externalLink54.xml"/>
  <Override ContentType="application/vnd.openxmlformats-officedocument.spreadsheetml.externalLink+xml" PartName="/xl/externalLinks/externalLink55.xml"/>
  <Override ContentType="application/vnd.openxmlformats-officedocument.spreadsheetml.externalLink+xml" PartName="/xl/externalLinks/externalLink56.xml"/>
  <Override ContentType="application/vnd.openxmlformats-officedocument.spreadsheetml.externalLink+xml" PartName="/xl/externalLinks/externalLink57.xml"/>
  <Override ContentType="application/vnd.openxmlformats-officedocument.spreadsheetml.externalLink+xml" PartName="/xl/externalLinks/externalLink58.xml"/>
  <Override ContentType="application/vnd.openxmlformats-officedocument.spreadsheetml.externalLink+xml" PartName="/xl/externalLinks/externalLink59.xml"/>
  <Override ContentType="application/vnd.openxmlformats-officedocument.spreadsheetml.externalLink+xml" PartName="/xl/externalLinks/externalLink6.xml"/>
  <Override ContentType="application/vnd.openxmlformats-officedocument.spreadsheetml.externalLink+xml" PartName="/xl/externalLinks/externalLink60.xml"/>
  <Override ContentType="application/vnd.openxmlformats-officedocument.spreadsheetml.externalLink+xml" PartName="/xl/externalLinks/externalLink61.xml"/>
  <Override ContentType="application/vnd.openxmlformats-officedocument.spreadsheetml.externalLink+xml" PartName="/xl/externalLinks/externalLink62.xml"/>
  <Override ContentType="application/vnd.openxmlformats-officedocument.spreadsheetml.externalLink+xml" PartName="/xl/externalLinks/externalLink63.xml"/>
  <Override ContentType="application/vnd.openxmlformats-officedocument.spreadsheetml.externalLink+xml" PartName="/xl/externalLinks/externalLink64.xml"/>
  <Override ContentType="application/vnd.openxmlformats-officedocument.spreadsheetml.externalLink+xml" PartName="/xl/externalLinks/externalLink65.xml"/>
  <Override ContentType="application/vnd.openxmlformats-officedocument.spreadsheetml.externalLink+xml" PartName="/xl/externalLinks/externalLink66.xml"/>
  <Override ContentType="application/vnd.openxmlformats-officedocument.spreadsheetml.externalLink+xml" PartName="/xl/externalLinks/externalLink67.xml"/>
  <Override ContentType="application/vnd.openxmlformats-officedocument.spreadsheetml.externalLink+xml" PartName="/xl/externalLinks/externalLink68.xml"/>
  <Override ContentType="application/vnd.openxmlformats-officedocument.spreadsheetml.externalLink+xml" PartName="/xl/externalLinks/externalLink69.xml"/>
  <Override ContentType="application/vnd.openxmlformats-officedocument.spreadsheetml.externalLink+xml" PartName="/xl/externalLinks/externalLink7.xml"/>
  <Override ContentType="application/vnd.openxmlformats-officedocument.spreadsheetml.externalLink+xml" PartName="/xl/externalLinks/externalLink70.xml"/>
  <Override ContentType="application/vnd.openxmlformats-officedocument.spreadsheetml.externalLink+xml" PartName="/xl/externalLinks/externalLink71.xml"/>
  <Override ContentType="application/vnd.openxmlformats-officedocument.spreadsheetml.externalLink+xml" PartName="/xl/externalLinks/externalLink72.xml"/>
  <Override ContentType="application/vnd.openxmlformats-officedocument.spreadsheetml.externalLink+xml" PartName="/xl/externalLinks/externalLink73.xml"/>
  <Override ContentType="application/vnd.openxmlformats-officedocument.spreadsheetml.externalLink+xml" PartName="/xl/externalLinks/externalLink74.xml"/>
  <Override ContentType="application/vnd.openxmlformats-officedocument.spreadsheetml.externalLink+xml" PartName="/xl/externalLinks/externalLink75.xml"/>
  <Override ContentType="application/vnd.openxmlformats-officedocument.spreadsheetml.externalLink+xml" PartName="/xl/externalLinks/externalLink76.xml"/>
  <Override ContentType="application/vnd.openxmlformats-officedocument.spreadsheetml.externalLink+xml" PartName="/xl/externalLinks/externalLink7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30" yWindow="225" windowWidth="19065" windowHeight="7200" tabRatio="866"/>
  </bookViews>
  <sheets>
    <sheet name="ImportantDisclosures" sheetId="132" r:id="rId1"/>
    <sheet name="P&amp;L" sheetId="3" r:id="rId2"/>
    <sheet name="RevBuild" sheetId="51" r:id="rId3"/>
    <sheet name="OrgGrowth" sheetId="119" r:id="rId4"/>
    <sheet name="BalSht " sheetId="106" r:id="rId5"/>
    <sheet name="Cash Flow" sheetId="107" r:id="rId6"/>
    <sheet name="Debt" sheetId="29" r:id="rId7"/>
    <sheet name="__FDSCACHE__" sheetId="5" state="veryHidden" r:id="rId8"/>
    <sheet name="MW-Cache" sheetId="13" state="veryHidden" r:id="rId9"/>
    <sheet name="__APW_ACTIVE_FIELD_RESTORE__" sheetId="31" state="veryHidden" r:id="rId10"/>
    <sheet name="HSAH-VFC" sheetId="130" r:id="rId11"/>
    <sheet name="IndexInformation" sheetId="133" r:id="rId12"/>
    <sheet name="ModPubIndex" sheetId="134"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s>
  <definedNames>
    <definedName name="____a1" hidden="1">{"comp1",#N/A,FALSE,"COMPS";"footnotes",#N/A,FALSE,"COMPS"}</definedName>
    <definedName name="____aa1" hidden="1">{#N/A,#N/A,TRUE,"Pro Forma";#N/A,#N/A,TRUE,"PF_Bal";#N/A,#N/A,TRUE,"PF_INC";#N/A,#N/A,TRUE,"CBE";#N/A,#N/A,TRUE,"SWK"}</definedName>
    <definedName name="____ab1" hidden="1">{"comp1",#N/A,FALSE,"COMPS";"footnotes",#N/A,FALSE,"COMPS"}</definedName>
    <definedName name="____ae1" hidden="1">{#N/A,#N/A,FALSE,"Calc";#N/A,#N/A,FALSE,"Sensitivity";#N/A,#N/A,FALSE,"LT Earn.Dil.";#N/A,#N/A,FALSE,"Dil. AVP"}</definedName>
    <definedName name="____af1" hidden="1">"c1455"</definedName>
    <definedName name="____af10" hidden="1">"c2141"</definedName>
    <definedName name="____af11" hidden="1">"c1382"</definedName>
    <definedName name="____af12" hidden="1">"c1385"</definedName>
    <definedName name="____af13" hidden="1">"c1435"</definedName>
    <definedName name="____af14" hidden="1">"c1436"</definedName>
    <definedName name="____af15" hidden="1">"c1424"</definedName>
    <definedName name="____af16" hidden="1">"c1345"</definedName>
    <definedName name="____af18" hidden="1">"c1438"</definedName>
    <definedName name="____af19">{"Client Name or Project Name"}</definedName>
    <definedName name="____af2" hidden="1">"c1352"</definedName>
    <definedName name="____af20">{"Client Name or Project Name"}</definedName>
    <definedName name="____af21">{"Client Name or Project Name"}</definedName>
    <definedName name="____af22">{"Client Name or Project Name"}</definedName>
    <definedName name="____af23">{126}</definedName>
    <definedName name="____af24">{1}</definedName>
    <definedName name="____af25">{0}</definedName>
    <definedName name="____af26">{126}</definedName>
    <definedName name="____af27">{"Client Name or Project Name"}</definedName>
    <definedName name="____af28">{"Client Name or Project Name"}</definedName>
    <definedName name="____af3" hidden="1">"c1353"</definedName>
    <definedName name="____af30">{"Client Name or Project Name"}</definedName>
    <definedName name="____af31">{"Client Name or Project Name"}</definedName>
    <definedName name="____af32">{"Client Name or Project Name"}</definedName>
    <definedName name="____af33">{"Client Name or Project Name"}</definedName>
    <definedName name="____af34">{"Client Name or Project Name"}</definedName>
    <definedName name="____af35">{"Client Name or Project Name"}</definedName>
    <definedName name="____af36">{"Client Name or Project Name"}</definedName>
    <definedName name="____af37" hidden="1">{"Client is",#N/A,FALSE,"Client"}</definedName>
    <definedName name="____af38" hidden="1">{TRUE,TRUE,-1.25,-15.5,456.75,279.75,FALSE,FALSE,TRUE,TRUE,0,1,18,1,199,6,3,4,TRUE,TRUE,3,TRUE,1,TRUE,100,"Swvu.cash.","ACwvu.cash.",1,FALSE,FALSE,0.511811023622047,0.511811023622047,0.511811023622047,0.511811023622047,1,"","",FALSE,FALSE,FALSE,FALSE,1,#N/A,1,1,#DIV/0!,FALSE,"Rwvu.cash.",#N/A,FALSE,FALSE}</definedName>
    <definedName name="____af39" hidden="1">{TRUE,TRUE,-1.25,-15.5,456.75,279.75,FALSE,FALSE,TRUE,TRUE,0,1,21,1,127,6,3,4,TRUE,TRUE,3,TRUE,1,TRUE,100,"Swvu.profits.","ACwvu.profits.",1,FALSE,FALSE,0.511811023622047,0.511811023622047,0.511811023622047,0.511811023622047,1,"","",FALSE,FALSE,FALSE,FALSE,1,#N/A,1,1,#DIV/0!,FALSE,"Rwvu.profits.",#N/A,FALSE,FALSE}</definedName>
    <definedName name="____af4" hidden="1">"c1354"</definedName>
    <definedName name="____af40" hidden="1">{TRUE,TRUE,-1.25,-15.5,456.75,279.75,FALSE,FALSE,TRUE,TRUE,0,1,8,1,4,6,3,4,TRUE,TRUE,3,TRUE,1,TRUE,100,"Swvu.turnover.","ACwvu.turnover.",1,FALSE,FALSE,0.511811023622047,0.511811023622047,0.511811023622047,0.511811023622047,1,"","",FALSE,FALSE,FALSE,FALSE,1,#N/A,1,1,#DIV/0!,FALSE,"Rwvu.turnover.",#N/A,FALSE,FALSE}</definedName>
    <definedName name="____af5" hidden="1">"c1411"</definedName>
    <definedName name="____af6" hidden="1">"c1431"</definedName>
    <definedName name="____af7" hidden="1">"c1433"</definedName>
    <definedName name="____af8" hidden="1">"c1434"</definedName>
    <definedName name="____af9" hidden="1">"c1432"</definedName>
    <definedName name="____am1" hidden="1">{#N/A,#N/A,TRUE,"Pro Forma";#N/A,#N/A,TRUE,"PF_Bal";#N/A,#N/A,TRUE,"PF_INC";#N/A,#N/A,TRUE,"CBE";#N/A,#N/A,TRUE,"SWK"}</definedName>
    <definedName name="____as1" hidden="1">{"comp1",#N/A,FALSE,"COMPS";"footnotes",#N/A,FALSE,"COMPS"}</definedName>
    <definedName name="____ASM1">{9}</definedName>
    <definedName name="____ASM2">{9}</definedName>
    <definedName name="____f1" hidden="1">{"assumption cash",#N/A,TRUE,"Merger";"has gets cash",#N/A,TRUE,"Merger";"accretion dilution",#N/A,TRUE,"Merger";"comparison credit stats",#N/A,TRUE,"Merger";"pf credit stats",#N/A,TRUE,"Merger";"pf sheets",#N/A,TRUE,"Merger"}</definedName>
    <definedName name="____ik1" hidden="1">{"casespecific",#N/A,FALSE,"Assumptions"}</definedName>
    <definedName name="____P1">[1]Bio!$A$5:$S$293</definedName>
    <definedName name="____P2">[1]Bio!$A$5:$P$293</definedName>
    <definedName name="____ppp1">{"Client Name or Project Name"}</definedName>
    <definedName name="____rb10">{"Client Name or Project Name"}</definedName>
    <definedName name="____rb12">{9}</definedName>
    <definedName name="____rb13" hidden="1">{"'Breakup 01 Euro'!$A$3:$I$30"}</definedName>
    <definedName name="____rb15" hidden="1">"c1449"</definedName>
    <definedName name="____rb16" hidden="1">"c1343"</definedName>
    <definedName name="____rb17" hidden="1">"c1341"</definedName>
    <definedName name="____rb18" hidden="1">"c1340"</definedName>
    <definedName name="____rb19" hidden="1">"c1344"</definedName>
    <definedName name="____rb20" hidden="1">"c1342"</definedName>
    <definedName name="____rb21" hidden="1">"c1591"</definedName>
    <definedName name="____rb22" hidden="1">"c1346"</definedName>
    <definedName name="____rb23" hidden="1">"c2133"</definedName>
    <definedName name="____rb24" hidden="1">"c1349"</definedName>
    <definedName name="____rb25" hidden="1">"c1350"</definedName>
    <definedName name="____rb26" hidden="1">"c1458"</definedName>
    <definedName name="____rb27" hidden="1">"c116"</definedName>
    <definedName name="____rb28" hidden="1">"c1351"</definedName>
    <definedName name="____rb29" hidden="1">"c1355"</definedName>
    <definedName name="____rb30" hidden="1">"c1357"</definedName>
    <definedName name="____rb31" hidden="1">"c1358"</definedName>
    <definedName name="____rb32" hidden="1">"c1359"</definedName>
    <definedName name="____rb33" hidden="1">"c1362"</definedName>
    <definedName name="____rb34" hidden="1">"c1363"</definedName>
    <definedName name="____rb35" hidden="1">"c1364"</definedName>
    <definedName name="____rb36" hidden="1">"c1365"</definedName>
    <definedName name="____rb37" hidden="1">"c1447"</definedName>
    <definedName name="____rb38" hidden="1">"c1356"</definedName>
    <definedName name="____rb39" hidden="1">"c1360"</definedName>
    <definedName name="____rb40" hidden="1">"c1361"</definedName>
    <definedName name="____rb41" hidden="1">"c1520"</definedName>
    <definedName name="____rb42" hidden="1">"c1367"</definedName>
    <definedName name="____rb43" hidden="1">"c1366"</definedName>
    <definedName name="____rb44" hidden="1">"c1369"</definedName>
    <definedName name="____rb45" hidden="1">"c1370"</definedName>
    <definedName name="____rb46" hidden="1">"c1371"</definedName>
    <definedName name="____rb47" hidden="1">"c1348"</definedName>
    <definedName name="____rb48" hidden="1">"c1451"</definedName>
    <definedName name="____rb49" hidden="1">"c1390"</definedName>
    <definedName name="____rb5">{9}</definedName>
    <definedName name="____rb50" hidden="1">"c1428"</definedName>
    <definedName name="____rb51" hidden="1">"c1426"</definedName>
    <definedName name="____rb52" hidden="1">"c1427"</definedName>
    <definedName name="____rb53" hidden="1">"c1429"</definedName>
    <definedName name="____rb54" hidden="1">"c1897"</definedName>
    <definedName name="____rb55" hidden="1">"c1459"</definedName>
    <definedName name="____rb56" hidden="1">"c1405"</definedName>
    <definedName name="____rb57" hidden="1">"c1406"</definedName>
    <definedName name="____rb58" hidden="1">"c1376"</definedName>
    <definedName name="____rb59" hidden="1">"c1377"</definedName>
    <definedName name="____rb60" hidden="1">"c1380"</definedName>
    <definedName name="____rb61" hidden="1">"c1446"</definedName>
    <definedName name="____rb62" hidden="1">"c1378"</definedName>
    <definedName name="____rb63" hidden="1">"c1395"</definedName>
    <definedName name="____rb64" hidden="1">"c1396"</definedName>
    <definedName name="____rb65" hidden="1">"c1375"</definedName>
    <definedName name="____rb66" hidden="1">"c1407"</definedName>
    <definedName name="____rb67" hidden="1">"c1383"</definedName>
    <definedName name="____rb68" hidden="1">"c1393"</definedName>
    <definedName name="____rb69" hidden="1">"c1384"</definedName>
    <definedName name="____rb70" hidden="1">"c1391"</definedName>
    <definedName name="____rb71" hidden="1">"c1386"</definedName>
    <definedName name="____rb72" hidden="1">"c1387"</definedName>
    <definedName name="____rb73" hidden="1">"c1388"</definedName>
    <definedName name="____rb74" hidden="1">"c1389"</definedName>
    <definedName name="____rb75" hidden="1">"c1437"</definedName>
    <definedName name="____rb76" hidden="1">"c1394"</definedName>
    <definedName name="____rb77" hidden="1">"c1368"</definedName>
    <definedName name="____rb78" hidden="1">"c1397"</definedName>
    <definedName name="____rb79" hidden="1">"c1398"</definedName>
    <definedName name="____rb8">{9}</definedName>
    <definedName name="____rb9">{9}</definedName>
    <definedName name="____rt1" hidden="1">"c1392"</definedName>
    <definedName name="____rt10" hidden="1">"c1409"</definedName>
    <definedName name="____rt11" hidden="1">"c1453"</definedName>
    <definedName name="____rt12" hidden="1">"c1410"</definedName>
    <definedName name="____rt14" hidden="1">"c2128"</definedName>
    <definedName name="____rt15" hidden="1">"c1457"</definedName>
    <definedName name="____rt16" hidden="1">"c1414"</definedName>
    <definedName name="____rt17" hidden="1">"c1416"</definedName>
    <definedName name="____rt18" hidden="1">"c1415"</definedName>
    <definedName name="____rt19" hidden="1">"c1418"</definedName>
    <definedName name="____rt2" hidden="1">"c1399"</definedName>
    <definedName name="____rt20" hidden="1">"c1412"</definedName>
    <definedName name="____rt21" hidden="1">"c1413"</definedName>
    <definedName name="____rt22" hidden="1">"c1452"</definedName>
    <definedName name="____rt24" hidden="1">"c1379"</definedName>
    <definedName name="____rt25" hidden="1">"c1402"</definedName>
    <definedName name="____rt26" hidden="1">"c1417"</definedName>
    <definedName name="____rt27" hidden="1">"c1419"</definedName>
    <definedName name="____rt28" hidden="1">"c1420"</definedName>
    <definedName name="____rt29" hidden="1">"c1421"</definedName>
    <definedName name="____rt3" hidden="1">"c1400"</definedName>
    <definedName name="____rt30" hidden="1">"c1422"</definedName>
    <definedName name="____rt31" hidden="1">"c1347"</definedName>
    <definedName name="____rt32" hidden="1">"c1425"</definedName>
    <definedName name="____rt4" hidden="1">"c1401"</definedName>
    <definedName name="____rt5" hidden="1">"c1423"</definedName>
    <definedName name="____rt6" hidden="1">"c1448"</definedName>
    <definedName name="____rt7" hidden="1">"c1403"</definedName>
    <definedName name="____rt8" hidden="1">"c1404"</definedName>
    <definedName name="____rt9" hidden="1">"c1408"</definedName>
    <definedName name="____t1" hidden="1">{"Client is",#N/A,FALSE,"Client"}</definedName>
    <definedName name="___a1" hidden="1">{"comp1",#N/A,FALSE,"COMPS";"footnotes",#N/A,FALSE,"COMPS"}</definedName>
    <definedName name="___aa1" hidden="1">{#N/A,#N/A,TRUE,"Pro Forma";#N/A,#N/A,TRUE,"PF_Bal";#N/A,#N/A,TRUE,"PF_INC";#N/A,#N/A,TRUE,"CBE";#N/A,#N/A,TRUE,"SWK"}</definedName>
    <definedName name="___ab1" hidden="1">{"comp1",#N/A,FALSE,"COMPS";"footnotes",#N/A,FALSE,"COMPS"}</definedName>
    <definedName name="___ae1" hidden="1">{#N/A,#N/A,FALSE,"Calc";#N/A,#N/A,FALSE,"Sensitivity";#N/A,#N/A,FALSE,"LT Earn.Dil.";#N/A,#N/A,FALSE,"Dil. AVP"}</definedName>
    <definedName name="___af1" hidden="1">"c1455"</definedName>
    <definedName name="___af10" hidden="1">"c2141"</definedName>
    <definedName name="___af11" hidden="1">"c1382"</definedName>
    <definedName name="___af12" hidden="1">"c1385"</definedName>
    <definedName name="___af13" hidden="1">"c1435"</definedName>
    <definedName name="___af14" hidden="1">"c1436"</definedName>
    <definedName name="___af15" hidden="1">"c1424"</definedName>
    <definedName name="___af16" hidden="1">"c1345"</definedName>
    <definedName name="___af18" hidden="1">"c1438"</definedName>
    <definedName name="___af19">{"Client Name or Project Name"}</definedName>
    <definedName name="___af2" hidden="1">"c1352"</definedName>
    <definedName name="___af20">{"Client Name or Project Name"}</definedName>
    <definedName name="___af21">{"Client Name or Project Name"}</definedName>
    <definedName name="___af22">{"Client Name or Project Name"}</definedName>
    <definedName name="___af23">{126}</definedName>
    <definedName name="___af24">{1}</definedName>
    <definedName name="___af25">{0}</definedName>
    <definedName name="___af26">{126}</definedName>
    <definedName name="___af27">{"Client Name or Project Name"}</definedName>
    <definedName name="___af28">{"Client Name or Project Name"}</definedName>
    <definedName name="___af3" hidden="1">"c1353"</definedName>
    <definedName name="___af30">{"Client Name or Project Name"}</definedName>
    <definedName name="___af31">{"Client Name or Project Name"}</definedName>
    <definedName name="___af32">{"Client Name or Project Name"}</definedName>
    <definedName name="___af33">{"Client Name or Project Name"}</definedName>
    <definedName name="___af34">{"Client Name or Project Name"}</definedName>
    <definedName name="___af35">{"Client Name or Project Name"}</definedName>
    <definedName name="___af36">{"Client Name or Project Name"}</definedName>
    <definedName name="___af37" hidden="1">{"Client is",#N/A,FALSE,"Client"}</definedName>
    <definedName name="___af38" hidden="1">{TRUE,TRUE,-1.25,-15.5,456.75,279.75,FALSE,FALSE,TRUE,TRUE,0,1,18,1,199,6,3,4,TRUE,TRUE,3,TRUE,1,TRUE,100,"Swvu.cash.","ACwvu.cash.",1,FALSE,FALSE,0.511811023622047,0.511811023622047,0.511811023622047,0.511811023622047,1,"","",FALSE,FALSE,FALSE,FALSE,1,#N/A,1,1,#DIV/0!,FALSE,"Rwvu.cash.",#N/A,FALSE,FALSE}</definedName>
    <definedName name="___af39" hidden="1">{TRUE,TRUE,-1.25,-15.5,456.75,279.75,FALSE,FALSE,TRUE,TRUE,0,1,21,1,127,6,3,4,TRUE,TRUE,3,TRUE,1,TRUE,100,"Swvu.profits.","ACwvu.profits.",1,FALSE,FALSE,0.511811023622047,0.511811023622047,0.511811023622047,0.511811023622047,1,"","",FALSE,FALSE,FALSE,FALSE,1,#N/A,1,1,#DIV/0!,FALSE,"Rwvu.profits.",#N/A,FALSE,FALSE}</definedName>
    <definedName name="___af4" hidden="1">"c1354"</definedName>
    <definedName name="___af40" hidden="1">{TRUE,TRUE,-1.25,-15.5,456.75,279.75,FALSE,FALSE,TRUE,TRUE,0,1,8,1,4,6,3,4,TRUE,TRUE,3,TRUE,1,TRUE,100,"Swvu.turnover.","ACwvu.turnover.",1,FALSE,FALSE,0.511811023622047,0.511811023622047,0.511811023622047,0.511811023622047,1,"","",FALSE,FALSE,FALSE,FALSE,1,#N/A,1,1,#DIV/0!,FALSE,"Rwvu.turnover.",#N/A,FALSE,FALSE}</definedName>
    <definedName name="___af5" hidden="1">"c1411"</definedName>
    <definedName name="___af6" hidden="1">"c1431"</definedName>
    <definedName name="___af7" hidden="1">"c1433"</definedName>
    <definedName name="___af8" hidden="1">"c1434"</definedName>
    <definedName name="___af9" hidden="1">"c1432"</definedName>
    <definedName name="___am1" hidden="1">{#N/A,#N/A,TRUE,"Pro Forma";#N/A,#N/A,TRUE,"PF_Bal";#N/A,#N/A,TRUE,"PF_INC";#N/A,#N/A,TRUE,"CBE";#N/A,#N/A,TRUE,"SWK"}</definedName>
    <definedName name="___as1" hidden="1">{"comp1",#N/A,FALSE,"COMPS";"footnotes",#N/A,FALSE,"COMPS"}</definedName>
    <definedName name="___ASM1">{9}</definedName>
    <definedName name="___ASM2">{9}</definedName>
    <definedName name="___f1" hidden="1">{"assumption cash",#N/A,TRUE,"Merger";"has gets cash",#N/A,TRUE,"Merger";"accretion dilution",#N/A,TRUE,"Merger";"comparison credit stats",#N/A,TRUE,"Merger";"pf credit stats",#N/A,TRUE,"Merger";"pf sheets",#N/A,TRUE,"Merger"}</definedName>
    <definedName name="___ik1" hidden="1">{"casespecific",#N/A,FALSE,"Assumptions"}</definedName>
    <definedName name="___P1">[1]Bio!$A$5:$S$293</definedName>
    <definedName name="___P2">[1]Bio!$A$5:$P$293</definedName>
    <definedName name="___ppp1">{"Client Name or Project Name"}</definedName>
    <definedName name="___rb10">{"Client Name or Project Name"}</definedName>
    <definedName name="___rb12">{9}</definedName>
    <definedName name="___rb13" hidden="1">{"'Breakup 01 Euro'!$A$3:$I$30"}</definedName>
    <definedName name="___rb15" hidden="1">"c1449"</definedName>
    <definedName name="___rb16" hidden="1">"c1343"</definedName>
    <definedName name="___rb17" hidden="1">"c1341"</definedName>
    <definedName name="___rb18" hidden="1">"c1340"</definedName>
    <definedName name="___rb19" hidden="1">"c1344"</definedName>
    <definedName name="___rb20" hidden="1">"c1342"</definedName>
    <definedName name="___rb21" hidden="1">"c1591"</definedName>
    <definedName name="___rb22" hidden="1">"c1346"</definedName>
    <definedName name="___rb23" hidden="1">"c2133"</definedName>
    <definedName name="___rb24" hidden="1">"c1349"</definedName>
    <definedName name="___rb25" hidden="1">"c1350"</definedName>
    <definedName name="___rb26" hidden="1">"c1458"</definedName>
    <definedName name="___rb27" hidden="1">"c116"</definedName>
    <definedName name="___rb28" hidden="1">"c1351"</definedName>
    <definedName name="___rb29" hidden="1">"c1355"</definedName>
    <definedName name="___rb30" hidden="1">"c1357"</definedName>
    <definedName name="___rb31" hidden="1">"c1358"</definedName>
    <definedName name="___rb32" hidden="1">"c1359"</definedName>
    <definedName name="___rb33" hidden="1">"c1362"</definedName>
    <definedName name="___rb34" hidden="1">"c1363"</definedName>
    <definedName name="___rb35" hidden="1">"c1364"</definedName>
    <definedName name="___rb36" hidden="1">"c1365"</definedName>
    <definedName name="___rb37" hidden="1">"c1447"</definedName>
    <definedName name="___rb38" hidden="1">"c1356"</definedName>
    <definedName name="___rb39" hidden="1">"c1360"</definedName>
    <definedName name="___rb40" hidden="1">"c1361"</definedName>
    <definedName name="___rb41" hidden="1">"c1520"</definedName>
    <definedName name="___rb42" hidden="1">"c1367"</definedName>
    <definedName name="___rb43" hidden="1">"c1366"</definedName>
    <definedName name="___rb44" hidden="1">"c1369"</definedName>
    <definedName name="___rb45" hidden="1">"c1370"</definedName>
    <definedName name="___rb46" hidden="1">"c1371"</definedName>
    <definedName name="___rb47" hidden="1">"c1348"</definedName>
    <definedName name="___rb48" hidden="1">"c1451"</definedName>
    <definedName name="___rb49" hidden="1">"c1390"</definedName>
    <definedName name="___rb5">{9}</definedName>
    <definedName name="___rb50" hidden="1">"c1428"</definedName>
    <definedName name="___rb51" hidden="1">"c1426"</definedName>
    <definedName name="___rb52" hidden="1">"c1427"</definedName>
    <definedName name="___rb53" hidden="1">"c1429"</definedName>
    <definedName name="___rb54" hidden="1">"c1897"</definedName>
    <definedName name="___rb55" hidden="1">"c1459"</definedName>
    <definedName name="___rb56" hidden="1">"c1405"</definedName>
    <definedName name="___rb57" hidden="1">"c1406"</definedName>
    <definedName name="___rb58" hidden="1">"c1376"</definedName>
    <definedName name="___rb59" hidden="1">"c1377"</definedName>
    <definedName name="___rb60" hidden="1">"c1380"</definedName>
    <definedName name="___rb61" hidden="1">"c1446"</definedName>
    <definedName name="___rb62" hidden="1">"c1378"</definedName>
    <definedName name="___rb63" hidden="1">"c1395"</definedName>
    <definedName name="___rb64" hidden="1">"c1396"</definedName>
    <definedName name="___rb65" hidden="1">"c1375"</definedName>
    <definedName name="___rb66" hidden="1">"c1407"</definedName>
    <definedName name="___rb67" hidden="1">"c1383"</definedName>
    <definedName name="___rb68" hidden="1">"c1393"</definedName>
    <definedName name="___rb69" hidden="1">"c1384"</definedName>
    <definedName name="___rb70" hidden="1">"c1391"</definedName>
    <definedName name="___rb71" hidden="1">"c1386"</definedName>
    <definedName name="___rb72" hidden="1">"c1387"</definedName>
    <definedName name="___rb73" hidden="1">"c1388"</definedName>
    <definedName name="___rb74" hidden="1">"c1389"</definedName>
    <definedName name="___rb75" hidden="1">"c1437"</definedName>
    <definedName name="___rb76" hidden="1">"c1394"</definedName>
    <definedName name="___rb77" hidden="1">"c1368"</definedName>
    <definedName name="___rb78" hidden="1">"c1397"</definedName>
    <definedName name="___rb79" hidden="1">"c1398"</definedName>
    <definedName name="___rb8">{9}</definedName>
    <definedName name="___rb9">{9}</definedName>
    <definedName name="___rt1" hidden="1">"c1392"</definedName>
    <definedName name="___rt10" hidden="1">"c1409"</definedName>
    <definedName name="___rt11" hidden="1">"c1453"</definedName>
    <definedName name="___rt12" hidden="1">"c1410"</definedName>
    <definedName name="___rt14" hidden="1">"c2128"</definedName>
    <definedName name="___rt15" hidden="1">"c1457"</definedName>
    <definedName name="___rt16" hidden="1">"c1414"</definedName>
    <definedName name="___rt17" hidden="1">"c1416"</definedName>
    <definedName name="___rt18" hidden="1">"c1415"</definedName>
    <definedName name="___rt19" hidden="1">"c1418"</definedName>
    <definedName name="___rt2" hidden="1">"c1399"</definedName>
    <definedName name="___rt20" hidden="1">"c1412"</definedName>
    <definedName name="___rt21" hidden="1">"c1413"</definedName>
    <definedName name="___rt22" hidden="1">"c1452"</definedName>
    <definedName name="___rt24" hidden="1">"c1379"</definedName>
    <definedName name="___rt25" hidden="1">"c1402"</definedName>
    <definedName name="___rt26" hidden="1">"c1417"</definedName>
    <definedName name="___rt27" hidden="1">"c1419"</definedName>
    <definedName name="___rt28" hidden="1">"c1420"</definedName>
    <definedName name="___rt29" hidden="1">"c1421"</definedName>
    <definedName name="___rt3" hidden="1">"c1400"</definedName>
    <definedName name="___rt30" hidden="1">"c1422"</definedName>
    <definedName name="___rt31" hidden="1">"c1347"</definedName>
    <definedName name="___rt32" hidden="1">"c1425"</definedName>
    <definedName name="___rt4" hidden="1">"c1401"</definedName>
    <definedName name="___rt5" hidden="1">"c1423"</definedName>
    <definedName name="___rt6" hidden="1">"c1448"</definedName>
    <definedName name="___rt7" hidden="1">"c1403"</definedName>
    <definedName name="___rt8" hidden="1">"c1404"</definedName>
    <definedName name="___rt9" hidden="1">"c1408"</definedName>
    <definedName name="___t1" hidden="1">{"Client is",#N/A,FALSE,"Client"}</definedName>
    <definedName name="__a1" hidden="1">{"comp1",#N/A,FALSE,"COMPS";"footnotes",#N/A,FALSE,"COMPS"}</definedName>
    <definedName name="__aa1" hidden="1">{#N/A,#N/A,TRUE,"Pro Forma";#N/A,#N/A,TRUE,"PF_Bal";#N/A,#N/A,TRUE,"PF_INC";#N/A,#N/A,TRUE,"CBE";#N/A,#N/A,TRUE,"SWK"}</definedName>
    <definedName name="__ab1" hidden="1">{"comp1",#N/A,FALSE,"COMPS";"footnotes",#N/A,FALSE,"COMPS"}</definedName>
    <definedName name="__ae1" hidden="1">{#N/A,#N/A,FALSE,"Calc";#N/A,#N/A,FALSE,"Sensitivity";#N/A,#N/A,FALSE,"LT Earn.Dil.";#N/A,#N/A,FALSE,"Dil. AVP"}</definedName>
    <definedName name="__af1" hidden="1">"c1455"</definedName>
    <definedName name="__af10" hidden="1">"c2141"</definedName>
    <definedName name="__af11" hidden="1">"c1382"</definedName>
    <definedName name="__af12" hidden="1">"c1385"</definedName>
    <definedName name="__af13" hidden="1">"c1435"</definedName>
    <definedName name="__af14" hidden="1">"c1436"</definedName>
    <definedName name="__af15" hidden="1">"c1424"</definedName>
    <definedName name="__af16" hidden="1">"c1345"</definedName>
    <definedName name="__af18" hidden="1">"c1438"</definedName>
    <definedName name="__af19">{"Client Name or Project Name"}</definedName>
    <definedName name="__af2" hidden="1">"c1352"</definedName>
    <definedName name="__af20">{"Client Name or Project Name"}</definedName>
    <definedName name="__af21">{"Client Name or Project Name"}</definedName>
    <definedName name="__af22">{"Client Name or Project Name"}</definedName>
    <definedName name="__af23">{126}</definedName>
    <definedName name="__af24">{1}</definedName>
    <definedName name="__af25">{0}</definedName>
    <definedName name="__af26">{126}</definedName>
    <definedName name="__af27">{"Client Name or Project Name"}</definedName>
    <definedName name="__af28">{"Client Name or Project Name"}</definedName>
    <definedName name="__af3" hidden="1">"c1353"</definedName>
    <definedName name="__af30">{"Client Name or Project Name"}</definedName>
    <definedName name="__af31">{"Client Name or Project Name"}</definedName>
    <definedName name="__af32">{"Client Name or Project Name"}</definedName>
    <definedName name="__af33">{"Client Name or Project Name"}</definedName>
    <definedName name="__af34">{"Client Name or Project Name"}</definedName>
    <definedName name="__af35">{"Client Name or Project Name"}</definedName>
    <definedName name="__af36">{"Client Name or Project Name"}</definedName>
    <definedName name="__af37" hidden="1">{"Client is",#N/A,FALSE,"Client"}</definedName>
    <definedName name="__af38" hidden="1">{TRUE,TRUE,-1.25,-15.5,456.75,279.75,FALSE,FALSE,TRUE,TRUE,0,1,18,1,199,6,3,4,TRUE,TRUE,3,TRUE,1,TRUE,100,"Swvu.cash.","ACwvu.cash.",1,FALSE,FALSE,0.511811023622047,0.511811023622047,0.511811023622047,0.511811023622047,1,"","",FALSE,FALSE,FALSE,FALSE,1,#N/A,1,1,#DIV/0!,FALSE,"Rwvu.cash.",#N/A,FALSE,FALSE}</definedName>
    <definedName name="__af39" hidden="1">{TRUE,TRUE,-1.25,-15.5,456.75,279.75,FALSE,FALSE,TRUE,TRUE,0,1,21,1,127,6,3,4,TRUE,TRUE,3,TRUE,1,TRUE,100,"Swvu.profits.","ACwvu.profits.",1,FALSE,FALSE,0.511811023622047,0.511811023622047,0.511811023622047,0.511811023622047,1,"","",FALSE,FALSE,FALSE,FALSE,1,#N/A,1,1,#DIV/0!,FALSE,"Rwvu.profits.",#N/A,FALSE,FALSE}</definedName>
    <definedName name="__af4" hidden="1">"c1354"</definedName>
    <definedName name="__af40" hidden="1">{TRUE,TRUE,-1.25,-15.5,456.75,279.75,FALSE,FALSE,TRUE,TRUE,0,1,8,1,4,6,3,4,TRUE,TRUE,3,TRUE,1,TRUE,100,"Swvu.turnover.","ACwvu.turnover.",1,FALSE,FALSE,0.511811023622047,0.511811023622047,0.511811023622047,0.511811023622047,1,"","",FALSE,FALSE,FALSE,FALSE,1,#N/A,1,1,#DIV/0!,FALSE,"Rwvu.turnover.",#N/A,FALSE,FALSE}</definedName>
    <definedName name="__af5" hidden="1">"c1411"</definedName>
    <definedName name="__af6" hidden="1">"c1431"</definedName>
    <definedName name="__af7" hidden="1">"c1433"</definedName>
    <definedName name="__af8" hidden="1">"c1434"</definedName>
    <definedName name="__af9" hidden="1">"c1432"</definedName>
    <definedName name="__am1" hidden="1">{#N/A,#N/A,TRUE,"Pro Forma";#N/A,#N/A,TRUE,"PF_Bal";#N/A,#N/A,TRUE,"PF_INC";#N/A,#N/A,TRUE,"CBE";#N/A,#N/A,TRUE,"SWK"}</definedName>
    <definedName name="__as1" hidden="1">{"comp1",#N/A,FALSE,"COMPS";"footnotes",#N/A,FALSE,"COMPS"}</definedName>
    <definedName name="__ASM1">{9}</definedName>
    <definedName name="__ASM2">{9}</definedName>
    <definedName name="__f1" hidden="1">{"assumption cash",#N/A,TRUE,"Merger";"has gets cash",#N/A,TRUE,"Merger";"accretion dilution",#N/A,TRUE,"Merger";"comparison credit stats",#N/A,TRUE,"Merger";"pf credit stats",#N/A,TRUE,"Merger";"pf sheets",#N/A,TRUE,"Merger"}</definedName>
    <definedName name="__FDS_HYPERLINK_TOGGLE_STATE__" hidden="1">"ON"</definedName>
    <definedName name="__FDS_UNIQUE_RANGE_ID_GENERATOR_COUNTER" localSheetId="3" hidden="1">57</definedName>
    <definedName name="__FDS_UNIQUE_RANGE_ID_GENERATOR_COUNTER" hidden="1">50</definedName>
    <definedName name="__FDS_USED_FOR_REUSING_RANGE_IDS_RECYCLE" localSheetId="6">{1,1}</definedName>
    <definedName name="__FDS_USED_FOR_REUSING_RANGE_IDS_RECYCLE" hidden="1">{414,413,412,411,410,415,408,407,406,405,404,403,409,401,400,399,398,402,396,395,397,393,392,391,390,389,394,387,386,385,384,383,382,388,380,379,378,377,381,375,374,376}</definedName>
    <definedName name="__ik1" hidden="1">{"casespecific",#N/A,FALSE,"Assumptions"}</definedName>
    <definedName name="__P1">[1]Bio!$A$5:$S$293</definedName>
    <definedName name="__P2">[1]Bio!$A$5:$P$293</definedName>
    <definedName name="__ppp1">{"Client Name or Project Name"}</definedName>
    <definedName name="__rb10">{"Client Name or Project Name"}</definedName>
    <definedName name="__rb12">{9}</definedName>
    <definedName name="__rb13" hidden="1">{"'Breakup 01 Euro'!$A$3:$I$30"}</definedName>
    <definedName name="__rb15" hidden="1">"c1449"</definedName>
    <definedName name="__rb16" hidden="1">"c1343"</definedName>
    <definedName name="__rb17" hidden="1">"c1341"</definedName>
    <definedName name="__rb18" hidden="1">"c1340"</definedName>
    <definedName name="__rb19" hidden="1">"c1344"</definedName>
    <definedName name="__rb20" hidden="1">"c1342"</definedName>
    <definedName name="__rb21" hidden="1">"c1591"</definedName>
    <definedName name="__rb22" hidden="1">"c1346"</definedName>
    <definedName name="__rb23" hidden="1">"c2133"</definedName>
    <definedName name="__rb24" hidden="1">"c1349"</definedName>
    <definedName name="__rb25" hidden="1">"c1350"</definedName>
    <definedName name="__rb26" hidden="1">"c1458"</definedName>
    <definedName name="__rb27" hidden="1">"c116"</definedName>
    <definedName name="__rb28" hidden="1">"c1351"</definedName>
    <definedName name="__rb29" hidden="1">"c1355"</definedName>
    <definedName name="__rb30" hidden="1">"c1357"</definedName>
    <definedName name="__rb31" hidden="1">"c1358"</definedName>
    <definedName name="__rb32" hidden="1">"c1359"</definedName>
    <definedName name="__rb33" hidden="1">"c1362"</definedName>
    <definedName name="__rb34" hidden="1">"c1363"</definedName>
    <definedName name="__rb35" hidden="1">"c1364"</definedName>
    <definedName name="__rb36" hidden="1">"c1365"</definedName>
    <definedName name="__rb37" hidden="1">"c1447"</definedName>
    <definedName name="__rb38" hidden="1">"c1356"</definedName>
    <definedName name="__rb39" hidden="1">"c1360"</definedName>
    <definedName name="__rb40" hidden="1">"c1361"</definedName>
    <definedName name="__rb41" hidden="1">"c1520"</definedName>
    <definedName name="__rb42" hidden="1">"c1367"</definedName>
    <definedName name="__rb43" hidden="1">"c1366"</definedName>
    <definedName name="__rb44" hidden="1">"c1369"</definedName>
    <definedName name="__rb45" hidden="1">"c1370"</definedName>
    <definedName name="__rb46" hidden="1">"c1371"</definedName>
    <definedName name="__rb47" hidden="1">"c1348"</definedName>
    <definedName name="__rb48" hidden="1">"c1451"</definedName>
    <definedName name="__rb49" hidden="1">"c1390"</definedName>
    <definedName name="__rb5">{9}</definedName>
    <definedName name="__rb50" hidden="1">"c1428"</definedName>
    <definedName name="__rb51" hidden="1">"c1426"</definedName>
    <definedName name="__rb52" hidden="1">"c1427"</definedName>
    <definedName name="__rb53" hidden="1">"c1429"</definedName>
    <definedName name="__rb54" hidden="1">"c1897"</definedName>
    <definedName name="__rb55" hidden="1">"c1459"</definedName>
    <definedName name="__rb56" hidden="1">"c1405"</definedName>
    <definedName name="__rb57" hidden="1">"c1406"</definedName>
    <definedName name="__rb58" hidden="1">"c1376"</definedName>
    <definedName name="__rb59" hidden="1">"c1377"</definedName>
    <definedName name="__rb60" hidden="1">"c1380"</definedName>
    <definedName name="__rb61" hidden="1">"c1446"</definedName>
    <definedName name="__rb62" hidden="1">"c1378"</definedName>
    <definedName name="__rb63" hidden="1">"c1395"</definedName>
    <definedName name="__rb64" hidden="1">"c1396"</definedName>
    <definedName name="__rb65" hidden="1">"c1375"</definedName>
    <definedName name="__rb66" hidden="1">"c1407"</definedName>
    <definedName name="__rb67" hidden="1">"c1383"</definedName>
    <definedName name="__rb68" hidden="1">"c1393"</definedName>
    <definedName name="__rb69" hidden="1">"c1384"</definedName>
    <definedName name="__rb70" hidden="1">"c1391"</definedName>
    <definedName name="__rb71" hidden="1">"c1386"</definedName>
    <definedName name="__rb72" hidden="1">"c1387"</definedName>
    <definedName name="__rb73" hidden="1">"c1388"</definedName>
    <definedName name="__rb74" hidden="1">"c1389"</definedName>
    <definedName name="__rb75" hidden="1">"c1437"</definedName>
    <definedName name="__rb76" hidden="1">"c1394"</definedName>
    <definedName name="__rb77" hidden="1">"c1368"</definedName>
    <definedName name="__rb78" hidden="1">"c1397"</definedName>
    <definedName name="__rb79" hidden="1">"c1398"</definedName>
    <definedName name="__rb8">{9}</definedName>
    <definedName name="__rb9">{9}</definedName>
    <definedName name="__rt1" hidden="1">"c1392"</definedName>
    <definedName name="__rt10" hidden="1">"c1409"</definedName>
    <definedName name="__rt11" hidden="1">"c1453"</definedName>
    <definedName name="__rt12" hidden="1">"c1410"</definedName>
    <definedName name="__rt14" hidden="1">"c2128"</definedName>
    <definedName name="__rt15" hidden="1">"c1457"</definedName>
    <definedName name="__rt16" hidden="1">"c1414"</definedName>
    <definedName name="__rt17" hidden="1">"c1416"</definedName>
    <definedName name="__rt18" hidden="1">"c1415"</definedName>
    <definedName name="__rt19" hidden="1">"c1418"</definedName>
    <definedName name="__rt2" hidden="1">"c1399"</definedName>
    <definedName name="__rt20" hidden="1">"c1412"</definedName>
    <definedName name="__rt21" hidden="1">"c1413"</definedName>
    <definedName name="__rt22" hidden="1">"c1452"</definedName>
    <definedName name="__rt24" hidden="1">"c1379"</definedName>
    <definedName name="__rt25" hidden="1">"c1402"</definedName>
    <definedName name="__rt26" hidden="1">"c1417"</definedName>
    <definedName name="__rt27" hidden="1">"c1419"</definedName>
    <definedName name="__rt28" hidden="1">"c1420"</definedName>
    <definedName name="__rt29" hidden="1">"c1421"</definedName>
    <definedName name="__rt3" hidden="1">"c1400"</definedName>
    <definedName name="__rt30" hidden="1">"c1422"</definedName>
    <definedName name="__rt31" hidden="1">"c1347"</definedName>
    <definedName name="__rt32" hidden="1">"c1425"</definedName>
    <definedName name="__rt4" hidden="1">"c1401"</definedName>
    <definedName name="__rt5" hidden="1">"c1423"</definedName>
    <definedName name="__rt6" hidden="1">"c1448"</definedName>
    <definedName name="__rt7" hidden="1">"c1403"</definedName>
    <definedName name="__rt8" hidden="1">"c1404"</definedName>
    <definedName name="__rt9" hidden="1">"c1408"</definedName>
    <definedName name="__t1" hidden="1">{"Client is",#N/A,FALSE,"Client"}</definedName>
    <definedName name="_1__FDSAUDITLINK__" localSheetId="3"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_FDSAUDITLINK__" hidden="1">{"fdsup://directions/FAT Viewer?action=UPDATE&amp;creator=factset&amp;DYN_ARGS=TRUE&amp;DOC_NAME=FAT:FQL_AUDITING_CLIENT_TEMPLATE.FAT&amp;display_string=Audit&amp;VAR:KEY=HIXULSXUDA&amp;VAR:QUERY=KChGRl9ERUJUKFFUUiwwKS1GRl9DQVNIX1NUKFFUUiwwKSlAKEZGX0RFQlQoUVRSLC0xRlEpLUZGX0NBU0hfU","1QoUVRSLC0xRlEpKSk=&amp;WINDOW=FIRST_POPUP&amp;HEIGHT=450&amp;WIDTH=450&amp;START_MAXIMIZED=FALSE&amp;VAR:CALENDAR=US&amp;VAR:SYMBOL=HOLX&amp;VAR:INDEX=0"}</definedName>
    <definedName name="_1__FDSAUDITLINK___1"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_FDSAUDITLINK___2"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0__FDSAUDITLINK__" localSheetId="3"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12.259458&amp;VAR:V0=13.603223&amp;VAR:V1=11.886435&amp;VAR:Y0=2010&amp;VAR:Y1=2011&amp;VAR:P=1137.033723&amp;VAR:DATE=20101004&amp;VAR:THRESH=||||","||"}</definedName>
    <definedName name="_10__FDSAUDITLINK___1"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__FDSAUDITLINK___2"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0__FDSAUDITLINK__" localSheetId="3"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14.851090&amp;VAR:V0=14.863323&amp;VAR:V1=13.509517&amp;VAR:Y0=2007&amp;VAR:Y1=2008&amp;VAR:P=1416.602000&amp;VAR:DATE=20070103&amp;VAR:THRESH=||||","||"}</definedName>
    <definedName name="_100__FDSAUDITLINK___1"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0__FDSAUDITLINK___2"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1__FDSAUDITLINK__" localSheetId="3"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14.871505&amp;VAR:V0=16.140548&amp;VAR:V1=14.778686&amp;VAR:Y0=2006&amp;VAR:Y1=2007&amp;VAR:P=1409.118800&amp;VAR:DATE=20061204&amp;VAR:THRESH=||||","||"}</definedName>
    <definedName name="_101__FDSAUDITLINK___1"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1__FDSAUDITLINK___2"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2__FDSAUDITLINK__" localSheetId="3"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14.871505&amp;VAR:V0=16.140548&amp;VAR:V1=14.778686&amp;VAR:Y0=2006&amp;VAR:Y1=2007&amp;VAR:P=1409.118800&amp;VAR:DATE=20061204&amp;VAR:THRESH=||||","||"}</definedName>
    <definedName name="_102__FDSAUDITLINK___1"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2__FDSAUDITLINK___2"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3__FDSAUDITLINK__" localSheetId="3"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14.474054&amp;VAR:V0=15.621969&amp;VAR:V1=14.275871&amp;VAR:Y0=2006&amp;VAR:Y1=2007&amp;VAR:P=1364.296900&amp;VAR:DATE=20061103&amp;VAR:THRESH=||||","||"}</definedName>
    <definedName name="_103__FDSAUDITLINK___1"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3__FDSAUDITLINK___2"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4__FDSAUDITLINK__" localSheetId="3"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14.474054&amp;VAR:V0=15.621969&amp;VAR:V1=14.275871&amp;VAR:Y0=2006&amp;VAR:Y1=2007&amp;VAR:P=1364.296900&amp;VAR:DATE=20061103&amp;VAR:THRESH=||||","||"}</definedName>
    <definedName name="_104__FDSAUDITLINK___1"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4__FDSAUDITLINK___2"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5__FDSAUDITLINK__"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14.427684&amp;VAR:V0=15.549321&amp;VAR:V1=14.104462&amp;VAR:Y0=2006&amp;VAR:Y1=2007&amp;VAR:P=1350.217500&amp;VAR:DATE=20061004&amp;VAR:THRESH=||||","||"}</definedName>
    <definedName name="_105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5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6__FDSAUDITLINK__" localSheetId="3"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14.427684&amp;VAR:V0=15.549321&amp;VAR:V1=14.104462&amp;VAR:Y0=2006&amp;VAR:Y1=2007&amp;VAR:P=1350.217500&amp;VAR:DATE=20061004&amp;VAR:THRESH=||||","||"}</definedName>
    <definedName name="_106__FDSAUDITLINK___1"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6__FDSAUDITLINK___2"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7__FDSAUDITLINK__" localSheetId="3"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0.668493&amp;VAR:V=14.110008&amp;VAR:V0=15.052498&amp;VAR:V1=13.685084&amp;VAR:Y0=2006&amp;VAR:Y1=2007&amp;VAR:P=1311.011000&amp;VAR:DATE=20060901&amp;VAR:THRESH=||||","||"}</definedName>
    <definedName name="_107__FDSAUDITLINK___1"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7__FDSAUDITLINK___2"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8__FDSAUDITLINK__"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0.668493&amp;VAR:V=14.110008&amp;VAR:V0=15.052498&amp;VAR:V1=13.685084&amp;VAR:Y0=2006&amp;VAR:Y1=2007&amp;VAR:P=1311.011000&amp;VAR:DATE=20060901&amp;VAR:THRESH=||||","||"}</definedName>
    <definedName name="_108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8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9__FDSAUDITLINK__" localSheetId="3"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13.851212&amp;VAR:V0=14.670310&amp;VAR:V1=13.337519&amp;VAR:Y0=2006&amp;VAR:Y1=2007&amp;VAR:P=1279.362400&amp;VAR:DATE=20060804&amp;VAR:THRESH=||||","||"}</definedName>
    <definedName name="_109__FDSAUDITLINK___1"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09__FDSAUDITLINK___2"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1__FDSAUDITLINK__" localSheetId="3"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12.002332&amp;VAR:V0=13.187008&amp;VAR:V1=11.502463&amp;VAR:Y0=2010&amp;VAR:Y1=2011&amp;VAR:P=1104.506616&amp;VAR:DATE=20100903&amp;VAR:THRESH=||||","||"}</definedName>
    <definedName name="_11__FDSAUDITLINK___1"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__FDSAUDITLINK___2"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0__FDSAUDITLINK__" localSheetId="3"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13.851212&amp;VAR:V0=14.670310&amp;VAR:V1=13.337519&amp;VAR:Y0=2006&amp;VAR:Y1=2007&amp;VAR:P=1279.362400&amp;VAR:DATE=20060804&amp;VAR:THRESH=||||","||"}</definedName>
    <definedName name="_110__FDSAUDITLINK___1"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0__FDSAUDITLINK___2"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1__FDSAUDITLINK__" localSheetId="3"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14.039137&amp;VAR:V0=14.796218&amp;VAR:V1=13.366368&amp;VAR:Y0=2006&amp;VAR:Y1=2007&amp;VAR:P=1280.189000&amp;VAR:DATE=20060703&amp;VAR:THRESH=||||","||"}</definedName>
    <definedName name="_111__FDSAUDITLINK___1"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1__FDSAUDITLINK___2"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2__FDSAUDITLINK__" localSheetId="3"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14.039137&amp;VAR:V0=14.796218&amp;VAR:V1=13.366368&amp;VAR:Y0=2006&amp;VAR:Y1=2007&amp;VAR:P=1280.189000&amp;VAR:DATE=20060703&amp;VAR:THRESH=||||","||"}</definedName>
    <definedName name="_112__FDSAUDITLINK___1"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2__FDSAUDITLINK___2"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3__FDSAUDITLINK__" localSheetId="3"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0.419178&amp;VAR:V=14.308472&amp;VAR:V0=14.919770&amp;VAR:V1=13.539788&amp;VAR:Y0=2006&amp;VAR:Y1=2007&amp;VAR:P=1288.218300&amp;VAR:DATE=20060602&amp;VAR:THRESH=||||","||"}</definedName>
    <definedName name="_113__FDSAUDITLINK___1"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3__FDSAUDITLINK___2"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4__FDSAUDITLINK__" localSheetId="3"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0.419178&amp;VAR:V=14.308472&amp;VAR:V0=14.919770&amp;VAR:V1=13.539788&amp;VAR:Y0=2006&amp;VAR:Y1=2007&amp;VAR:P=1288.218300&amp;VAR:DATE=20060602&amp;VAR:THRESH=||||","||"}</definedName>
    <definedName name="_114__FDSAUDITLINK___1"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4__FDSAUDITLINK___2"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5__FDSAUDITLINK__" localSheetId="3"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14.867865&amp;VAR:V0=15.400064&amp;VAR:V1=13.942740&amp;VAR:Y0=2006&amp;VAR:Y1=2007&amp;VAR:P=1325.760900&amp;VAR:DATE=20060505&amp;VAR:THRESH=||||","||"}</definedName>
    <definedName name="_115__FDSAUDITLINK___1"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5__FDSAUDITLINK___2"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6__FDSAUDITLINK__" localSheetId="3"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14.867865&amp;VAR:V0=15.400064&amp;VAR:V1=13.942740&amp;VAR:Y0=2006&amp;VAR:Y1=2007&amp;VAR:P=1325.760900&amp;VAR:DATE=20060505&amp;VAR:THRESH=||||","||"}</definedName>
    <definedName name="_116__FDSAUDITLINK___1"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6__FDSAUDITLINK___2"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7__FDSAUDITLINK__" localSheetId="3"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14.891503&amp;VAR:V0=15.279489&amp;VAR:V1=13.875714&amp;VAR:Y0=2006&amp;VAR:Y1=2007&amp;VAR:P=1305.934900&amp;VAR:DATE=20060404&amp;VAR:THRESH=||||","||"}</definedName>
    <definedName name="_117__FDSAUDITLINK___1"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7__FDSAUDITLINK___2"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8__FDSAUDITLINK__" localSheetId="3"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14.891503&amp;VAR:V0=15.279489&amp;VAR:V1=13.875714&amp;VAR:Y0=2006&amp;VAR:Y1=2007&amp;VAR:P=1305.934900&amp;VAR:DATE=20060404&amp;VAR:THRESH=||||","||"}</definedName>
    <definedName name="_118__FDSAUDITLINK___1"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8__FDSAUDITLINK___2"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9__FDSAUDITLINK__" localSheetId="3"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0.169863&amp;VAR:V=14.769875&amp;VAR:V0=15.023478&amp;VAR:V1=13.644273&amp;VAR:Y0=2006&amp;VAR:Y1=2007&amp;VAR:P=1287.231200&amp;VAR:DATE=20060303&amp;VAR:THRESH=||||","||"}</definedName>
    <definedName name="_119__FDSAUDITLINK___1"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19__FDSAUDITLINK___2"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2__FDSAUDITLINK__" localSheetId="3"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12.002332&amp;VAR:V0=13.187008&amp;VAR:V1=11.502463&amp;VAR:Y0=2010&amp;VAR:Y1=2011&amp;VAR:P=1104.506616&amp;VAR:DATE=20100903&amp;VAR:THRESH=||||","||"}</definedName>
    <definedName name="_12__FDSAUDITLINK___1"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__FDSAUDITLINK___2"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0__FDSAUDITLINK__" localSheetId="3"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0.169863&amp;VAR:V=14.769875&amp;VAR:V0=15.023478&amp;VAR:V1=13.644273&amp;VAR:Y0=2006&amp;VAR:Y1=2007&amp;VAR:P=1287.231200&amp;VAR:DATE=20060303&amp;VAR:THRESH=||||","||"}</definedName>
    <definedName name="_120__FDSAUDITLINK___1"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0__FDSAUDITLINK___2"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1__FDSAUDITLINK__" localSheetId="3"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14.683169&amp;VAR:V0=14.808455&amp;VAR:V1=13.531415&amp;VAR:Y0=2006&amp;VAR:Y1=2007&amp;VAR:P=1270.836800&amp;VAR:DATE=20060202&amp;VAR:THRESH=||||","||"}</definedName>
    <definedName name="_121__FDSAUDITLINK___1"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1__FDSAUDITLINK___2"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2__FDSAUDITLINK__" localSheetId="3"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14.683169&amp;VAR:V0=14.808455&amp;VAR:V1=13.531415&amp;VAR:Y0=2006&amp;VAR:Y1=2007&amp;VAR:P=1270.836800&amp;VAR:DATE=20060202&amp;VAR:THRESH=||||","||"}</definedName>
    <definedName name="_122__FDSAUDITLINK___1"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2__FDSAUDITLINK___2"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3__FDSAUDITLINK__" localSheetId="3"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14.730079&amp;VAR:V0=14.739652&amp;VAR:V1=13.659557&amp;VAR:Y0=2006&amp;VAR:Y1=2007&amp;VAR:P=1268.800400&amp;VAR:DATE=20060103&amp;VAR:THRESH=||||","||"}</definedName>
    <definedName name="_123__FDSAUDITLINK___1"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3__FDSAUDITLINK___2"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4__FDSAUDITLINK__" localSheetId="3"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14.730079&amp;VAR:V0=14.739652&amp;VAR:V1=13.659557&amp;VAR:Y0=2006&amp;VAR:Y1=2007&amp;VAR:P=1268.800400&amp;VAR:DATE=20060103&amp;VAR:THRESH=||||","||"}</definedName>
    <definedName name="_124__FDSAUDITLINK___1"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4__FDSAUDITLINK___2"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5__FDSAUDITLINK__" localSheetId="3"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0.920548&amp;VAR:V=14.825031&amp;VAR:V0=16.548683&amp;VAR:V1=14.692946&amp;VAR:Y0=2005&amp;VAR:Y1=2006&amp;VAR:P=1265.080000&amp;VAR:DATE=20051202&amp;VAR:THRESH=||||","||"}</definedName>
    <definedName name="_125__FDSAUDITLINK___1"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5__FDSAUDITLINK___2"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6__FDSAUDITLINK__" localSheetId="3"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0.920548&amp;VAR:V=14.825031&amp;VAR:V0=16.548683&amp;VAR:V1=14.692946&amp;VAR:Y0=2005&amp;VAR:Y1=2006&amp;VAR:P=1265.080000&amp;VAR:DATE=20051202&amp;VAR:THRESH=||||","||"}</definedName>
    <definedName name="_126__FDSAUDITLINK___1"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6__FDSAUDITLINK___2"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7__FDSAUDITLINK__" localSheetId="3"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14.423257&amp;VAR:V0=15.867142&amp;VAR:V1=14.179485&amp;VAR:Y0=2005&amp;VAR:Y1=2006&amp;VAR:P=1219.936300&amp;VAR:DATE=20051103&amp;VAR:THRESH=||||","||"}</definedName>
    <definedName name="_127__FDSAUDITLINK___1"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7__FDSAUDITLINK___2"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8__FDSAUDITLINK__" localSheetId="3"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14.423257&amp;VAR:V0=15.867142&amp;VAR:V1=14.179485&amp;VAR:Y0=2005&amp;VAR:Y1=2006&amp;VAR:P=1219.936300&amp;VAR:DATE=20051103&amp;VAR:THRESH=||||","||"}</definedName>
    <definedName name="_128__FDSAUDITLINK___1"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8__FDSAUDITLINK___2"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9__FDSAUDITLINK__" localSheetId="3"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14.539197&amp;VAR:V0=15.760124&amp;VAR:V1=14.189964&amp;VAR:Y0=2005&amp;VAR:Y1=2006&amp;VAR:P=1214.473400&amp;VAR:DATE=20051004&amp;VAR:THRESH=||||","||"}</definedName>
    <definedName name="_129__FDSAUDITLINK___1"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29__FDSAUDITLINK___2"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3__FDSAUDITLINK__" localSheetId="3"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12.338524&amp;VAR:V0=13.454422&amp;VAR:V1=11.670806&amp;VAR:Y0=2010&amp;VAR:Y1=2011&amp;VAR:P=1127.239110&amp;VAR:DATE=20100804&amp;VAR:THRESH=||||","||"}</definedName>
    <definedName name="_13__FDSAUDITLINK___1"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__FDSAUDITLINK___2"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0__FDSAUDITLINK__"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14.539197&amp;VAR:V0=15.760124&amp;VAR:V1=14.189964&amp;VAR:Y0=2005&amp;VAR:Y1=2006&amp;VAR:P=1214.473400&amp;VAR:DATE=20051004&amp;VAR:THRESH=||||","||"}</definedName>
    <definedName name="_130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0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1__FDSAUDITLINK__" localSheetId="3"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0.671233&amp;VAR:V=14.892845&amp;VAR:V0=15.944333&amp;VAR:V1=14.426847&amp;VAR:Y0=2005&amp;VAR:Y1=2006&amp;VAR:P=1218.021100&amp;VAR:DATE=20050902&amp;VAR:THRESH=||||","||"}</definedName>
    <definedName name="_131__FDSAUDITLINK___1"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1__FDSAUDITLINK___2"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2__FDSAUDITLINK__" localSheetId="3"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0.671233&amp;VAR:V=14.892845&amp;VAR:V0=15.944333&amp;VAR:V1=14.426847&amp;VAR:Y0=2005&amp;VAR:Y1=2006&amp;VAR:P=1218.021100&amp;VAR:DATE=20050902&amp;VAR:THRESH=||||","||"}</definedName>
    <definedName name="_132__FDSAUDITLINK___1"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2__FDSAUDITLINK___2"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3__FDSAUDITLINK__"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15.362821&amp;VAR:V0=16.321445&amp;VAR:V1=14.764623&amp;VAR:Y0=2005&amp;VAR:Y1=2006&amp;VAR:P=1235.858800&amp;VAR:DATE=20050804&amp;VAR:THRESH=||||","||"}</definedName>
    <definedName name="_133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3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4__FDSAUDITLINK__" localSheetId="3"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15.362821&amp;VAR:V0=16.321445&amp;VAR:V1=14.764623&amp;VAR:Y0=2005&amp;VAR:Y1=2006&amp;VAR:P=1235.858800&amp;VAR:DATE=20050804&amp;VAR:THRESH=||||","||"}</definedName>
    <definedName name="_134__FDSAUDITLINK___1"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4__FDSAUDITLINK___2"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5__FDSAUDITLINK__" localSheetId="3"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0.498630&amp;VAR:V=15.202852&amp;VAR:V0=15.966770&amp;VAR:V1=14.505055&amp;VAR:Y0=2005&amp;VAR:Y1=2006&amp;VAR:P=1194.440200&amp;VAR:DATE=20050701&amp;VAR:THRESH=||||","||"}</definedName>
    <definedName name="_135__FDSAUDITLINK___1"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5__FDSAUDITLINK___2"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6__FDSAUDITLINK__" localSheetId="3"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0.498630&amp;VAR:V=15.202852&amp;VAR:V0=15.966770&amp;VAR:V1=14.505055&amp;VAR:Y0=2005&amp;VAR:Y1=2006&amp;VAR:P=1194.440200&amp;VAR:DATE=20050701&amp;VAR:THRESH=||||","||"}</definedName>
    <definedName name="_136__FDSAUDITLINK___1"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6__FDSAUDITLINK___2"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7__FDSAUDITLINK__" localSheetId="3"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0.421918&amp;VAR:V=15.361796&amp;VAR:V0=15.989245&amp;VAR:V1=14.577988&amp;VAR:Y0=2005&amp;VAR:Y1=2006&amp;VAR:P=1196.016000&amp;VAR:DATE=20050603&amp;VAR:THRESH=||||","||"}</definedName>
    <definedName name="_137__FDSAUDITLINK___1"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7__FDSAUDITLINK___2"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8__FDSAUDITLINK__" localSheetId="3"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0.421918&amp;VAR:V=15.361796&amp;VAR:V0=15.989245&amp;VAR:V1=14.577988&amp;VAR:Y0=2005&amp;VAR:Y1=2006&amp;VAR:P=1196.016000&amp;VAR:DATE=20050603&amp;VAR:THRESH=||||","||"}</definedName>
    <definedName name="_138__FDSAUDITLINK___1"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8__FDSAUDITLINK___2"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9__FDSAUDITLINK__" localSheetId="3"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15.213811&amp;VAR:V0=15.703392&amp;VAR:V1=14.344618&amp;VAR:Y0=2005&amp;VAR:Y1=2006&amp;VAR:P=1175.650900&amp;VAR:DATE=20050504&amp;VAR:THRESH=||||","||"}</definedName>
    <definedName name="_139__FDSAUDITLINK___1"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39__FDSAUDITLINK___2"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4__FDSAUDITLINK__" localSheetId="3"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12.338524&amp;VAR:V0=13.454422&amp;VAR:V1=11.670806&amp;VAR:Y0=2010&amp;VAR:Y1=2011&amp;VAR:P=1127.239110&amp;VAR:DATE=20100804&amp;VAR:THRESH=||||","||"}</definedName>
    <definedName name="_14__FDSAUDITLINK___1"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__FDSAUDITLINK___2"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0__FDSAUDITLINK__"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15.213811&amp;VAR:V0=15.703392&amp;VAR:V1=14.344618&amp;VAR:Y0=2005&amp;VAR:Y1=2006&amp;VAR:P=1175.650900&amp;VAR:DATE=20050504&amp;VAR:THRESH=||||","||"}</definedName>
    <definedName name="_140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0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1__FDSAUDITLINK__" localSheetId="3"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15.387104&amp;VAR:V0=15.793654&amp;VAR:V1=14.324087&amp;VAR:Y0=2005&amp;VAR:Y1=2006&amp;VAR:P=1176.122900&amp;VAR:DATE=20050404&amp;VAR:THRESH=||||","||"}</definedName>
    <definedName name="_141__FDSAUDITLINK___1"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1__FDSAUDITLINK___2"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2__FDSAUDITLINK__" localSheetId="3"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15.387104&amp;VAR:V0=15.793654&amp;VAR:V1=14.324087&amp;VAR:Y0=2005&amp;VAR:Y1=2006&amp;VAR:P=1176.122900&amp;VAR:DATE=20050404&amp;VAR:THRESH=||||","||"}</definedName>
    <definedName name="_142__FDSAUDITLINK___1"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2__FDSAUDITLINK___2"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16.199485&amp;VAR:V0=16.486818&amp;VAR:V1=14.950463&amp;VAR:Y0=2005&amp;VAR:Y1=2006&amp;VAR:P=1222.124500&amp;VAR:DATE=20050304&amp;VAR:THRESH=||||","||"}</definedName>
    <definedName name="_1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16.199485&amp;VAR:V0=16.486818&amp;VAR:V1=14.950463&amp;VAR:Y0=2005&amp;VAR:Y1=2006&amp;VAR:P=1222.124500&amp;VAR:DATE=20050304&amp;VAR:THRESH=||||","||"}</definedName>
    <definedName name="_1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16.015870&amp;VAR:V0=16.155363&amp;VAR:V1=14.735803&amp;VAR:Y0=2005&amp;VAR:Y1=2006&amp;VAR:P=1193.185300&amp;VAR:DATE=20050202&amp;VAR:THRESH=||||","||"}</definedName>
    <definedName name="_1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16.015870&amp;VAR:V0=16.155363&amp;VAR:V1=14.735803&amp;VAR:Y0=2005&amp;VAR:Y1=2006&amp;VAR:P=1193.185300&amp;VAR:DATE=20050202&amp;VAR:THRESH=||||","||"}</definedName>
    <definedName name="_1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16.301356&amp;VAR:V0=16.312931&amp;VAR:V1=15.015694&amp;VAR:Y0=2005&amp;VAR:Y1=2006&amp;VAR:P=1202.084400&amp;VAR:DATE=20050103&amp;VAR:THRESH=||||","||"}</definedName>
    <definedName name="_1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16.301356&amp;VAR:V0=16.312931&amp;VAR:V1=15.015694&amp;VAR:Y0=2005&amp;VAR:Y1=2006&amp;VAR:P=1202.084400&amp;VAR:DATE=20050103&amp;VAR:THRESH=||||","||"}</definedName>
    <definedName name="_1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16.271610&amp;VAR:V0=17.919119&amp;VAR:V1=16.148614&amp;VAR:Y0=2004&amp;VAR:Y1=2005&amp;VAR:P=1191.167100&amp;VAR:DATE=20041203&amp;VAR:THRESH=||||","||"}</definedName>
    <definedName name="_15__123Graph_ACHART_30" hidden="1">[2]Menu!$D$11:$M$11</definedName>
    <definedName name="_15__FDSAUDITLINK__" localSheetId="3"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11.411280&amp;VAR:V0=12.428474&amp;VAR:V1=10.552354&amp;VAR:Y0=2010&amp;VAR:Y1=2011&amp;VAR:P=1022.582975&amp;VAR:DATE=20100702&amp;VAR:THRESH=||||","||"}</definedName>
    <definedName name="_15__FDSAUDITLINK___1"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__FDSAUDITLINK___2"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16.271610&amp;VAR:V0=17.919119&amp;VAR:V1=16.148614&amp;VAR:Y0=2004&amp;VAR:Y1=2005&amp;VAR:P=1191.167100&amp;VAR:DATE=20041203&amp;VAR:THRESH=||||","||"}</definedName>
    <definedName name="_1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15.917795&amp;VAR:V0=17.286085&amp;VAR:V1=15.684010&amp;VAR:Y0=2004&amp;VAR:Y1=2005&amp;VAR:P=1143.195400&amp;VAR:DATE=20041103&amp;VAR:THRESH=||||","||"}</definedName>
    <definedName name="_1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15.917795&amp;VAR:V0=17.286085&amp;VAR:V1=15.684010&amp;VAR:Y0=2004&amp;VAR:Y1=2005&amp;VAR:P=1143.195400&amp;VAR:DATE=20041103&amp;VAR:THRESH=||||","||"}</definedName>
    <definedName name="_1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0.751366&amp;VAR:V=16.023889&amp;VAR:V0=17.207054&amp;VAR:V1=15.667401&amp;VAR:Y0=2004&amp;VAR:Y1=2005&amp;VAR:P=1131.500900&amp;VAR:DATE=20041001&amp;VAR:THRESH=||||","||"}</definedName>
    <definedName name="_1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0.751366&amp;VAR:V=16.023889&amp;VAR:V0=17.207054&amp;VAR:V1=15.667401&amp;VAR:Y0=2004&amp;VAR:Y1=2005&amp;VAR:P=1131.500900&amp;VAR:DATE=20041001&amp;VAR:THRESH=||||","||"}</definedName>
    <definedName name="_1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15.861591&amp;VAR:V0=16.948303&amp;VAR:V1=15.386287&amp;VAR:Y0=2004&amp;VAR:Y1=2005&amp;VAR:P=1113.630500&amp;VAR:DATE=20040903&amp;VAR:THRESH=||||","||"}</definedName>
    <definedName name="_1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15.861591&amp;VAR:V0=16.948303&amp;VAR:V1=15.386287&amp;VAR:Y0=2004&amp;VAR:Y1=2005&amp;VAR:P=1113.630500&amp;VAR:DATE=20040903&amp;VAR:THRESH=||||","||"}</definedName>
    <definedName name="_1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0.590164&amp;VAR:V=15.808436&amp;VAR:V0=16.733698&amp;VAR:V1=15.223867&amp;VAR:Y0=2004&amp;VAR:Y1=2005&amp;VAR:P=1099.687900&amp;VAR:DATE=20040803&amp;VAR:THRESH=||||","||"}</definedName>
    <definedName name="_1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0.590164&amp;VAR:V=15.808436&amp;VAR:V0=16.733698&amp;VAR:V1=15.223867&amp;VAR:Y0=2004&amp;VAR:Y1=2005&amp;VAR:P=1099.687900&amp;VAR:DATE=20040803&amp;VAR:THRESH=||||","||"}</definedName>
    <definedName name="_1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0.502732&amp;VAR:V=16.356296&amp;VAR:V0=17.204645&amp;VAR:V1=15.595645&amp;VAR:Y0=2004&amp;VAR:Y1=2005&amp;VAR:P=1125.379900&amp;VAR:DATE=20040702&amp;VAR:THRESH=||||","||"}</definedName>
    <definedName name="_16__123Graph_ALIQUIDS" hidden="1">[3]P!$S$78:$AL$78</definedName>
    <definedName name="_16__FDSAUDITLINK__" localSheetId="3"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11.411280&amp;VAR:V0=12.428474&amp;VAR:V1=10.552354&amp;VAR:Y0=2010&amp;VAR:Y1=2011&amp;VAR:P=1022.582975&amp;VAR:DATE=20100702&amp;VAR:THRESH=||||","||"}</definedName>
    <definedName name="_16__FDSAUDITLINK___1"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__FDSAUDITLINK___2"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0.502732&amp;VAR:V=16.356296&amp;VAR:V0=17.204645&amp;VAR:V1=15.595645&amp;VAR:Y0=2004&amp;VAR:Y1=2005&amp;VAR:P=1125.379900&amp;VAR:DATE=20040702&amp;VAR:THRESH=||||","||"}</definedName>
    <definedName name="_1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16.512439&amp;VAR:V0=17.288855&amp;VAR:V1=15.571107&amp;VAR:Y0=2004&amp;VAR:Y1=2005&amp;VAR:P=1122.504200&amp;VAR:DATE=20040604&amp;VAR:THRESH=||||","||"}</definedName>
    <definedName name="_1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16.512439&amp;VAR:V0=17.288855&amp;VAR:V1=15.571107&amp;VAR:Y0=2004&amp;VAR:Y1=2005&amp;VAR:P=1122.504200&amp;VAR:DATE=20040604&amp;VAR:THRESH=||||","||"}</definedName>
    <definedName name="_1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0.341530&amp;VAR:V=16.793465&amp;VAR:V0=17.416126&amp;VAR:V1=15.710539&amp;VAR:Y0=2004&amp;VAR:Y1=2005&amp;VAR:P=1119.553600&amp;VAR:DATE=20040504&amp;VAR:THRESH=||||","||"}</definedName>
    <definedName name="_1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0.341530&amp;VAR:V=16.793465&amp;VAR:V0=17.416126&amp;VAR:V1=15.710539&amp;VAR:Y0=2004&amp;VAR:Y1=2005&amp;VAR:P=1119.553600&amp;VAR:DATE=20040504&amp;VAR:THRESH=||||","||"}</definedName>
    <definedName name="_1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0.254098&amp;VAR:V=17.605337&amp;VAR:V0=18.142601&amp;VAR:V1=16.197313&amp;VAR:Y0=2004&amp;VAR:Y1=2005&amp;VAR:P=1141.809800&amp;VAR:DATE=20040402&amp;VAR:THRESH=||||","||"}</definedName>
    <definedName name="_1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0.254098&amp;VAR:V=17.605337&amp;VAR:V0=18.142601&amp;VAR:V1=16.197313&amp;VAR:Y0=2004&amp;VAR:Y1=2005&amp;VAR:P=1141.809800&amp;VAR:DATE=20040402&amp;VAR:THRESH=||||","||"}</definedName>
    <definedName name="_1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18.170143&amp;VAR:V0=18.576833&amp;VAR:V1=16.468838&amp;VAR:Y0=2004&amp;VAR:Y1=2005&amp;VAR:P=1154.875200&amp;VAR:DATE=20040304&amp;VAR:THRESH=||||","||"}</definedName>
    <definedName name="_1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18.170143&amp;VAR:V0=18.576833&amp;VAR:V1=16.468838&amp;VAR:Y0=2004&amp;VAR:Y1=2005&amp;VAR:P=1154.875200&amp;VAR:DATE=20040304&amp;VAR:THRESH=||||","||"}</definedName>
    <definedName name="_1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0.092896&amp;VAR:V=18.137413&amp;VAR:V0=18.353877&amp;VAR:V1=16.264350&amp;VAR:Y0=2004&amp;VAR:Y1=2005&amp;VAR:P=1136.034400&amp;VAR:DATE=20040203&amp;VAR:THRESH=||||","||"}</definedName>
    <definedName name="_17__FDSAUDITLINK__" localSheetId="3"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12.008593&amp;VAR:V0=12.895105&amp;VAR:V1=10.985388&amp;VAR:Y0=2010&amp;VAR:Y1=2011&amp;VAR:P=1064.875042&amp;VAR:DATE=20100604&amp;VAR:THRESH=||||","||"}</definedName>
    <definedName name="_17__FDSAUDITLINK___1"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__FDSAUDITLINK___2"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0.092896&amp;VAR:V=18.137413&amp;VAR:V0=18.353877&amp;VAR:V1=16.264350&amp;VAR:Y0=2004&amp;VAR:Y1=2005&amp;VAR:P=1136.034400&amp;VAR:DATE=20040203&amp;VAR:THRESH=||||","||"}</definedName>
    <definedName name="_1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0.005464&amp;VAR:V=18.043213&amp;VAR:V0=18.053550&amp;VAR:V1=16.340425&amp;VAR:Y0=2004&amp;VAR:Y1=2005&amp;VAR:P=1108.484600&amp;VAR:DATE=20040102&amp;VAR:THRESH=||||","||"}</definedName>
    <definedName name="_1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0.005464&amp;VAR:V=18.043213&amp;VAR:V0=18.053550&amp;VAR:V1=16.340425&amp;VAR:Y0=2004&amp;VAR:Y1=2005&amp;VAR:P=1108.484600&amp;VAR:DATE=20040102&amp;VAR:THRESH=||||","||"}</definedName>
    <definedName name="_1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17.676698&amp;VAR:V0=19.801141&amp;VAR:V1=17.526489&amp;VAR:Y0=2003&amp;VAR:Y1=2004&amp;VAR:P=1069.718500&amp;VAR:DATE=20031204&amp;VAR:THRESH=||||","||"}</definedName>
    <definedName name="_1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17.676698&amp;VAR:V0=19.801141&amp;VAR:V1=17.526489&amp;VAR:Y0=2003&amp;VAR:Y1=2004&amp;VAR:P=1069.718500&amp;VAR:DATE=20031204&amp;VAR:THRESH=||||","||"}</definedName>
    <definedName name="_1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17.671446&amp;VAR:V0=19.533441&amp;VAR:V1=17.358831&amp;VAR:Y0=2003&amp;VAR:Y1=2004&amp;VAR:P=1059.015600&amp;VAR:DATE=20031103&amp;VAR:THRESH=||||","||"}</definedName>
    <definedName name="_1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17.671446&amp;VAR:V0=19.533441&amp;VAR:V1=17.358831&amp;VAR:Y0=2003&amp;VAR:Y1=2004&amp;VAR:P=1059.015600&amp;VAR:DATE=20031103&amp;VAR:THRESH=||||","||"}</definedName>
    <definedName name="_1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0.756164&amp;VAR:V=17.468920&amp;VAR:V0=19.152586&amp;VAR:V1=16.987376&amp;VAR:Y0=2003&amp;VAR:Y1=2004&amp;VAR:P=1029.848000&amp;VAR:DATE=20031003&amp;VAR:THRESH=||||","||"}</definedName>
    <definedName name="_1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0.756164&amp;VAR:V=17.468920&amp;VAR:V0=19.152586&amp;VAR:V1=16.987376&amp;VAR:Y0=2003&amp;VAR:Y1=2004&amp;VAR:P=1029.848000&amp;VAR:DATE=20031003&amp;VAR:THRESH=||||","||"}</definedName>
    <definedName name="_1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17.610116&amp;VAR:V0=19.064788&amp;VAR:V1=16.990773&amp;VAR:Y0=2003&amp;VAR:Y1=2004&amp;VAR:P=1027.970800&amp;VAR:DATE=20030904&amp;VAR:THRESH=||||","||"}</definedName>
    <definedName name="_18__FDSAUDITLINK__" localSheetId="3"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12.008593&amp;VAR:V0=12.895105&amp;VAR:V1=10.985388&amp;VAR:Y0=2010&amp;VAR:Y1=2011&amp;VAR:P=1064.875042&amp;VAR:DATE=20100604&amp;VAR:THRESH=||||","||"}</definedName>
    <definedName name="_18__FDSAUDITLINK___1"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__FDSAUDITLINK___2"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17.610116&amp;VAR:V0=19.064788&amp;VAR:V1=16.990773&amp;VAR:Y0=2003&amp;VAR:Y1=2004&amp;VAR:P=1027.970800&amp;VAR:DATE=20030904&amp;VAR:THRESH=||||","||"}</definedName>
    <definedName name="_1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17.011568&amp;VAR:V0=18.265328&amp;VAR:V1=16.242487&amp;VAR:Y0=2003&amp;VAR:Y1=2004&amp;VAR:P=982.815060&amp;VAR:DATE=20030804&amp;VAR:THRESH=|||||","|"}</definedName>
    <definedName name="_1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17.011568&amp;VAR:V0=18.265328&amp;VAR:V1=16.242487&amp;VAR:Y0=2003&amp;VAR:Y1=2004&amp;VAR:P=982.815060&amp;VAR:DATE=20030804&amp;VAR:THRESH=|||||","|"}</definedName>
    <definedName name="_1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17.329903&amp;VAR:V0=18.489614&amp;VAR:V1=16.322793&amp;VAR:Y0=2003&amp;VAR:Y1=2004&amp;VAR:P=985.700000&amp;VAR:DATE=20030703&amp;VAR:THRESH=|||||","|"}</definedName>
    <definedName name="_1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17.329903&amp;VAR:V0=18.489614&amp;VAR:V1=16.322793&amp;VAR:Y0=2003&amp;VAR:Y1=2004&amp;VAR:P=985.700000&amp;VAR:DATE=20030703&amp;VAR:THRESH=|||||","|"}</definedName>
    <definedName name="_1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17.441062&amp;VAR:V0=18.413787&amp;VAR:V1=16.276167&amp;VAR:Y0=2003&amp;VAR:Y1=2004&amp;VAR:P=986.238900&amp;VAR:DATE=20030604&amp;VAR:THRESH=|||||","|"}</definedName>
    <definedName name="_1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17.441062&amp;VAR:V0=18.413787&amp;VAR:V1=16.276167&amp;VAR:Y0=2003&amp;VAR:Y1=2004&amp;VAR:P=986.238900&amp;VAR:DATE=20030604&amp;VAR:THRESH=|||||","|"}</definedName>
    <definedName name="_1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16.613721&amp;VAR:V0=17.383201&amp;VAR:V1=15.312323&amp;VAR:Y0=2003&amp;VAR:Y1=2004&amp;VAR:P=926.548200&amp;VAR:DATE=20030505&amp;VAR:THRESH=|||||","|"}</definedName>
    <definedName name="_1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16.613721&amp;VAR:V0=17.383201&amp;VAR:V1=15.312323&amp;VAR:Y0=2003&amp;VAR:Y1=2004&amp;VAR:P=926.548200&amp;VAR:DATE=20030505&amp;VAR:THRESH=|||||","|"}</definedName>
    <definedName name="_1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15.935705&amp;VAR:V0=16.555331&amp;VAR:V1=14.383667&amp;VAR:Y0=2003&amp;VAR:Y1=2004&amp;VAR:P=878.852500&amp;VAR:DATE=20030404&amp;VAR:THRESH=|||||","|"}</definedName>
    <definedName name="_19__FDSAUDITLINK__" localSheetId="3"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13.374133&amp;VAR:V0=14.173133&amp;VAR:V1=12.067920&amp;VAR:Y0=2010&amp;VAR:Y1=2011&amp;VAR:P=1165.897009&amp;VAR:DATE=20100505&amp;VAR:THRESH=||||","||"}</definedName>
    <definedName name="_19__FDSAUDITLINK___1"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__FDSAUDITLINK___2"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15.935705&amp;VAR:V0=16.555331&amp;VAR:V1=14.383667&amp;VAR:Y0=2003&amp;VAR:Y1=2004&amp;VAR:P=878.852500&amp;VAR:DATE=20030404&amp;VAR:THRESH=|||||","|"}</definedName>
    <definedName name="_1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15.166101&amp;VAR:V0=15.576921&amp;VAR:V1=13.492509&amp;VAR:Y0=2003&amp;VAR:Y1=2004&amp;VAR:P=829.851560&amp;VAR:DATE=20030305&amp;VAR:THRESH=|||||","|"}</definedName>
    <definedName name="_1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15.166101&amp;VAR:V0=15.576921&amp;VAR:V1=13.492509&amp;VAR:Y0=2003&amp;VAR:Y1=2004&amp;VAR:P=829.851560&amp;VAR:DATE=20030305&amp;VAR:THRESH=|||||","|"}</definedName>
    <definedName name="_1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0.093151&amp;VAR:V=15.834044&amp;VAR:V0=16.044498&amp;VAR:V1=14.041042&amp;VAR:Y0=2003&amp;VAR:Y1=2004&amp;VAR:P=860.321350&amp;VAR:DATE=20030203&amp;VAR:THRESH=|||||","|"}</definedName>
    <definedName name="_1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0.093151&amp;VAR:V=15.834044&amp;VAR:V0=16.044498&amp;VAR:V1=14.041042&amp;VAR:Y0=2003&amp;VAR:Y1=2004&amp;VAR:P=860.321350&amp;VAR:DATE=20030203&amp;VAR:THRESH=|||||","|"}</definedName>
    <definedName name="_1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16.623513&amp;VAR:V0=16.640562&amp;VAR:V1=14.794577&amp;VAR:Y0=2003&amp;VAR:Y1=2004&amp;VAR:P=908.589700&amp;VAR:DATE=20030103&amp;VAR:THRESH=|||||","|"}</definedName>
    <definedName name="_1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16.623513&amp;VAR:V0=16.640562&amp;VAR:V1=14.794577&amp;VAR:Y0=2003&amp;VAR:Y1=2004&amp;VAR:P=908.589700&amp;VAR:DATE=20030103&amp;VAR:THRESH=|||||","|"}</definedName>
    <definedName name="_1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16.856770&amp;VAR:V0=18.954232&amp;VAR:V1=16.709068&amp;VAR:Y0=2002&amp;VAR:Y1=2003&amp;VAR:P=917.573000&amp;VAR:DATE=20021204&amp;VAR:THRESH=|||||","|"}</definedName>
    <definedName name="_1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16.856770&amp;VAR:V0=18.954232&amp;VAR:V1=16.709068&amp;VAR:Y0=2002&amp;VAR:Y1=2003&amp;VAR:P=917.573000&amp;VAR:DATE=20021204&amp;VAR:THRESH=|||||","|"}</definedName>
    <definedName name="_1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0.835616&amp;VAR:V=16.421120&amp;VAR:V0=18.420501&amp;VAR:V1=16.077821&amp;VAR:Y0=2002&amp;VAR:Y1=2003&amp;VAR:P=900.963600&amp;VAR:DATE=20021101&amp;VAR:THRESH=|||||","|"}</definedName>
    <definedName name="_1Q_01E">"_01"</definedName>
    <definedName name="_2__FDSAUDITLINK__" localSheetId="3"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__FDSAUDITLINK__" hidden="1">{"fdsup://directions/FAT Viewer?action=UPDATE&amp;creator=factset&amp;DYN_ARGS=TRUE&amp;DOC_NAME=FAT:FQL_AUDITING_CLIENT_TEMPLATE.FAT&amp;display_string=Audit&amp;VAR:KEY=CPCRGJOXSD&amp;VAR:QUERY=Q1NGX0VOVFJQUl9WQUwoQU5OLDAsLCwsVVNEKQ==&amp;WINDOW=FIRST_POPUP&amp;HEIGHT=450&amp;WIDTH=450&amp;STAR","T_MAXIMIZED=FALSE&amp;VAR:CALENDAR=US&amp;VAR:SYMBOL=HRC&amp;VAR:INDEX=0"}</definedName>
    <definedName name="_2__FDSAUDITLINK___1"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__FDSAUDITLINK___2"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0__FDSAUDITLINK__" localSheetId="3"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13.374133&amp;VAR:V0=14.173133&amp;VAR:V1=12.067920&amp;VAR:Y0=2010&amp;VAR:Y1=2011&amp;VAR:P=1165.897009&amp;VAR:DATE=20100505&amp;VAR:THRESH=||||","||"}</definedName>
    <definedName name="_20__FDSAUDITLINK___1"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__FDSAUDITLINK___2"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0.835616&amp;VAR:V=16.421120&amp;VAR:V0=18.420501&amp;VAR:V1=16.077821&amp;VAR:Y0=2002&amp;VAR:Y1=2003&amp;VAR:P=900.963600&amp;VAR:DATE=20021101&amp;VAR:THRESH=|||||","|"}</definedName>
    <definedName name="_2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14.434933&amp;VAR:V0=16.235937&amp;VAR:V1=13.943558&amp;VAR:Y0=2002&amp;VAR:Y1=2003&amp;VAR:P=800.582640&amp;VAR:DATE=20021004&amp;VAR:THRESH=|||||","|"}</definedName>
    <definedName name="_2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14.434933&amp;VAR:V0=16.235937&amp;VAR:V1=13.943558&amp;VAR:Y0=2002&amp;VAR:Y1=2003&amp;VAR:P=800.582640&amp;VAR:DATE=20021004&amp;VAR:THRESH=|||||","|"}</definedName>
    <definedName name="_2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15.705551&amp;VAR:V0=17.519100&amp;VAR:V1=14.956585&amp;VAR:Y0=2002&amp;VAR:Y1=2003&amp;VAR:P=878.018300&amp;VAR:DATE=20020903&amp;VAR:THRESH=|||||","|"}</definedName>
    <definedName name="_2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15.705551&amp;VAR:V0=17.519100&amp;VAR:V1=14.956585&amp;VAR:Y0=2002&amp;VAR:Y1=2003&amp;VAR:P=878.018300&amp;VAR:DATE=20020903&amp;VAR:THRESH=|||||","|"}</definedName>
    <definedName name="_2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0.586301&amp;VAR:V=15.543840&amp;VAR:V0=17.129015&amp;VAR:V1=14.591056&amp;VAR:Y0=2002&amp;VAR:Y1=2003&amp;VAR:P=864.244600&amp;VAR:DATE=20020802&amp;VAR:THRESH=|||||","|"}</definedName>
    <definedName name="_2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0.586301&amp;VAR:V=15.543840&amp;VAR:V0=17.129015&amp;VAR:V1=14.591056&amp;VAR:Y0=2002&amp;VAR:Y1=2003&amp;VAR:P=864.244600&amp;VAR:DATE=20020802&amp;VAR:THRESH=|||||","|"}</definedName>
    <definedName name="_2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17.032547&amp;VAR:V0=18.694216&amp;VAR:V1=15.663010&amp;VAR:Y0=2002&amp;VAR:Y1=2003&amp;VAR:P=953.991400&amp;VAR:DATE=20020703&amp;VAR:THRESH=|||||","|"}</definedName>
    <definedName name="_2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17.032547&amp;VAR:V0=18.694216&amp;VAR:V1=15.663010&amp;VAR:Y0=2002&amp;VAR:Y1=2003&amp;VAR:P=953.991400&amp;VAR:DATE=20020703&amp;VAR:THRESH=|||||","|"}</definedName>
    <definedName name="_2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18.639761&amp;VAR:V0=20.141898&amp;VAR:V1=16.929219&amp;VAR:Y0=2002&amp;VAR:Y1=2003&amp;VAR:P=1040.690000&amp;VAR:DATE=20020604&amp;VAR:THRESH=||||","||"}</definedName>
    <definedName name="_21__123Graph_Aｸﾞﾗﾌ_1" hidden="1">[4]ｾｸﾞﾒﾝﾄ!$E$164:$I$164</definedName>
    <definedName name="_21__FDSAUDITLINK__" localSheetId="3"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0.249315&amp;VAR:V=14.164330&amp;VAR:V0=14.860196&amp;VAR:V1=12.413992&amp;VAR:Y0=2010&amp;VAR:Y1=2011&amp;VAR:P=1178.102625&amp;VAR:DATE=20100401&amp;VAR:THRESH=||||","||"}</definedName>
    <definedName name="_21__FDSAUDITLINK___1"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__FDSAUDITLINK___2"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18.639761&amp;VAR:V0=20.141898&amp;VAR:V1=16.929219&amp;VAR:Y0=2002&amp;VAR:Y1=2003&amp;VAR:P=1040.690000&amp;VAR:DATE=20020604&amp;VAR:THRESH=||||","||"}</definedName>
    <definedName name="_2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0.336986&amp;VAR:V=19.503361&amp;VAR:V0=20.734008&amp;VAR:V1=17.463956&amp;VAR:Y0=2002&amp;VAR:Y1=2003&amp;VAR:P=1073.426400&amp;VAR:DATE=20020503&amp;VAR:THRESH=||||","||"}</definedName>
    <definedName name="_2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0.336986&amp;VAR:V=19.503361&amp;VAR:V0=20.734008&amp;VAR:V1=17.463956&amp;VAR:Y0=2002&amp;VAR:Y1=2003&amp;VAR:P=1073.426400&amp;VAR:DATE=20020503&amp;VAR:THRESH=||||","||"}</definedName>
    <definedName name="_2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20.555516&amp;VAR:V0=21.575556&amp;VAR:V1=18.089863&amp;VAR:Y0=2002&amp;VAR:Y1=2003&amp;VAR:P=1126.338500&amp;VAR:DATE=20020404&amp;VAR:THRESH=||||","||"}</definedName>
    <definedName name="_2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20.555516&amp;VAR:V0=21.575556&amp;VAR:V1=18.089863&amp;VAR:Y0=2002&amp;VAR:Y1=2003&amp;VAR:P=1126.338500&amp;VAR:DATE=20020404&amp;VAR:THRESH=||||","||"}</definedName>
    <definedName name="_2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21.223563&amp;VAR:V0=21.960290&amp;VAR:V1=18.331236&amp;VAR:Y0=2002&amp;VAR:Y1=2003&amp;VAR:P=1146.135100&amp;VAR:DATE=20020305&amp;VAR:THRESH=||||","||"}</definedName>
    <definedName name="_2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21.223563&amp;VAR:V0=21.960290&amp;VAR:V1=18.331236&amp;VAR:Y0=2002&amp;VAR:Y1=2003&amp;VAR:P=1146.135100&amp;VAR:DATE=20020305&amp;VAR:THRESH=||||","||"}</definedName>
    <definedName name="_2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21.027244&amp;VAR:V0=21.387065&amp;VAR:V1=17.894356&amp;VAR:Y0=2002&amp;VAR:Y1=2003&amp;VAR:P=1122.195300&amp;VAR:DATE=20020201&amp;VAR:THRESH=||||","||"}</definedName>
    <definedName name="_2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21.027244&amp;VAR:V0=21.387065&amp;VAR:V1=17.894356&amp;VAR:Y0=2002&amp;VAR:Y1=2003&amp;VAR:P=1122.195300&amp;VAR:DATE=20020201&amp;VAR:THRESH=||||","||"}</definedName>
    <definedName name="_2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22.079119&amp;VAR:V0=22.109269&amp;VAR:V1=18.959367&amp;VAR:Y0=2002&amp;VAR:Y1=2003&amp;VAR:P=1165.271400&amp;VAR:DATE=20020103&amp;VAR:THRESH=||||","||"}</definedName>
    <definedName name="_22__123Graph_Aｸﾞﾗﾌ_2" hidden="1">[4]単独!$AR$14:$AR$18</definedName>
    <definedName name="_22__FDSAUDITLINK__" localSheetId="3"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0.249315&amp;VAR:V=14.164330&amp;VAR:V0=14.860196&amp;VAR:V1=12.413992&amp;VAR:Y0=2010&amp;VAR:Y1=2011&amp;VAR:P=1178.102625&amp;VAR:DATE=20100401&amp;VAR:THRESH=||||","||"}</definedName>
    <definedName name="_22__FDSAUDITLINK___1"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__FDSAUDITLINK___2"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22.079119&amp;VAR:V0=22.109269&amp;VAR:V1=18.959367&amp;VAR:Y0=2002&amp;VAR:Y1=2003&amp;VAR:P=1165.271400&amp;VAR:DATE=20020103&amp;VAR:THRESH=||||","||"}</definedName>
    <definedName name="_2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21.382697&amp;VAR:V0=24.058771&amp;VAR:V1=21.186894&amp;VAR:Y0=2001&amp;VAR:Y1=2002&amp;VAR:P=1129.900000&amp;VAR:DATE=20011203&amp;VAR:THRESH=||||","||"}</definedName>
    <definedName name="_2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21.382697&amp;VAR:V0=24.058771&amp;VAR:V1=21.186894&amp;VAR:Y0=2001&amp;VAR:Y1=2002&amp;VAR:P=1129.900000&amp;VAR:DATE=20011203&amp;VAR:THRESH=||||","||"}</definedName>
    <definedName name="_2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20.201959&amp;VAR:V0=22.832122&amp;VAR:V1=19.763004&amp;VAR:Y0=2001&amp;VAR:Y1=2002&amp;VAR:P=1087.200000&amp;VAR:DATE=20011102&amp;VAR:THRESH=||||","||"}</definedName>
    <definedName name="_2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20.201959&amp;VAR:V0=22.832122&amp;VAR:V1=19.763004&amp;VAR:Y0=2001&amp;VAR:Y1=2002&amp;VAR:P=1087.200000&amp;VAR:DATE=20011102&amp;VAR:THRESH=||||","||"}</definedName>
    <definedName name="_2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19.276156&amp;VAR:V0=21.701149&amp;VAR:V1=18.615309&amp;VAR:Y0=2001&amp;VAR:Y1=2002&amp;VAR:P=1069.630000&amp;VAR:DATE=20011004&amp;VAR:THRESH=||||","||"}</definedName>
    <definedName name="_2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19.276156&amp;VAR:V0=21.701149&amp;VAR:V1=18.615309&amp;VAR:Y0=2001&amp;VAR:Y1=2002&amp;VAR:P=1069.630000&amp;VAR:DATE=20011004&amp;VAR:THRESH=||||","||"}</definedName>
    <definedName name="_2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0.665753&amp;VAR:V=20.059419&amp;VAR:V0=22.378573&amp;VAR:V1=19.067352&amp;VAR:Y0=2001&amp;VAR:Y1=2002&amp;VAR:P=1133.587900&amp;VAR:DATE=20010831&amp;VAR:THRESH=||||","||"}</definedName>
    <definedName name="_2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0.665753&amp;VAR:V=20.059419&amp;VAR:V0=22.378573&amp;VAR:V1=19.067352&amp;VAR:Y0=2001&amp;VAR:Y1=2002&amp;VAR:P=1133.587900&amp;VAR:DATE=20010831&amp;VAR:THRESH=||||","||"}</definedName>
    <definedName name="_2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21.573088&amp;VAR:V0=23.738808&amp;VAR:V1=20.282137&amp;VAR:Y0=2001&amp;VAR:Y1=2002&amp;VAR:P=1214.350000&amp;VAR:DATE=20010803&amp;VAR:THRESH=||||","||"}</definedName>
    <definedName name="_23__FDSAUDITLINK__" localSheetId="3"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13.885560&amp;VAR:V0=14.359925&amp;VAR:V1=12.018353&amp;VAR:Y0=2010&amp;VAR:Y1=2011&amp;VAR:P=1138.698076&amp;VAR:DATE=20100305&amp;VAR:THRESH=||||","||"}</definedName>
    <definedName name="_23__FDSAUDITLINK___1"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__FDSAUDITLINK___2"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21.573088&amp;VAR:V0=23.738808&amp;VAR:V1=20.282137&amp;VAR:Y0=2001&amp;VAR:Y1=2002&amp;VAR:P=1214.350000&amp;VAR:DATE=20010803&amp;VAR:THRESH=||||","||"}</definedName>
    <definedName name="_2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21.437824&amp;VAR:V0=23.151243&amp;VAR:V1=19.982999&amp;VAR:Y0=2001&amp;VAR:Y1=2002&amp;VAR:P=1234.450000&amp;VAR:DATE=20010703&amp;VAR:THRESH=||||","||"}</definedName>
    <definedName name="_2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21.437824&amp;VAR:V0=23.151243&amp;VAR:V1=19.982999&amp;VAR:Y0=2001&amp;VAR:Y1=2002&amp;VAR:P=1234.450000&amp;VAR:DATE=20010703&amp;VAR:THRESH=||||","||"}</definedName>
    <definedName name="_2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21.983947&amp;VAR:V0=23.345944&amp;VAR:V1=20.373597&amp;VAR:Y0=2001&amp;VAR:Y1=2002&amp;VAR:P=1267.110000&amp;VAR:DATE=20010604&amp;VAR:THRESH=||||","||"}</definedName>
    <definedName name="_2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21.983947&amp;VAR:V0=23.345944&amp;VAR:V1=20.373597&amp;VAR:Y0=2001&amp;VAR:Y1=2002&amp;VAR:P=1267.110000&amp;VAR:DATE=20010604&amp;VAR:THRESH=||||","||"}</definedName>
    <definedName name="_2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21.854708&amp;VAR:V0=23.025443&amp;VAR:V1=19.889248&amp;VAR:Y0=2001&amp;VAR:Y1=2002&amp;VAR:P=1266.610000&amp;VAR:DATE=20010504&amp;VAR:THRESH=||||","||"}</definedName>
    <definedName name="_2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21.854708&amp;VAR:V0=23.025443&amp;VAR:V1=19.889248&amp;VAR:Y0=2001&amp;VAR:Y1=2002&amp;VAR:P=1266.610000&amp;VAR:DATE=20010504&amp;VAR:THRESH=||||","||"}</definedName>
    <definedName name="_2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18.821448&amp;VAR:V0=19.505505&amp;VAR:V1=17.093222&amp;VAR:Y0=2001&amp;VAR:Y1=2002&amp;VAR:P=1103.250000&amp;VAR:DATE=20010404&amp;VAR:THRESH=||||","||"}</definedName>
    <definedName name="_2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18.821448&amp;VAR:V0=19.505505&amp;VAR:V1=17.093222&amp;VAR:Y0=2001&amp;VAR:Y1=2002&amp;VAR:P=1103.250000&amp;VAR:DATE=20010404&amp;VAR:THRESH=||||","||"}</definedName>
    <definedName name="_2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0.167123&amp;VAR:V=20.683632&amp;VAR:V0=21.133754&amp;VAR:V1=18.698851&amp;VAR:Y0=2001&amp;VAR:Y1=2002&amp;VAR:P=1234.180000&amp;VAR:DATE=20010302&amp;VAR:THRESH=||||","||"}</definedName>
    <definedName name="_24__FDSAUDITLINK__" localSheetId="3"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13.885560&amp;VAR:V0=14.359925&amp;VAR:V1=12.018353&amp;VAR:Y0=2010&amp;VAR:Y1=2011&amp;VAR:P=1138.698076&amp;VAR:DATE=20100305&amp;VAR:THRESH=||||","||"}</definedName>
    <definedName name="_24__FDSAUDITLINK___1"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__FDSAUDITLINK___2"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0.167123&amp;VAR:V=20.683632&amp;VAR:V0=21.133754&amp;VAR:V1=18.698851&amp;VAR:Y0=2001&amp;VAR:Y1=2002&amp;VAR:P=1234.180000&amp;VAR:DATE=20010302&amp;VAR:THRESH=||||","||"}</definedName>
    <definedName name="_2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22.399899&amp;VAR:V0=22.646160&amp;VAR:V1=20.190973&amp;VAR:Y0=2001&amp;VAR:Y1=2002&amp;VAR:P=1349.470000&amp;VAR:DATE=20010202&amp;VAR:THRESH=||||","||"}</definedName>
    <definedName name="_2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22.399899&amp;VAR:V0=22.646160&amp;VAR:V1=20.190973&amp;VAR:Y0=2001&amp;VAR:Y1=2002&amp;VAR:P=1349.470000&amp;VAR:DATE=20010202&amp;VAR:THRESH=||||","||"}</definedName>
    <definedName name="_2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1.821528&amp;VAR:P=1&amp;VAR:DATE=20110203"}</definedName>
    <definedName name="_2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1.821528&amp;VAR:P=1&amp;VAR:DATE=20110203"}</definedName>
    <definedName name="_2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1.779404&amp;VAR:P=1&amp;VAR:DATE=20110103"}</definedName>
    <definedName name="_2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1.779404&amp;VAR:P=1&amp;VAR:DATE=20110103"}</definedName>
    <definedName name="_2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1.730541&amp;VAR:P=1&amp;VAR:DATE=20101203"}</definedName>
    <definedName name="_2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1.730541&amp;VAR:P=1&amp;VAR:DATE=20101203"}</definedName>
    <definedName name="_2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1.746705&amp;VAR:P=1&amp;VAR:DATE=20101103"}</definedName>
    <definedName name="_25__FDSAUDITLINK__" localSheetId="3"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13.633070&amp;VAR:V0=13.874247&amp;VAR:V1=11.603751&amp;VAR:Y0=2010&amp;VAR:Y1=2011&amp;VAR:P=1103.323052&amp;VAR:DATE=20100202&amp;VAR:THRESH=||||","||"}</definedName>
    <definedName name="_25__FDSAUDITLINK___1"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__FDSAUDITLINK___2"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1.746705&amp;VAR:P=1&amp;VAR:DATE=20101103"}</definedName>
    <definedName name="_2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1.674824&amp;VAR:P=1&amp;VAR:DATE=20101004"}</definedName>
    <definedName name="_2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1.674824&amp;VAR:P=1&amp;VAR:DATE=20101004"}</definedName>
    <definedName name="_2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1.633646&amp;VAR:P=1&amp;VAR:DATE=20100903"}</definedName>
    <definedName name="_2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1.633646&amp;VAR:P=1&amp;VAR:DATE=20100903"}</definedName>
    <definedName name="_2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1.657488&amp;VAR:P=1&amp;VAR:DATE=20100804"}</definedName>
    <definedName name="_2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1.657488&amp;VAR:P=1&amp;VAR:DATE=20100804"}</definedName>
    <definedName name="_2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1.542532&amp;VAR:P=1&amp;VAR:DATE=20100702"}</definedName>
    <definedName name="_2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1.542532&amp;VAR:P=1&amp;VAR:DATE=20100702"}</definedName>
    <definedName name="_2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1.612415&amp;VAR:P=1&amp;VAR:DATE=20100604"}</definedName>
    <definedName name="_26__FDSAUDITLINK__" localSheetId="3"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13.633070&amp;VAR:V0=13.874247&amp;VAR:V1=11.603751&amp;VAR:Y0=2010&amp;VAR:Y1=2011&amp;VAR:P=1103.323052&amp;VAR:DATE=20100202&amp;VAR:THRESH=||||","||"}</definedName>
    <definedName name="_26__FDSAUDITLINK___1"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__FDSAUDITLINK___2"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1.612415&amp;VAR:P=1&amp;VAR:DATE=20100604"}</definedName>
    <definedName name="_2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1.719501&amp;VAR:P=1&amp;VAR:DATE=20100505"}</definedName>
    <definedName name="_2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1.719501&amp;VAR:P=1&amp;VAR:DATE=20100505"}</definedName>
    <definedName name="_2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1.730992&amp;VAR:P=1&amp;VAR:DATE=20100401"}</definedName>
    <definedName name="_2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1.730992&amp;VAR:P=1&amp;VAR:DATE=20100401"}</definedName>
    <definedName name="_2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1.692202&amp;VAR:P=1&amp;VAR:DATE=20100305"}</definedName>
    <definedName name="_2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1.692202&amp;VAR:P=1&amp;VAR:DATE=20100305"}</definedName>
    <definedName name="_2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1.688553&amp;VAR:P=1&amp;VAR:DATE=20100202"}</definedName>
    <definedName name="_2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1.688553&amp;VAR:P=1&amp;VAR:DATE=20100202"}</definedName>
    <definedName name="_2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1.708889&amp;VAR:P=1&amp;VAR:DATE=20091231"}</definedName>
    <definedName name="_27__123Graph_BCHART_111" hidden="1">[2]Menu!$D$24:$M$24</definedName>
    <definedName name="_27__FDSAUDITLINK__" localSheetId="3"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1.000000&amp;VAR:V=14.251457&amp;VAR:V0=18.282748&amp;VAR:V1=14.251457&amp;VAR:Y0=2009&amp;VAR:Y1=2010&amp;VAR:P=1115.102681&amp;VAR:DATE=20091231&amp;VAR:THRESH=||||","||"}</definedName>
    <definedName name="_27__FDSAUDITLINK___1"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__FDSAUDITLINK___2"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1.708889&amp;VAR:P=1&amp;VAR:DATE=20091231"}</definedName>
    <definedName name="_2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1.682223&amp;VAR:P=1&amp;VAR:DATE=20091203"}</definedName>
    <definedName name="_2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1.682223&amp;VAR:P=1&amp;VAR:DATE=20091203"}</definedName>
    <definedName name="_2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1.542028&amp;VAR:P=1&amp;VAR:DATE=20091103"}</definedName>
    <definedName name="_2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1.542028&amp;VAR:P=1&amp;VAR:DATE=20091103"}</definedName>
    <definedName name="_2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1.517806&amp;VAR:P=1&amp;VAR:DATE=20091002"}</definedName>
    <definedName name="_2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1.517806&amp;VAR:P=1&amp;VAR:DATE=20091002"}</definedName>
    <definedName name="_2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1.479540&amp;VAR:P=1&amp;VAR:DATE=20090903"}</definedName>
    <definedName name="_2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1.479540&amp;VAR:P=1&amp;VAR:DATE=20090903"}</definedName>
    <definedName name="_2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1.424409&amp;VAR:P=1&amp;VAR:DATE=20090804"}</definedName>
    <definedName name="_28__123Graph_BCHART_112" hidden="1">[2]Menu!$D$18:$M$18</definedName>
    <definedName name="_28__FDSAUDITLINK__" localSheetId="3"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1.000000&amp;VAR:V=14.251457&amp;VAR:V0=18.282748&amp;VAR:V1=14.251457&amp;VAR:Y0=2009&amp;VAR:Y1=2010&amp;VAR:P=1115.102681&amp;VAR:DATE=20091231&amp;VAR:THRESH=||||","||"}</definedName>
    <definedName name="_28__FDSAUDITLINK___1"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__FDSAUDITLINK___2"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1.424409&amp;VAR:P=1&amp;VAR:DATE=20090804"}</definedName>
    <definedName name="_2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1.326180&amp;VAR:P=1&amp;VAR:DATE=20090702"}</definedName>
    <definedName name="_2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1.326180&amp;VAR:P=1&amp;VAR:DATE=20090702"}</definedName>
    <definedName name="_2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1.370427&amp;VAR:P=1&amp;VAR:DATE=20090604"}</definedName>
    <definedName name="_2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1.370427&amp;VAR:P=1&amp;VAR:DATE=20090604"}</definedName>
    <definedName name="_2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1.247711&amp;VAR:P=1&amp;VAR:DATE=20090504"}</definedName>
    <definedName name="_2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1.247711&amp;VAR:P=1&amp;VAR:DATE=20090504"}</definedName>
    <definedName name="_2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1.192289&amp;VAR:P=1&amp;VAR:DATE=20090403"}</definedName>
    <definedName name="_2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1.192289&amp;VAR:P=1&amp;VAR:DATE=20090403"}</definedName>
    <definedName name="_2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1.071133&amp;VAR:P=1&amp;VAR:DATE=20090304"}</definedName>
    <definedName name="_29__123Graph_BCHART_26" hidden="1">[2]Menu!$D$88:$M$88</definedName>
    <definedName name="_29__FDSAUDITLINK__" localSheetId="3"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14.292160&amp;VAR:V0=17.593214&amp;VAR:V1=14.072771&amp;VAR:Y0=2009&amp;VAR:Y1=2010&amp;VAR:P=1099.922226&amp;VAR:DATE=20091203&amp;VAR:THRESH=||||","||"}</definedName>
    <definedName name="_29__FDSAUDITLINK___1"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__FDSAUDITLINK___2"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1.071133&amp;VAR:P=1&amp;VAR:DATE=20090304"}</definedName>
    <definedName name="_2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1.155717&amp;VAR:P=1&amp;VAR:DATE=20090202"}</definedName>
    <definedName name="_2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1.155717&amp;VAR:P=1&amp;VAR:DATE=20090202"}</definedName>
    <definedName name="_2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1.265845&amp;VAR:P=1&amp;VAR:DATE=20090102"}</definedName>
    <definedName name="_2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1.265845&amp;VAR:P=1&amp;VAR:DATE=20090102"}</definedName>
    <definedName name="_2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1.252604&amp;VAR:P=1&amp;VAR:DATE=20081203"}</definedName>
    <definedName name="_2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1.252604&amp;VAR:P=1&amp;VAR:DATE=20081203"}</definedName>
    <definedName name="_2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1.408078&amp;VAR:P=1&amp;VAR:DATE=20081103"}</definedName>
    <definedName name="_2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1.408078&amp;VAR:P=1&amp;VAR:DATE=20081103"}</definedName>
    <definedName name="_2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1.534903&amp;VAR:P=1&amp;VAR:DATE=20081003"}</definedName>
    <definedName name="_3__FDSAUDITLINK__" localSheetId="3"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__FDSAUDITLINK__" hidden="1">{"fdsup://directions/FAT Viewer?action=UPDATE&amp;creator=factset&amp;DYN_ARGS=TRUE&amp;DOC_NAME=FAT:FQL_AUDITING_CLIENT_TEMPLATE.FAT&amp;display_string=Audit&amp;VAR:KEY=CPCRGJOXSD&amp;VAR:QUERY=Q1NGX0VOVFJQUl9WQUwoQU5OLDAsLCwsVVNEKQ==&amp;WINDOW=FIRST_POPUP&amp;HEIGHT=450&amp;WIDTH=450&amp;STAR","T_MAXIMIZED=FALSE&amp;VAR:CALENDAR=US&amp;VAR:SYMBOL=HRC&amp;VAR:INDEX=0"}</definedName>
    <definedName name="_3__FDSAUDITLINK___1"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__FDSAUDITLINK___2"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0__FDSAUDITLINK__" localSheetId="3"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14.292160&amp;VAR:V0=17.593214&amp;VAR:V1=14.072771&amp;VAR:Y0=2009&amp;VAR:Y1=2010&amp;VAR:P=1099.922226&amp;VAR:DATE=20091203&amp;VAR:THRESH=||||","||"}</definedName>
    <definedName name="_30__FDSAUDITLINK___1"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__FDSAUDITLINK___2"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1.534903&amp;VAR:P=1&amp;VAR:DATE=20081003"}</definedName>
    <definedName name="_3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1.895948&amp;VAR:P=1&amp;VAR:DATE=20080903"}</definedName>
    <definedName name="_3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1.895948&amp;VAR:P=1&amp;VAR:DATE=20080903"}</definedName>
    <definedName name="_3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1.907333&amp;VAR:P=1&amp;VAR:DATE=20080801"}</definedName>
    <definedName name="_3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1.907333&amp;VAR:P=1&amp;VAR:DATE=20080801"}</definedName>
    <definedName name="_3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1.963732&amp;VAR:P=1&amp;VAR:DATE=20080703"}</definedName>
    <definedName name="_3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1.963732&amp;VAR:P=1&amp;VAR:DATE=20080703"}</definedName>
    <definedName name="_3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2.049965&amp;VAR:P=1&amp;VAR:DATE=20080604"}</definedName>
    <definedName name="_3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2.049965&amp;VAR:P=1&amp;VAR:DATE=20080604"}</definedName>
    <definedName name="_3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2.153406&amp;VAR:P=1&amp;VAR:DATE=20080502"}</definedName>
    <definedName name="_31__FDSAUDITLINK__" localSheetId="3"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13.913139&amp;VAR:V0=16.764521&amp;VAR:V1=13.479984&amp;VAR:Y0=2009&amp;VAR:Y1=2010&amp;VAR:P=1045.408874&amp;VAR:DATE=20091103&amp;VAR:THRESH=||||","||"}</definedName>
    <definedName name="_31__FDSAUDITLINK___1"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__FDSAUDITLINK___2"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2.153406&amp;VAR:P=1&amp;VAR:DATE=20080502"}</definedName>
    <definedName name="_3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2.089191&amp;VAR:P=1&amp;VAR:DATE=20080404"}</definedName>
    <definedName name="_3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2.089191&amp;VAR:P=1&amp;VAR:DATE=20080404"}</definedName>
    <definedName name="_3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2.021046&amp;VAR:P=1&amp;VAR:DATE=20080304"}</definedName>
    <definedName name="_3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2.021046&amp;VAR:P=1&amp;VAR:DATE=20080304"}</definedName>
    <definedName name="_3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2.092343&amp;VAR:P=1&amp;VAR:DATE=20080201"}</definedName>
    <definedName name="_3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2.092343&amp;VAR:P=1&amp;VAR:DATE=20080201"}</definedName>
    <definedName name="_3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2.218586&amp;VAR:P=1&amp;VAR:DATE=20080103"}</definedName>
    <definedName name="_3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2.218586&amp;VAR:P=1&amp;VAR:DATE=20080103"}</definedName>
    <definedName name="_3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2.218348&amp;VAR:P=1&amp;VAR:DATE=20071204"}</definedName>
    <definedName name="_32__FDSAUDITLINK__" localSheetId="3"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13.913139&amp;VAR:V0=16.764521&amp;VAR:V1=13.479984&amp;VAR:Y0=2009&amp;VAR:Y1=2010&amp;VAR:P=1045.408874&amp;VAR:DATE=20091103&amp;VAR:THRESH=||||","||"}</definedName>
    <definedName name="_32__FDSAUDITLINK___1"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__FDSAUDITLINK___2"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2.218348&amp;VAR:P=1&amp;VAR:DATE=20071204"}</definedName>
    <definedName name="_3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2.305240&amp;VAR:P=1&amp;VAR:DATE=20071102"}</definedName>
    <definedName name="_3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2.305240&amp;VAR:P=1&amp;VAR:DATE=20071102"}</definedName>
    <definedName name="_3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2.306122&amp;VAR:P=1&amp;VAR:DATE=20071004"}</definedName>
    <definedName name="_3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2.306122&amp;VAR:P=1&amp;VAR:DATE=20071004"}</definedName>
    <definedName name="_3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2.252037&amp;VAR:P=1&amp;VAR:DATE=20070904"}</definedName>
    <definedName name="_3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2.252037&amp;VAR:P=1&amp;VAR:DATE=20070904"}</definedName>
    <definedName name="_3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2.207110&amp;VAR:P=1&amp;VAR:DATE=20070803"}</definedName>
    <definedName name="_3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2.207110&amp;VAR:P=1&amp;VAR:DATE=20070803"}</definedName>
    <definedName name="_3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2.275805&amp;VAR:P=1&amp;VAR:DATE=20070705"}</definedName>
    <definedName name="_33__FDSAUDITLINK__" localSheetId="3"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0.753425&amp;VAR:V=14.257408&amp;VAR:V0=16.997943&amp;VAR:V1=13.542816&amp;VAR:Y0=2009&amp;VAR:Y1=2010&amp;VAR:P=1025.210463&amp;VAR:DATE=20091002&amp;VAR:THRESH=||||","||"}</definedName>
    <definedName name="_33__FDSAUDITLINK___1"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__FDSAUDITLINK___2"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2.275805&amp;VAR:P=1&amp;VAR:DATE=20070705"}</definedName>
    <definedName name="_3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2.283741&amp;VAR:P=1&amp;VAR:DATE=20070604"}</definedName>
    <definedName name="_3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2.283741&amp;VAR:P=1&amp;VAR:DATE=20070604"}</definedName>
    <definedName name="_3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2.243829&amp;VAR:P=1&amp;VAR:DATE=20070504"}</definedName>
    <definedName name="_3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2.243829&amp;VAR:P=1&amp;VAR:DATE=20070504"}</definedName>
    <definedName name="_3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2.137900&amp;VAR:P=1&amp;VAR:DATE=20070404"}</definedName>
    <definedName name="_3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2.137900&amp;VAR:P=1&amp;VAR:DATE=20070404"}</definedName>
    <definedName name="_3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2.067120&amp;VAR:P=1&amp;VAR:DATE=20070305"}</definedName>
    <definedName name="_3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2.067120&amp;VAR:P=1&amp;VAR:DATE=20070305"}</definedName>
    <definedName name="_3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2.131472&amp;VAR:P=1&amp;VAR:DATE=20070202"}</definedName>
    <definedName name="_34__FDSAUDITLINK__" localSheetId="3"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0.753425&amp;VAR:V=14.257408&amp;VAR:V0=16.997943&amp;VAR:V1=13.542816&amp;VAR:Y0=2009&amp;VAR:Y1=2010&amp;VAR:P=1025.210463&amp;VAR:DATE=20091002&amp;VAR:THRESH=||||","||"}</definedName>
    <definedName name="_34__FDSAUDITLINK___1"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__FDSAUDITLINK___2"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2.131472&amp;VAR:P=1&amp;VAR:DATE=20070202"}</definedName>
    <definedName name="_3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2.136717&amp;VAR:P=1&amp;VAR:DATE=20070103"}</definedName>
    <definedName name="_3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2.136717&amp;VAR:P=1&amp;VAR:DATE=20070103"}</definedName>
    <definedName name="_3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2.148462&amp;VAR:P=1&amp;VAR:DATE=20061204"}</definedName>
    <definedName name="_3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2.148462&amp;VAR:P=1&amp;VAR:DATE=20061204"}</definedName>
    <definedName name="_3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2.124881&amp;VAR:P=1&amp;VAR:DATE=20061103"}</definedName>
    <definedName name="_3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2.124881&amp;VAR:P=1&amp;VAR:DATE=20061103"}</definedName>
    <definedName name="_3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2.067889&amp;VAR:P=1&amp;VAR:DATE=20061004"}</definedName>
    <definedName name="_3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2.067889&amp;VAR:P=1&amp;VAR:DATE=20061004"}</definedName>
    <definedName name="_3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2.030998&amp;VAR:P=1&amp;VAR:DATE=20060901"}</definedName>
    <definedName name="_35__123Graph_Bｸﾞﾗﾌ_1" hidden="1">[4]ｾｸﾞﾒﾝﾄ!$E$165:$I$165</definedName>
    <definedName name="_35__FDSAUDITLINK__" localSheetId="3"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14.230549&amp;VAR:V0=16.643009&amp;VAR:V1=13.298091&amp;VAR:Y0=2009&amp;VAR:Y1=2010&amp;VAR:P=1003.238385&amp;VAR:DATE=20090903&amp;VAR:THRESH=||||","||"}</definedName>
    <definedName name="_35__FDSAUDITLINK___1"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__FDSAUDITLINK___2"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2.030998&amp;VAR:P=1&amp;VAR:DATE=20060901"}</definedName>
    <definedName name="_3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2.076629&amp;VAR:P=1&amp;VAR:DATE=20060804"}</definedName>
    <definedName name="_3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2.076629&amp;VAR:P=1&amp;VAR:DATE=20060804"}</definedName>
    <definedName name="_3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2.095197&amp;VAR:P=1&amp;VAR:DATE=20060703"}</definedName>
    <definedName name="_3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2.095197&amp;VAR:P=1&amp;VAR:DATE=20060703"}</definedName>
    <definedName name="_3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2.104047&amp;VAR:P=1&amp;VAR:DATE=20060602"}</definedName>
    <definedName name="_3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2.104047&amp;VAR:P=1&amp;VAR:DATE=20060602"}</definedName>
    <definedName name="_3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2.150036&amp;VAR:P=1&amp;VAR:DATE=20060505"}</definedName>
    <definedName name="_3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2.150036&amp;VAR:P=1&amp;VAR:DATE=20060505"}</definedName>
    <definedName name="_3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2.106068&amp;VAR:P=1&amp;VAR:DATE=20060404"}</definedName>
    <definedName name="_36__123Graph_CCHART_111" hidden="1">[2]Menu!$D$25:$M$25</definedName>
    <definedName name="_36__FDSAUDITLINK__" localSheetId="3"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14.230549&amp;VAR:V0=16.643009&amp;VAR:V1=13.298091&amp;VAR:Y0=2009&amp;VAR:Y1=2010&amp;VAR:P=1003.238385&amp;VAR:DATE=20090903&amp;VAR:THRESH=||||","||"}</definedName>
    <definedName name="_36__FDSAUDITLINK___1"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__FDSAUDITLINK___2"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2.106068&amp;VAR:P=1&amp;VAR:DATE=20060404"}</definedName>
    <definedName name="_3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2.096924&amp;VAR:P=1&amp;VAR:DATE=20060303"}</definedName>
    <definedName name="_3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2.096924&amp;VAR:P=1&amp;VAR:DATE=20060303"}</definedName>
    <definedName name="_3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2.083735&amp;VAR:P=1&amp;VAR:DATE=20060202"}</definedName>
    <definedName name="_3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2.083735&amp;VAR:P=1&amp;VAR:DATE=20060202"}</definedName>
    <definedName name="_3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2.078322&amp;VAR:P=1&amp;VAR:DATE=20060103"}</definedName>
    <definedName name="_3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2.078322&amp;VAR:P=1&amp;VAR:DATE=20060103"}</definedName>
    <definedName name="_3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2.070017&amp;VAR:P=1&amp;VAR:DATE=20051202"}</definedName>
    <definedName name="_3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2.070017&amp;VAR:P=1&amp;VAR:DATE=20051202"}</definedName>
    <definedName name="_3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2.050054&amp;VAR:P=1&amp;VAR:DATE=20051103"}</definedName>
    <definedName name="_37__123Graph_CCHART_112" hidden="1">[2]Menu!$D$19:$M$19</definedName>
    <definedName name="_37__FDSAUDITLINK__" localSheetId="3"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14.524336&amp;VAR:V0=16.618316&amp;VAR:V1=13.362843&amp;VAR:Y0=2009&amp;VAR:Y1=2010&amp;VAR:P=1005.647437&amp;VAR:DATE=20090804&amp;VAR:THRESH=||||","||"}</definedName>
    <definedName name="_37__FDSAUDITLINK___1"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__FDSAUDITLINK___2"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2.050054&amp;VAR:P=1&amp;VAR:DATE=20051103"}</definedName>
    <definedName name="_3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2.037205&amp;VAR:P=1&amp;VAR:DATE=20051004"}</definedName>
    <definedName name="_3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2.037205&amp;VAR:P=1&amp;VAR:DATE=20051004"}</definedName>
    <definedName name="_3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2.044522&amp;VAR:P=1&amp;VAR:DATE=20050902"}</definedName>
    <definedName name="_3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2.044522&amp;VAR:P=1&amp;VAR:DATE=20050902"}</definedName>
    <definedName name="_3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2.129833&amp;VAR:P=1&amp;VAR:DATE=20050804"}</definedName>
    <definedName name="_3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2.129833&amp;VAR:P=1&amp;VAR:DATE=20050804"}</definedName>
    <definedName name="_3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2.078921&amp;VAR:P=1&amp;VAR:DATE=20050701"}</definedName>
    <definedName name="_3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2.078921&amp;VAR:P=1&amp;VAR:DATE=20050701"}</definedName>
    <definedName name="_3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2.091983&amp;VAR:P=1&amp;VAR:DATE=20050603"}</definedName>
    <definedName name="_38__123Graph_CCHART_26" hidden="1">[2]Menu!$D$92:$M$92</definedName>
    <definedName name="_38__FDSAUDITLINK__" localSheetId="3"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14.524336&amp;VAR:V0=16.618316&amp;VAR:V1=13.362843&amp;VAR:Y0=2009&amp;VAR:Y1=2010&amp;VAR:P=1005.647437&amp;VAR:DATE=20090804&amp;VAR:THRESH=||||","||"}</definedName>
    <definedName name="_38__FDSAUDITLINK___1"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__FDSAUDITLINK___2"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2.091983&amp;VAR:P=1&amp;VAR:DATE=20050603"}</definedName>
    <definedName name="_3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2.115283&amp;VAR:P=1&amp;VAR:DATE=20050504"}</definedName>
    <definedName name="_3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2.115283&amp;VAR:P=1&amp;VAR:DATE=20050504"}</definedName>
    <definedName name="_3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2.099748&amp;VAR:P=1&amp;VAR:DATE=20050404"}</definedName>
    <definedName name="_3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2.099748&amp;VAR:P=1&amp;VAR:DATE=20050404"}</definedName>
    <definedName name="_3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2.139575&amp;VAR:P=1&amp;VAR:DATE=20050304"}</definedName>
    <definedName name="_3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2.139575&amp;VAR:P=1&amp;VAR:DATE=20050304"}</definedName>
    <definedName name="_3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2.137896&amp;VAR:P=1&amp;VAR:DATE=20050202"}</definedName>
    <definedName name="_3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2.137896&amp;VAR:P=1&amp;VAR:DATE=20050202"}</definedName>
    <definedName name="_3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2.166928&amp;VAR:P=1&amp;VAR:DATE=20050103"}</definedName>
    <definedName name="_39__123Graph_CCHART_30" hidden="1">[2]Menu!$D$12:$M$12</definedName>
    <definedName name="_39__FDSAUDITLINK__" localSheetId="3"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13.383225&amp;VAR:V0=15.113260&amp;VAR:V1=12.015331&amp;VAR:Y0=2009&amp;VAR:Y1=2010&amp;VAR:P=896.423078&amp;VAR:DATE=20090702&amp;VAR:THRESH=|||||","|"}</definedName>
    <definedName name="_39__FDSAUDITLINK___1"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__FDSAUDITLINK___2"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2.166928&amp;VAR:P=1&amp;VAR:DATE=20050103"}</definedName>
    <definedName name="_3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2.156842&amp;VAR:P=1&amp;VAR:DATE=20041203"}</definedName>
    <definedName name="_3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2.156842&amp;VAR:P=1&amp;VAR:DATE=20041203"}</definedName>
    <definedName name="_3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2.115481&amp;VAR:P=1&amp;VAR:DATE=20041103"}</definedName>
    <definedName name="_3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2.115481&amp;VAR:P=1&amp;VAR:DATE=20041103"}</definedName>
    <definedName name="_3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2.093233&amp;VAR:P=1&amp;VAR:DATE=20041001"}</definedName>
    <definedName name="_3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2.093233&amp;VAR:P=1&amp;VAR:DATE=20041001"}</definedName>
    <definedName name="_3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2.076150&amp;VAR:P=1&amp;VAR:DATE=20040903"}</definedName>
    <definedName name="_3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2.076150&amp;VAR:P=1&amp;VAR:DATE=20040903"}</definedName>
    <definedName name="_3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2.134202&amp;VAR:P=1&amp;VAR:DATE=20040803"}</definedName>
    <definedName name="_4__FDSAUDITLINK__" localSheetId="3"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__FDSAUDITLINK__" hidden="1">{"fdsup://directions/FAT Viewer?action=UPDATE&amp;creator=factset&amp;DYN_ARGS=TRUE&amp;DOC_NAME=FAT:FQL_AUDITING_CLIENT_TEMPLATE.FAT&amp;display_string=Audit&amp;VAR:KEY=CPCRGJOXSD&amp;VAR:QUERY=Q1NGX0VOVFJQUl9WQUwoQU5OLDAsLCwsVVNEKQ==&amp;WINDOW=FIRST_POPUP&amp;HEIGHT=450&amp;WIDTH=450&amp;STAR","T_MAXIMIZED=FALSE&amp;VAR:CALENDAR=US&amp;VAR:SYMBOL=HRC&amp;VAR:INDEX=0"}</definedName>
    <definedName name="_4__FDSAUDITLINK___1"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__FDSAUDITLINK___2"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0__FDSAUDITLINK__" localSheetId="3"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13.383225&amp;VAR:V0=15.113260&amp;VAR:V1=12.015331&amp;VAR:Y0=2009&amp;VAR:Y1=2010&amp;VAR:P=896.423078&amp;VAR:DATE=20090702&amp;VAR:THRESH=|||||","|"}</definedName>
    <definedName name="_40__FDSAUDITLINK___1"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__FDSAUDITLINK___2"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2.134202&amp;VAR:P=1&amp;VAR:DATE=20040803"}</definedName>
    <definedName name="_4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2.170779&amp;VAR:P=1&amp;VAR:DATE=20040702"}</definedName>
    <definedName name="_4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2.170779&amp;VAR:P=1&amp;VAR:DATE=20040702"}</definedName>
    <definedName name="_4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2.174230&amp;VAR:P=1&amp;VAR:DATE=20040604"}</definedName>
    <definedName name="_4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2.174230&amp;VAR:P=1&amp;VAR:DATE=20040604"}</definedName>
    <definedName name="_4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2.191797&amp;VAR:P=1&amp;VAR:DATE=20040504"}</definedName>
    <definedName name="_4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2.191797&amp;VAR:P=1&amp;VAR:DATE=20040504"}</definedName>
    <definedName name="_4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2.216448&amp;VAR:P=1&amp;VAR:DATE=20040402"}</definedName>
    <definedName name="_4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2.216448&amp;VAR:P=1&amp;VAR:DATE=20040402"}</definedName>
    <definedName name="_4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2.236377&amp;VAR:P=1&amp;VAR:DATE=20040304"}</definedName>
    <definedName name="_41__FDSAUDITLINK__" localSheetId="3"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14.327608&amp;VAR:V0=15.860658&amp;VAR:V1=12.668591&amp;VAR:Y0=2009&amp;VAR:Y1=2010&amp;VAR:P=942.463847&amp;VAR:DATE=20090604&amp;VAR:THRESH=|||||","|"}</definedName>
    <definedName name="_41__FDSAUDITLINK___1"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__FDSAUDITLINK___2"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2.236377&amp;VAR:P=1&amp;VAR:DATE=20040304"}</definedName>
    <definedName name="_4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2.210385&amp;VAR:P=1&amp;VAR:DATE=20040203"}</definedName>
    <definedName name="_4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2.210385&amp;VAR:P=1&amp;VAR:DATE=20040203"}</definedName>
    <definedName name="_4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2.187893&amp;VAR:P=1&amp;VAR:DATE=20040102"}</definedName>
    <definedName name="_4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2.187893&amp;VAR:P=1&amp;VAR:DATE=20040102"}</definedName>
    <definedName name="_4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2.145169&amp;VAR:P=1&amp;VAR:DATE=20031204"}</definedName>
    <definedName name="_4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2.145169&amp;VAR:P=1&amp;VAR:DATE=20031204"}</definedName>
    <definedName name="_4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2.158971&amp;VAR:P=1&amp;VAR:DATE=20031103"}</definedName>
    <definedName name="_4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2.158971&amp;VAR:P=1&amp;VAR:DATE=20031103"}</definedName>
    <definedName name="_4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2.127007&amp;VAR:P=1&amp;VAR:DATE=20031003"}</definedName>
    <definedName name="_42__FDSAUDITLINK__" localSheetId="3"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14.327608&amp;VAR:V0=15.860658&amp;VAR:V1=12.668591&amp;VAR:Y0=2009&amp;VAR:Y1=2010&amp;VAR:P=942.463847&amp;VAR:DATE=20090604&amp;VAR:THRESH=|||||","|"}</definedName>
    <definedName name="_42__FDSAUDITLINK___1"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__FDSAUDITLINK___2"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2.127007&amp;VAR:P=1&amp;VAR:DATE=20031003"}</definedName>
    <definedName name="_4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2.137612&amp;VAR:P=1&amp;VAR:DATE=20030904"}</definedName>
    <definedName name="_4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2.137612&amp;VAR:P=1&amp;VAR:DATE=20030904"}</definedName>
    <definedName name="_4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2.062344&amp;VAR:P=1&amp;VAR:DATE=20030804"}</definedName>
    <definedName name="_4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2.062344&amp;VAR:P=1&amp;VAR:DATE=20030804"}</definedName>
    <definedName name="_4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2.063665&amp;VAR:P=1&amp;VAR:DATE=20030703"}</definedName>
    <definedName name="_4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2.063665&amp;VAR:P=1&amp;VAR:DATE=20030703"}</definedName>
    <definedName name="_4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2.075626&amp;VAR:P=1&amp;VAR:DATE=20030604"}</definedName>
    <definedName name="_4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2.075626&amp;VAR:P=1&amp;VAR:DATE=20030604"}</definedName>
    <definedName name="_4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2.063878&amp;VAR:P=1&amp;VAR:DATE=20030505"}</definedName>
    <definedName name="_43__FDSAUDITLINK__"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14.271033&amp;VAR:V0=15.568225&amp;VAR:V1=12.282048&amp;VAR:Y0=2009&amp;VAR:Y1=2010&amp;VAR:P=907.237535&amp;VAR:DATE=20090504&amp;VAR:THRESH=|||||","|"}</definedName>
    <definedName name="_43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2.063878&amp;VAR:P=1&amp;VAR:DATE=20030505"}</definedName>
    <definedName name="_4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1.990979&amp;VAR:P=1&amp;VAR:DATE=20030404"}</definedName>
    <definedName name="_4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1.990979&amp;VAR:P=1&amp;VAR:DATE=20030404"}</definedName>
    <definedName name="_4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1.923928&amp;VAR:P=1&amp;VAR:DATE=20030305"}</definedName>
    <definedName name="_4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1.923928&amp;VAR:P=1&amp;VAR:DATE=20030305"}</definedName>
    <definedName name="_4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1.897963&amp;VAR:P=1&amp;VAR:DATE=20030203"}</definedName>
    <definedName name="_4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1.897963&amp;VAR:P=1&amp;VAR:DATE=20030203"}</definedName>
    <definedName name="_4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1.973074&amp;VAR:P=1&amp;VAR:DATE=20030103"}</definedName>
    <definedName name="_4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1.973074&amp;VAR:P=1&amp;VAR:DATE=20030103"}</definedName>
    <definedName name="_4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1.996697&amp;VAR:P=1&amp;VAR:DATE=20021204"}</definedName>
    <definedName name="_44__123Graph_DCHART_112" hidden="1">[2]Menu!$D$16:$M$16</definedName>
    <definedName name="_44__FDSAUDITLINK__" localSheetId="3"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14.271033&amp;VAR:V0=15.568225&amp;VAR:V1=12.282048&amp;VAR:Y0=2009&amp;VAR:Y1=2010&amp;VAR:P=907.237535&amp;VAR:DATE=20090504&amp;VAR:THRESH=|||||","|"}</definedName>
    <definedName name="_44__FDSAUDITLINK___1"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__FDSAUDITLINK___2"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1.996697&amp;VAR:P=1&amp;VAR:DATE=20021204"}</definedName>
    <definedName name="_4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1.958286&amp;VAR:P=1&amp;VAR:DATE=20021101"}</definedName>
    <definedName name="_4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1.958286&amp;VAR:P=1&amp;VAR:DATE=20021101"}</definedName>
    <definedName name="_4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1.836557&amp;VAR:P=1&amp;VAR:DATE=20021004"}</definedName>
    <definedName name="_4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1.836557&amp;VAR:P=1&amp;VAR:DATE=20021004"}</definedName>
    <definedName name="_4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1.935345&amp;VAR:P=1&amp;VAR:DATE=20020903"}</definedName>
    <definedName name="_4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1.935345&amp;VAR:P=1&amp;VAR:DATE=20020903"}</definedName>
    <definedName name="_4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1.915557&amp;VAR:P=1&amp;VAR:DATE=20020802"}</definedName>
    <definedName name="_4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1.915557&amp;VAR:P=1&amp;VAR:DATE=20020802"}</definedName>
    <definedName name="_4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1.982351&amp;VAR:P=1&amp;VAR:DATE=20020703"}</definedName>
    <definedName name="_45__123Graph_Dｸﾞﾗﾌ_1" hidden="1">[4]ｾｸﾞﾒﾝﾄ!$E$167:$I$167</definedName>
    <definedName name="_45__FDSAUDITLINK__"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0.254795&amp;VAR:V=13.082001&amp;VAR:V0=13.942891&amp;VAR:V1=11.080952&amp;VAR:Y0=2009&amp;VAR:Y1=2010&amp;VAR:P=842.500407&amp;VAR:DATE=20090403&amp;VAR:THRESH=|||||","|"}</definedName>
    <definedName name="_45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1.982351&amp;VAR:P=1&amp;VAR:DATE=20020703"}</definedName>
    <definedName name="_4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2.107189&amp;VAR:P=1&amp;VAR:DATE=20020604"}</definedName>
    <definedName name="_4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2.107189&amp;VAR:P=1&amp;VAR:DATE=20020604"}</definedName>
    <definedName name="_4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1.999840&amp;VAR:P=1&amp;VAR:DATE=20020503"}</definedName>
    <definedName name="_4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1.999840&amp;VAR:P=1&amp;VAR:DATE=20020503"}</definedName>
    <definedName name="_4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2.074337&amp;VAR:P=1&amp;VAR:DATE=20020404"}</definedName>
    <definedName name="_4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2.074337&amp;VAR:P=1&amp;VAR:DATE=20020404"}</definedName>
    <definedName name="_4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2.111153&amp;VAR:P=1&amp;VAR:DATE=20020305"}</definedName>
    <definedName name="_4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2.111153&amp;VAR:P=1&amp;VAR:DATE=20020305"}</definedName>
    <definedName name="_4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2.120246&amp;VAR:P=1&amp;VAR:DATE=20020201"}</definedName>
    <definedName name="_46__FDSAUDITLINK__" localSheetId="3"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0.254795&amp;VAR:V=13.082001&amp;VAR:V0=13.942891&amp;VAR:V1=11.080952&amp;VAR:Y0=2009&amp;VAR:Y1=2010&amp;VAR:P=842.500407&amp;VAR:DATE=20090403&amp;VAR:THRESH=|||||","|"}</definedName>
    <definedName name="_46__FDSAUDITLINK___1"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__FDSAUDITLINK___2"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2.120246&amp;VAR:P=1&amp;VAR:DATE=20020201"}</definedName>
    <definedName name="_4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2.172005&amp;VAR:P=1&amp;VAR:DATE=20020103"}</definedName>
    <definedName name="_4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2.172005&amp;VAR:P=1&amp;VAR:DATE=20020103"}</definedName>
    <definedName name="_4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2.123356&amp;VAR:P=1&amp;VAR:DATE=20011203"}</definedName>
    <definedName name="_4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2.123356&amp;VAR:P=1&amp;VAR:DATE=20011203"}</definedName>
    <definedName name="_4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2.010908&amp;VAR:P=1&amp;VAR:DATE=20011102"}</definedName>
    <definedName name="_4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2.010908&amp;VAR:P=1&amp;VAR:DATE=20011102"}</definedName>
    <definedName name="_4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1.957145&amp;VAR:P=1&amp;VAR:DATE=20011004"}</definedName>
    <definedName name="_4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1.957145&amp;VAR:P=1&amp;VAR:DATE=20011004"}</definedName>
    <definedName name="_4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2.035535&amp;VAR:P=1&amp;VAR:DATE=20010831"}</definedName>
    <definedName name="_47__FDSAUDITLINK__" localSheetId="3"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10.807509&amp;VAR:V0=11.293009&amp;VAR:V1=8.960820&amp;VAR:Y0=2009&amp;VAR:Y1=2010&amp;VAR:P=712.865752&amp;VAR:DATE=20090304&amp;VAR:THRESH=||||||"}</definedName>
    <definedName name="_47__FDSAUDITLINK___1"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__FDSAUDITLINK___2"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2.035535&amp;VAR:P=1&amp;VAR:DATE=20010831"}</definedName>
    <definedName name="_4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2.190282&amp;VAR:P=1&amp;VAR:DATE=20010803"}</definedName>
    <definedName name="_4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2.190282&amp;VAR:P=1&amp;VAR:DATE=20010803"}</definedName>
    <definedName name="_4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2.212685&amp;VAR:P=1&amp;VAR:DATE=20010703"}</definedName>
    <definedName name="_4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2.212685&amp;VAR:P=1&amp;VAR:DATE=20010703"}</definedName>
    <definedName name="_4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2.267329&amp;VAR:P=1&amp;VAR:DATE=20010604"}</definedName>
    <definedName name="_4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2.267329&amp;VAR:P=1&amp;VAR:DATE=20010604"}</definedName>
    <definedName name="_4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2.311696&amp;VAR:P=1&amp;VAR:DATE=20010504"}</definedName>
    <definedName name="_4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2.311696&amp;VAR:P=1&amp;VAR:DATE=20010504"}</definedName>
    <definedName name="_4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2.090174&amp;VAR:P=1&amp;VAR:DATE=20010404"}</definedName>
    <definedName name="_48__FDSAUDITLINK__" localSheetId="3"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10.807509&amp;VAR:V0=11.293009&amp;VAR:V1=8.960820&amp;VAR:Y0=2009&amp;VAR:Y1=2010&amp;VAR:P=712.865752&amp;VAR:DATE=20090304&amp;VAR:THRESH=||||||"}</definedName>
    <definedName name="_48__FDSAUDITLINK___1"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__FDSAUDITLINK___2"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2.090174&amp;VAR:P=1&amp;VAR:DATE=20010404"}</definedName>
    <definedName name="_4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2.271824&amp;VAR:P=1&amp;VAR:DATE=20010302"}</definedName>
    <definedName name="_4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2.271824&amp;VAR:P=1&amp;VAR:DATE=20010302"}</definedName>
    <definedName name="_4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2.441691&amp;VAR:P=1&amp;VAR:DATE=20010202"}</definedName>
    <definedName name="_4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2.441691&amp;VAR:P=1&amp;VAR:DATE=20010202"}</definedName>
    <definedName name="_4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1.253723&amp;VAR:V0=1.267823&amp;VAR:V1=1.116454&amp;VAR:Y0=2011&amp;VAR:Y1=2012&amp;VAR:P=1302.260000&amp;VAR:DATE=20110203&amp;VAR:THRESH=|||||","|"}</definedName>
    <definedName name="_4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1.253723&amp;VAR:V0=1.267823&amp;VAR:V1=1.116454&amp;VAR:Y0=2011&amp;VAR:Y1=2012&amp;VAR:P=1302.260000&amp;VAR:DATE=20110203&amp;VAR:THRESH=|||||","|"}</definedName>
    <definedName name="_4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1.249834&amp;VAR:V0=1.251055&amp;VAR:V1=1.102536&amp;VAR:Y0=2011&amp;VAR:Y1=2012&amp;VAR:P=1271.869879&amp;VAR:DATE=20110103&amp;VAR:THRESH=|||||","|"}</definedName>
    <definedName name="_4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1.249834&amp;VAR:V0=1.251055&amp;VAR:V1=1.102536&amp;VAR:Y0=2011&amp;VAR:Y1=2012&amp;VAR:P=1271.869879&amp;VAR:DATE=20110103&amp;VAR:THRESH=|||||","|"}</definedName>
    <definedName name="_4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1.220185&amp;VAR:V0=1.366058&amp;VAR:V1=1.208066&amp;VAR:Y0=2010&amp;VAR:Y1=2011&amp;VAR:P=1224.707723&amp;VAR:DATE=20101203&amp;VAR:THRESH=|||||","|"}</definedName>
    <definedName name="_49__FDSAUDITLINK__" localSheetId="3"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12.224827&amp;VAR:V0=12.524139&amp;VAR:V1=9.855263&amp;VAR:Y0=2009&amp;VAR:Y1=2010&amp;VAR:P=825.437231&amp;VAR:DATE=20090202&amp;VAR:THRESH=||||||"}</definedName>
    <definedName name="_49__FDSAUDITLINK___1"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__FDSAUDITLINK___2"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1.220185&amp;VAR:V0=1.366058&amp;VAR:V1=1.208066&amp;VAR:Y0=2010&amp;VAR:Y1=2011&amp;VAR:P=1224.707723&amp;VAR:DATE=20101203&amp;VAR:THRESH=|||||","|"}</definedName>
    <definedName name="_4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1.225373&amp;VAR:V0=1.358159&amp;VAR:V1=1.200286&amp;VAR:Y0=2010&amp;VAR:Y1=2011&amp;VAR:P=1197.961445&amp;VAR:DATE=20101103&amp;VAR:THRESH=|||||","|"}</definedName>
    <definedName name="_4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1.225373&amp;VAR:V0=1.358159&amp;VAR:V1=1.200286&amp;VAR:Y0=2010&amp;VAR:Y1=2011&amp;VAR:P=1197.961445&amp;VAR:DATE=20101103&amp;VAR:THRESH=|||||","|"}</definedName>
    <definedName name="_4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1.168873&amp;VAR:V0=1.292682&amp;VAR:V1=1.129540&amp;VAR:Y0=2010&amp;VAR:Y1=2011&amp;VAR:P=1137.033723&amp;VAR:DATE=20101004&amp;VAR:THRESH=|||||","|"}</definedName>
    <definedName name="_4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1.168873&amp;VAR:V0=1.292682&amp;VAR:V1=1.129540&amp;VAR:Y0=2010&amp;VAR:Y1=2011&amp;VAR:P=1137.033723&amp;VAR:DATE=20101004&amp;VAR:THRESH=|||||","|"}</definedName>
    <definedName name="_4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1.160686&amp;VAR:V0=1.270029&amp;VAR:V1=1.107792&amp;VAR:Y0=2010&amp;VAR:Y1=2011&amp;VAR:P=1104.506616&amp;VAR:DATE=20100903&amp;VAR:THRESH=|||||","|"}</definedName>
    <definedName name="_4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1.160686&amp;VAR:V0=1.270029&amp;VAR:V1=1.107792&amp;VAR:Y0=2010&amp;VAR:Y1=2011&amp;VAR:P=1104.506616&amp;VAR:DATE=20100903&amp;VAR:THRESH=|||||","|"}</definedName>
    <definedName name="_4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1.185211&amp;VAR:V0=1.286107&amp;VAR:V1=1.115612&amp;VAR:Y0=2010&amp;VAR:Y1=2011&amp;VAR:P=1127.239110&amp;VAR:DATE=20100804&amp;VAR:THRESH=|||||","|"}</definedName>
    <definedName name="_4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1.185211&amp;VAR:V0=1.286107&amp;VAR:V1=1.115612&amp;VAR:Y0=2010&amp;VAR:Y1=2011&amp;VAR:P=1127.239110&amp;VAR:DATE=20100804&amp;VAR:THRESH=|||||","|"}</definedName>
    <definedName name="_4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1.102366&amp;VAR:V0=1.192629&amp;VAR:V1=1.012597&amp;VAR:Y0=2010&amp;VAR:Y1=2011&amp;VAR:P=1022.582975&amp;VAR:DATE=20100702&amp;VAR:THRESH=|||||","|"}</definedName>
    <definedName name="_5__FDSAUDITLINK__" localSheetId="3"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12.908797&amp;VAR:V0=14.467518&amp;VAR:V1=12.794267&amp;VAR:Y0=2010&amp;VAR:Y1=2011&amp;VAR:P=1224.707723&amp;VAR:DATE=20101203&amp;VAR:THRESH=||||","||"}</definedName>
    <definedName name="_5__FDSAUDITLINK___1"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__FDSAUDITLINK___2"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0__FDSAUDITLINK__" localSheetId="3"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12.224827&amp;VAR:V0=12.524139&amp;VAR:V1=9.855263&amp;VAR:Y0=2009&amp;VAR:Y1=2010&amp;VAR:P=825.437231&amp;VAR:DATE=20090202&amp;VAR:THRESH=||||||"}</definedName>
    <definedName name="_50__FDSAUDITLINK___1"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__FDSAUDITLINK___2"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1.102366&amp;VAR:V0=1.192629&amp;VAR:V1=1.012597&amp;VAR:Y0=2010&amp;VAR:Y1=2011&amp;VAR:P=1022.582975&amp;VAR:DATE=20100702&amp;VAR:THRESH=|||||","|"}</definedName>
    <definedName name="_5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1.153826&amp;VAR:V0=1.231260&amp;VAR:V1=1.048915&amp;VAR:Y0=2010&amp;VAR:Y1=2011&amp;VAR:P=1064.875042&amp;VAR:DATE=20100604&amp;VAR:THRESH=|||||","|"}</definedName>
    <definedName name="_5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1.153826&amp;VAR:V0=1.231260&amp;VAR:V1=1.048915&amp;VAR:Y0=2010&amp;VAR:Y1=2011&amp;VAR:P=1064.875042&amp;VAR:DATE=20100604&amp;VAR:THRESH=|||||","|"}</definedName>
    <definedName name="_5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1.290956&amp;VAR:V0=1.360144&amp;VAR:V1=1.158114&amp;VAR:Y0=2010&amp;VAR:Y1=2011&amp;VAR:P=1165.897009&amp;VAR:DATE=20100505&amp;VAR:THRESH=|||||","|"}</definedName>
    <definedName name="_5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1.290956&amp;VAR:V0=1.360144&amp;VAR:V1=1.158114&amp;VAR:Y0=2010&amp;VAR:Y1=2011&amp;VAR:P=1165.897009&amp;VAR:DATE=20100505&amp;VAR:THRESH=|||||","|"}</definedName>
    <definedName name="_5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0.249315&amp;VAR:V=1.387347&amp;VAR:V0=1.446722&amp;VAR:V1=1.208571&amp;VAR:Y0=2010&amp;VAR:Y1=2011&amp;VAR:P=1178.102625&amp;VAR:DATE=20100401&amp;VAR:THRESH=|||||","|"}</definedName>
    <definedName name="_5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0.249315&amp;VAR:V=1.387347&amp;VAR:V0=1.446722&amp;VAR:V1=1.208571&amp;VAR:Y0=2010&amp;VAR:Y1=2011&amp;VAR:P=1178.102625&amp;VAR:DATE=20100401&amp;VAR:THRESH=|||||","|"}</definedName>
    <definedName name="_5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1.350432&amp;VAR:V0=1.390180&amp;VAR:V1=1.163493&amp;VAR:Y0=2010&amp;VAR:Y1=2011&amp;VAR:P=1138.698076&amp;VAR:DATE=20100305&amp;VAR:THRESH=|||||","|"}</definedName>
    <definedName name="_5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1.350432&amp;VAR:V0=1.390180&amp;VAR:V1=1.163493&amp;VAR:Y0=2010&amp;VAR:Y1=2011&amp;VAR:P=1138.698076&amp;VAR:DATE=20100305&amp;VAR:THRESH=|||||","|"}</definedName>
    <definedName name="_5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1.331729&amp;VAR:V0=1.351729&amp;VAR:V1=1.130521&amp;VAR:Y0=2010&amp;VAR:Y1=2011&amp;VAR:P=1103.323052&amp;VAR:DATE=20100202&amp;VAR:THRESH=|||||","|"}</definedName>
    <definedName name="_51__FDSAUDITLINK__" localSheetId="3"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0.005479&amp;VAR:V=12.050607&amp;VAR:V0=12.063590&amp;VAR:V1=10.081315&amp;VAR:Y0=2009&amp;VAR:Y1=2010&amp;VAR:P=931.800806&amp;VAR:DATE=20090102&amp;VAR:THRESH=|||||","|"}</definedName>
    <definedName name="_51__FDSAUDITLINK___1"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__FDSAUDITLINK___2"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1.331729&amp;VAR:V0=1.351729&amp;VAR:V1=1.130521&amp;VAR:Y0=2010&amp;VAR:Y1=2011&amp;VAR:P=1103.323052&amp;VAR:DATE=20100202&amp;VAR:THRESH=|||||","|"}</definedName>
    <definedName name="_5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1.000000&amp;VAR:V=1.380813&amp;VAR:V0=1.771401&amp;VAR:V1=1.380813&amp;VAR:Y0=2009&amp;VAR:Y1=2010&amp;VAR:P=1115.102681&amp;VAR:DATE=20091231&amp;VAR:THRESH=|||||","|"}</definedName>
    <definedName name="_5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1.000000&amp;VAR:V=1.380813&amp;VAR:V0=1.771401&amp;VAR:V1=1.380813&amp;VAR:Y0=2009&amp;VAR:Y1=2010&amp;VAR:P=1115.102681&amp;VAR:DATE=20091231&amp;VAR:THRESH=|||||","|"}</definedName>
    <definedName name="_5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1.401115&amp;VAR:V0=1.718636&amp;VAR:V1=1.374733&amp;VAR:Y0=2009&amp;VAR:Y1=2010&amp;VAR:P=1099.922226&amp;VAR:DATE=20091203&amp;VAR:THRESH=|||||","|"}</definedName>
    <definedName name="_5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1.401115&amp;VAR:V0=1.718636&amp;VAR:V1=1.374733&amp;VAR:Y0=2009&amp;VAR:Y1=2010&amp;VAR:P=1099.922226&amp;VAR:DATE=20091203&amp;VAR:THRESH=|||||","|"}</definedName>
    <definedName name="_5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1.362520&amp;VAR:V0=1.631348&amp;VAR:V1=1.311731&amp;VAR:Y0=2009&amp;VAR:Y1=2010&amp;VAR:P=1045.408874&amp;VAR:DATE=20091103&amp;VAR:THRESH=|||||","|"}</definedName>
    <definedName name="_5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1.362520&amp;VAR:V0=1.631348&amp;VAR:V1=1.311731&amp;VAR:Y0=2009&amp;VAR:Y1=2010&amp;VAR:P=1045.408874&amp;VAR:DATE=20091103&amp;VAR:THRESH=|||||","|"}</definedName>
    <definedName name="_5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0.753425&amp;VAR:V=1.420560&amp;VAR:V0=1.677457&amp;VAR:V1=1.336485&amp;VAR:Y0=2009&amp;VAR:Y1=2010&amp;VAR:P=1025.210463&amp;VAR:DATE=20091002&amp;VAR:THRESH=|||||","|"}</definedName>
    <definedName name="_5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0.753425&amp;VAR:V=1.420560&amp;VAR:V0=1.677457&amp;VAR:V1=1.336485&amp;VAR:Y0=2009&amp;VAR:Y1=2010&amp;VAR:P=1025.210463&amp;VAR:DATE=20091002&amp;VAR:THRESH=|||||","|"}</definedName>
    <definedName name="_5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1.425348&amp;VAR:V0=1.648669&amp;VAR:V1=1.317319&amp;VAR:Y0=2009&amp;VAR:Y1=2010&amp;VAR:P=1003.238385&amp;VAR:DATE=20090903&amp;VAR:THRESH=|||||","|"}</definedName>
    <definedName name="_52__FDSAUDITLINK__" localSheetId="3"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0.005479&amp;VAR:V=12.050607&amp;VAR:V0=12.063590&amp;VAR:V1=10.081315&amp;VAR:Y0=2009&amp;VAR:Y1=2010&amp;VAR:P=931.800806&amp;VAR:DATE=20090102&amp;VAR:THRESH=|||||","|"}</definedName>
    <definedName name="_52__FDSAUDITLINK___1"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__FDSAUDITLINK___2"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1.425348&amp;VAR:V0=1.648669&amp;VAR:V1=1.317319&amp;VAR:Y0=2009&amp;VAR:Y1=2010&amp;VAR:P=1003.238385&amp;VAR:DATE=20090903&amp;VAR:THRESH=|||||","|"}</definedName>
    <definedName name="_5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1.442829&amp;VAR:V0=1.632026&amp;VAR:V1=1.312317&amp;VAR:Y0=2009&amp;VAR:Y1=2010&amp;VAR:P=1005.647437&amp;VAR:DATE=20090804&amp;VAR:THRESH=|||||","|"}</definedName>
    <definedName name="_5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1.442829&amp;VAR:V0=1.632026&amp;VAR:V1=1.312317&amp;VAR:Y0=2009&amp;VAR:Y1=2010&amp;VAR:P=1005.647437&amp;VAR:DATE=20090804&amp;VAR:THRESH=|||||","|"}</definedName>
    <definedName name="_5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1.319885&amp;VAR:V0=1.471069&amp;VAR:V1=1.169528&amp;VAR:Y0=2009&amp;VAR:Y1=2010&amp;VAR:P=896.423078&amp;VAR:DATE=20090702&amp;VAR:THRESH=||||||"}</definedName>
    <definedName name="_5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1.319885&amp;VAR:V0=1.471069&amp;VAR:V1=1.169528&amp;VAR:Y0=2009&amp;VAR:Y1=2010&amp;VAR:P=896.423078&amp;VAR:DATE=20090702&amp;VAR:THRESH=||||||"}</definedName>
    <definedName name="_5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1.426924&amp;VAR:V0=1.560273&amp;VAR:V1=1.246257&amp;VAR:Y0=2009&amp;VAR:Y1=2010&amp;VAR:P=942.463847&amp;VAR:DATE=20090604&amp;VAR:THRESH=||||||"}</definedName>
    <definedName name="_5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1.426924&amp;VAR:V0=1.560273&amp;VAR:V1=1.246257&amp;VAR:Y0=2009&amp;VAR:Y1=2010&amp;VAR:P=942.463847&amp;VAR:DATE=20090604&amp;VAR:THRESH=||||||"}</definedName>
    <definedName name="_5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1.426530&amp;VAR:V0=1.536729&amp;VAR:V1=1.212353&amp;VAR:Y0=2009&amp;VAR:Y1=2010&amp;VAR:P=907.237535&amp;VAR:DATE=20090504&amp;VAR:THRESH=||||||"}</definedName>
    <definedName name="_5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1.426530&amp;VAR:V0=1.536729&amp;VAR:V1=1.212353&amp;VAR:Y0=2009&amp;VAR:Y1=2010&amp;VAR:P=907.237535&amp;VAR:DATE=20090504&amp;VAR:THRESH=||||||"}</definedName>
    <definedName name="_5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0.254795&amp;VAR:V=1.239160&amp;VAR:V0=1.307544&amp;VAR:V1=1.039156&amp;VAR:Y0=2009&amp;VAR:Y1=2010&amp;VAR:P=842.500407&amp;VAR:DATE=20090403&amp;VAR:THRESH=||||||"}</definedName>
    <definedName name="_53__FDSAUDITLINK__" localSheetId="3"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10.480073&amp;VAR:V0=11.494022&amp;VAR:V1=10.404043&amp;VAR:Y0=2008&amp;VAR:Y1=2009&amp;VAR:P=870.738773&amp;VAR:DATE=20081203&amp;VAR:THRESH=|||||","|"}</definedName>
    <definedName name="_53__FDSAUDITLINK___1"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__FDSAUDITLINK___2"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0.254795&amp;VAR:V=1.239160&amp;VAR:V0=1.307544&amp;VAR:V1=1.039156&amp;VAR:Y0=2009&amp;VAR:Y1=2010&amp;VAR:P=842.500407&amp;VAR:DATE=20090403&amp;VAR:THRESH=||||||"}</definedName>
    <definedName name="_5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1.008333&amp;VAR:V0=1.045604&amp;VAR:V1=0.829670&amp;VAR:Y0=2009&amp;VAR:Y1=2010&amp;VAR:P=712.865752&amp;VAR:DATE=20090304&amp;VAR:THRESH=||||||"}</definedName>
    <definedName name="_5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1.008333&amp;VAR:V0=1.045604&amp;VAR:V1=0.829670&amp;VAR:Y0=2009&amp;VAR:Y1=2010&amp;VAR:P=712.865752&amp;VAR:DATE=20090304&amp;VAR:THRESH=||||||"}</definedName>
    <definedName name="_5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1.142549&amp;VAR:V0=1.164995&amp;VAR:V1=0.916736&amp;VAR:Y0=2009&amp;VAR:Y1=2010&amp;VAR:P=825.437231&amp;VAR:DATE=20090202&amp;VAR:THRESH=||||||"}</definedName>
    <definedName name="_5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1.142549&amp;VAR:V0=1.164995&amp;VAR:V1=0.916736&amp;VAR:Y0=2009&amp;VAR:Y1=2010&amp;VAR:P=825.437231&amp;VAR:DATE=20090202&amp;VAR:THRESH=||||||"}</definedName>
    <definedName name="_5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0.005479&amp;VAR:V=1.110244&amp;VAR:V0=1.111245&amp;VAR:V1=0.928646&amp;VAR:Y0=2009&amp;VAR:Y1=2010&amp;VAR:P=931.800806&amp;VAR:DATE=20090102&amp;VAR:THRESH=||||||"}</definedName>
    <definedName name="_5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0.005479&amp;VAR:V=1.110244&amp;VAR:V0=1.111245&amp;VAR:V1=0.928646&amp;VAR:Y0=2009&amp;VAR:Y1=2010&amp;VAR:P=931.800806&amp;VAR:DATE=20090102&amp;VAR:THRESH=||||||"}</definedName>
    <definedName name="_5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0.952098&amp;VAR:V0=1.043481&amp;VAR:V1=0.944527&amp;VAR:Y0=2008&amp;VAR:Y1=2009&amp;VAR:P=870.738773&amp;VAR:DATE=20081203&amp;VAR:THRESH=||||||"}</definedName>
    <definedName name="_5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0.952098&amp;VAR:V0=1.043481&amp;VAR:V1=0.944527&amp;VAR:Y0=2008&amp;VAR:Y1=2009&amp;VAR:P=870.738773&amp;VAR:DATE=20081203&amp;VAR:THRESH=||||||"}</definedName>
    <definedName name="_5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0.968733&amp;VAR:V0=1.078403&amp;VAR:V1=0.948081&amp;VAR:Y0=2008&amp;VAR:Y1=2009&amp;VAR:P=966.303470&amp;VAR:DATE=20081103&amp;VAR:THRESH=||||||"}</definedName>
    <definedName name="_54__FDSAUDITLINK__" localSheetId="3"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10.480073&amp;VAR:V0=11.494022&amp;VAR:V1=10.404043&amp;VAR:Y0=2008&amp;VAR:Y1=2009&amp;VAR:P=870.738773&amp;VAR:DATE=20081203&amp;VAR:THRESH=|||||","|"}</definedName>
    <definedName name="_54__FDSAUDITLINK___1"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__FDSAUDITLINK___2"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0.968733&amp;VAR:V0=1.078403&amp;VAR:V1=0.948081&amp;VAR:Y0=2008&amp;VAR:Y1=2009&amp;VAR:P=966.303470&amp;VAR:DATE=20081103&amp;VAR:THRESH=||||||"}</definedName>
    <definedName name="_5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0.756831&amp;VAR:V=0.962463&amp;VAR:V0=1.110990&amp;VAR:V1=0.914741&amp;VAR:Y0=2008&amp;VAR:Y1=2009&amp;VAR:P=1099.233800&amp;VAR:DATE=20081003&amp;VAR:THRESH=|||||","|"}</definedName>
    <definedName name="_5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0.756831&amp;VAR:V=0.962463&amp;VAR:V0=1.110990&amp;VAR:V1=0.914741&amp;VAR:Y0=2008&amp;VAR:Y1=2009&amp;VAR:P=1099.233800&amp;VAR:DATE=20081003&amp;VAR:THRESH=|||||","|"}</definedName>
    <definedName name="_5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1.071623&amp;VAR:V0=1.245953&amp;VAR:V1=0.987634&amp;VAR:Y0=2008&amp;VAR:Y1=2009&amp;VAR:P=1274.980300&amp;VAR:DATE=20080903&amp;VAR:THRESH=|||||","|"}</definedName>
    <definedName name="_5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1.071623&amp;VAR:V0=1.245953&amp;VAR:V1=0.987634&amp;VAR:Y0=2008&amp;VAR:Y1=2009&amp;VAR:P=1274.980300&amp;VAR:DATE=20080903&amp;VAR:THRESH=|||||","|"}</definedName>
    <definedName name="_5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0.584699&amp;VAR:V=1.046821&amp;VAR:V0=1.177112&amp;VAR:V1=0.954278&amp;VAR:Y0=2008&amp;VAR:Y1=2009&amp;VAR:P=1260.313800&amp;VAR:DATE=20080801&amp;VAR:THRESH=|||||","|"}</definedName>
    <definedName name="_5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0.584699&amp;VAR:V=1.046821&amp;VAR:V0=1.177112&amp;VAR:V1=0.954278&amp;VAR:Y0=2008&amp;VAR:Y1=2009&amp;VAR:P=1260.313800&amp;VAR:DATE=20080801&amp;VAR:THRESH=|||||","|"}</definedName>
    <definedName name="_5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0.505464&amp;VAR:V=1.011592&amp;VAR:V0=1.103962&amp;VAR:V1=0.921220&amp;VAR:Y0=2008&amp;VAR:Y1=2009&amp;VAR:P=1262.897200&amp;VAR:DATE=20080703&amp;VAR:THRESH=|||||","|"}</definedName>
    <definedName name="_5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0.505464&amp;VAR:V=1.011592&amp;VAR:V0=1.103962&amp;VAR:V1=0.921220&amp;VAR:Y0=2008&amp;VAR:Y1=2009&amp;VAR:P=1262.897200&amp;VAR:DATE=20080703&amp;VAR:THRESH=|||||","|"}</definedName>
    <definedName name="_5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1.125553&amp;VAR:V0=1.206807&amp;VAR:V1=1.016172&amp;VAR:Y0=2008&amp;VAR:Y1=2009&amp;VAR:P=1377.199500&amp;VAR:DATE=20080604&amp;VAR:THRESH=|||||","|"}</definedName>
    <definedName name="_55__123Graph_XCHART_112" hidden="1">[2]Menu!$AF$15:$AO$15</definedName>
    <definedName name="_55__FDSAUDITLINK__" localSheetId="3"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10.923864&amp;VAR:V0=12.187487&amp;VAR:V1=10.714665&amp;VAR:Y0=2008&amp;VAR:Y1=2009&amp;VAR:P=966.303470&amp;VAR:DATE=20081103&amp;VAR:THRESH=|||||","|"}</definedName>
    <definedName name="_55__FDSAUDITLINK___1"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__FDSAUDITLINK___2"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1.125553&amp;VAR:V0=1.206807&amp;VAR:V1=1.016172&amp;VAR:Y0=2008&amp;VAR:Y1=2009&amp;VAR:P=1377.199500&amp;VAR:DATE=20080604&amp;VAR:THRESH=|||||","|"}</definedName>
    <definedName name="_5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0.336066&amp;VAR:V=1.189746&amp;VAR:V0=1.253573&amp;VAR:V1=1.063651&amp;VAR:Y0=2008&amp;VAR:Y1=2009&amp;VAR:P=1413.897500&amp;VAR:DATE=20080502&amp;VAR:THRESH=|||||","|"}</definedName>
    <definedName name="_5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0.336066&amp;VAR:V=1.189746&amp;VAR:V0=1.253573&amp;VAR:V1=1.063651&amp;VAR:Y0=2008&amp;VAR:Y1=2009&amp;VAR:P=1413.897500&amp;VAR:DATE=20080502&amp;VAR:THRESH=|||||","|"}</definedName>
    <definedName name="_5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0.259563&amp;VAR:V=1.117434&amp;VAR:V0=1.158410&amp;VAR:V1=1.000547&amp;VAR:Y0=2008&amp;VAR:Y1=2009&amp;VAR:P=1370.400000&amp;VAR:DATE=20080404&amp;VAR:THRESH=|||||","|"}</definedName>
    <definedName name="_5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0.259563&amp;VAR:V=1.117434&amp;VAR:V0=1.158410&amp;VAR:V1=1.000547&amp;VAR:Y0=2008&amp;VAR:Y1=2009&amp;VAR:P=1370.400000&amp;VAR:DATE=20080404&amp;VAR:THRESH=|||||","|"}</definedName>
    <definedName name="_5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1.066895&amp;VAR:V0=1.089418&amp;VAR:V1=0.960615&amp;VAR:Y0=2008&amp;VAR:Y1=2009&amp;VAR:P=1326.753700&amp;VAR:DATE=20080304&amp;VAR:THRESH=|||||","|"}</definedName>
    <definedName name="_5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1.066895&amp;VAR:V0=1.089418&amp;VAR:V1=0.960615&amp;VAR:Y0=2008&amp;VAR:Y1=2009&amp;VAR:P=1326.753700&amp;VAR:DATE=20080304&amp;VAR:THRESH=|||||","|"}</definedName>
    <definedName name="_5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0.087432&amp;VAR:V=1.103015&amp;VAR:V0=1.113746&amp;VAR:V1=0.991008&amp;VAR:Y0=2008&amp;VAR:Y1=2009&amp;VAR:P=1395.415200&amp;VAR:DATE=20080201&amp;VAR:THRESH=|||||","|"}</definedName>
    <definedName name="_5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0.087432&amp;VAR:V=1.103015&amp;VAR:V0=1.113746&amp;VAR:V1=0.991008&amp;VAR:Y0=2008&amp;VAR:Y1=2009&amp;VAR:P=1395.415200&amp;VAR:DATE=20080201&amp;VAR:THRESH=|||||","|"}</definedName>
    <definedName name="_5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0.008197&amp;VAR:V=1.124567&amp;VAR:V0=1.125580&amp;VAR:V1=1.002046&amp;VAR:Y0=2008&amp;VAR:Y1=2009&amp;VAR:P=1447.164000&amp;VAR:DATE=20080103&amp;VAR:THRESH=|||||","|"}</definedName>
    <definedName name="_56__123Graph_XCHART_30" hidden="1">[2]Menu!$AF$15:$AO$15</definedName>
    <definedName name="_56__FDSAUDITLINK__" localSheetId="3"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10.923864&amp;VAR:V0=12.187487&amp;VAR:V1=10.714665&amp;VAR:Y0=2008&amp;VAR:Y1=2009&amp;VAR:P=966.303470&amp;VAR:DATE=20081103&amp;VAR:THRESH=|||||","|"}</definedName>
    <definedName name="_56__FDSAUDITLINK___1"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__FDSAUDITLINK___2"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0.008197&amp;VAR:V=1.124567&amp;VAR:V0=1.125580&amp;VAR:V1=1.002046&amp;VAR:Y0=2008&amp;VAR:Y1=2009&amp;VAR:P=1447.164000&amp;VAR:DATE=20080103&amp;VAR:THRESH=|||||","|"}</definedName>
    <definedName name="_5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1.142390&amp;VAR:V0=1.302620&amp;VAR:V1=1.129590&amp;VAR:Y0=2007&amp;VAR:Y1=2008&amp;VAR:P=1462.790200&amp;VAR:DATE=20071204&amp;VAR:THRESH=|||||","|"}</definedName>
    <definedName name="_5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1.142390&amp;VAR:V0=1.302620&amp;VAR:V1=1.129590&amp;VAR:Y0=2007&amp;VAR:Y1=2008&amp;VAR:P=1462.790200&amp;VAR:DATE=20071204&amp;VAR:THRESH=|||||","|"}</definedName>
    <definedName name="_5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0.838356&amp;VAR:V=1.178677&amp;VAR:V0=1.303489&amp;VAR:V1=1.154612&amp;VAR:Y0=2007&amp;VAR:Y1=2008&amp;VAR:P=1509.651700&amp;VAR:DATE=20071102&amp;VAR:THRESH=|||||","|"}</definedName>
    <definedName name="_5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0.838356&amp;VAR:V=1.178677&amp;VAR:V0=1.303489&amp;VAR:V1=1.154612&amp;VAR:Y0=2007&amp;VAR:Y1=2008&amp;VAR:P=1509.651700&amp;VAR:DATE=20071102&amp;VAR:THRESH=|||||","|"}</definedName>
    <definedName name="_5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1.236877&amp;VAR:V0=1.348794&amp;VAR:V1=1.201322&amp;VAR:Y0=2007&amp;VAR:Y1=2008&amp;VAR:P=1542.837900&amp;VAR:DATE=20071004&amp;VAR:THRESH=|||||","|"}</definedName>
    <definedName name="_5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1.236877&amp;VAR:V0=1.348794&amp;VAR:V1=1.201322&amp;VAR:Y0=2007&amp;VAR:Y1=2008&amp;VAR:P=1542.837900&amp;VAR:DATE=20071004&amp;VAR:THRESH=|||||","|"}</definedName>
    <definedName name="_5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1.219083&amp;VAR:V0=1.309862&amp;VAR:V1=1.175714&amp;VAR:Y0=2007&amp;VAR:Y1=2008&amp;VAR:P=1489.417600&amp;VAR:DATE=20070904&amp;VAR:THRESH=|||||","|"}</definedName>
    <definedName name="_5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1.219083&amp;VAR:V0=1.309862&amp;VAR:V1=1.175714&amp;VAR:Y0=2007&amp;VAR:Y1=2008&amp;VAR:P=1489.417600&amp;VAR:DATE=20070904&amp;VAR:THRESH=|||||","|"}</definedName>
    <definedName name="_5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0.589041&amp;VAR:V=1.174451&amp;VAR:V0=1.249277&amp;VAR:V1=1.122247&amp;VAR:Y0=2007&amp;VAR:Y1=2008&amp;VAR:P=1433.057900&amp;VAR:DATE=20070803&amp;VAR:THRESH=|||||","|"}</definedName>
    <definedName name="_57__123Graph_XLIQUIDS" hidden="1">[3]P!$R$29:$AK$29</definedName>
    <definedName name="_57__FDSAUDITLINK__" localSheetId="3"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0.756831&amp;VAR:V=11.343061&amp;VAR:V0=13.184840&amp;VAR:V1=10.855829&amp;VAR:Y0=2008&amp;VAR:Y1=2009&amp;VAR:P=1099.233800&amp;VAR:DATE=20081003&amp;VAR:THRESH=||||","||"}</definedName>
    <definedName name="_57__FDSAUDITLINK___1"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__FDSAUDITLINK___2"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0.589041&amp;VAR:V=1.174451&amp;VAR:V0=1.249277&amp;VAR:V1=1.122247&amp;VAR:Y0=2007&amp;VAR:Y1=2008&amp;VAR:P=1433.057900&amp;VAR:DATE=20070803&amp;VAR:THRESH=|||||","|"}</definedName>
    <definedName name="_5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0.509589&amp;VAR:V=1.271854&amp;VAR:V0=1.341867&amp;VAR:V1=1.204477&amp;VAR:Y0=2007&amp;VAR:Y1=2008&amp;VAR:P=1525.403100&amp;VAR:DATE=20070705&amp;VAR:THRESH=|||||","|"}</definedName>
    <definedName name="_5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0.509589&amp;VAR:V=1.271854&amp;VAR:V0=1.341867&amp;VAR:V1=1.204477&amp;VAR:Y0=2007&amp;VAR:Y1=2008&amp;VAR:P=1525.403100&amp;VAR:DATE=20070705&amp;VAR:THRESH=|||||","|"}</definedName>
    <definedName name="_5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1.298790&amp;VAR:V0=1.356466&amp;VAR:V1=1.220649&amp;VAR:Y0=2007&amp;VAR:Y1=2008&amp;VAR:P=1539.181800&amp;VAR:DATE=20070604&amp;VAR:THRESH=|||||","|"}</definedName>
    <definedName name="_5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1.298790&amp;VAR:V0=1.356466&amp;VAR:V1=1.220649&amp;VAR:Y0=2007&amp;VAR:Y1=2008&amp;VAR:P=1539.181800&amp;VAR:DATE=20070604&amp;VAR:THRESH=|||||","|"}</definedName>
    <definedName name="_5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1.289927&amp;VAR:V0=1.335864&amp;VAR:V1=1.200647&amp;VAR:Y0=2007&amp;VAR:Y1=2008&amp;VAR:P=1505.617000&amp;VAR:DATE=20070504&amp;VAR:THRESH=|||||","|"}</definedName>
    <definedName name="_5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1.289927&amp;VAR:V0=1.335864&amp;VAR:V1=1.200647&amp;VAR:Y0=2007&amp;VAR:Y1=2008&amp;VAR:P=1505.617000&amp;VAR:DATE=20070504&amp;VAR:THRESH=|||||","|"}</definedName>
    <definedName name="_5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1.268994&amp;VAR:V0=1.303139&amp;VAR:V1=1.170555&amp;VAR:Y0=2007&amp;VAR:Y1=2008&amp;VAR:P=1439.366200&amp;VAR:DATE=20070404&amp;VAR:THRESH=|||||","|"}</definedName>
    <definedName name="_5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1.268994&amp;VAR:V0=1.303139&amp;VAR:V1=1.170555&amp;VAR:Y0=2007&amp;VAR:Y1=2008&amp;VAR:P=1439.366200&amp;VAR:DATE=20070404&amp;VAR:THRESH=|||||","|"}</definedName>
    <definedName name="_5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1.206041&amp;VAR:V0=1.227591&amp;VAR:V1=1.104689&amp;VAR:Y0=2007&amp;VAR:Y1=2008&amp;VAR:P=1374.122400&amp;VAR:DATE=20070305&amp;VAR:THRESH=|||||","|"}</definedName>
    <definedName name="_58__123Graph_XR_M_MARG" hidden="1">[3]P!$R$29:$AK$29</definedName>
    <definedName name="_58__FDSAUDITLINK__" localSheetId="3"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0.756831&amp;VAR:V=11.343061&amp;VAR:V0=13.184840&amp;VAR:V1=10.855829&amp;VAR:Y0=2008&amp;VAR:Y1=2009&amp;VAR:P=1099.233800&amp;VAR:DATE=20081003&amp;VAR:THRESH=||||","||"}</definedName>
    <definedName name="_58__FDSAUDITLINK___1"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__FDSAUDITLINK___2"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1.206041&amp;VAR:V0=1.227591&amp;VAR:V1=1.104689&amp;VAR:Y0=2007&amp;VAR:Y1=2008&amp;VAR:P=1374.122400&amp;VAR:DATE=20070305&amp;VAR:THRESH=|||||","|"}</definedName>
    <definedName name="_5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1.280177&amp;VAR:V0=1.291495&amp;VAR:V1=1.166313&amp;VAR:Y0=2007&amp;VAR:Y1=2008&amp;VAR:P=1448.390100&amp;VAR:DATE=20070202&amp;VAR:THRESH=|||||","|"}</definedName>
    <definedName name="_5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1.280177&amp;VAR:V0=1.291495&amp;VAR:V1=1.166313&amp;VAR:Y0=2007&amp;VAR:Y1=2008&amp;VAR:P=1448.390100&amp;VAR:DATE=20070202&amp;VAR:THRESH=|||||","|"}</definedName>
    <definedName name="_5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1.240508&amp;VAR:V0=1.241438&amp;VAR:V1=1.128363&amp;VAR:Y0=2007&amp;VAR:Y1=2008&amp;VAR:P=1416.602000&amp;VAR:DATE=20070103&amp;VAR:THRESH=|||||","|"}</definedName>
    <definedName name="_5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1.240508&amp;VAR:V0=1.241438&amp;VAR:V1=1.128363&amp;VAR:Y0=2007&amp;VAR:Y1=2008&amp;VAR:P=1416.602000&amp;VAR:DATE=20070103&amp;VAR:THRESH=|||||","|"}</definedName>
    <definedName name="_5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1.239440&amp;VAR:V0=1.344490&amp;VAR:V1=1.231049&amp;VAR:Y0=2006&amp;VAR:Y1=2007&amp;VAR:P=1409.118800&amp;VAR:DATE=20061204&amp;VAR:THRESH=|||||","|"}</definedName>
    <definedName name="_5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1.239440&amp;VAR:V0=1.344490&amp;VAR:V1=1.231049&amp;VAR:Y0=2006&amp;VAR:Y1=2007&amp;VAR:P=1409.118800&amp;VAR:DATE=20061204&amp;VAR:THRESH=|||||","|"}</definedName>
    <definedName name="_5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1.222130&amp;VAR:V0=1.317625&amp;VAR:V1=1.204089&amp;VAR:Y0=2006&amp;VAR:Y1=2007&amp;VAR:P=1364.296900&amp;VAR:DATE=20061103&amp;VAR:THRESH=|||||","|"}</definedName>
    <definedName name="_5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1.222130&amp;VAR:V0=1.317625&amp;VAR:V1=1.204089&amp;VAR:Y0=2006&amp;VAR:Y1=2007&amp;VAR:P=1364.296900&amp;VAR:DATE=20061103&amp;VAR:THRESH=|||||","|"}</definedName>
    <definedName name="_5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1.225547&amp;VAR:V0=1.318527&amp;VAR:V1=1.196008&amp;VAR:Y0=2006&amp;VAR:Y1=2007&amp;VAR:P=1350.217500&amp;VAR:DATE=20061004&amp;VAR:THRESH=|||||","|"}</definedName>
    <definedName name="_59__FDSAUDITLINK__" localSheetId="3"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12.927442&amp;VAR:V0=15.209304&amp;VAR:V1=12.056009&amp;VAR:Y0=2008&amp;VAR:Y1=2009&amp;VAR:P=1274.980300&amp;VAR:DATE=20080903&amp;VAR:THRESH=||||","||"}</definedName>
    <definedName name="_59__FDSAUDITLINK___1"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__FDSAUDITLINK___2"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1.225547&amp;VAR:V0=1.318527&amp;VAR:V1=1.196008&amp;VAR:Y0=2006&amp;VAR:Y1=2007&amp;VAR:P=1350.217500&amp;VAR:DATE=20061004&amp;VAR:THRESH=|||||","|"}</definedName>
    <definedName name="_5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0.668493&amp;VAR:V=1.192468&amp;VAR:V0=1.269566&amp;VAR:V1=1.154235&amp;VAR:Y0=2006&amp;VAR:Y1=2007&amp;VAR:P=1311.011000&amp;VAR:DATE=20060901&amp;VAR:THRESH=|||||","|"}</definedName>
    <definedName name="_5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0.668493&amp;VAR:V=1.192468&amp;VAR:V0=1.269566&amp;VAR:V1=1.154235&amp;VAR:Y0=2006&amp;VAR:Y1=2007&amp;VAR:P=1311.011000&amp;VAR:DATE=20060901&amp;VAR:THRESH=|||||","|"}</definedName>
    <definedName name="_5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1.170882&amp;VAR:V0=1.237409&amp;VAR:V1=1.124991&amp;VAR:Y0=2006&amp;VAR:Y1=2007&amp;VAR:P=1279.362400&amp;VAR:DATE=20060804&amp;VAR:THRESH=|||||","|"}</definedName>
    <definedName name="_5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1.170882&amp;VAR:V0=1.237409&amp;VAR:V1=1.124991&amp;VAR:Y0=2006&amp;VAR:Y1=2007&amp;VAR:P=1279.362400&amp;VAR:DATE=20060804&amp;VAR:THRESH=|||||","|"}</definedName>
    <definedName name="_5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1.163443&amp;VAR:V0=1.223023&amp;VAR:V1=1.104835&amp;VAR:Y0=2006&amp;VAR:Y1=2007&amp;VAR:P=1280.189000&amp;VAR:DATE=20060703&amp;VAR:THRESH=|||||","|"}</definedName>
    <definedName name="_5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1.163443&amp;VAR:V0=1.223023&amp;VAR:V1=1.104835&amp;VAR:Y0=2006&amp;VAR:Y1=2007&amp;VAR:P=1280.189000&amp;VAR:DATE=20060703&amp;VAR:THRESH=|||||","|"}</definedName>
    <definedName name="_5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0.419178&amp;VAR:V=1.178852&amp;VAR:V0=1.226401&amp;VAR:V1=1.112967&amp;VAR:Y0=2006&amp;VAR:Y1=2007&amp;VAR:P=1288.218300&amp;VAR:DATE=20060602&amp;VAR:THRESH=|||||","|"}</definedName>
    <definedName name="_5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0.419178&amp;VAR:V=1.178852&amp;VAR:V0=1.226401&amp;VAR:V1=1.112967&amp;VAR:Y0=2006&amp;VAR:Y1=2007&amp;VAR:P=1288.218300&amp;VAR:DATE=20060602&amp;VAR:THRESH=|||||","|"}</definedName>
    <definedName name="_5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1.224272&amp;VAR:V0=1.265277&amp;VAR:V1=1.145543&amp;VAR:Y0=2006&amp;VAR:Y1=2007&amp;VAR:P=1325.760900&amp;VAR:DATE=20060505&amp;VAR:THRESH=|||||","|"}</definedName>
    <definedName name="_6__FDSAUDITLINK__" localSheetId="3"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12.908797&amp;VAR:V0=14.467518&amp;VAR:V1=12.794267&amp;VAR:Y0=2010&amp;VAR:Y1=2011&amp;VAR:P=1224.707723&amp;VAR:DATE=20101203&amp;VAR:THRESH=||||","||"}</definedName>
    <definedName name="_6__FDSAUDITLINK___1"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__FDSAUDITLINK___2"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0__FDSAUDITLINK__" localSheetId="3"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12.927442&amp;VAR:V0=15.209304&amp;VAR:V1=12.056009&amp;VAR:Y0=2008&amp;VAR:Y1=2009&amp;VAR:P=1274.980300&amp;VAR:DATE=20080903&amp;VAR:THRESH=||||","||"}</definedName>
    <definedName name="_60__FDSAUDITLINK___1"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__FDSAUDITLINK___2"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1.224272&amp;VAR:V0=1.265277&amp;VAR:V1=1.145543&amp;VAR:Y0=2006&amp;VAR:Y1=2007&amp;VAR:P=1325.760900&amp;VAR:DATE=20060505&amp;VAR:THRESH=|||||","|"}</definedName>
    <definedName name="_6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1.213580&amp;VAR:V0=1.242989&amp;VAR:V1=1.128792&amp;VAR:Y0=2006&amp;VAR:Y1=2007&amp;VAR:P=1305.934900&amp;VAR:DATE=20060404&amp;VAR:THRESH=|||||","|"}</definedName>
    <definedName name="_6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1.213580&amp;VAR:V0=1.242989&amp;VAR:V1=1.128792&amp;VAR:Y0=2006&amp;VAR:Y1=2007&amp;VAR:P=1305.934900&amp;VAR:DATE=20060404&amp;VAR:THRESH=|||||","|"}</definedName>
    <definedName name="_6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0.169863&amp;VAR:V=1.209764&amp;VAR:V0=1.228928&amp;VAR:V1=1.116108&amp;VAR:Y0=2006&amp;VAR:Y1=2007&amp;VAR:P=1287.231200&amp;VAR:DATE=20060303&amp;VAR:THRESH=|||||","|"}</definedName>
    <definedName name="_6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0.169863&amp;VAR:V=1.209764&amp;VAR:V0=1.228928&amp;VAR:V1=1.116108&amp;VAR:Y0=2006&amp;VAR:Y1=2007&amp;VAR:P=1287.231200&amp;VAR:DATE=20060303&amp;VAR:THRESH=|||||","|"}</definedName>
    <definedName name="_6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1.200789&amp;VAR:V0=1.210225&amp;VAR:V1=1.105859&amp;VAR:Y0=2006&amp;VAR:Y1=2007&amp;VAR:P=1270.836800&amp;VAR:DATE=20060202&amp;VAR:THRESH=|||||","|"}</definedName>
    <definedName name="_6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1.200789&amp;VAR:V0=1.210225&amp;VAR:V1=1.105859&amp;VAR:Y0=2006&amp;VAR:Y1=2007&amp;VAR:P=1270.836800&amp;VAR:DATE=20060202&amp;VAR:THRESH=|||||","|"}</definedName>
    <definedName name="_6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1.211712&amp;VAR:V0=1.212443&amp;VAR:V1=1.123597&amp;VAR:Y0=2006&amp;VAR:Y1=2007&amp;VAR:P=1268.800400&amp;VAR:DATE=20060103&amp;VAR:THRESH=|||||","|"}</definedName>
    <definedName name="_6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1.211712&amp;VAR:V0=1.212443&amp;VAR:V1=1.123597&amp;VAR:Y0=2006&amp;VAR:Y1=2007&amp;VAR:P=1268.800400&amp;VAR:DATE=20060103&amp;VAR:THRESH=|||||","|"}</definedName>
    <definedName name="_6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0.920548&amp;VAR:V=1.216849&amp;VAR:V0=1.356922&amp;VAR:V1=1.204759&amp;VAR:Y0=2005&amp;VAR:Y1=2006&amp;VAR:P=1265.080000&amp;VAR:DATE=20051202&amp;VAR:THRESH=|||||","|"}</definedName>
    <definedName name="_61__FDSAUDITLINK__" localSheetId="3"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0.584699&amp;VAR:V=12.767415&amp;VAR:V0=14.510593&amp;VAR:V1=11.763657&amp;VAR:Y0=2008&amp;VAR:Y1=2009&amp;VAR:P=1260.313800&amp;VAR:DATE=20080801&amp;VAR:THRESH=||||","||"}</definedName>
    <definedName name="_61__FDSAUDITLINK___1"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__FDSAUDITLINK___2"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0.920548&amp;VAR:V=1.216849&amp;VAR:V0=1.356922&amp;VAR:V1=1.204759&amp;VAR:Y0=2005&amp;VAR:Y1=2006&amp;VAR:P=1265.080000&amp;VAR:DATE=20051202&amp;VAR:THRESH=|||||","|"}</definedName>
    <definedName name="_6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1.183982&amp;VAR:V0=1.300308&amp;VAR:V1=1.162005&amp;VAR:Y0=2005&amp;VAR:Y1=2006&amp;VAR:P=1219.936300&amp;VAR:DATE=20051103&amp;VAR:THRESH=|||||","|"}</definedName>
    <definedName name="_6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1.183982&amp;VAR:V0=1.300308&amp;VAR:V1=1.162005&amp;VAR:Y0=2005&amp;VAR:Y1=2006&amp;VAR:P=1219.936300&amp;VAR:DATE=20051103&amp;VAR:THRESH=|||||","|"}</definedName>
    <definedName name="_6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1.207596&amp;VAR:V0=1.306369&amp;VAR:V1=1.176217&amp;VAR:Y0=2005&amp;VAR:Y1=2006&amp;VAR:P=1214.473400&amp;VAR:DATE=20051004&amp;VAR:THRESH=|||||","|"}</definedName>
    <definedName name="_6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1.207596&amp;VAR:V0=1.306369&amp;VAR:V1=1.176217&amp;VAR:Y0=2005&amp;VAR:Y1=2006&amp;VAR:P=1214.473400&amp;VAR:DATE=20051004&amp;VAR:THRESH=|||||","|"}</definedName>
    <definedName name="_6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0.671233&amp;VAR:V=1.237635&amp;VAR:V0=1.322095&amp;VAR:V1=1.196266&amp;VAR:Y0=2005&amp;VAR:Y1=2006&amp;VAR:P=1218.021100&amp;VAR:DATE=20050902&amp;VAR:THRESH=|||||","|"}</definedName>
    <definedName name="_6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0.671233&amp;VAR:V=1.237635&amp;VAR:V0=1.322095&amp;VAR:V1=1.196266&amp;VAR:Y0=2005&amp;VAR:Y1=2006&amp;VAR:P=1218.021100&amp;VAR:DATE=20050902&amp;VAR:THRESH=|||||","|"}</definedName>
    <definedName name="_6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1.274436&amp;VAR:V0=1.350678&amp;VAR:V1=1.221843&amp;VAR:Y0=2005&amp;VAR:Y1=2006&amp;VAR:P=1235.858800&amp;VAR:DATE=20050804&amp;VAR:THRESH=|||||","|"}</definedName>
    <definedName name="_6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1.274436&amp;VAR:V0=1.350678&amp;VAR:V1=1.221843&amp;VAR:Y0=2005&amp;VAR:Y1=2006&amp;VAR:P=1235.858800&amp;VAR:DATE=20050804&amp;VAR:THRESH=|||||","|"}</definedName>
    <definedName name="_6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0.498630&amp;VAR:V=1.280903&amp;VAR:V0=1.342170&amp;VAR:V1=1.219298&amp;VAR:Y0=2005&amp;VAR:Y1=2006&amp;VAR:P=1194.440200&amp;VAR:DATE=20050701&amp;VAR:THRESH=|||||","|"}</definedName>
    <definedName name="_62__FDSAUDITLINK__" localSheetId="3"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0.584699&amp;VAR:V=12.767415&amp;VAR:V0=14.510593&amp;VAR:V1=11.763657&amp;VAR:Y0=2008&amp;VAR:Y1=2009&amp;VAR:P=1260.313800&amp;VAR:DATE=20080801&amp;VAR:THRESH=||||","||"}</definedName>
    <definedName name="_62__FDSAUDITLINK___1"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__FDSAUDITLINK___2"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0.498630&amp;VAR:V=1.280903&amp;VAR:V0=1.342170&amp;VAR:V1=1.219298&amp;VAR:Y0=2005&amp;VAR:Y1=2006&amp;VAR:P=1194.440200&amp;VAR:DATE=20050701&amp;VAR:THRESH=|||||","|"}</definedName>
    <definedName name="_6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0.421918&amp;VAR:V=1.282465&amp;VAR:V0=1.332071&amp;VAR:V1=1.214499&amp;VAR:Y0=2005&amp;VAR:Y1=2006&amp;VAR:P=1196.016000&amp;VAR:DATE=20050603&amp;VAR:THRESH=|||||","|"}</definedName>
    <definedName name="_6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0.421918&amp;VAR:V=1.282465&amp;VAR:V0=1.332071&amp;VAR:V1=1.214499&amp;VAR:Y0=2005&amp;VAR:Y1=2006&amp;VAR:P=1196.016000&amp;VAR:DATE=20050603&amp;VAR:THRESH=|||||","|"}</definedName>
    <definedName name="_6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1.281153&amp;VAR:V0=1.319953&amp;VAR:V1=1.205741&amp;VAR:Y0=2005&amp;VAR:Y1=2006&amp;VAR:P=1175.650900&amp;VAR:DATE=20050504&amp;VAR:THRESH=|||||","|"}</definedName>
    <definedName name="_6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1.281153&amp;VAR:V0=1.319953&amp;VAR:V1=1.205741&amp;VAR:Y0=2005&amp;VAR:Y1=2006&amp;VAR:P=1175.650900&amp;VAR:DATE=20050504&amp;VAR:THRESH=|||||","|"}</definedName>
    <definedName name="_6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1.294468&amp;VAR:V0=1.326249&amp;VAR:V1=1.202844&amp;VAR:Y0=2005&amp;VAR:Y1=2006&amp;VAR:P=1176.122900&amp;VAR:DATE=20050404&amp;VAR:THRESH=|||||","|"}</definedName>
    <definedName name="_6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1.294468&amp;VAR:V0=1.326249&amp;VAR:V1=1.202844&amp;VAR:Y0=2005&amp;VAR:Y1=2006&amp;VAR:P=1176.122900&amp;VAR:DATE=20050404&amp;VAR:THRESH=|||||","|"}</definedName>
    <definedName name="_6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1.354952&amp;VAR:V0=1.377102&amp;VAR:V1=1.248774&amp;VAR:Y0=2005&amp;VAR:Y1=2006&amp;VAR:P=1222.124500&amp;VAR:DATE=20050304&amp;VAR:THRESH=|||||","|"}</definedName>
    <definedName name="_6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1.354952&amp;VAR:V0=1.377102&amp;VAR:V1=1.248774&amp;VAR:Y0=2005&amp;VAR:Y1=2006&amp;VAR:P=1222.124500&amp;VAR:DATE=20050304&amp;VAR:THRESH=|||||","|"}</definedName>
    <definedName name="_6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1.330207&amp;VAR:V0=1.340859&amp;VAR:V1=1.223039&amp;VAR:Y0=2005&amp;VAR:Y1=2006&amp;VAR:P=1193.185300&amp;VAR:DATE=20050202&amp;VAR:THRESH=|||||","|"}</definedName>
    <definedName name="_63__FDSAUDITLINK__" localSheetId="3"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0.505464&amp;VAR:V=12.624700&amp;VAR:V0=13.890564&amp;VAR:V1=11.591217&amp;VAR:Y0=2008&amp;VAR:Y1=2009&amp;VAR:P=1262.897200&amp;VAR:DATE=20080703&amp;VAR:THRESH=||||","||"}</definedName>
    <definedName name="_63__FDSAUDITLINK___1"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__FDSAUDITLINK___2"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1.330207&amp;VAR:V0=1.340859&amp;VAR:V1=1.223039&amp;VAR:Y0=2005&amp;VAR:Y1=2006&amp;VAR:P=1193.185300&amp;VAR:DATE=20050202&amp;VAR:THRESH=|||||","|"}</definedName>
    <definedName name="_6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1.347881&amp;VAR:V0=1.348763&amp;VAR:V1=1.241507&amp;VAR:Y0=2005&amp;VAR:Y1=2006&amp;VAR:P=1202.084400&amp;VAR:DATE=20050103&amp;VAR:THRESH=|||||","|"}</definedName>
    <definedName name="_6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1.347881&amp;VAR:V0=1.348763&amp;VAR:V1=1.241507&amp;VAR:Y0=2005&amp;VAR:Y1=2006&amp;VAR:P=1202.084400&amp;VAR:DATE=20050103&amp;VAR:THRESH=|||||","|"}</definedName>
    <definedName name="_6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1.347936&amp;VAR:V0=1.483280&amp;VAR:V1=1.336724&amp;VAR:Y0=2004&amp;VAR:Y1=2005&amp;VAR:P=1191.167100&amp;VAR:DATE=20041203&amp;VAR:THRESH=|||||","|"}</definedName>
    <definedName name="_6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1.347936&amp;VAR:V0=1.483280&amp;VAR:V1=1.336724&amp;VAR:Y0=2004&amp;VAR:Y1=2005&amp;VAR:P=1191.167100&amp;VAR:DATE=20041203&amp;VAR:THRESH=|||||","|"}</definedName>
    <definedName name="_6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1.322601&amp;VAR:V0=1.434480&amp;VAR:V1=1.301532&amp;VAR:Y0=2004&amp;VAR:Y1=2005&amp;VAR:P=1143.195400&amp;VAR:DATE=20041103&amp;VAR:THRESH=|||||","|"}</definedName>
    <definedName name="_6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1.322601&amp;VAR:V0=1.434480&amp;VAR:V1=1.301532&amp;VAR:Y0=2004&amp;VAR:Y1=2005&amp;VAR:P=1143.195400&amp;VAR:DATE=20041103&amp;VAR:THRESH=|||||","|"}</definedName>
    <definedName name="_6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0.751366&amp;VAR:V=1.324997&amp;VAR:V0=1.420498&amp;VAR:V1=1.293395&amp;VAR:Y0=2004&amp;VAR:Y1=2005&amp;VAR:P=1131.500900&amp;VAR:DATE=20041001&amp;VAR:THRESH=|||||","|"}</definedName>
    <definedName name="_6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0.751366&amp;VAR:V=1.324997&amp;VAR:V0=1.420498&amp;VAR:V1=1.293395&amp;VAR:Y0=2004&amp;VAR:Y1=2005&amp;VAR:P=1131.500900&amp;VAR:DATE=20041001&amp;VAR:THRESH=|||||","|"}</definedName>
    <definedName name="_6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1.315979&amp;VAR:V0=1.403258&amp;VAR:V1=1.273929&amp;VAR:Y0=2004&amp;VAR:Y1=2005&amp;VAR:P=1113.630500&amp;VAR:DATE=20040903&amp;VAR:THRESH=|||||","|"}</definedName>
    <definedName name="_64__FDSAUDITLINK__" localSheetId="3"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0.505464&amp;VAR:V=12.624700&amp;VAR:V0=13.890564&amp;VAR:V1=11.591217&amp;VAR:Y0=2008&amp;VAR:Y1=2009&amp;VAR:P=1262.897200&amp;VAR:DATE=20080703&amp;VAR:THRESH=||||","||"}</definedName>
    <definedName name="_64__FDSAUDITLINK___1"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__FDSAUDITLINK___2"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1.315979&amp;VAR:V0=1.403258&amp;VAR:V1=1.273929&amp;VAR:Y0=2004&amp;VAR:Y1=2005&amp;VAR:P=1113.630500&amp;VAR:DATE=20040903&amp;VAR:THRESH=|||||","|"}</definedName>
    <definedName name="_6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0.590164&amp;VAR:V=1.322839&amp;VAR:V0=1.397240&amp;VAR:V1=1.271171&amp;VAR:Y0=2004&amp;VAR:Y1=2005&amp;VAR:P=1099.687900&amp;VAR:DATE=20040803&amp;VAR:THRESH=|||||","|"}</definedName>
    <definedName name="_6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0.590164&amp;VAR:V=1.322839&amp;VAR:V0=1.397240&amp;VAR:V1=1.271171&amp;VAR:Y0=2004&amp;VAR:Y1=2005&amp;VAR:P=1099.687900&amp;VAR:DATE=20040803&amp;VAR:THRESH=|||||","|"}</definedName>
    <definedName name="_6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0.502732&amp;VAR:V=1.354892&amp;VAR:V0=1.421737&amp;VAR:V1=1.288774&amp;VAR:Y0=2004&amp;VAR:Y1=2005&amp;VAR:P=1125.379900&amp;VAR:DATE=20040702&amp;VAR:THRESH=|||||","|"}</definedName>
    <definedName name="_6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0.502732&amp;VAR:V=1.354892&amp;VAR:V0=1.421737&amp;VAR:V1=1.288774&amp;VAR:Y0=2004&amp;VAR:Y1=2005&amp;VAR:P=1125.379900&amp;VAR:DATE=20040702&amp;VAR:THRESH=|||||","|"}</definedName>
    <definedName name="_6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1.362224&amp;VAR:V0=1.422463&amp;VAR:V1=1.281133&amp;VAR:Y0=2004&amp;VAR:Y1=2005&amp;VAR:P=1122.504200&amp;VAR:DATE=20040604&amp;VAR:THRESH=|||||","|"}</definedName>
    <definedName name="_6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1.362224&amp;VAR:V0=1.422463&amp;VAR:V1=1.281133&amp;VAR:Y0=2004&amp;VAR:Y1=2005&amp;VAR:P=1122.504200&amp;VAR:DATE=20040604&amp;VAR:THRESH=|||||","|"}</definedName>
    <definedName name="_6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0.341530&amp;VAR:V=1.396751&amp;VAR:V0=1.445084&amp;VAR:V1=1.303564&amp;VAR:Y0=2004&amp;VAR:Y1=2005&amp;VAR:P=1119.553600&amp;VAR:DATE=20040504&amp;VAR:THRESH=|||||","|"}</definedName>
    <definedName name="_6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0.341530&amp;VAR:V=1.396751&amp;VAR:V0=1.445084&amp;VAR:V1=1.303564&amp;VAR:Y0=2004&amp;VAR:Y1=2005&amp;VAR:P=1119.553600&amp;VAR:DATE=20040504&amp;VAR:THRESH=|||||","|"}</definedName>
    <definedName name="_6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0.254098&amp;VAR:V=1.467819&amp;VAR:V0=1.508930&amp;VAR:V1=1.347139&amp;VAR:Y0=2004&amp;VAR:Y1=2005&amp;VAR:P=1141.809800&amp;VAR:DATE=20040402&amp;VAR:THRESH=|||||","|"}</definedName>
    <definedName name="_65__FDSAUDITLINK__" localSheetId="3"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13.781885&amp;VAR:V0=14.883901&amp;VAR:V1=12.532742&amp;VAR:Y0=2008&amp;VAR:Y1=2009&amp;VAR:P=1377.199500&amp;VAR:DATE=20080604&amp;VAR:THRESH=||||","||"}</definedName>
    <definedName name="_65__FDSAUDITLINK___1"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__FDSAUDITLINK___2"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0.254098&amp;VAR:V=1.467819&amp;VAR:V0=1.508930&amp;VAR:V1=1.347139&amp;VAR:Y0=2004&amp;VAR:Y1=2005&amp;VAR:P=1141.809800&amp;VAR:DATE=20040402&amp;VAR:THRESH=|||||","|"}</definedName>
    <definedName name="_6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1.519185&amp;VAR:V0=1.549940&amp;VAR:V1=1.374062&amp;VAR:Y0=2004&amp;VAR:Y1=2005&amp;VAR:P=1154.875200&amp;VAR:DATE=20040304&amp;VAR:THRESH=|||||","|"}</definedName>
    <definedName name="_6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1.519185&amp;VAR:V0=1.549940&amp;VAR:V1=1.374062&amp;VAR:Y0=2004&amp;VAR:Y1=2005&amp;VAR:P=1154.875200&amp;VAR:DATE=20040304&amp;VAR:THRESH=|||||","|"}</definedName>
    <definedName name="_6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0.092896&amp;VAR:V=1.517276&amp;VAR:V0=1.533494&amp;VAR:V1=1.358911&amp;VAR:Y0=2004&amp;VAR:Y1=2005&amp;VAR:P=1136.034400&amp;VAR:DATE=20040203&amp;VAR:THRESH=|||||","|"}</definedName>
    <definedName name="_6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0.092896&amp;VAR:V=1.517276&amp;VAR:V0=1.533494&amp;VAR:V1=1.358911&amp;VAR:Y0=2004&amp;VAR:Y1=2005&amp;VAR:P=1136.034400&amp;VAR:DATE=20040203&amp;VAR:THRESH=|||||","|"}</definedName>
    <definedName name="_6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0.005464&amp;VAR:V=1.498180&amp;VAR:V0=1.498957&amp;VAR:V1=1.356719&amp;VAR:Y0=2004&amp;VAR:Y1=2005&amp;VAR:P=1108.484600&amp;VAR:DATE=20040102&amp;VAR:THRESH=|||||","|"}</definedName>
    <definedName name="_6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0.005464&amp;VAR:V=1.498180&amp;VAR:V0=1.498957&amp;VAR:V1=1.356719&amp;VAR:Y0=2004&amp;VAR:Y1=2005&amp;VAR:P=1108.484600&amp;VAR:DATE=20040102&amp;VAR:THRESH=|||||","|"}</definedName>
    <definedName name="_6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1.470638&amp;VAR:V0=1.645703&amp;VAR:V1=1.456653&amp;VAR:Y0=2003&amp;VAR:Y1=2004&amp;VAR:P=1069.718500&amp;VAR:DATE=20031204&amp;VAR:THRESH=|||||","|"}</definedName>
    <definedName name="_6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1.470638&amp;VAR:V0=1.645703&amp;VAR:V1=1.456653&amp;VAR:Y0=2003&amp;VAR:Y1=2004&amp;VAR:P=1069.718500&amp;VAR:DATE=20031204&amp;VAR:THRESH=|||||","|"}</definedName>
    <definedName name="_6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1.470466&amp;VAR:V0=1.622381&amp;VAR:V1=1.441765&amp;VAR:Y0=2003&amp;VAR:Y1=2004&amp;VAR:P=1059.015600&amp;VAR:DATE=20031103&amp;VAR:THRESH=|||||","|"}</definedName>
    <definedName name="_66__FDSAUDITLINK__" localSheetId="3"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13.781885&amp;VAR:V0=14.883901&amp;VAR:V1=12.532742&amp;VAR:Y0=2008&amp;VAR:Y1=2009&amp;VAR:P=1377.199500&amp;VAR:DATE=20080604&amp;VAR:THRESH=||||","||"}</definedName>
    <definedName name="_66__FDSAUDITLINK___1"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__FDSAUDITLINK___2"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1.470466&amp;VAR:V0=1.622381&amp;VAR:V1=1.441765&amp;VAR:Y0=2003&amp;VAR:Y1=2004&amp;VAR:P=1059.015600&amp;VAR:DATE=20031103&amp;VAR:THRESH=|||||","|"}</definedName>
    <definedName name="_6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0.756164&amp;VAR:V=1.450242&amp;VAR:V0=1.585804&amp;VAR:V1=1.406528&amp;VAR:Y0=2003&amp;VAR:Y1=2004&amp;VAR:P=1029.848000&amp;VAR:DATE=20031003&amp;VAR:THRESH=|||||","|"}</definedName>
    <definedName name="_6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0.756164&amp;VAR:V=1.450242&amp;VAR:V0=1.585804&amp;VAR:V1=1.406528&amp;VAR:Y0=2003&amp;VAR:Y1=2004&amp;VAR:P=1029.848000&amp;VAR:DATE=20031003&amp;VAR:THRESH=|||||","|"}</definedName>
    <definedName name="_6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1.459965&amp;VAR:V0=1.575986&amp;VAR:V1=1.404538&amp;VAR:Y0=2003&amp;VAR:Y1=2004&amp;VAR:P=1027.970800&amp;VAR:DATE=20030904&amp;VAR:THRESH=|||||","|"}</definedName>
    <definedName name="_6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1.459965&amp;VAR:V0=1.575986&amp;VAR:V1=1.404538&amp;VAR:Y0=2003&amp;VAR:Y1=2004&amp;VAR:P=1027.970800&amp;VAR:DATE=20030904&amp;VAR:THRESH=|||||","|"}</definedName>
    <definedName name="_6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1.409807&amp;VAR:V0=1.508684&amp;VAR:V1=1.341601&amp;VAR:Y0=2003&amp;VAR:Y1=2004&amp;VAR:P=982.815060&amp;VAR:DATE=20030804&amp;VAR:THRESH=||||||"}</definedName>
    <definedName name="_6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1.409807&amp;VAR:V0=1.508684&amp;VAR:V1=1.341601&amp;VAR:Y0=2003&amp;VAR:Y1=2004&amp;VAR:P=982.815060&amp;VAR:DATE=20030804&amp;VAR:THRESH=||||||"}</definedName>
    <definedName name="_6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1.433147&amp;VAR:V0=1.523129&amp;VAR:V1=1.344632&amp;VAR:Y0=2003&amp;VAR:Y1=2004&amp;VAR:P=985.700000&amp;VAR:DATE=20030703&amp;VAR:THRESH=||||||"}</definedName>
    <definedName name="_6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1.433147&amp;VAR:V0=1.523129&amp;VAR:V1=1.344632&amp;VAR:Y0=2003&amp;VAR:Y1=2004&amp;VAR:P=985.700000&amp;VAR:DATE=20030703&amp;VAR:THRESH=||||||"}</definedName>
    <definedName name="_6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1.439871&amp;VAR:V0=1.514534&amp;VAR:V1=1.338715&amp;VAR:Y0=2003&amp;VAR:Y1=2004&amp;VAR:P=986.238900&amp;VAR:DATE=20030604&amp;VAR:THRESH=||||||"}</definedName>
    <definedName name="_67__FDSAUDITLINK__" localSheetId="3"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0.336066&amp;VAR:V=14.348521&amp;VAR:V0=15.209530&amp;VAR:V1=12.905216&amp;VAR:Y0=2008&amp;VAR:Y1=2009&amp;VAR:P=1413.897500&amp;VAR:DATE=20080502&amp;VAR:THRESH=||||","||"}</definedName>
    <definedName name="_67__FDSAUDITLINK___1"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__FDSAUDITLINK___2"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1.439871&amp;VAR:V0=1.514534&amp;VAR:V1=1.338715&amp;VAR:Y0=2003&amp;VAR:Y1=2004&amp;VAR:P=986.238900&amp;VAR:DATE=20030604&amp;VAR:THRESH=||||||"}</definedName>
    <definedName name="_6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1.354900&amp;VAR:V0=1.412529&amp;VAR:V1=1.244253&amp;VAR:Y0=2003&amp;VAR:Y1=2004&amp;VAR:P=926.548200&amp;VAR:DATE=20030505&amp;VAR:THRESH=||||||"}</definedName>
    <definedName name="_6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1.354900&amp;VAR:V0=1.412529&amp;VAR:V1=1.244253&amp;VAR:Y0=2003&amp;VAR:Y1=2004&amp;VAR:P=926.548200&amp;VAR:DATE=20030505&amp;VAR:THRESH=||||||"}</definedName>
    <definedName name="_6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1.301695&amp;VAR:V0=1.347207&amp;VAR:V1=1.170486&amp;VAR:Y0=2003&amp;VAR:Y1=2004&amp;VAR:P=878.852500&amp;VAR:DATE=20030404&amp;VAR:THRESH=||||||"}</definedName>
    <definedName name="_6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1.301695&amp;VAR:V0=1.347207&amp;VAR:V1=1.170486&amp;VAR:Y0=2003&amp;VAR:Y1=2004&amp;VAR:P=878.852500&amp;VAR:DATE=20030404&amp;VAR:THRESH=||||||"}</definedName>
    <definedName name="_6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1.230591&amp;VAR:V0=1.260158&amp;VAR:V1=1.091531&amp;VAR:Y0=2003&amp;VAR:Y1=2004&amp;VAR:P=829.851560&amp;VAR:DATE=20030305&amp;VAR:THRESH=||||||"}</definedName>
    <definedName name="_6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1.230591&amp;VAR:V0=1.260158&amp;VAR:V1=1.091531&amp;VAR:Y0=2003&amp;VAR:Y1=2004&amp;VAR:P=829.851560&amp;VAR:DATE=20030305&amp;VAR:THRESH=||||||"}</definedName>
    <definedName name="_6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1.281200&amp;VAR:V0=1.296277&amp;VAR:V1=1.134413&amp;VAR:Y0=2003&amp;VAR:Y1=2004&amp;VAR:P=860.321350&amp;VAR:DATE=20030203&amp;VAR:THRESH=||||||"}</definedName>
    <definedName name="_6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1.281200&amp;VAR:V0=1.296277&amp;VAR:V1=1.134413&amp;VAR:Y0=2003&amp;VAR:Y1=2004&amp;VAR:P=860.321350&amp;VAR:DATE=20030203&amp;VAR:THRESH=||||||"}</definedName>
    <definedName name="_6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1.317185&amp;VAR:V0=1.318387&amp;VAR:V1=1.172134&amp;VAR:Y0=2003&amp;VAR:Y1=2004&amp;VAR:P=908.589700&amp;VAR:DATE=20030103&amp;VAR:THRESH=||||||"}</definedName>
    <definedName name="_68__FDSAUDITLINK__" localSheetId="3"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0.336066&amp;VAR:V=14.348521&amp;VAR:V0=15.209530&amp;VAR:V1=12.905216&amp;VAR:Y0=2008&amp;VAR:Y1=2009&amp;VAR:P=1413.897500&amp;VAR:DATE=20080502&amp;VAR:THRESH=||||","||"}</definedName>
    <definedName name="_68__FDSAUDITLINK___1"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__FDSAUDITLINK___2"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1.317185&amp;VAR:V0=1.318387&amp;VAR:V1=1.172134&amp;VAR:Y0=2003&amp;VAR:Y1=2004&amp;VAR:P=908.589700&amp;VAR:DATE=20030103&amp;VAR:THRESH=||||||"}</definedName>
    <definedName name="_6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8.941114&amp;VAR:P=1&amp;VAR:DATE=20110203"}</definedName>
    <definedName name="_6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8.941114&amp;VAR:P=1&amp;VAR:DATE=20110203"}</definedName>
    <definedName name="_6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8.703001&amp;VAR:P=1&amp;VAR:DATE=20110103"}</definedName>
    <definedName name="_6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8.703001&amp;VAR:P=1&amp;VAR:DATE=20110103"}</definedName>
    <definedName name="_6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8.479990&amp;VAR:P=1&amp;VAR:DATE=20101203"}</definedName>
    <definedName name="_6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8.479990&amp;VAR:P=1&amp;VAR:DATE=20101203"}</definedName>
    <definedName name="_6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8.673443&amp;VAR:P=1&amp;VAR:DATE=20101103"}</definedName>
    <definedName name="_6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8.673443&amp;VAR:P=1&amp;VAR:DATE=20101103"}</definedName>
    <definedName name="_6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8.291136&amp;VAR:P=1&amp;VAR:DATE=20101004"}</definedName>
    <definedName name="_69__FDSAUDITLINK__" localSheetId="3"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0.259563&amp;VAR:V=13.803594&amp;VAR:V0=14.368893&amp;VAR:V1=12.410762&amp;VAR:Y0=2008&amp;VAR:Y1=2009&amp;VAR:P=1370.400000&amp;VAR:DATE=20080404&amp;VAR:THRESH=||||","||"}</definedName>
    <definedName name="_69__FDSAUDITLINK___1"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__FDSAUDITLINK___2"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8.291136&amp;VAR:P=1&amp;VAR:DATE=20101004"}</definedName>
    <definedName name="_6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8.067109&amp;VAR:P=1&amp;VAR:DATE=20100903"}</definedName>
    <definedName name="_6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8.067109&amp;VAR:P=1&amp;VAR:DATE=20100903"}</definedName>
    <definedName name="_6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8.262042&amp;VAR:P=1&amp;VAR:DATE=20100804"}</definedName>
    <definedName name="_6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8.262042&amp;VAR:P=1&amp;VAR:DATE=20100804"}</definedName>
    <definedName name="_6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7.647984&amp;VAR:P=1&amp;VAR:DATE=20100702"}</definedName>
    <definedName name="_6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7.647984&amp;VAR:P=1&amp;VAR:DATE=20100702"}</definedName>
    <definedName name="_6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8.232576&amp;VAR:P=1&amp;VAR:DATE=20100604"}</definedName>
    <definedName name="_6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8.232576&amp;VAR:P=1&amp;VAR:DATE=20100604"}</definedName>
    <definedName name="_6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9.148974&amp;VAR:P=1&amp;VAR:DATE=20100505"}</definedName>
    <definedName name="_7__123Graph_ACHART_111" hidden="1">[2]Menu!$D$23:$M$23</definedName>
    <definedName name="_7__FDSAUDITLINK__" localSheetId="3"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12.759761&amp;VAR:V0=14.171356&amp;VAR:V1=12.524075&amp;VAR:Y0=2010&amp;VAR:Y1=2011&amp;VAR:P=1197.961445&amp;VAR:DATE=20101103&amp;VAR:THRESH=||||","||"}</definedName>
    <definedName name="_7__FDSAUDITLINK___1"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__FDSAUDITLINK___2"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0__FDSAUDITLINK__"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0.259563&amp;VAR:V=13.803594&amp;VAR:V0=14.368893&amp;VAR:V1=12.410762&amp;VAR:Y0=2008&amp;VAR:Y1=2009&amp;VAR:P=1370.400000&amp;VAR:DATE=20080404&amp;VAR:THRESH=||||","||"}</definedName>
    <definedName name="_70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9.148974&amp;VAR:P=1&amp;VAR:DATE=20100505"}</definedName>
    <definedName name="_7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9.243468&amp;VAR:P=1&amp;VAR:DATE=20100401"}</definedName>
    <definedName name="_7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9.243468&amp;VAR:P=1&amp;VAR:DATE=20100401"}</definedName>
    <definedName name="_7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9.060830&amp;VAR:P=1&amp;VAR:DATE=20100305"}</definedName>
    <definedName name="_7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9.060830&amp;VAR:P=1&amp;VAR:DATE=20100305"}</definedName>
    <definedName name="_7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9.158963&amp;VAR:P=1&amp;VAR:DATE=20100202"}</definedName>
    <definedName name="_7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9.158963&amp;VAR:P=1&amp;VAR:DATE=20100202"}</definedName>
    <definedName name="_7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9.290533&amp;VAR:P=1&amp;VAR:DATE=20091231"}</definedName>
    <definedName name="_7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9.290533&amp;VAR:P=1&amp;VAR:DATE=20091231"}</definedName>
    <definedName name="_7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9.143585&amp;VAR:P=1&amp;VAR:DATE=20091203"}</definedName>
    <definedName name="_71__FDSAUDITLINK__" localSheetId="3"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13.209998&amp;VAR:V0=13.519726&amp;VAR:V1=11.921270&amp;VAR:Y0=2008&amp;VAR:Y1=2009&amp;VAR:P=1326.753700&amp;VAR:DATE=20080304&amp;VAR:THRESH=||||","||"}</definedName>
    <definedName name="_71__FDSAUDITLINK___1"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__FDSAUDITLINK___2"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9.143585&amp;VAR:P=1&amp;VAR:DATE=20091203"}</definedName>
    <definedName name="_7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8.289142&amp;VAR:P=1&amp;VAR:DATE=20091103"}</definedName>
    <definedName name="_7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8.289142&amp;VAR:P=1&amp;VAR:DATE=20091103"}</definedName>
    <definedName name="_7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8.153603&amp;VAR:P=1&amp;VAR:DATE=20091002"}</definedName>
    <definedName name="_7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8.153603&amp;VAR:P=1&amp;VAR:DATE=20091002"}</definedName>
    <definedName name="_7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7.978500&amp;VAR:P=1&amp;VAR:DATE=20090903"}</definedName>
    <definedName name="_7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7.978500&amp;VAR:P=1&amp;VAR:DATE=20090903"}</definedName>
    <definedName name="_7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7.678887&amp;VAR:P=1&amp;VAR:DATE=20090804"}</definedName>
    <definedName name="_7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7.678887&amp;VAR:P=1&amp;VAR:DATE=20090804"}</definedName>
    <definedName name="_7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7.078317&amp;VAR:P=1&amp;VAR:DATE=20090702"}</definedName>
    <definedName name="_72__FDSAUDITLINK__"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13.209998&amp;VAR:V0=13.519726&amp;VAR:V1=11.921270&amp;VAR:Y0=2008&amp;VAR:Y1=2009&amp;VAR:P=1326.753700&amp;VAR:DATE=20080304&amp;VAR:THRESH=||||","||"}</definedName>
    <definedName name="_72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7.078317&amp;VAR:P=1&amp;VAR:DATE=20090702"}</definedName>
    <definedName name="_7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7.325892&amp;VAR:P=1&amp;VAR:DATE=20090604"}</definedName>
    <definedName name="_7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7.325892&amp;VAR:P=1&amp;VAR:DATE=20090604"}</definedName>
    <definedName name="_7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6.671145&amp;VAR:P=1&amp;VAR:DATE=20090504"}</definedName>
    <definedName name="_7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6.671145&amp;VAR:P=1&amp;VAR:DATE=20090504"}</definedName>
    <definedName name="_7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6.384335&amp;VAR:P=1&amp;VAR:DATE=20090403"}</definedName>
    <definedName name="_7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6.384335&amp;VAR:P=1&amp;VAR:DATE=20090403"}</definedName>
    <definedName name="_7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5.698455&amp;VAR:P=1&amp;VAR:DATE=20090304"}</definedName>
    <definedName name="_7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5.698455&amp;VAR:P=1&amp;VAR:DATE=20090304"}</definedName>
    <definedName name="_7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6.198306&amp;VAR:P=1&amp;VAR:DATE=20090202"}</definedName>
    <definedName name="_73__FDSAUDITLINK__"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0.087432&amp;VAR:V=13.794320&amp;VAR:V0=13.943693&amp;VAR:V1=12.407054&amp;VAR:Y0=2008&amp;VAR:Y1=2009&amp;VAR:P=1395.415200&amp;VAR:DATE=20080201&amp;VAR:THRESH=||||","||"}</definedName>
    <definedName name="_73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6.198306&amp;VAR:P=1&amp;VAR:DATE=20090202"}</definedName>
    <definedName name="_7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6.694002&amp;VAR:P=1&amp;VAR:DATE=20090102"}</definedName>
    <definedName name="_7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6.694002&amp;VAR:P=1&amp;VAR:DATE=20090102"}</definedName>
    <definedName name="_7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6.334980&amp;VAR:P=1&amp;VAR:DATE=20081203"}</definedName>
    <definedName name="_7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6.334980&amp;VAR:P=1&amp;VAR:DATE=20081203"}</definedName>
    <definedName name="_7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6.991200&amp;VAR:P=1&amp;VAR:DATE=20081103"}</definedName>
    <definedName name="_7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6.991200&amp;VAR:P=1&amp;VAR:DATE=20081103"}</definedName>
    <definedName name="_7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7.679877&amp;VAR:P=1&amp;VAR:DATE=20081003"}</definedName>
    <definedName name="_7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7.679877&amp;VAR:P=1&amp;VAR:DATE=20081003"}</definedName>
    <definedName name="_7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8.640673&amp;VAR:P=1&amp;VAR:DATE=20080903"}</definedName>
    <definedName name="_74__FDSAUDITLINK__" localSheetId="3"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0.087432&amp;VAR:V=13.794320&amp;VAR:V0=13.943693&amp;VAR:V1=12.407054&amp;VAR:Y0=2008&amp;VAR:Y1=2009&amp;VAR:P=1395.415200&amp;VAR:DATE=20080201&amp;VAR:THRESH=||||","||"}</definedName>
    <definedName name="_74__FDSAUDITLINK___1"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__FDSAUDITLINK___2"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8.640673&amp;VAR:P=1&amp;VAR:DATE=20080903"}</definedName>
    <definedName name="_7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8.615898&amp;VAR:P=1&amp;VAR:DATE=20080801"}</definedName>
    <definedName name="_7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8.615898&amp;VAR:P=1&amp;VAR:DATE=20080801"}</definedName>
    <definedName name="_7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8.738806&amp;VAR:P=1&amp;VAR:DATE=20080703"}</definedName>
    <definedName name="_7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8.738806&amp;VAR:P=1&amp;VAR:DATE=20080703"}</definedName>
    <definedName name="_7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9.269764&amp;VAR:P=1&amp;VAR:DATE=20080604"}</definedName>
    <definedName name="_7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9.269764&amp;VAR:P=1&amp;VAR:DATE=20080604"}</definedName>
    <definedName name="_7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9.637917&amp;VAR:P=1&amp;VAR:DATE=20080502"}</definedName>
    <definedName name="_7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9.637917&amp;VAR:P=1&amp;VAR:DATE=20080502"}</definedName>
    <definedName name="_7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9.424413&amp;VAR:P=1&amp;VAR:DATE=20080404"}</definedName>
    <definedName name="_75__FDSAUDITLINK__" localSheetId="3"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0.008197&amp;VAR:V=14.139373&amp;VAR:V0=14.153661&amp;VAR:V1=12.600275&amp;VAR:Y0=2008&amp;VAR:Y1=2009&amp;VAR:P=1447.164000&amp;VAR:DATE=20080103&amp;VAR:THRESH=||||","||"}</definedName>
    <definedName name="_75__FDSAUDITLINK___1"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__FDSAUDITLINK___2"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9.424413&amp;VAR:P=1&amp;VAR:DATE=20080404"}</definedName>
    <definedName name="_7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9.116974&amp;VAR:P=1&amp;VAR:DATE=20080304"}</definedName>
    <definedName name="_7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9.116974&amp;VAR:P=1&amp;VAR:DATE=20080304"}</definedName>
    <definedName name="_7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9.464734&amp;VAR:P=1&amp;VAR:DATE=20080201"}</definedName>
    <definedName name="_7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9.464734&amp;VAR:P=1&amp;VAR:DATE=20080201"}</definedName>
    <definedName name="_7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9.910656&amp;VAR:P=1&amp;VAR:DATE=20080103"}</definedName>
    <definedName name="_7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9.910656&amp;VAR:P=1&amp;VAR:DATE=20080103"}</definedName>
    <definedName name="_7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9.915987&amp;VAR:P=1&amp;VAR:DATE=20071204"}</definedName>
    <definedName name="_7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9.915987&amp;VAR:P=1&amp;VAR:DATE=20071204"}</definedName>
    <definedName name="_7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10.136585&amp;VAR:P=1&amp;VAR:DATE=20071102"}</definedName>
    <definedName name="_76__FDSAUDITLINK__" localSheetId="3"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0.008197&amp;VAR:V=14.139373&amp;VAR:V0=14.153661&amp;VAR:V1=12.600275&amp;VAR:Y0=2008&amp;VAR:Y1=2009&amp;VAR:P=1447.164000&amp;VAR:DATE=20080103&amp;VAR:THRESH=||||","||"}</definedName>
    <definedName name="_76__FDSAUDITLINK___1"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__FDSAUDITLINK___2"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10.136585&amp;VAR:P=1&amp;VAR:DATE=20071102"}</definedName>
    <definedName name="_7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10.127369&amp;VAR:P=1&amp;VAR:DATE=20071004"}</definedName>
    <definedName name="_7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10.127369&amp;VAR:P=1&amp;VAR:DATE=20071004"}</definedName>
    <definedName name="_7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9.826141&amp;VAR:P=1&amp;VAR:DATE=20070904"}</definedName>
    <definedName name="_7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9.826141&amp;VAR:P=1&amp;VAR:DATE=20070904"}</definedName>
    <definedName name="_7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9.742597&amp;VAR:P=1&amp;VAR:DATE=20070803"}</definedName>
    <definedName name="_7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9.742597&amp;VAR:P=1&amp;VAR:DATE=20070803"}</definedName>
    <definedName name="_7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10.126953&amp;VAR:P=1&amp;VAR:DATE=20070705"}</definedName>
    <definedName name="_7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10.126953&amp;VAR:P=1&amp;VAR:DATE=20070705"}</definedName>
    <definedName name="_7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10.170300&amp;VAR:P=1&amp;VAR:DATE=20070604"}</definedName>
    <definedName name="_77__FDSAUDITLINK__" localSheetId="3"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14.204778&amp;VAR:V0=16.219699&amp;VAR:V1=14.065203&amp;VAR:Y0=2007&amp;VAR:Y1=2008&amp;VAR:P=1462.790200&amp;VAR:DATE=20071204&amp;VAR:THRESH=||||","||"}</definedName>
    <definedName name="_77__FDSAUDITLINK___1"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__FDSAUDITLINK___2"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10.170300&amp;VAR:P=1&amp;VAR:DATE=20070604"}</definedName>
    <definedName name="_7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9.798459&amp;VAR:P=1&amp;VAR:DATE=20070504"}</definedName>
    <definedName name="_7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9.798459&amp;VAR:P=1&amp;VAR:DATE=20070504"}</definedName>
    <definedName name="_7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9.428311&amp;VAR:P=1&amp;VAR:DATE=20070404"}</definedName>
    <definedName name="_7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9.428311&amp;VAR:P=1&amp;VAR:DATE=20070404"}</definedName>
    <definedName name="_7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9.004281&amp;VAR:P=1&amp;VAR:DATE=20070305"}</definedName>
    <definedName name="_7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9.004281&amp;VAR:P=1&amp;VAR:DATE=20070305"}</definedName>
    <definedName name="_7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9.518798&amp;VAR:P=1&amp;VAR:DATE=20070202"}</definedName>
    <definedName name="_7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9.518798&amp;VAR:P=1&amp;VAR:DATE=20070202"}</definedName>
    <definedName name="_7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9.292314&amp;VAR:P=1&amp;VAR:DATE=20070103"}</definedName>
    <definedName name="_78__FDSAUDITLINK__" localSheetId="3"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14.204778&amp;VAR:V0=16.219699&amp;VAR:V1=14.065203&amp;VAR:Y0=2007&amp;VAR:Y1=2008&amp;VAR:P=1462.790200&amp;VAR:DATE=20071204&amp;VAR:THRESH=||||","||"}</definedName>
    <definedName name="_78__FDSAUDITLINK___1"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__FDSAUDITLINK___2"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9.292314&amp;VAR:P=1&amp;VAR:DATE=20070103"}</definedName>
    <definedName name="_7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9.356602&amp;VAR:P=1&amp;VAR:DATE=20061204"}</definedName>
    <definedName name="_7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9.356602&amp;VAR:P=1&amp;VAR:DATE=20061204"}</definedName>
    <definedName name="_7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9.353447&amp;VAR:P=1&amp;VAR:DATE=20061103"}</definedName>
    <definedName name="_7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9.353447&amp;VAR:P=1&amp;VAR:DATE=20061103"}</definedName>
    <definedName name="_7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9.233368&amp;VAR:P=1&amp;VAR:DATE=20061004"}</definedName>
    <definedName name="_7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9.233368&amp;VAR:P=1&amp;VAR:DATE=20061004"}</definedName>
    <definedName name="_7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9.057829&amp;VAR:P=1&amp;VAR:DATE=20060901"}</definedName>
    <definedName name="_7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9.057829&amp;VAR:P=1&amp;VAR:DATE=20060901"}</definedName>
    <definedName name="_7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9.169279&amp;VAR:P=1&amp;VAR:DATE=20060804"}</definedName>
    <definedName name="_79__FDSAUDITLINK__" localSheetId="3"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14.610874&amp;VAR:V0=16.190287&amp;VAR:V1=14.341128&amp;VAR:Y0=2007&amp;VAR:Y1=2008&amp;VAR:P=1509.651700&amp;VAR:DATE=20071102&amp;VAR:THRESH=||||","||"}</definedName>
    <definedName name="_79__FDSAUDITLINK___1"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__FDSAUDITLINK___2"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9.169279&amp;VAR:P=1&amp;VAR:DATE=20060804"}</definedName>
    <definedName name="_7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9.221990&amp;VAR:P=1&amp;VAR:DATE=20060703"}</definedName>
    <definedName name="_7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9.221990&amp;VAR:P=1&amp;VAR:DATE=20060703"}</definedName>
    <definedName name="_7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9.260679&amp;VAR:P=1&amp;VAR:DATE=20060602"}</definedName>
    <definedName name="_7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9.260679&amp;VAR:P=1&amp;VAR:DATE=20060602"}</definedName>
    <definedName name="_7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9.687273&amp;VAR:P=1&amp;VAR:DATE=20060505"}</definedName>
    <definedName name="_7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9.687273&amp;VAR:P=1&amp;VAR:DATE=20060505"}</definedName>
    <definedName name="_7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9.627583&amp;VAR:P=1&amp;VAR:DATE=20060404"}</definedName>
    <definedName name="_7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9.627583&amp;VAR:P=1&amp;VAR:DATE=20060404"}</definedName>
    <definedName name="_7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9.510110&amp;VAR:P=1&amp;VAR:DATE=20060303"}</definedName>
    <definedName name="_8__123Graph_ACHART_112" hidden="1">[2]Menu!$D$17:$M$17</definedName>
    <definedName name="_8__FDSAUDITLINK__" localSheetId="3"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12.759761&amp;VAR:V0=14.171356&amp;VAR:V1=12.524075&amp;VAR:Y0=2010&amp;VAR:Y1=2011&amp;VAR:P=1197.961445&amp;VAR:DATE=20101103&amp;VAR:THRESH=||||","||"}</definedName>
    <definedName name="_8__FDSAUDITLINK___1"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__FDSAUDITLINK___2"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0__FDSAUDITLINK__" localSheetId="3"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14.610874&amp;VAR:V0=16.190287&amp;VAR:V1=14.341128&amp;VAR:Y0=2007&amp;VAR:Y1=2008&amp;VAR:P=1509.651700&amp;VAR:DATE=20071102&amp;VAR:THRESH=||||","||"}</definedName>
    <definedName name="_80__FDSAUDITLINK___1"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__FDSAUDITLINK___2"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9.510110&amp;VAR:P=1&amp;VAR:DATE=20060303"}</definedName>
    <definedName name="_8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9.720403&amp;VAR:P=1&amp;VAR:DATE=20060202"}</definedName>
    <definedName name="_8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9.720403&amp;VAR:P=1&amp;VAR:DATE=20060202"}</definedName>
    <definedName name="_8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9.667035&amp;VAR:P=1&amp;VAR:DATE=20060103"}</definedName>
    <definedName name="_8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9.667035&amp;VAR:P=1&amp;VAR:DATE=20060103"}</definedName>
    <definedName name="_8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9.641316&amp;VAR:P=1&amp;VAR:DATE=20051202"}</definedName>
    <definedName name="_8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9.641316&amp;VAR:P=1&amp;VAR:DATE=20051202"}</definedName>
    <definedName name="_8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9.387299&amp;VAR:P=1&amp;VAR:DATE=20051103"}</definedName>
    <definedName name="_8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9.387299&amp;VAR:P=1&amp;VAR:DATE=20051103"}</definedName>
    <definedName name="_8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9.436163&amp;VAR:P=1&amp;VAR:DATE=20051004"}</definedName>
    <definedName name="_81__FDSAUDITLINK__" localSheetId="3"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14.967944&amp;VAR:V0=16.362378&amp;VAR:V1=14.573382&amp;VAR:Y0=2007&amp;VAR:Y1=2008&amp;VAR:P=1542.837900&amp;VAR:DATE=20071004&amp;VAR:THRESH=||||","||"}</definedName>
    <definedName name="_81__FDSAUDITLINK___1"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__FDSAUDITLINK___2"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9.436163&amp;VAR:P=1&amp;VAR:DATE=20051004"}</definedName>
    <definedName name="_8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9.522823&amp;VAR:P=1&amp;VAR:DATE=20050902"}</definedName>
    <definedName name="_8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9.522823&amp;VAR:P=1&amp;VAR:DATE=20050902"}</definedName>
    <definedName name="_8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9.808216&amp;VAR:P=1&amp;VAR:DATE=20050804"}</definedName>
    <definedName name="_8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9.808216&amp;VAR:P=1&amp;VAR:DATE=20050804"}</definedName>
    <definedName name="_8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9.486941&amp;VAR:P=1&amp;VAR:DATE=20050701"}</definedName>
    <definedName name="_8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9.486941&amp;VAR:P=1&amp;VAR:DATE=20050701"}</definedName>
    <definedName name="_8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9.583898&amp;VAR:P=1&amp;VAR:DATE=20050603"}</definedName>
    <definedName name="_8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9.583898&amp;VAR:P=1&amp;VAR:DATE=20050603"}</definedName>
    <definedName name="_8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9.630356&amp;VAR:P=1&amp;VAR:DATE=20050504"}</definedName>
    <definedName name="_82__FDSAUDITLINK__" localSheetId="3"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14.967944&amp;VAR:V0=16.362378&amp;VAR:V1=14.573382&amp;VAR:Y0=2007&amp;VAR:Y1=2008&amp;VAR:P=1542.837900&amp;VAR:DATE=20071004&amp;VAR:THRESH=||||","||"}</definedName>
    <definedName name="_82__FDSAUDITLINK___1"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__FDSAUDITLINK___2"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9.630356&amp;VAR:P=1&amp;VAR:DATE=20050504"}</definedName>
    <definedName name="_8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9.706159&amp;VAR:P=1&amp;VAR:DATE=20050404"}</definedName>
    <definedName name="_8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9.706159&amp;VAR:P=1&amp;VAR:DATE=20050404"}</definedName>
    <definedName name="_8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10.028408&amp;VAR:P=1&amp;VAR:DATE=20050304"}</definedName>
    <definedName name="_8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10.028408&amp;VAR:P=1&amp;VAR:DATE=20050304"}</definedName>
    <definedName name="_8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10.141667&amp;VAR:P=1&amp;VAR:DATE=20050202"}</definedName>
    <definedName name="_8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10.141667&amp;VAR:P=1&amp;VAR:DATE=20050202"}</definedName>
    <definedName name="_8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10.231366&amp;VAR:P=1&amp;VAR:DATE=20050103"}</definedName>
    <definedName name="_8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10.231366&amp;VAR:P=1&amp;VAR:DATE=20050103"}</definedName>
    <definedName name="_8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10.192616&amp;VAR:P=1&amp;VAR:DATE=20041203"}</definedName>
    <definedName name="_83__FDSAUDITLINK__" localSheetId="3"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14.485638&amp;VAR:V0=15.604108&amp;VAR:V1=14.006030&amp;VAR:Y0=2007&amp;VAR:Y1=2008&amp;VAR:P=1489.417600&amp;VAR:DATE=20070904&amp;VAR:THRESH=||||","||"}</definedName>
    <definedName name="_83__FDSAUDITLINK___1"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__FDSAUDITLINK___2"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10.192616&amp;VAR:P=1&amp;VAR:DATE=20041203"}</definedName>
    <definedName name="_8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10.170885&amp;VAR:P=1&amp;VAR:DATE=20041103"}</definedName>
    <definedName name="_8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10.170885&amp;VAR:P=1&amp;VAR:DATE=20041103"}</definedName>
    <definedName name="_8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10.111724&amp;VAR:P=1&amp;VAR:DATE=20041001"}</definedName>
    <definedName name="_8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10.111724&amp;VAR:P=1&amp;VAR:DATE=20041001"}</definedName>
    <definedName name="_8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9.957583&amp;VAR:P=1&amp;VAR:DATE=20040903"}</definedName>
    <definedName name="_8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9.957583&amp;VAR:P=1&amp;VAR:DATE=20040903"}</definedName>
    <definedName name="_8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10.417731&amp;VAR:P=1&amp;VAR:DATE=20040803"}</definedName>
    <definedName name="_8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10.417731&amp;VAR:P=1&amp;VAR:DATE=20040803"}</definedName>
    <definedName name="_8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10.651409&amp;VAR:P=1&amp;VAR:DATE=20040702"}</definedName>
    <definedName name="_84__FDSAUDITLINK__" localSheetId="3"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14.485638&amp;VAR:V0=15.604108&amp;VAR:V1=14.006030&amp;VAR:Y0=2007&amp;VAR:Y1=2008&amp;VAR:P=1489.417600&amp;VAR:DATE=20070904&amp;VAR:THRESH=||||","||"}</definedName>
    <definedName name="_84__FDSAUDITLINK___1"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__FDSAUDITLINK___2"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10.651409&amp;VAR:P=1&amp;VAR:DATE=20040702"}</definedName>
    <definedName name="_8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10.649679&amp;VAR:P=1&amp;VAR:DATE=20040604"}</definedName>
    <definedName name="_8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10.649679&amp;VAR:P=1&amp;VAR:DATE=20040604"}</definedName>
    <definedName name="_8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10.549106&amp;VAR:P=1&amp;VAR:DATE=20040504"}</definedName>
    <definedName name="_8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10.549106&amp;VAR:P=1&amp;VAR:DATE=20040504"}</definedName>
    <definedName name="_8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10.704497&amp;VAR:P=1&amp;VAR:DATE=20040402"}</definedName>
    <definedName name="_8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10.704497&amp;VAR:P=1&amp;VAR:DATE=20040402"}</definedName>
    <definedName name="_8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10.827780&amp;VAR:P=1&amp;VAR:DATE=20040304"}</definedName>
    <definedName name="_8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10.827780&amp;VAR:P=1&amp;VAR:DATE=20040304"}</definedName>
    <definedName name="_8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11.877560&amp;VAR:P=1&amp;VAR:DATE=20040203"}</definedName>
    <definedName name="_85__FDSAUDITLINK__" localSheetId="3"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14.039542&amp;VAR:V0=14.975632&amp;VAR:V1=13.452863&amp;VAR:Y0=2007&amp;VAR:Y1=2008&amp;VAR:P=1433.057900&amp;VAR:DATE=20070803&amp;VAR:THRESH=||||","||"}</definedName>
    <definedName name="_85__FDSAUDITLINK___1"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__FDSAUDITLINK___2"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11.877560&amp;VAR:P=1&amp;VAR:DATE=20040203"}</definedName>
    <definedName name="_8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11.691075&amp;VAR:P=1&amp;VAR:DATE=20040102"}</definedName>
    <definedName name="_8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11.691075&amp;VAR:P=1&amp;VAR:DATE=20040102"}</definedName>
    <definedName name="_8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11.420972&amp;VAR:P=1&amp;VAR:DATE=20031204"}</definedName>
    <definedName name="_8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11.420972&amp;VAR:P=1&amp;VAR:DATE=20031204"}</definedName>
    <definedName name="_8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11.602767&amp;VAR:P=1&amp;VAR:DATE=20031103"}</definedName>
    <definedName name="_8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11.602767&amp;VAR:P=1&amp;VAR:DATE=20031103"}</definedName>
    <definedName name="_8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11.429638&amp;VAR:P=1&amp;VAR:DATE=20031003"}</definedName>
    <definedName name="_8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11.429638&amp;VAR:P=1&amp;VAR:DATE=20031003"}</definedName>
    <definedName name="_8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11.518236&amp;VAR:P=1&amp;VAR:DATE=20030904"}</definedName>
    <definedName name="_86__FDSAUDITLINK__" localSheetId="3"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14.039542&amp;VAR:V0=14.975632&amp;VAR:V1=13.452863&amp;VAR:Y0=2007&amp;VAR:Y1=2008&amp;VAR:P=1433.057900&amp;VAR:DATE=20070803&amp;VAR:THRESH=||||","||"}</definedName>
    <definedName name="_86__FDSAUDITLINK___1"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__FDSAUDITLINK___2"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11.518236&amp;VAR:P=1&amp;VAR:DATE=20030904"}</definedName>
    <definedName name="_8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11.047064&amp;VAR:P=1&amp;VAR:DATE=20030804"}</definedName>
    <definedName name="_8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11.047064&amp;VAR:P=1&amp;VAR:DATE=20030804"}</definedName>
    <definedName name="_8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11.088489&amp;VAR:P=1&amp;VAR:DATE=20030703"}</definedName>
    <definedName name="_8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11.088489&amp;VAR:P=1&amp;VAR:DATE=20030703"}</definedName>
    <definedName name="_8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11.113719&amp;VAR:P=1&amp;VAR:DATE=20030604"}</definedName>
    <definedName name="_8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11.113719&amp;VAR:P=1&amp;VAR:DATE=20030604"}</definedName>
    <definedName name="_8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9.855120&amp;VAR:P=1&amp;VAR:DATE=20030505"}</definedName>
    <definedName name="_8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9.855120&amp;VAR:P=1&amp;VAR:DATE=20030505"}</definedName>
    <definedName name="_8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9.515083&amp;VAR:P=1&amp;VAR:DATE=20030404"}</definedName>
    <definedName name="_87__FDSAUDITLINK__" localSheetId="3"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0.509589&amp;VAR:V=15.183746&amp;VAR:V0=16.066332&amp;VAR:V1=14.421340&amp;VAR:Y0=2007&amp;VAR:Y1=2008&amp;VAR:P=1525.403100&amp;VAR:DATE=20070705&amp;VAR:THRESH=||||","||"}</definedName>
    <definedName name="_87__FDSAUDITLINK___1"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__FDSAUDITLINK___2"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9.515083&amp;VAR:P=1&amp;VAR:DATE=20030404"}</definedName>
    <definedName name="_8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9.119877&amp;VAR:P=1&amp;VAR:DATE=20030305"}</definedName>
    <definedName name="_8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9.119877&amp;VAR:P=1&amp;VAR:DATE=20030305"}</definedName>
    <definedName name="_8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9.965353&amp;VAR:P=1&amp;VAR:DATE=20030203"}</definedName>
    <definedName name="_8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9.965353&amp;VAR:P=1&amp;VAR:DATE=20030203"}</definedName>
    <definedName name="_8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10.364563&amp;VAR:P=1&amp;VAR:DATE=20030103"}</definedName>
    <definedName name="_8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10.364563&amp;VAR:P=1&amp;VAR:DATE=20030103"}</definedName>
    <definedName name="_8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10.533836&amp;VAR:P=1&amp;VAR:DATE=20021204"}</definedName>
    <definedName name="_8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10.533836&amp;VAR:P=1&amp;VAR:DATE=20021204"}</definedName>
    <definedName name="_8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10.417538&amp;VAR:P=1&amp;VAR:DATE=20021101"}</definedName>
    <definedName name="_88__FDSAUDITLINK__" localSheetId="3"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0.509589&amp;VAR:V=15.183746&amp;VAR:V0=16.066332&amp;VAR:V1=14.421340&amp;VAR:Y0=2007&amp;VAR:Y1=2008&amp;VAR:P=1525.403100&amp;VAR:DATE=20070705&amp;VAR:THRESH=||||","||"}</definedName>
    <definedName name="_88__FDSAUDITLINK___1"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__FDSAUDITLINK___2"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10.417538&amp;VAR:P=1&amp;VAR:DATE=20021101"}</definedName>
    <definedName name="_8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9.620799&amp;VAR:P=1&amp;VAR:DATE=20021004"}</definedName>
    <definedName name="_8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9.620799&amp;VAR:P=1&amp;VAR:DATE=20021004"}</definedName>
    <definedName name="_8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10.282785&amp;VAR:P=1&amp;VAR:DATE=20020903"}</definedName>
    <definedName name="_8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10.282785&amp;VAR:P=1&amp;VAR:DATE=20020903"}</definedName>
    <definedName name="_8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10.192352&amp;VAR:P=1&amp;VAR:DATE=20020802"}</definedName>
    <definedName name="_8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10.192352&amp;VAR:P=1&amp;VAR:DATE=20020802"}</definedName>
    <definedName name="_8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11.043048&amp;VAR:P=1&amp;VAR:DATE=20020703"}</definedName>
    <definedName name="_8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11.043048&amp;VAR:P=1&amp;VAR:DATE=20020703"}</definedName>
    <definedName name="_8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11.896831&amp;VAR:P=1&amp;VAR:DATE=20020604"}</definedName>
    <definedName name="_89__FDSAUDITLINK__" localSheetId="3"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15.501069&amp;VAR:V0=16.233496&amp;VAR:V1=14.608105&amp;VAR:Y0=2007&amp;VAR:Y1=2008&amp;VAR:P=1539.181800&amp;VAR:DATE=20070604&amp;VAR:THRESH=||||","||"}</definedName>
    <definedName name="_89__FDSAUDITLINK___1"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__FDSAUDITLINK___2"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11.896831&amp;VAR:P=1&amp;VAR:DATE=20020604"}</definedName>
    <definedName name="_8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10.986961&amp;VAR:P=1&amp;VAR:DATE=20020503"}</definedName>
    <definedName name="_8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10.986961&amp;VAR:P=1&amp;VAR:DATE=20020503"}</definedName>
    <definedName name="_8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11.512978&amp;VAR:P=1&amp;VAR:DATE=20020404"}</definedName>
    <definedName name="_8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11.512978&amp;VAR:P=1&amp;VAR:DATE=20020404"}</definedName>
    <definedName name="_8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11.744124&amp;VAR:P=1&amp;VAR:DATE=20020305"}</definedName>
    <definedName name="_8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11.744124&amp;VAR:P=1&amp;VAR:DATE=20020305"}</definedName>
    <definedName name="_8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11.588851&amp;VAR:P=1&amp;VAR:DATE=20020201"}</definedName>
    <definedName name="_8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11.588851&amp;VAR:P=1&amp;VAR:DATE=20020201"}</definedName>
    <definedName name="_8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11.891066&amp;VAR:P=1&amp;VAR:DATE=20020103"}</definedName>
    <definedName name="_9__123Graph_ACHART_26" hidden="1">[2]Menu!$D$83:$M$83</definedName>
    <definedName name="_9__FDSAUDITLINK__" localSheetId="3"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12.259458&amp;VAR:V0=13.603223&amp;VAR:V1=11.886435&amp;VAR:Y0=2010&amp;VAR:Y1=2011&amp;VAR:P=1137.033723&amp;VAR:DATE=20101004&amp;VAR:THRESH=||||","||"}</definedName>
    <definedName name="_9__FDSAUDITLINK___1"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__FDSAUDITLINK___2"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0__FDSAUDITLINK__" localSheetId="3"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15.501069&amp;VAR:V0=16.233496&amp;VAR:V1=14.608105&amp;VAR:Y0=2007&amp;VAR:Y1=2008&amp;VAR:P=1539.181800&amp;VAR:DATE=20070604&amp;VAR:THRESH=||||","||"}</definedName>
    <definedName name="_90__FDSAUDITLINK___1"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__FDSAUDITLINK___2"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11.891066&amp;VAR:P=1&amp;VAR:DATE=20020103"}</definedName>
    <definedName name="_9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11.531613&amp;VAR:P=1&amp;VAR:DATE=20011203"}</definedName>
    <definedName name="_9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11.531613&amp;VAR:P=1&amp;VAR:DATE=20011203"}</definedName>
    <definedName name="_9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10.728211&amp;VAR:P=1&amp;VAR:DATE=20011102"}</definedName>
    <definedName name="_9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10.728211&amp;VAR:P=1&amp;VAR:DATE=20011102"}</definedName>
    <definedName name="_9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10.537662&amp;VAR:P=1&amp;VAR:DATE=20011004"}</definedName>
    <definedName name="_9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10.537662&amp;VAR:P=1&amp;VAR:DATE=20011004"}</definedName>
    <definedName name="_9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10.997960&amp;VAR:P=1&amp;VAR:DATE=20010831"}</definedName>
    <definedName name="_9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10.997960&amp;VAR:P=1&amp;VAR:DATE=20010831"}</definedName>
    <definedName name="_9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11.405821&amp;VAR:P=1&amp;VAR:DATE=20010803"}</definedName>
    <definedName name="_91__FDSAUDITLINK__" localSheetId="3"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15.359263&amp;VAR:V0=15.946908&amp;VAR:V1=14.332751&amp;VAR:Y0=2007&amp;VAR:Y1=2008&amp;VAR:P=1505.617000&amp;VAR:DATE=20070504&amp;VAR:THRESH=||||","||"}</definedName>
    <definedName name="_91__FDSAUDITLINK___1"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__FDSAUDITLINK___2"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11.405821&amp;VAR:P=1&amp;VAR:DATE=20010803"}</definedName>
    <definedName name="_9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11.502147&amp;VAR:P=1&amp;VAR:DATE=20010703"}</definedName>
    <definedName name="_9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11.502147&amp;VAR:P=1&amp;VAR:DATE=20010703"}</definedName>
    <definedName name="_9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11.762053&amp;VAR:P=1&amp;VAR:DATE=20010604"}</definedName>
    <definedName name="_9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11.762053&amp;VAR:P=1&amp;VAR:DATE=20010604"}</definedName>
    <definedName name="_9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11.356570&amp;VAR:P=1&amp;VAR:DATE=20010504"}</definedName>
    <definedName name="_9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11.356570&amp;VAR:P=1&amp;VAR:DATE=20010504"}</definedName>
    <definedName name="_9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10.088822&amp;VAR:P=1&amp;VAR:DATE=20010404"}</definedName>
    <definedName name="_9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10.088822&amp;VAR:P=1&amp;VAR:DATE=20010404"}</definedName>
    <definedName name="_9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11.115745&amp;VAR:P=1&amp;VAR:DATE=20010302"}</definedName>
    <definedName name="_92__FDSAUDITLINK__" localSheetId="3"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15.359263&amp;VAR:V0=15.946908&amp;VAR:V1=14.332751&amp;VAR:Y0=2007&amp;VAR:Y1=2008&amp;VAR:P=1505.617000&amp;VAR:DATE=20070504&amp;VAR:THRESH=||||","||"}</definedName>
    <definedName name="_92__FDSAUDITLINK___1"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__FDSAUDITLINK___2"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11.115745&amp;VAR:P=1&amp;VAR:DATE=20010302"}</definedName>
    <definedName name="_9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12.361258&amp;VAR:P=1&amp;VAR:DATE=20010202"}</definedName>
    <definedName name="_9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12.361258&amp;VAR:P=1&amp;VAR:DATE=20010202"}</definedName>
    <definedName name="_93__FDSAUDITLINK__" localSheetId="3"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14.940955&amp;VAR:V0=15.376779&amp;VAR:V1=13.812320&amp;VAR:Y0=2007&amp;VAR:Y1=2008&amp;VAR:P=1439.366200&amp;VAR:DATE=20070404&amp;VAR:THRESH=||||","||"}</definedName>
    <definedName name="_93__FDSAUDITLINK___1"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3__FDSAUDITLINK___2"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4__FDSAUDITLINK__" localSheetId="3"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14.940955&amp;VAR:V0=15.376779&amp;VAR:V1=13.812320&amp;VAR:Y0=2007&amp;VAR:Y1=2008&amp;VAR:P=1439.366200&amp;VAR:DATE=20070404&amp;VAR:THRESH=||||","||"}</definedName>
    <definedName name="_94__FDSAUDITLINK___1"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4__FDSAUDITLINK___2"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5__FDSAUDITLINK__"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14.338099&amp;VAR:V0=14.617803&amp;VAR:V1=13.154320&amp;VAR:Y0=2007&amp;VAR:Y1=2008&amp;VAR:P=1374.122400&amp;VAR:DATE=20070305&amp;VAR:THRESH=||||","||"}</definedName>
    <definedName name="_95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5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6__FDSAUDITLINK__" localSheetId="3"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14.338099&amp;VAR:V0=14.617803&amp;VAR:V1=13.154320&amp;VAR:Y0=2007&amp;VAR:Y1=2008&amp;VAR:P=1374.122400&amp;VAR:DATE=20070305&amp;VAR:THRESH=||||","||"}</definedName>
    <definedName name="_96__FDSAUDITLINK___1"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6__FDSAUDITLINK___2"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7__FDSAUDITLINK__" localSheetId="3"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15.218781&amp;VAR:V0=15.366463&amp;VAR:V1=13.877019&amp;VAR:Y0=2007&amp;VAR:Y1=2008&amp;VAR:P=1448.390100&amp;VAR:DATE=20070202&amp;VAR:THRESH=||||","||"}</definedName>
    <definedName name="_97__FDSAUDITLINK___1"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7__FDSAUDITLINK___2"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8__FDSAUDITLINK__"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15.218781&amp;VAR:V0=15.366463&amp;VAR:V1=13.877019&amp;VAR:Y0=2007&amp;VAR:Y1=2008&amp;VAR:P=1448.390100&amp;VAR:DATE=20070202&amp;VAR:THRESH=||||","||"}</definedName>
    <definedName name="_98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8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9__FDSAUDITLINK__" localSheetId="3"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14.851090&amp;VAR:V0=14.863323&amp;VAR:V1=13.509517&amp;VAR:Y0=2007&amp;VAR:Y1=2008&amp;VAR:P=1416.602000&amp;VAR:DATE=20070103&amp;VAR:THRESH=||||","||"}</definedName>
    <definedName name="_99__FDSAUDITLINK___1"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99__FDSAUDITLINK___2"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a1" localSheetId="6" hidden="1">{"comp1",#N/A,FALSE,"COMPS";"footnotes",#N/A,FALSE,"COMPS"}</definedName>
    <definedName name="_a1" localSheetId="3" hidden="1">{"comp1",#N/A,FALSE,"COMPS";"footnotes",#N/A,FALSE,"COMPS"}</definedName>
    <definedName name="_a1" hidden="1">{"comp1",#N/A,FALSE,"COMPS";"footnotes",#N/A,FALSE,"COMPS"}</definedName>
    <definedName name="_aa1" localSheetId="6" hidden="1">{#N/A,#N/A,TRUE,"Pro Forma";#N/A,#N/A,TRUE,"PF_Bal";#N/A,#N/A,TRUE,"PF_INC";#N/A,#N/A,TRUE,"CBE";#N/A,#N/A,TRUE,"SWK"}</definedName>
    <definedName name="_aa1" localSheetId="3" hidden="1">{#N/A,#N/A,TRUE,"Pro Forma";#N/A,#N/A,TRUE,"PF_Bal";#N/A,#N/A,TRUE,"PF_INC";#N/A,#N/A,TRUE,"CBE";#N/A,#N/A,TRUE,"SWK"}</definedName>
    <definedName name="_aa1" hidden="1">{#N/A,#N/A,TRUE,"Pro Forma";#N/A,#N/A,TRUE,"PF_Bal";#N/A,#N/A,TRUE,"PF_INC";#N/A,#N/A,TRUE,"CBE";#N/A,#N/A,TRUE,"SWK"}</definedName>
    <definedName name="_aaa1" hidden="1">{"comp1",#N/A,FALSE,"COMPS";"footnotes",#N/A,FALSE,"COMPS"}</definedName>
    <definedName name="_aab1" hidden="1">{"comp1",#N/A,FALSE,"COMPS";"footnotes",#N/A,FALSE,"COMPS"}</definedName>
    <definedName name="_ab1" localSheetId="6" hidden="1">{"comp1",#N/A,FALSE,"COMPS";"footnotes",#N/A,FALSE,"COMPS"}</definedName>
    <definedName name="_ab1" localSheetId="3" hidden="1">{"comp1",#N/A,FALSE,"COMPS";"footnotes",#N/A,FALSE,"COMPS"}</definedName>
    <definedName name="_ab1" hidden="1">{"comp1",#N/A,FALSE,"COMPS";"footnotes",#N/A,FALSE,"COMPS"}</definedName>
    <definedName name="_ae1" localSheetId="6" hidden="1">{#N/A,#N/A,FALSE,"Calc";#N/A,#N/A,FALSE,"Sensitivity";#N/A,#N/A,FALSE,"LT Earn.Dil.";#N/A,#N/A,FALSE,"Dil. AVP"}</definedName>
    <definedName name="_ae1" localSheetId="3" hidden="1">{#N/A,#N/A,FALSE,"Calc";#N/A,#N/A,FALSE,"Sensitivity";#N/A,#N/A,FALSE,"LT Earn.Dil.";#N/A,#N/A,FALSE,"Dil. AVP"}</definedName>
    <definedName name="_ae1" hidden="1">{#N/A,#N/A,FALSE,"Calc";#N/A,#N/A,FALSE,"Sensitivity";#N/A,#N/A,FALSE,"LT Earn.Dil.";#N/A,#N/A,FALSE,"Dil. AVP"}</definedName>
    <definedName name="_aee1" hidden="1">{#N/A,#N/A,FALSE,"Calc";#N/A,#N/A,FALSE,"Sensitivity";#N/A,#N/A,FALSE,"LT Earn.Dil.";#N/A,#N/A,FALSE,"Dil. AVP"}</definedName>
    <definedName name="_af1" hidden="1">"c1455"</definedName>
    <definedName name="_af10" hidden="1">"c2141"</definedName>
    <definedName name="_af11" hidden="1">"c1382"</definedName>
    <definedName name="_af12" hidden="1">"c1385"</definedName>
    <definedName name="_af13" hidden="1">"c1435"</definedName>
    <definedName name="_af14" hidden="1">"c1436"</definedName>
    <definedName name="_af15" hidden="1">"c1424"</definedName>
    <definedName name="_af16" hidden="1">"c1345"</definedName>
    <definedName name="_af18" hidden="1">"c1438"</definedName>
    <definedName name="_af19" localSheetId="6">{"Client Name or Project Name"}</definedName>
    <definedName name="_af19" localSheetId="3">{"Client Name or Project Name"}</definedName>
    <definedName name="_af19">{"Client Name or Project Name"}</definedName>
    <definedName name="_af2" hidden="1">"c1352"</definedName>
    <definedName name="_af20" localSheetId="6">{"Client Name or Project Name"}</definedName>
    <definedName name="_af20" localSheetId="3">{"Client Name or Project Name"}</definedName>
    <definedName name="_af20">{"Client Name or Project Name"}</definedName>
    <definedName name="_af21" localSheetId="6">{"Client Name or Project Name"}</definedName>
    <definedName name="_af21" localSheetId="3">{"Client Name or Project Name"}</definedName>
    <definedName name="_af21">{"Client Name or Project Name"}</definedName>
    <definedName name="_af22" localSheetId="6">{"Client Name or Project Name"}</definedName>
    <definedName name="_af22" localSheetId="3">{"Client Name or Project Name"}</definedName>
    <definedName name="_af22">{"Client Name or Project Name"}</definedName>
    <definedName name="_af23" localSheetId="6">{126}</definedName>
    <definedName name="_af23" localSheetId="3">{126}</definedName>
    <definedName name="_af23">{126}</definedName>
    <definedName name="_af24" localSheetId="6">{1}</definedName>
    <definedName name="_af24" localSheetId="3">{1}</definedName>
    <definedName name="_af24">{1}</definedName>
    <definedName name="_af25" localSheetId="6">{0}</definedName>
    <definedName name="_af25" localSheetId="3">{0}</definedName>
    <definedName name="_af25">{0}</definedName>
    <definedName name="_af26" localSheetId="6">{126}</definedName>
    <definedName name="_af26" localSheetId="3">{126}</definedName>
    <definedName name="_af26">{126}</definedName>
    <definedName name="_af27" localSheetId="6">{"Client Name or Project Name"}</definedName>
    <definedName name="_af27" localSheetId="3">{"Client Name or Project Name"}</definedName>
    <definedName name="_af27">{"Client Name or Project Name"}</definedName>
    <definedName name="_af28" localSheetId="6">{"Client Name or Project Name"}</definedName>
    <definedName name="_af28" localSheetId="3">{"Client Name or Project Name"}</definedName>
    <definedName name="_af28">{"Client Name or Project Name"}</definedName>
    <definedName name="_af3" hidden="1">"c1353"</definedName>
    <definedName name="_af30" localSheetId="6">{"Client Name or Project Name"}</definedName>
    <definedName name="_af30" localSheetId="3">{"Client Name or Project Name"}</definedName>
    <definedName name="_af30">{"Client Name or Project Name"}</definedName>
    <definedName name="_af31" localSheetId="6">{"Client Name or Project Name"}</definedName>
    <definedName name="_af31" localSheetId="3">{"Client Name or Project Name"}</definedName>
    <definedName name="_af31">{"Client Name or Project Name"}</definedName>
    <definedName name="_af32" localSheetId="6">{"Client Name or Project Name"}</definedName>
    <definedName name="_af32" localSheetId="3">{"Client Name or Project Name"}</definedName>
    <definedName name="_af32">{"Client Name or Project Name"}</definedName>
    <definedName name="_af33" localSheetId="6">{"Client Name or Project Name"}</definedName>
    <definedName name="_af33" localSheetId="3">{"Client Name or Project Name"}</definedName>
    <definedName name="_af33">{"Client Name or Project Name"}</definedName>
    <definedName name="_af34" localSheetId="6">{"Client Name or Project Name"}</definedName>
    <definedName name="_af34" localSheetId="3">{"Client Name or Project Name"}</definedName>
    <definedName name="_af34">{"Client Name or Project Name"}</definedName>
    <definedName name="_af35" localSheetId="6">{"Client Name or Project Name"}</definedName>
    <definedName name="_af35" localSheetId="3">{"Client Name or Project Name"}</definedName>
    <definedName name="_af35">{"Client Name or Project Name"}</definedName>
    <definedName name="_af36" localSheetId="6">{"Client Name or Project Name"}</definedName>
    <definedName name="_af36" localSheetId="3">{"Client Name or Project Name"}</definedName>
    <definedName name="_af36">{"Client Name or Project Name"}</definedName>
    <definedName name="_af37" localSheetId="6" hidden="1">{"Client is",#N/A,FALSE,"Client"}</definedName>
    <definedName name="_af37" localSheetId="3" hidden="1">{"Client is",#N/A,FALSE,"Client"}</definedName>
    <definedName name="_af37" hidden="1">{"Client is",#N/A,FALSE,"Client"}</definedName>
    <definedName name="_af38" localSheetId="6" hidden="1">{TRUE,TRUE,-1.25,-15.5,456.75,279.75,FALSE,FALSE,TRUE,TRUE,0,1,18,1,199,6,3,4,TRUE,TRUE,3,TRUE,1,TRUE,100,"Swvu.cash.","ACwvu.cash.",1,FALSE,FALSE,0.511811023622047,0.511811023622047,0.511811023622047,0.511811023622047,1,"","",FALSE,FALSE,FALSE,FALSE,1,#N/A,1,1,#DIV/0!,FALSE,"Rwvu.cash.",#N/A,FALSE,FALSE}</definedName>
    <definedName name="_af38" localSheetId="3" hidden="1">{TRUE,TRUE,-1.25,-15.5,456.75,279.75,FALSE,FALSE,TRUE,TRUE,0,1,18,1,199,6,3,4,TRUE,TRUE,3,TRUE,1,TRUE,100,"Swvu.cash.","ACwvu.cash.",1,FALSE,FALSE,0.511811023622047,0.511811023622047,0.511811023622047,0.511811023622047,1,"","",FALSE,FALSE,FALSE,FALSE,1,#N/A,1,1,#DIV/0!,FALSE,"Rwvu.cash.",#N/A,FALSE,FALSE}</definedName>
    <definedName name="_af38" hidden="1">{TRUE,TRUE,-1.25,-15.5,456.75,279.75,FALSE,FALSE,TRUE,TRUE,0,1,18,1,199,6,3,4,TRUE,TRUE,3,TRUE,1,TRUE,100,"Swvu.cash.","ACwvu.cash.",1,FALSE,FALSE,0.511811023622047,0.511811023622047,0.511811023622047,0.511811023622047,1,"","",FALSE,FALSE,FALSE,FALSE,1,#N/A,1,1,#DIV/0!,FALSE,"Rwvu.cash.",#N/A,FALSE,FALSE}</definedName>
    <definedName name="_af39" localSheetId="6" hidden="1">{TRUE,TRUE,-1.25,-15.5,456.75,279.75,FALSE,FALSE,TRUE,TRUE,0,1,21,1,127,6,3,4,TRUE,TRUE,3,TRUE,1,TRUE,100,"Swvu.profits.","ACwvu.profits.",1,FALSE,FALSE,0.511811023622047,0.511811023622047,0.511811023622047,0.511811023622047,1,"","",FALSE,FALSE,FALSE,FALSE,1,#N/A,1,1,#DIV/0!,FALSE,"Rwvu.profits.",#N/A,FALSE,FALSE}</definedName>
    <definedName name="_af39"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_af39" hidden="1">{TRUE,TRUE,-1.25,-15.5,456.75,279.75,FALSE,FALSE,TRUE,TRUE,0,1,21,1,127,6,3,4,TRUE,TRUE,3,TRUE,1,TRUE,100,"Swvu.profits.","ACwvu.profits.",1,FALSE,FALSE,0.511811023622047,0.511811023622047,0.511811023622047,0.511811023622047,1,"","",FALSE,FALSE,FALSE,FALSE,1,#N/A,1,1,#DIV/0!,FALSE,"Rwvu.profits.",#N/A,FALSE,FALSE}</definedName>
    <definedName name="_af4" hidden="1">"c1354"</definedName>
    <definedName name="_af40" localSheetId="6" hidden="1">{TRUE,TRUE,-1.25,-15.5,456.75,279.75,FALSE,FALSE,TRUE,TRUE,0,1,8,1,4,6,3,4,TRUE,TRUE,3,TRUE,1,TRUE,100,"Swvu.turnover.","ACwvu.turnover.",1,FALSE,FALSE,0.511811023622047,0.511811023622047,0.511811023622047,0.511811023622047,1,"","",FALSE,FALSE,FALSE,FALSE,1,#N/A,1,1,#DIV/0!,FALSE,"Rwvu.turnover.",#N/A,FALSE,FALSE}</definedName>
    <definedName name="_af40" localSheetId="3" hidden="1">{TRUE,TRUE,-1.25,-15.5,456.75,279.75,FALSE,FALSE,TRUE,TRUE,0,1,8,1,4,6,3,4,TRUE,TRUE,3,TRUE,1,TRUE,100,"Swvu.turnover.","ACwvu.turnover.",1,FALSE,FALSE,0.511811023622047,0.511811023622047,0.511811023622047,0.511811023622047,1,"","",FALSE,FALSE,FALSE,FALSE,1,#N/A,1,1,#DIV/0!,FALSE,"Rwvu.turnover.",#N/A,FALSE,FALSE}</definedName>
    <definedName name="_af40" hidden="1">{TRUE,TRUE,-1.25,-15.5,456.75,279.75,FALSE,FALSE,TRUE,TRUE,0,1,8,1,4,6,3,4,TRUE,TRUE,3,TRUE,1,TRUE,100,"Swvu.turnover.","ACwvu.turnover.",1,FALSE,FALSE,0.511811023622047,0.511811023622047,0.511811023622047,0.511811023622047,1,"","",FALSE,FALSE,FALSE,FALSE,1,#N/A,1,1,#DIV/0!,FALSE,"Rwvu.turnover.",#N/A,FALSE,FALSE}</definedName>
    <definedName name="_af5" hidden="1">"c1411"</definedName>
    <definedName name="_af6" hidden="1">"c1431"</definedName>
    <definedName name="_af7" hidden="1">"c1433"</definedName>
    <definedName name="_af8" hidden="1">"c1434"</definedName>
    <definedName name="_af9" hidden="1">"c1432"</definedName>
    <definedName name="_am1" localSheetId="6" hidden="1">{#N/A,#N/A,TRUE,"Pro Forma";#N/A,#N/A,TRUE,"PF_Bal";#N/A,#N/A,TRUE,"PF_INC";#N/A,#N/A,TRUE,"CBE";#N/A,#N/A,TRUE,"SWK"}</definedName>
    <definedName name="_am1" localSheetId="3" hidden="1">{#N/A,#N/A,TRUE,"Pro Forma";#N/A,#N/A,TRUE,"PF_Bal";#N/A,#N/A,TRUE,"PF_INC";#N/A,#N/A,TRUE,"CBE";#N/A,#N/A,TRUE,"SWK"}</definedName>
    <definedName name="_am1" hidden="1">{#N/A,#N/A,TRUE,"Pro Forma";#N/A,#N/A,TRUE,"PF_Bal";#N/A,#N/A,TRUE,"PF_INC";#N/A,#N/A,TRUE,"CBE";#N/A,#N/A,TRUE,"SWK"}</definedName>
    <definedName name="_amm1" hidden="1">{#N/A,#N/A,TRUE,"Pro Forma";#N/A,#N/A,TRUE,"PF_Bal";#N/A,#N/A,TRUE,"PF_INC";#N/A,#N/A,TRUE,"CBE";#N/A,#N/A,TRUE,"SWK"}</definedName>
    <definedName name="_as1" localSheetId="6" hidden="1">{"comp1",#N/A,FALSE,"COMPS";"footnotes",#N/A,FALSE,"COMPS"}</definedName>
    <definedName name="_as1" localSheetId="3" hidden="1">{"comp1",#N/A,FALSE,"COMPS";"footnotes",#N/A,FALSE,"COMPS"}</definedName>
    <definedName name="_as1" hidden="1">{"comp1",#N/A,FALSE,"COMPS";"footnotes",#N/A,FALSE,"COMPS"}</definedName>
    <definedName name="_ASM1" localSheetId="6">{9}</definedName>
    <definedName name="_ASM1" localSheetId="3">{9}</definedName>
    <definedName name="_ASM1">{9}</definedName>
    <definedName name="_ASM2" localSheetId="6">{9}</definedName>
    <definedName name="_ASM2" localSheetId="3">{9}</definedName>
    <definedName name="_ASM2">{9}</definedName>
    <definedName name="_ass1" hidden="1">{"comp1",#N/A,FALSE,"COMPS";"footnotes",#N/A,FALSE,"COMPS"}</definedName>
    <definedName name="_bdm.02E29E7B1053433EA3CCCBE4E5141596.edm" hidden="1">[5]Sheet1!$A:$IV</definedName>
    <definedName name="_bdm.1334C29876F942D8901AD4770A993668.edm" localSheetId="1" hidden="1">'P&amp;L'!$B$3:$AQ$58</definedName>
    <definedName name="_bdm.1ED62A45DEF247ECA361049A600E2EA7.edm" hidden="1">[6]Comps!$A:$IV</definedName>
    <definedName name="_bdm.2D2AE9F3DE2C4009BE1ADEF0D8291426.edm" hidden="1">'[6]Valuation metrics'!$A:$IV</definedName>
    <definedName name="_bdm.367EA898F586448AA306326C4129ADFD.edm" hidden="1">'[7]M&amp;Acalcs'!$A:$IV</definedName>
    <definedName name="_bdm.6694A034F149482090D1C7073DD8E728.edm" hidden="1">[8]Sheet1!$A:$IV</definedName>
    <definedName name="_bdm.D0F45DF5877447288FB1E0B1EA686B46.edm" hidden="1">[6]RC2!$A:$IV</definedName>
    <definedName name="_bdm.D3D015489E4F45C1905C95E6AA98954C.edm" localSheetId="3" hidden="1">OrgGrowth!$A$2:$U$26</definedName>
    <definedName name="_bdm.DA66EF2E41854969AD44B2D1C775CE0B.edm" hidden="1">'P&amp;L'!$1:$1048576</definedName>
    <definedName name="_bdm.ED20F03133AF48328CFFEBFE37BDAE7F.edm" hidden="1">OrgGrowth!$1:$1048576</definedName>
    <definedName name="_CF_Summary">[6]RC2!$AF$35:$AK$47</definedName>
    <definedName name="_div_yield">[6]RC2!$V$13:$Y$21</definedName>
    <definedName name="_f1" localSheetId="6" hidden="1">{"assumption cash",#N/A,TRUE,"Merger";"has gets cash",#N/A,TRUE,"Merger";"accretion dilution",#N/A,TRUE,"Merger";"comparison credit stats",#N/A,TRUE,"Merger";"pf credit stats",#N/A,TRUE,"Merger";"pf sheets",#N/A,TRUE,"Merger"}</definedName>
    <definedName name="_f1" localSheetId="3" hidden="1">{"assumption cash",#N/A,TRUE,"Merger";"has gets cash",#N/A,TRUE,"Merger";"accretion dilution",#N/A,TRUE,"Merger";"comparison credit stats",#N/A,TRUE,"Merger";"pf credit stats",#N/A,TRUE,"Merger";"pf sheets",#N/A,TRUE,"Merger"}</definedName>
    <definedName name="_f1" hidden="1">{"assumption cash",#N/A,TRUE,"Merger";"has gets cash",#N/A,TRUE,"Merger";"accretion dilution",#N/A,TRUE,"Merger";"comparison credit stats",#N/A,TRUE,"Merger";"pf credit stats",#N/A,TRUE,"Merger";"pf sheets",#N/A,TRUE,"Merger"}</definedName>
    <definedName name="_FCF_yield">[6]Comps!$D$20:$S$35</definedName>
    <definedName name="_fy2001">'[9]5 yr Sales and Earnings'!$C$1:$C$170</definedName>
    <definedName name="_ik1" localSheetId="6" hidden="1">{"casespecific",#N/A,FALSE,"Assumptions"}</definedName>
    <definedName name="_ik1" localSheetId="3" hidden="1">{"casespecific",#N/A,FALSE,"Assumptions"}</definedName>
    <definedName name="_ik1" hidden="1">{"casespecific",#N/A,FALSE,"Assumptions"}</definedName>
    <definedName name="_Order1" hidden="1">255</definedName>
    <definedName name="_Order2" hidden="1">0</definedName>
    <definedName name="_P1">[1]Bio!$A$5:$S$293</definedName>
    <definedName name="_P2">[1]Bio!$A$5:$P$293</definedName>
    <definedName name="_ppp1" localSheetId="6">{"Client Name or Project Name"}</definedName>
    <definedName name="_ppp1" localSheetId="3">{"Client Name or Project Name"}</definedName>
    <definedName name="_ppp1">{"Client Name or Project Name"}</definedName>
    <definedName name="_rb1" hidden="1">{"comp1",#N/A,FALSE,"COMPS";"footnotes",#N/A,FALSE,"COMPS"}</definedName>
    <definedName name="_rb10" localSheetId="6">{"Client Name or Project Name"}</definedName>
    <definedName name="_rb10" localSheetId="3">{"Client Name or Project Name"}</definedName>
    <definedName name="_rb10">{"Client Name or Project Name"}</definedName>
    <definedName name="_rb11" hidden="1">{"assumption cash",#N/A,TRUE,"Merger";"has gets cash",#N/A,TRUE,"Merger";"accretion dilution",#N/A,TRUE,"Merger";"comparison credit stats",#N/A,TRUE,"Merger";"pf credit stats",#N/A,TRUE,"Merger";"pf sheets",#N/A,TRUE,"Merger"}</definedName>
    <definedName name="_rb12" localSheetId="6">{9}</definedName>
    <definedName name="_rb12" localSheetId="3">{9}</definedName>
    <definedName name="_rb12">{9}</definedName>
    <definedName name="_rb13" localSheetId="6" hidden="1">{"'Breakup 01 Euro'!$A$3:$I$30"}</definedName>
    <definedName name="_rb13" localSheetId="3" hidden="1">{"'Breakup 01 Euro'!$A$3:$I$30"}</definedName>
    <definedName name="_rb13" hidden="1">{"'Breakup 01 Euro'!$A$3:$I$30"}</definedName>
    <definedName name="_rb14" hidden="1">{"casespecific",#N/A,FALSE,"Assumptions"}</definedName>
    <definedName name="_rb15" hidden="1">"c1449"</definedName>
    <definedName name="_rb16" hidden="1">"c1343"</definedName>
    <definedName name="_rb17" hidden="1">"c1341"</definedName>
    <definedName name="_rb18" hidden="1">"c1340"</definedName>
    <definedName name="_rb19" hidden="1">"c1344"</definedName>
    <definedName name="_rb2" hidden="1">{#N/A,#N/A,TRUE,"Pro Forma";#N/A,#N/A,TRUE,"PF_Bal";#N/A,#N/A,TRUE,"PF_INC";#N/A,#N/A,TRUE,"CBE";#N/A,#N/A,TRUE,"SWK"}</definedName>
    <definedName name="_rb20" hidden="1">"c1342"</definedName>
    <definedName name="_rb21" hidden="1">"c1591"</definedName>
    <definedName name="_rb22" hidden="1">"c1346"</definedName>
    <definedName name="_rb23" hidden="1">"c2133"</definedName>
    <definedName name="_rb24" hidden="1">"c1349"</definedName>
    <definedName name="_rb25" hidden="1">"c1350"</definedName>
    <definedName name="_rb26" hidden="1">"c1458"</definedName>
    <definedName name="_rb27" hidden="1">"c116"</definedName>
    <definedName name="_rb28" hidden="1">"c1351"</definedName>
    <definedName name="_rb29" hidden="1">"c1355"</definedName>
    <definedName name="_rb3" hidden="1">{"comp1",#N/A,FALSE,"COMPS";"footnotes",#N/A,FALSE,"COMPS"}</definedName>
    <definedName name="_rb30" hidden="1">"c1357"</definedName>
    <definedName name="_rb31" hidden="1">"c1358"</definedName>
    <definedName name="_rb32" hidden="1">"c1359"</definedName>
    <definedName name="_rb33" hidden="1">"c1362"</definedName>
    <definedName name="_rb34" hidden="1">"c1363"</definedName>
    <definedName name="_rb35" hidden="1">"c1364"</definedName>
    <definedName name="_rb36" hidden="1">"c1365"</definedName>
    <definedName name="_rb37" hidden="1">"c1447"</definedName>
    <definedName name="_rb38" hidden="1">"c1356"</definedName>
    <definedName name="_rb39" hidden="1">"c1360"</definedName>
    <definedName name="_rb4" hidden="1">{#N/A,#N/A,FALSE,"Calc";#N/A,#N/A,FALSE,"Sensitivity";#N/A,#N/A,FALSE,"LT Earn.Dil.";#N/A,#N/A,FALSE,"Dil. AVP"}</definedName>
    <definedName name="_rb40" hidden="1">"c1361"</definedName>
    <definedName name="_rb41" hidden="1">"c1520"</definedName>
    <definedName name="_rb42" hidden="1">"c1367"</definedName>
    <definedName name="_rb43" hidden="1">"c1366"</definedName>
    <definedName name="_rb44" hidden="1">"c1369"</definedName>
    <definedName name="_rb45" hidden="1">"c1370"</definedName>
    <definedName name="_rb46" hidden="1">"c1371"</definedName>
    <definedName name="_rb47" hidden="1">"c1348"</definedName>
    <definedName name="_rb48" hidden="1">"c1451"</definedName>
    <definedName name="_rb49" hidden="1">"c1390"</definedName>
    <definedName name="_rb5" localSheetId="6">{9}</definedName>
    <definedName name="_rb5" localSheetId="3">{9}</definedName>
    <definedName name="_rb5">{9}</definedName>
    <definedName name="_rb50" hidden="1">"c1428"</definedName>
    <definedName name="_rb51" hidden="1">"c1426"</definedName>
    <definedName name="_rb52" hidden="1">"c1427"</definedName>
    <definedName name="_rb53" hidden="1">"c1429"</definedName>
    <definedName name="_rb54" hidden="1">"c1897"</definedName>
    <definedName name="_rb55" hidden="1">"c1459"</definedName>
    <definedName name="_rb56" hidden="1">"c1405"</definedName>
    <definedName name="_rb57" hidden="1">"c1406"</definedName>
    <definedName name="_rb58" hidden="1">"c1376"</definedName>
    <definedName name="_rb59" hidden="1">"c1377"</definedName>
    <definedName name="_rb6" hidden="1">{#N/A,#N/A,TRUE,"Pro Forma";#N/A,#N/A,TRUE,"PF_Bal";#N/A,#N/A,TRUE,"PF_INC";#N/A,#N/A,TRUE,"CBE";#N/A,#N/A,TRUE,"SWK"}</definedName>
    <definedName name="_rb60" hidden="1">"c1380"</definedName>
    <definedName name="_rb61" hidden="1">"c1446"</definedName>
    <definedName name="_rb62" hidden="1">"c1378"</definedName>
    <definedName name="_rb63" hidden="1">"c1395"</definedName>
    <definedName name="_rb64" hidden="1">"c1396"</definedName>
    <definedName name="_rb65" hidden="1">"c1375"</definedName>
    <definedName name="_rb66" hidden="1">"c1407"</definedName>
    <definedName name="_rb67" hidden="1">"c1383"</definedName>
    <definedName name="_rb68" hidden="1">"c1393"</definedName>
    <definedName name="_rb69" hidden="1">"c1384"</definedName>
    <definedName name="_rb7" hidden="1">{"comp1",#N/A,FALSE,"COMPS";"footnotes",#N/A,FALSE,"COMPS"}</definedName>
    <definedName name="_rb70" hidden="1">"c1391"</definedName>
    <definedName name="_rb71" hidden="1">"c1386"</definedName>
    <definedName name="_rb72" hidden="1">"c1387"</definedName>
    <definedName name="_rb73" hidden="1">"c1388"</definedName>
    <definedName name="_rb74" hidden="1">"c1389"</definedName>
    <definedName name="_rb75" hidden="1">"c1437"</definedName>
    <definedName name="_rb76" hidden="1">"c1394"</definedName>
    <definedName name="_rb77" hidden="1">"c1368"</definedName>
    <definedName name="_rb78" hidden="1">"c1397"</definedName>
    <definedName name="_rb79" hidden="1">"c1398"</definedName>
    <definedName name="_rb8" localSheetId="6">{9}</definedName>
    <definedName name="_rb8" localSheetId="3">{9}</definedName>
    <definedName name="_rb8">{9}</definedName>
    <definedName name="_rb9" localSheetId="6">{9}</definedName>
    <definedName name="_rb9" localSheetId="3">{9}</definedName>
    <definedName name="_rb9">{9}</definedName>
    <definedName name="_Regression_Int" hidden="1">1</definedName>
    <definedName name="_rt1" hidden="1">"c1392"</definedName>
    <definedName name="_rt10" hidden="1">"c1409"</definedName>
    <definedName name="_rt11" hidden="1">"c1453"</definedName>
    <definedName name="_rt12" hidden="1">"c1410"</definedName>
    <definedName name="_rt14" hidden="1">"c2128"</definedName>
    <definedName name="_rt15" hidden="1">"c1457"</definedName>
    <definedName name="_rt16" hidden="1">"c1414"</definedName>
    <definedName name="_rt17" hidden="1">"c1416"</definedName>
    <definedName name="_rt18" hidden="1">"c1415"</definedName>
    <definedName name="_rt19" hidden="1">"c1418"</definedName>
    <definedName name="_rt2" hidden="1">"c1399"</definedName>
    <definedName name="_rt20" hidden="1">"c1412"</definedName>
    <definedName name="_rt21" hidden="1">"c1413"</definedName>
    <definedName name="_rt22" hidden="1">"c1452"</definedName>
    <definedName name="_rt24" hidden="1">"c1379"</definedName>
    <definedName name="_rt25" hidden="1">"c1402"</definedName>
    <definedName name="_rt26" hidden="1">"c1417"</definedName>
    <definedName name="_rt27" hidden="1">"c1419"</definedName>
    <definedName name="_rt28" hidden="1">"c1420"</definedName>
    <definedName name="_rt29" hidden="1">"c1421"</definedName>
    <definedName name="_rt3" hidden="1">"c1400"</definedName>
    <definedName name="_rt30" hidden="1">"c1422"</definedName>
    <definedName name="_rt31" hidden="1">"c1347"</definedName>
    <definedName name="_rt32" hidden="1">"c1425"</definedName>
    <definedName name="_rt4" hidden="1">"c1401"</definedName>
    <definedName name="_rt5" hidden="1">"c1423"</definedName>
    <definedName name="_rt6" hidden="1">"c1448"</definedName>
    <definedName name="_rt7" hidden="1">"c1403"</definedName>
    <definedName name="_rt8" hidden="1">"c1404"</definedName>
    <definedName name="_rt9" hidden="1">"c1408"</definedName>
    <definedName name="_t1" localSheetId="6" hidden="1">{"Client is",#N/A,FALSE,"Client"}</definedName>
    <definedName name="_t1" localSheetId="3" hidden="1">{"Client is",#N/A,FALSE,"Client"}</definedName>
    <definedName name="_t1" hidden="1">{"Client is",#N/A,FALSE,"Client"}</definedName>
    <definedName name="_TAR2">[10]Inputs!$F$9</definedName>
    <definedName name="aaaaaa1" hidden="1">{#N/A,#N/A,TRUE,"Pro Forma";#N/A,#N/A,TRUE,"PF_Bal";#N/A,#N/A,TRUE,"PF_INC";#N/A,#N/A,TRUE,"CBE";#N/A,#N/A,TRUE,"SWK"}</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q_name">[11]Inputs!$B$2</definedName>
    <definedName name="AdditionalInstructions">IndexInformation!$B$42</definedName>
    <definedName name="Address" localSheetId="0">ImportantDisclosures!$A$2:$A$2</definedName>
    <definedName name="af" hidden="1">"c1430"</definedName>
    <definedName name="afertgfs" hidden="1">{"comp1",#N/A,FALSE,"COMPS";"footnotes",#N/A,FALSE,"COMPS"}</definedName>
    <definedName name="AllTables" localSheetId="6">{9}</definedName>
    <definedName name="AllTables" localSheetId="3">{9}</definedName>
    <definedName name="AllTables">{9}</definedName>
    <definedName name="alltables1" localSheetId="6">{9}</definedName>
    <definedName name="alltables1" localSheetId="3">{9}</definedName>
    <definedName name="alltables1">{9}</definedName>
    <definedName name="amortization">'[12]Assumptions &amp; Cases'!$F$16</definedName>
    <definedName name="ANA" localSheetId="12">ModPubIndex!$A$7</definedName>
    <definedName name="anscount" hidden="1">1</definedName>
    <definedName name="apple">'[13]Financials Feeder'!$M$13</definedName>
    <definedName name="asdbdbvdfb" hidden="1">{0,#N/A,FALSE,0;0,#N/A,FALSE,0}</definedName>
    <definedName name="asdfbadffbf" hidden="1">{#VALUE!,#N/A,TRUE,0;#N/A,#N/A,TRUE,0;#N/A,#N/A,TRUE,0;#N/A,#N/A,TRUE,0;#N/A,#N/A,TRUE,0}</definedName>
    <definedName name="asdgasdgg" hidden="1">{0,#N/A,FALSE,0}</definedName>
    <definedName name="ASM" localSheetId="6">{9}</definedName>
    <definedName name="ASM" localSheetId="3">{9}</definedName>
    <definedName name="ASM">{9}</definedName>
    <definedName name="ASMM2" localSheetId="6">{9}</definedName>
    <definedName name="ASMM2" localSheetId="3">{9}</definedName>
    <definedName name="ASMM2">{9}</definedName>
    <definedName name="Authors" localSheetId="0">ImportantDisclosures!$A$7</definedName>
    <definedName name="Authors" localSheetId="11">IndexInformation!$B$18</definedName>
    <definedName name="B">'[14]GVAT RI Valuation'!$C$149</definedName>
    <definedName name="bach_share_price">'[15]Accretion-Dilution'!$T$24</definedName>
    <definedName name="bnmjk" hidden="1">{#N/A,#N/A,TRUE,"Pro Forma";#N/A,#N/A,TRUE,"PF_Bal";#N/A,#N/A,TRUE,"PF_INC";#N/A,#N/A,TRUE,"CBE";#N/A,#N/A,TRUE,"SWK"}</definedName>
    <definedName name="BRO" localSheetId="12">ModPubIndex!$A$1</definedName>
    <definedName name="BSO">[16]Model_Assumptions!$P$18</definedName>
    <definedName name="Buyer">'[17]M&amp;A inputs'!$J$11</definedName>
    <definedName name="cad">'[18]MOL AccDil Input'!$R$1</definedName>
    <definedName name="cash2">'[19]Trans Inputs'!$B$14</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ashpd">[20]Calcs!$C$10</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f">'[20]Target&amp;Acquiror'!$C$2</definedName>
    <definedName name="ChoiceOfChem" localSheetId="6">{"Client Name or Project Name"}</definedName>
    <definedName name="ChoiceOfChem" localSheetId="3">{"Client Name or Project Name"}</definedName>
    <definedName name="ChoiceOfChem">{"Client Name or Project Name"}</definedName>
    <definedName name="Choices_Wrapper" localSheetId="6">Debt!Choices_Wrapper</definedName>
    <definedName name="Choices_Wrapper">Debt!Choices_Wrapper</definedName>
    <definedName name="client">'[12]Assumptions &amp; Cases'!$F$6</definedName>
    <definedName name="COGSoverideTitle">[21]INPUTS!$D$33</definedName>
    <definedName name="common">[20]Trans!$E$11</definedName>
    <definedName name="companies">[22]Inputs!$O$15:$CV$110</definedName>
    <definedName name="CompanyName">[23]summary!$J$7</definedName>
    <definedName name="conv_rate">14.5352</definedName>
    <definedName name="copy" localSheetId="6">{9}</definedName>
    <definedName name="copy" localSheetId="3">{9}</definedName>
    <definedName name="copy">{9}</definedName>
    <definedName name="copy2" localSheetId="6">{9}</definedName>
    <definedName name="copy2" localSheetId="3">{9}</definedName>
    <definedName name="copy2">{9}</definedName>
    <definedName name="CopyrightStamp">ImportantDisclosures!$A$27</definedName>
    <definedName name="Cost_of_cash">'[15]Chopin MF Valuation'!$C$10</definedName>
    <definedName name="COU" localSheetId="12">ModPubIndex!$A$5</definedName>
    <definedName name="CQEnd" localSheetId="11">IndexInformation!$B$31</definedName>
    <definedName name="crailtitle">[21]INPUTS!$D$28</definedName>
    <definedName name="curex">[24]Inputs!$R$7</definedName>
    <definedName name="Curr_Date">[25]Comps!$AC$10</definedName>
    <definedName name="Currency" localSheetId="11">IndexInformation!$B$24</definedName>
    <definedName name="CurrentStockPrice" localSheetId="11">IndexInformation!$B$23</definedName>
    <definedName name="CurrQtrEPS" localSheetId="11">IndexInformation!$B$29</definedName>
    <definedName name="CurrYearEPS" localSheetId="11">IndexInformation!$B$11</definedName>
    <definedName name="CurrYearTotalRevenue" localSheetId="11">IndexInformation!$B$10</definedName>
    <definedName name="CurrYearTotalRevenueActual" localSheetId="11">IndexInformation!$B$32</definedName>
    <definedName name="CUSIP" localSheetId="11">IndexInformation!$B$20</definedName>
    <definedName name="CYEnd" localSheetId="11">IndexInformation!$B$30</definedName>
    <definedName name="d" hidden="1">{"comp1",#N/A,FALSE,"COMPS";"footnotes",#N/A,FALSE,"COMPS"}</definedName>
    <definedName name="data">[12]Inputs!$I$6:$K$153</definedName>
    <definedName name="_xlnm.Database" localSheetId="6">Debt!_xlnm.Database</definedName>
    <definedName name="_xlnm.Database">[26]!_xlnm.Database</definedName>
    <definedName name="Date" localSheetId="0">ImportantDisclosures!$A$8</definedName>
    <definedName name="date">'[27]Control Page'!$C$9</definedName>
    <definedName name="date2">[28]Evotec!$L$3</definedName>
    <definedName name="Deferred_Taxes">'[29]Bal Sheet &amp; Cash Flow'!$A$10:$IV$10</definedName>
    <definedName name="Deleted" localSheetId="11">IndexInformation!$B$27</definedName>
    <definedName name="Description" localSheetId="11">IndexInformation!$B$7</definedName>
    <definedName name="DEVELOPMENT">5</definedName>
    <definedName name="dfbdfbdfbadfbd" hidden="1">{#VALUE!,#N/A,FALSE,0;#N/A,#N/A,FALSE,0;#N/A,#N/A,FALSE,0;#N/A,#N/A,FALSE,0}</definedName>
    <definedName name="dfbfdfbgdb" hidden="1">{0,#N/A,FALSE,0}</definedName>
    <definedName name="dhdghdghgh">{9}</definedName>
    <definedName name="Discipline" localSheetId="11">IndexInformation!$B$3</definedName>
    <definedName name="DISCIPLINE" localSheetId="12">ModPubIndex!$A$12</definedName>
    <definedName name="DisclosuresText">ImportantDisclosures!$A$22</definedName>
    <definedName name="Distribution" localSheetId="11">IndexInformation!$B$26</definedName>
    <definedName name="DistTable" localSheetId="0">ImportantDisclosures!#REF!</definedName>
    <definedName name="DistTablePreamble" localSheetId="0">ImportantDisclosures!#REF!</definedName>
    <definedName name="DOCDAT" localSheetId="12">ModPubIndex!$A$2</definedName>
    <definedName name="DOCTIME" localSheetId="12">ModPubIndex!$A$3</definedName>
    <definedName name="DocType" localSheetId="11">IndexInformation!$B$5</definedName>
    <definedName name="Download_series" localSheetId="4">[30]!Download_series</definedName>
    <definedName name="Download_series" localSheetId="5">[30]!Download_series</definedName>
    <definedName name="Download_series">[30]!Download_series</definedName>
    <definedName name="DYNO">"TARGET"</definedName>
    <definedName name="EMAIL_ALERT" localSheetId="12">ModPubIndex!$A$10</definedName>
    <definedName name="EmailAlert" localSheetId="11">IndexInformation!$B$28</definedName>
    <definedName name="Epsilon">[31]Inputs!$B$3</definedName>
    <definedName name="equity1">'[32]Trans Sum'!$K$13</definedName>
    <definedName name="EquityAdjustments">0</definedName>
    <definedName name="EquityEmployeeStockOwnershipPlan">0</definedName>
    <definedName name="EquityPaidInCapital">0</definedName>
    <definedName name="EquityTreasuryStock">0</definedName>
    <definedName name="ev.Calculation" hidden="1">-4135</definedName>
    <definedName name="ev.Initialized" hidden="1">FALSE</definedName>
    <definedName name="Exhibit_4">"QSALES1"</definedName>
    <definedName name="FCF">[33]L!$C$13:$P$20</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hsdfhsdfhsdfh" hidden="1">{#VALUE!,#N/A,TRUE,0;#N/A,#N/A,TRUE,0;#N/A,#N/A,TRUE,0;#N/A,#N/A,TRUE,0;#N/A,#N/A,TRUE,0}</definedName>
    <definedName name="FINCriteriaType">1</definedName>
    <definedName name="FiveYearGrowthRate" localSheetId="11">IndexInformation!$B$16</definedName>
    <definedName name="fmv_04" localSheetId="6">{"Client Name or Project Name"}</definedName>
    <definedName name="fmv_04" localSheetId="3">{"Client Name or Project Name"}</definedName>
    <definedName name="fmv_04">{"Client Name or Project Name"}</definedName>
    <definedName name="FollowingYearEPS" localSheetId="11">IndexInformation!$B$15</definedName>
    <definedName name="FollowingYearTotalRevenue" localSheetId="11">IndexInformation!$B$14</definedName>
    <definedName name="FollowingYearTotalRevenueActual" localSheetId="11">IndexInformation!$B$34</definedName>
    <definedName name="FYE">'[34]DCF Inputs'!$H$11</definedName>
    <definedName name="GBP_ON">[21]INPUTS!$N$19</definedName>
    <definedName name="GDWILL">[35]Calcs!$O$15</definedName>
    <definedName name="gfngfngfndghnmgh" hidden="1">{0,#N/A,TRUE,0;0,#N/A,TRUE,0;0,#N/A,TRUE,0;0,#N/A,TRUE,0;0,#N/A,TRUE,0;0,#N/A,TRUE,0}</definedName>
    <definedName name="Graph_Frequency">OFFSET('[36]RESIDUAL INCOME'!$Y$60,0,MATCH(99.9999,'[36]RESIDUAL INCOME'!$Y$60:$BW$60,-1)-1,1,COUNT('[36]RESIDUAL INCOME'!$Y$60:$BW$60)-(MATCH(99.9999,'[36]RESIDUAL INCOME'!$Y$60:$BW$60,-1)-1))</definedName>
    <definedName name="Gross_Capex">'[29]Bal Sheet &amp; Cash Flow'!$A$38:$IV$38</definedName>
    <definedName name="guidance1" localSheetId="6">{9}</definedName>
    <definedName name="guidance1" localSheetId="3">{9}</definedName>
    <definedName name="guidance1">{9}</definedName>
    <definedName name="GW_AMORT_BOOK">[22]Trans_Inputs!$U$39</definedName>
    <definedName name="hgjdfgh" hidden="1">{"comp1",#N/A,FALSE,"COMPS";"footnotes",#N/A,FALSE,"COMPS"}</definedName>
    <definedName name="HL" localSheetId="12">ModPubIndex!$A$8</definedName>
    <definedName name="hn.ModelVersion" hidden="1">1</definedName>
    <definedName name="hn.NoUpload" hidden="1">0</definedName>
    <definedName name="HTML_CodePage" hidden="1">1252</definedName>
    <definedName name="HTML_Control" localSheetId="6" hidden="1">{"'Breakup 01 Euro'!$A$3:$I$30"}</definedName>
    <definedName name="HTML_Control" localSheetId="3" hidden="1">{"'Breakup 01 Euro'!$A$3:$I$30"}</definedName>
    <definedName name="HTML_Control" hidden="1">{"'Breakup 01 Euro'!$A$3:$I$30"}</definedName>
    <definedName name="HTML_Description" hidden="1">""</definedName>
    <definedName name="HTML_Email" hidden="1">""</definedName>
    <definedName name="HTML_Header" hidden="1">"Breakup 01 Euro"</definedName>
    <definedName name="HTML_LastUpdate" hidden="1">"27/02/2001"</definedName>
    <definedName name="HTML_LineAfter" hidden="1">FALSE</definedName>
    <definedName name="HTML_LineBefore" hidden="1">FALSE</definedName>
    <definedName name="HTML_Name" hidden="1">"jonasa"</definedName>
    <definedName name="HTML_OBDlg2" hidden="1">TRUE</definedName>
    <definedName name="HTML_OBDlg4" hidden="1">TRUE</definedName>
    <definedName name="HTML_OS" hidden="1">0</definedName>
    <definedName name="HTML_PathFile" hidden="1">"L:\AUTOS\XLDATA\Jonas\other\DCX_Sop.htm"</definedName>
    <definedName name="HTML_Title" hidden="1">"DAIC-INC"</definedName>
    <definedName name="IncomeEPSFullyDiluted">0</definedName>
    <definedName name="IncomeEPSPrimary">0</definedName>
    <definedName name="IncomeEPSRegular">0</definedName>
    <definedName name="IND" localSheetId="12">ModPubIndex!$A$9</definedName>
    <definedName name="Industry" localSheetId="0">ImportantDisclosures!$A$12</definedName>
    <definedName name="IndustryId">IndexInformation!$B$40</definedName>
    <definedName name="IndustryRating" localSheetId="0">ImportantDisclosures!$A$13</definedName>
    <definedName name="IQ" hidden="1">"c413"</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CCOUNT_CHANGE" localSheetId="3" hidden="1">"c1449"</definedName>
    <definedName name="IQ_ACCOUNT_CHANGE" hidden="1">"c413"</definedName>
    <definedName name="IQ_ACCOUNTING_FFIEC" hidden="1">"c13054"</definedName>
    <definedName name="IQ_ACCOUNTING_STANDARD" hidden="1">"c4539"</definedName>
    <definedName name="IQ_ACCOUNTS_PAY" localSheetId="3" hidden="1">"c1343"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localSheetId="3" hidden="1">"c1341"</definedName>
    <definedName name="IQ_ACCRUED_EXP" hidden="1">"c8"</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localSheetId="3" hidden="1">"c1340"</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localSheetId="3" hidden="1">"c1344"</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localSheetId="3" hidden="1">"c1342"</definedName>
    <definedName name="IQ_ALLOW_CONST" hidden="1">"c16"</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localSheetId="3" hidden="1">"c1591"</definedName>
    <definedName name="IQ_AMORTIZATION" hidden="1">"c1471"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DET_EST" hidden="1">"c12043"</definedName>
    <definedName name="IQ_ANALYST_DET_EST_THOM" hidden="1">"c12071"</definedName>
    <definedName name="IQ_ANALYST_EMAIL" hidden="1">"c13738"</definedName>
    <definedName name="IQ_ANALYST_NAME" hidden="1">"c13736"</definedName>
    <definedName name="IQ_ANALYST_NON_PER_DET_EST" hidden="1">"c12755"</definedName>
    <definedName name="IQ_ANALYST_NON_PER_DET_EST_THOM" hidden="1">"c12759"</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localSheetId="3" hidden="1">"c1346"</definedName>
    <definedName name="IQ_AVG_VOLUME" hidden="1">"c65"</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UNUSED" hidden="1">"c7473"</definedName>
    <definedName name="IQ_BALANCE_GOODS_FC_UNUSED" hidden="1">"c7693"</definedName>
    <definedName name="IQ_BALANCE_GOODS_POP_FC_UNUSED" hidden="1">"c7913"</definedName>
    <definedName name="IQ_BALANCE_GOODS_POP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UNUSED" hidden="1">"c7253"</definedName>
    <definedName name="IQ_BALANCE_SERV_APR_FC_UNUSED" hidden="1">"c8355"</definedName>
    <definedName name="IQ_BALANCE_SERV_APR_UNUSED" hidden="1">"c7475"</definedName>
    <definedName name="IQ_BALANCE_SERV_FC_UNUSED" hidden="1">"c7695"</definedName>
    <definedName name="IQ_BALANCE_SERV_POP_FC_UNUSED" hidden="1">"c7915"</definedName>
    <definedName name="IQ_BALANCE_SERV_POP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UNUSED" hidden="1">"c7477"</definedName>
    <definedName name="IQ_BALANCE_TRADE_FC_UNUSED" hidden="1">"c7697"</definedName>
    <definedName name="IQ_BALANCE_TRADE_POP_FC_UNUSED" hidden="1">"c7917"</definedName>
    <definedName name="IQ_BALANCE_TRADE_POP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NCHMARK_YIELD" hidden="1">"c8955"</definedName>
    <definedName name="IQ_BETA" localSheetId="3" hidden="1">"c2133"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ID" hidden="1">"c13756"</definedName>
    <definedName name="IQ_BOARD_MEMBER_TITLE" hidden="1">"c97"</definedName>
    <definedName name="IQ_BOND_COUPON" hidden="1">"c2183"</definedName>
    <definedName name="IQ_BOND_COUPON_TYPE" hidden="1">"c2184"</definedName>
    <definedName name="IQ_BOND_LIST" hidden="1">"c13505"</definedName>
    <definedName name="IQ_BOND_PRICE" hidden="1">"c2162"</definedName>
    <definedName name="IQ_BORROWED_MONEY_QUARTERLY_AVG_FFIEC" hidden="1">"c13091"</definedName>
    <definedName name="IQ_BORROWINGS_LESS_1YR_ASSETS_TOT_FFIEC" hidden="1">"c13450"</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UNUSED" hidden="1">"c7479"</definedName>
    <definedName name="IQ_BUDGET_BALANCE_FC_UNUSED" hidden="1">"c7699"</definedName>
    <definedName name="IQ_BUDGET_BALANCE_POP_FC_UNUSED" hidden="1">"c7919"</definedName>
    <definedName name="IQ_BUDGET_BALANCE_POP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YOY_FC_UNUSED" hidden="1">"c8139"</definedName>
    <definedName name="IQ_BUDGET_BALANCE_YOY_UNUSED" hidden="1">"c7259"</definedName>
    <definedName name="IQ_BUDGET_RECEIPTS_APR_FC_UNUSED" hidden="1">"c8361"</definedName>
    <definedName name="IQ_BUDGET_RECEIPTS_APR_UNUSED" hidden="1">"c7481"</definedName>
    <definedName name="IQ_BUDGET_RECEIPTS_FC_UNUSED" hidden="1">"c7701"</definedName>
    <definedName name="IQ_BUDGET_RECEIPTS_POP_FC_UNUSED" hidden="1">"c7921"</definedName>
    <definedName name="IQ_BUDGET_RECEIPTS_POP_UNUSED" hidden="1">"c7041"</definedName>
    <definedName name="IQ_BUDGET_RECEIPTS_UNUSED" hidden="1">"c6821"</definedName>
    <definedName name="IQ_BUDGET_RECEIPTS_YOY_FC_UNUSED" hidden="1">"c8141"</definedName>
    <definedName name="IQ_BUDGET_RECEIPTS_YOY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COMBINATIONS_FFIEC" hidden="1">"c12967"</definedName>
    <definedName name="IQ_BUSINESS_DESCRIPTION" hidden="1">"c322"</definedName>
    <definedName name="IQ_BV_ACT_OR_EST_CIQ" hidden="1">"c5068"</definedName>
    <definedName name="IQ_BV_EST" hidden="1">"c5624"</definedName>
    <definedName name="IQ_BV_HIGH_EST" hidden="1">"c5626"</definedName>
    <definedName name="IQ_BV_LOW_EST" hidden="1">"c5627"</definedName>
    <definedName name="IQ_BV_MEDIAN_EST" hidden="1">"c5625"</definedName>
    <definedName name="IQ_BV_NUM_EST" hidden="1">"c5628"</definedName>
    <definedName name="IQ_BV_OVER_SHARES" localSheetId="3" hidden="1">"c1349"</definedName>
    <definedName name="IQ_BV_OVER_SHARES" hidden="1">"c100"</definedName>
    <definedName name="IQ_BV_SHARE" hidden="1">"c100"</definedName>
    <definedName name="IQ_BV_SHARE_ACT_OR_EST" hidden="1">"c3587"</definedName>
    <definedName name="IQ_BV_SHARE_ACT_OR_EST_THOM" hidden="1">"c5312"</definedName>
    <definedName name="IQ_BV_SHARE_DET_EST" hidden="1">"c12047"</definedName>
    <definedName name="IQ_BV_SHARE_DET_EST_CURRENCY" hidden="1">"c12456"</definedName>
    <definedName name="IQ_BV_SHARE_DET_EST_CURRENCY_THOM" hidden="1">"c12476"</definedName>
    <definedName name="IQ_BV_SHARE_DET_EST_DATE" hidden="1">"c12200"</definedName>
    <definedName name="IQ_BV_SHARE_DET_EST_DATE_THOM" hidden="1">"c12225"</definedName>
    <definedName name="IQ_BV_SHARE_DET_EST_INCL" hidden="1">"c12339"</definedName>
    <definedName name="IQ_BV_SHARE_DET_EST_INCL_THOM" hidden="1">"c12359"</definedName>
    <definedName name="IQ_BV_SHARE_DET_EST_ORIGIN" hidden="1">"c12573"</definedName>
    <definedName name="IQ_BV_SHARE_DET_EST_ORIGIN_THOM" hidden="1">"c12595"</definedName>
    <definedName name="IQ_BV_SHARE_DET_EST_THOM" hidden="1">"c12075"</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 hidden="1">"c5629"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THOM" hidden="1">"c6804"</definedName>
    <definedName name="IQ_CAL_Y" hidden="1">"c102"</definedName>
    <definedName name="IQ_CAL_Y_EST" hidden="1">"c6797"</definedName>
    <definedName name="IQ_CAL_Y_EST_CIQ" hidden="1">"c6809"</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DET_EST" hidden="1">"c12048"</definedName>
    <definedName name="IQ_CAPEX_DET_EST_CURRENCY" hidden="1">"c12457"</definedName>
    <definedName name="IQ_CAPEX_DET_EST_CURRENCY_THOM" hidden="1">"c12477"</definedName>
    <definedName name="IQ_CAPEX_DET_EST_DATE" hidden="1">"c12201"</definedName>
    <definedName name="IQ_CAPEX_DET_EST_DATE_THOM" hidden="1">"c12226"</definedName>
    <definedName name="IQ_CAPEX_DET_EST_INCL" hidden="1">"c12340"</definedName>
    <definedName name="IQ_CAPEX_DET_EST_INCL_THOM" hidden="1">"c12360"</definedName>
    <definedName name="IQ_CAPEX_DET_EST_ORIGIN" hidden="1">"c12765"</definedName>
    <definedName name="IQ_CAPEX_DET_EST_ORIGIN_THOM" hidden="1">"c12596"</definedName>
    <definedName name="IQ_CAPEX_DET_EST_THOM" hidden="1">"c12076"</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localSheetId="3" hidden="1">"c1350"</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localSheetId="3" hidden="1">"c1458"</definedName>
    <definedName name="IQ_CASH" hidden="1">"c118"</definedName>
    <definedName name="IQ_CASH_ACQUIRE_CF" hidden="1">"c1630"</definedName>
    <definedName name="IQ_CASH_BALANCES_DUE_FFIEC" hidden="1">"c12773"</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localSheetId="3" hidden="1">"c1351"</definedName>
    <definedName name="IQ_CASH_DUE_BANKS" hidden="1">"c118"</definedName>
    <definedName name="IQ_CASH_EPS_ACT_OR_EST" hidden="1">"c5638"</definedName>
    <definedName name="IQ_CASH_EPS_ACT_OR_EST_THOM" hidden="1">"c5646"</definedName>
    <definedName name="IQ_CASH_EPS_DET_EST_CURRENCY_THOM" hidden="1">"c12478"</definedName>
    <definedName name="IQ_CASH_EPS_DET_EST_DATE_THOM" hidden="1">"c12227"</definedName>
    <definedName name="IQ_CASH_EPS_DET_EST_INCL_THOM" hidden="1">"c12361"</definedName>
    <definedName name="IQ_CASH_EPS_DET_EST_ORIGIN_THOM" hidden="1">"c12597"</definedName>
    <definedName name="IQ_CASH_EPS_DET_EST_THOM" hidden="1">"c12077"</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EST" hidden="1">"c4153"</definedName>
    <definedName name="IQ_CASH_FLOW_HIGH_EST" hidden="1">"c4156"</definedName>
    <definedName name="IQ_CASH_FLOW_LOW_EST" hidden="1">"c4157"</definedName>
    <definedName name="IQ_CASH_FLOW_MEDIAN_EST" hidden="1">"c4158"</definedName>
    <definedName name="IQ_CASH_FLOW_NUM_EST" hidden="1">"c4159"</definedName>
    <definedName name="IQ_CASH_FLOW_STDDEV_EST" hidden="1">"c4160"</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HIGH_EST" hidden="1">"c4166"</definedName>
    <definedName name="IQ_CASH_OPER_LOW_EST" hidden="1">"c4244"</definedName>
    <definedName name="IQ_CASH_OPER_MEDIAN_EST" hidden="1">"c4245"</definedName>
    <definedName name="IQ_CASH_OPER_NAME_AP" hidden="1">"c8926"</definedName>
    <definedName name="IQ_CASH_OPER_NAME_AP_ABS" hidden="1">"c8945"</definedName>
    <definedName name="IQ_CASH_OPER_NUM_EST" hidden="1">"c4246"</definedName>
    <definedName name="IQ_CASH_OPER_STDDEV_EST" hidden="1">"c4247"</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localSheetId="3" hidden="1">"c1355"</definedName>
    <definedName name="IQ_CASH_ST" hidden="1">"c124"</definedName>
    <definedName name="IQ_CASH_ST_INVEST" hidden="1">"c124"</definedName>
    <definedName name="IQ_CASH_ST_INVEST_EST" hidden="1">"c4249"</definedName>
    <definedName name="IQ_CASH_ST_INVEST_HIGH_EST" hidden="1">"c4251"</definedName>
    <definedName name="IQ_CASH_ST_INVEST_LOW_EST" hidden="1">"c4252"</definedName>
    <definedName name="IQ_CASH_ST_INVEST_MEDIAN_EST" hidden="1">"c4253"</definedName>
    <definedName name="IQ_CASH_ST_INVEST_NUM_EST" hidden="1">"c4254"</definedName>
    <definedName name="IQ_CASH_ST_INVEST_STDDEV_EST" hidden="1">"c4255"</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DET_EST" hidden="1">"c12049"</definedName>
    <definedName name="IQ_CFPS_DET_EST_CURRENCY" hidden="1">"c12458"</definedName>
    <definedName name="IQ_CFPS_DET_EST_CURRENCY_THOM" hidden="1">"c12479"</definedName>
    <definedName name="IQ_CFPS_DET_EST_DATE" hidden="1">"c12202"</definedName>
    <definedName name="IQ_CFPS_DET_EST_DATE_THOM" hidden="1">"c12228"</definedName>
    <definedName name="IQ_CFPS_DET_EST_INCL" hidden="1">"c12341"</definedName>
    <definedName name="IQ_CFPS_DET_EST_INCL_THOM" hidden="1">"c12362"</definedName>
    <definedName name="IQ_CFPS_DET_EST_ORIGIN" hidden="1">"c12575"</definedName>
    <definedName name="IQ_CFPS_DET_EST_ORIGIN_THOM" hidden="1">"c12598"</definedName>
    <definedName name="IQ_CFPS_DET_EST_THOM" hidden="1">"c12078"</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UNUSED" hidden="1">"c7620"</definedName>
    <definedName name="IQ_CHANGE_INVENT_REAL_FC_UNUSED" hidden="1">"c7840"</definedName>
    <definedName name="IQ_CHANGE_INVENT_REAL_POP_FC_UNUSED" hidden="1">"c8060"</definedName>
    <definedName name="IQ_CHANGE_INVENT_REAL_POP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localSheetId="3" hidden="1">"c1357"</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MBS_ISSUED_AVAIL_SALE_FFIEC" hidden="1">"c12800"</definedName>
    <definedName name="IQ_CMBS_ISSUED_FFIEC" hidden="1">"c12786"</definedName>
    <definedName name="IQ_CMO_FDIC" hidden="1">"c6406"</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IND_LOANS_TOT_LOANS_FFIEC" hidden="1">"c13874"</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RECOV_FFIEC" hidden="1">"c13200"</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localSheetId="3" hidden="1">"c1358"</definedName>
    <definedName name="IQ_COMMON_STOCK" hidden="1">"c182"</definedName>
    <definedName name="IQ_COMMON_STOCK_FFIEC" hidden="1">"c12876"</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IB_ID_DET_EST" hidden="1">"c12045"</definedName>
    <definedName name="IQ_CONTRIB_ID_DET_EST_THOM" hidden="1">"c12073"</definedName>
    <definedName name="IQ_CONTRIB_ID_NON_PER_DET_EST" hidden="1">"c13824"</definedName>
    <definedName name="IQ_CONTRIB_ID_NON_PER_DET_EST_THOM" hidden="1">"c13826"</definedName>
    <definedName name="IQ_CONTRIB_NAME_DET_EST" hidden="1">"c12046"</definedName>
    <definedName name="IQ_CONTRIB_NAME_DET_EST_THOM" hidden="1">"c12074"</definedName>
    <definedName name="IQ_CONTRIB_NAME_NON_PER_DET_EST" hidden="1">"c12760"</definedName>
    <definedName name="IQ_CONTRIB_NAME_NON_PER_DET_EST_THOM" hidden="1">"c12764"</definedName>
    <definedName name="IQ_CONTRIB_REC_DET_EST" hidden="1">"c12051"</definedName>
    <definedName name="IQ_CONTRIB_REC_DET_EST_DATE" hidden="1">"c12204"</definedName>
    <definedName name="IQ_CONTRIB_REC_DET_EST_DATE_THOM" hidden="1">"c12230"</definedName>
    <definedName name="IQ_CONTRIB_REC_DET_EST_ORIGIN" hidden="1">"c12577"</definedName>
    <definedName name="IQ_CONTRIB_REC_DET_EST_ORIGIN_THOM" hidden="1">"c12600"</definedName>
    <definedName name="IQ_CONTRIB_REC_DET_EST_THOM" hidden="1">"c12080"</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P_GOODS_PRICE_INDEX_APR_FC_UNUSED" hidden="1">"c8381"</definedName>
    <definedName name="IQ_CORP_GOODS_PRICE_INDEX_APR_UNUSED" hidden="1">"c7501"</definedName>
    <definedName name="IQ_CORP_GOODS_PRICE_INDEX_FC_UNUSED" hidden="1">"c7721"</definedName>
    <definedName name="IQ_CORP_GOODS_PRICE_INDEX_POP_FC_UNUSED" hidden="1">"c7941"</definedName>
    <definedName name="IQ_CORP_GOODS_PRICE_INDEX_POP_UNUSED" hidden="1">"c7061"</definedName>
    <definedName name="IQ_CORP_GOODS_PRICE_INDEX_UNUSED" hidden="1">"c6841"</definedName>
    <definedName name="IQ_CORP_GOODS_PRICE_INDEX_YOY_FC_UNUSED" hidden="1">"c8161"</definedName>
    <definedName name="IQ_CORP_GOODS_PRICE_INDEX_YOY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localSheetId="3" hidden="1">"c1359"</definedName>
    <definedName name="IQ_COST_REVENUE" hidden="1">"c226"</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UNUSED" hidden="1">"c7507"</definedName>
    <definedName name="IQ_CURR_ACCT_BALANCE_FC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A_PROCESSING_EXP_FFIEC" hidden="1">"c13047"</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localSheetId="3" hidden="1">"c1362"</definedName>
    <definedName name="IQ_DAYS_PAY_OUTST" hidden="1">"c274"</definedName>
    <definedName name="IQ_DAYS_PAYABLE_OUT" hidden="1">"c274"</definedName>
    <definedName name="IQ_DAYS_SALES_OUT" hidden="1">"c275"</definedName>
    <definedName name="IQ_DAYS_SALES_OUTST" localSheetId="3" hidden="1">"c1363"</definedName>
    <definedName name="IQ_DAYS_SALES_OUTST" hidden="1">"c275"</definedName>
    <definedName name="IQ_DEBT_1_5_INVEST_SECURITIES_FFIEC" hidden="1">"c13465"</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localSheetId="3" hidden="1">"c1364"</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localSheetId="3" hidden="1">"c1365"</definedName>
    <definedName name="IQ_DEF_INC_TAX" hidden="1">"c313"</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localSheetId="3" hidden="1">"c1447"</definedName>
    <definedName name="IQ_DEFERRED_INC_TAX" hidden="1">"c315"</definedName>
    <definedName name="IQ_DEFERRED_TAX_ASSETS_FFIEC" hidden="1">"c12843"</definedName>
    <definedName name="IQ_DEFERRED_TAX_ASSETS_T1_FFIEC" hidden="1">"c13141"</definedName>
    <definedName name="IQ_DEFERRED_TAX_LIAB_FFIEC" hidden="1">"c12870"</definedName>
    <definedName name="IQ_DEFERRED_TAXES" localSheetId="3" hidden="1">"c1356"</definedName>
    <definedName name="IQ_DEFERRED_TAXES" hidden="1">"c147"</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localSheetId="3" hidden="1">"c1360"</definedName>
    <definedName name="IQ_DEPRE_AMORT" hidden="1">"c247"</definedName>
    <definedName name="IQ_DEPRE_AMORT_SUPPL" hidden="1">"c1593"</definedName>
    <definedName name="IQ_DEPRE_DEPLE" localSheetId="3" hidden="1">"c1361"</definedName>
    <definedName name="IQ_DEPRE_DEPLE" hidden="1">"c261"</definedName>
    <definedName name="IQ_DEPRE_SUPP" hidden="1">"c1443"</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localSheetId="3" hidden="1">"c1520"</definedName>
    <definedName name="IQ_DESCRIPTION_LONG" hidden="1">"c322"</definedName>
    <definedName name="IQ_DEVELOP_LAND" hidden="1">"c323"</definedName>
    <definedName name="IQ_DIC" hidden="1">"c13834"</definedName>
    <definedName name="IQ_DIFF_LASTCLOSE_TARGET_PRICE" hidden="1">"c1854"</definedName>
    <definedName name="IQ_DIFF_LASTCLOSE_TARGET_PRICE_CIQ" hidden="1">"c4767"</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localSheetId="3" hidden="1">"c1367"</definedName>
    <definedName name="IQ_DISCONT_OPER" hidden="1">"c333"</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 hidden="1">"c4277"</definedName>
    <definedName name="IQ_DISTRIBUTABLE_CASH_HIGH_EST" hidden="1">"c4280"</definedName>
    <definedName name="IQ_DISTRIBUTABLE_CASH_LOW_EST" hidden="1">"c4281"</definedName>
    <definedName name="IQ_DISTRIBUTABLE_CASH_MEDIAN_EST" hidden="1">"c4282"</definedName>
    <definedName name="IQ_DISTRIBUTABLE_CASH_NUM_EST" hidden="1">"c4283"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 hidden="1">"c4285"</definedName>
    <definedName name="IQ_DISTRIBUTABLE_CASH_SHARE_HIGH_EST" hidden="1">"c4288"</definedName>
    <definedName name="IQ_DISTRIBUTABLE_CASH_SHARE_LOW_EST" hidden="1">"c4289"</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TDDEV_EST" hidden="1">"c4294"</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localSheetId="3" hidden="1">"c1366"</definedName>
    <definedName name="IQ_DIVID_SHARE" hidden="1">"c330"</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DET_EST" hidden="1">"c12052"</definedName>
    <definedName name="IQ_DPS_DET_EST_CURRENCY" hidden="1">"c12459"</definedName>
    <definedName name="IQ_DPS_DET_EST_CURRENCY_THOM" hidden="1">"c12480"</definedName>
    <definedName name="IQ_DPS_DET_EST_DATE" hidden="1">"c12205"</definedName>
    <definedName name="IQ_DPS_DET_EST_DATE_THOM" hidden="1">"c12231"</definedName>
    <definedName name="IQ_DPS_DET_EST_INCL" hidden="1">"c12342"</definedName>
    <definedName name="IQ_DPS_DET_EST_INCL_THOM" hidden="1">"c12363"</definedName>
    <definedName name="IQ_DPS_DET_EST_ORIGIN" hidden="1">"c12578"</definedName>
    <definedName name="IQ_DPS_DET_EST_ORIGIN_THOM" hidden="1">"c12601"</definedName>
    <definedName name="IQ_DPS_DET_EST_THOM" hidden="1">"c12081"</definedName>
    <definedName name="IQ_DPS_EST" hidden="1">"c1674"</definedName>
    <definedName name="IQ_DPS_EST_BOTTOM_UP" hidden="1">"c5493"</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_FFIEC" hidden="1">"c13032"</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DET_EST" hidden="1">"c12053"</definedName>
    <definedName name="IQ_EBIT_DET_EST_CURRENCY" hidden="1">"c12460"</definedName>
    <definedName name="IQ_EBIT_DET_EST_CURRENCY_THOM" hidden="1">"c12481"</definedName>
    <definedName name="IQ_EBIT_DET_EST_DATE" hidden="1">"c12206"</definedName>
    <definedName name="IQ_EBIT_DET_EST_DATE_THOM" hidden="1">"c12232"</definedName>
    <definedName name="IQ_EBIT_DET_EST_INCL" hidden="1">"c12343"</definedName>
    <definedName name="IQ_EBIT_DET_EST_INCL_THOM" hidden="1">"c12364"</definedName>
    <definedName name="IQ_EBIT_DET_EST_ORIGIN" hidden="1">"c12579"</definedName>
    <definedName name="IQ_EBIT_DET_EST_ORIGIN_THOM" hidden="1">"c12602"</definedName>
    <definedName name="IQ_EBIT_DET_EST_THOM" hidden="1">"c12082"</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W_ACT_OR_EST" hidden="1">"c4306"</definedName>
    <definedName name="IQ_EBIT_GW_EST" hidden="1">"c4305"</definedName>
    <definedName name="IQ_EBIT_GW_HIGH_EST" hidden="1">"c4308"</definedName>
    <definedName name="IQ_EBIT_GW_LOW_EST" hidden="1">"c4309"</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localSheetId="3" hidden="1">"c1369"</definedName>
    <definedName name="IQ_EBIT_OVER_IE" hidden="1">"c360"</definedName>
    <definedName name="IQ_EBIT_SBC_ACT_OR_EST" hidden="1">"c4316"</definedName>
    <definedName name="IQ_EBIT_SBC_ACT_OR_EST_CIQ" hidden="1">"c4841"</definedName>
    <definedName name="IQ_EBIT_SBC_EST" hidden="1">"c4315"</definedName>
    <definedName name="IQ_EBIT_SBC_GW_ACT_OR_EST" hidden="1">"c4320"</definedName>
    <definedName name="IQ_EBIT_SBC_GW_ACT_OR_EST_CIQ" hidden="1">"c4845"</definedName>
    <definedName name="IQ_EBIT_SBC_GW_EST" hidden="1">"c4319"</definedName>
    <definedName name="IQ_EBIT_SBC_GW_HIGH_EST" hidden="1">"c4322"</definedName>
    <definedName name="IQ_EBIT_SBC_GW_LOW_EST" hidden="1">"c4323"</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LOW_EST" hidden="1">"c4329"</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THOM" hidden="1">"c5300"</definedName>
    <definedName name="IQ_EBITDA_CAPEX_INT" hidden="1">"c368"</definedName>
    <definedName name="IQ_EBITDA_CAPEX_OVER_TOTAL_IE" localSheetId="3" hidden="1">"c1370"</definedName>
    <definedName name="IQ_EBITDA_CAPEX_OVER_TOTAL_IE" hidden="1">"c368"</definedName>
    <definedName name="IQ_EBITDA_DET_EST" hidden="1">"c12054"</definedName>
    <definedName name="IQ_EBITDA_DET_EST_CURRENCY" hidden="1">"c12461"</definedName>
    <definedName name="IQ_EBITDA_DET_EST_CURRENCY_THOM" hidden="1">"c12482"</definedName>
    <definedName name="IQ_EBITDA_DET_EST_DATE" hidden="1">"c12207"</definedName>
    <definedName name="IQ_EBITDA_DET_EST_DATE_THOM" hidden="1">"c12233"</definedName>
    <definedName name="IQ_EBITDA_DET_EST_INCL" hidden="1">"c12344"</definedName>
    <definedName name="IQ_EBITDA_DET_EST_INCL_THOM" hidden="1">"c12365"</definedName>
    <definedName name="IQ_EBITDA_DET_EST_ORIGIN" hidden="1">"c12580"</definedName>
    <definedName name="IQ_EBITDA_DET_EST_ORIGIN_THOM" hidden="1">"c12603"</definedName>
    <definedName name="IQ_EBITDA_DET_EST_THOM" hidden="1">"c12083"</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localSheetId="3" hidden="1">"c1371"</definedName>
    <definedName name="IQ_EBITDA_OVER_TOTAL_IE" hidden="1">"c373"</definedName>
    <definedName name="IQ_EBITDA_SBC_ACT_OR_EST" hidden="1">"c4337"</definedName>
    <definedName name="IQ_EBITDA_SBC_ACT_OR_EST_CIQ" hidden="1">"c4862"</definedName>
    <definedName name="IQ_EBITDA_SBC_EST" hidden="1">"c4336"</definedName>
    <definedName name="IQ_EBITDA_SBC_HIGH_EST" hidden="1">"c4339"</definedName>
    <definedName name="IQ_EBITDA_SBC_LOW_EST" hidden="1">"c4340"</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EST" hidden="1">"c4349"</definedName>
    <definedName name="IQ_EBT_SBC_GW_ACT_OR_EST" hidden="1">"c4354"</definedName>
    <definedName name="IQ_EBT_SBC_GW_ACT_OR_EST_CIQ" hidden="1">"c4879"</definedName>
    <definedName name="IQ_EBT_SBC_GW_EST" hidden="1">"c4353"</definedName>
    <definedName name="IQ_EBT_SBC_GW_HIGH_EST" hidden="1">"c4356"</definedName>
    <definedName name="IQ_EBT_SBC_GW_LOW_EST" hidden="1">"c4357"</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LOW_EST" hidden="1">"c4363"</definedName>
    <definedName name="IQ_EBT_SBC_MEDIAN_EST" hidden="1">"c4364"</definedName>
    <definedName name="IQ_EBT_SBC_NUM_EST" hidden="1">"c4365"</definedName>
    <definedName name="IQ_EBT_SBC_STDDEV_EST" hidden="1">"c4366"</definedName>
    <definedName name="IQ_EBT_SUBTOTAL_AP" hidden="1">"c8982"</definedName>
    <definedName name="IQ_EBT_UTI" hidden="1">"c390"</definedName>
    <definedName name="IQ_ECO_METRIC_6825_UNUSED" hidden="1">"c6825"</definedName>
    <definedName name="IQ_ECO_METRIC_6839_UNUSED" hidden="1">"c6839"</definedName>
    <definedName name="IQ_ECO_METRIC_6896_UNUSED" hidden="1">"c6896"</definedName>
    <definedName name="IQ_ECO_METRIC_6897_UNUSED" hidden="1">"c6897"</definedName>
    <definedName name="IQ_ECO_METRIC_6927" hidden="1">"c6927"</definedName>
    <definedName name="IQ_ECO_METRIC_6988_UNUSED" hidden="1">"c6988"</definedName>
    <definedName name="IQ_ECO_METRIC_7045_UNUSED" hidden="1">"c7045"</definedName>
    <definedName name="IQ_ECO_METRIC_7059_UNUSED" hidden="1">"c7059"</definedName>
    <definedName name="IQ_ECO_METRIC_7116_UNUSED" hidden="1">"c7116"</definedName>
    <definedName name="IQ_ECO_METRIC_7117_UNUSED" hidden="1">"c7117"</definedName>
    <definedName name="IQ_ECO_METRIC_7147" hidden="1">"c7147"</definedName>
    <definedName name="IQ_ECO_METRIC_7208_UNUSED" hidden="1">"c7208"</definedName>
    <definedName name="IQ_ECO_METRIC_7265_UNUSED" hidden="1">"c7265"</definedName>
    <definedName name="IQ_ECO_METRIC_7279_UNUSED" hidden="1">"c7279"</definedName>
    <definedName name="IQ_ECO_METRIC_7336_UNUSED" hidden="1">"c7336"</definedName>
    <definedName name="IQ_ECO_METRIC_7337_UNUSED" hidden="1">"c7337"</definedName>
    <definedName name="IQ_ECO_METRIC_7367" hidden="1">"c7367"</definedName>
    <definedName name="IQ_ECO_METRIC_7428_UNUSED" hidden="1">"c7428"</definedName>
    <definedName name="IQ_ECO_METRIC_7556_UNUSED" hidden="1">"c7556"</definedName>
    <definedName name="IQ_ECO_METRIC_7557_UNUSED" hidden="1">"c7557"</definedName>
    <definedName name="IQ_ECO_METRIC_7587" hidden="1">"c7587"</definedName>
    <definedName name="IQ_ECO_METRIC_7648_UNUSED" hidden="1">"c7648"</definedName>
    <definedName name="IQ_ECO_METRIC_7704" hidden="1">"c7704"</definedName>
    <definedName name="IQ_ECO_METRIC_7705_UNUSED" hidden="1">"c7705"</definedName>
    <definedName name="IQ_ECO_METRIC_7706" hidden="1">"c7706"</definedName>
    <definedName name="IQ_ECO_METRIC_7718" hidden="1">"c7718"</definedName>
    <definedName name="IQ_ECO_METRIC_7719_UNUSED" hidden="1">"c7719"</definedName>
    <definedName name="IQ_ECO_METRIC_7776_UNUSED" hidden="1">"c7776"</definedName>
    <definedName name="IQ_ECO_METRIC_7777_UNUSED" hidden="1">"c7777"</definedName>
    <definedName name="IQ_ECO_METRIC_7807" hidden="1">"c7807"</definedName>
    <definedName name="IQ_ECO_METRIC_7811" hidden="1">"c7811"</definedName>
    <definedName name="IQ_ECO_METRIC_7868_UNUSED" hidden="1">"c7868"</definedName>
    <definedName name="IQ_ECO_METRIC_7873" hidden="1">"c7873"</definedName>
    <definedName name="IQ_ECO_METRIC_7924" hidden="1">"c7924"</definedName>
    <definedName name="IQ_ECO_METRIC_7925_UNUSED" hidden="1">"c7925"</definedName>
    <definedName name="IQ_ECO_METRIC_7926" hidden="1">"c7926"</definedName>
    <definedName name="IQ_ECO_METRIC_7938" hidden="1">"c7938"</definedName>
    <definedName name="IQ_ECO_METRIC_7939_UNUSED" hidden="1">"c7939"</definedName>
    <definedName name="IQ_ECO_METRIC_7996_UNUSED" hidden="1">"c7996"</definedName>
    <definedName name="IQ_ECO_METRIC_7997_UNUSED" hidden="1">"c7997"</definedName>
    <definedName name="IQ_ECO_METRIC_8027" hidden="1">"c8027"</definedName>
    <definedName name="IQ_ECO_METRIC_8031" hidden="1">"c8031"</definedName>
    <definedName name="IQ_ECO_METRIC_8088_UNUSED" hidden="1">"c8088"</definedName>
    <definedName name="IQ_ECO_METRIC_8093" hidden="1">"c8093"</definedName>
    <definedName name="IQ_ECO_METRIC_8144" hidden="1">"c8144"</definedName>
    <definedName name="IQ_ECO_METRIC_8145_UNUSED" hidden="1">"c8145"</definedName>
    <definedName name="IQ_ECO_METRIC_8146" hidden="1">"c8146"</definedName>
    <definedName name="IQ_ECO_METRIC_8158" hidden="1">"c8158"</definedName>
    <definedName name="IQ_ECO_METRIC_8159_UNUSED" hidden="1">"c8159"</definedName>
    <definedName name="IQ_ECO_METRIC_8216_UNUSED" hidden="1">"c8216"</definedName>
    <definedName name="IQ_ECO_METRIC_8217_UNUSED" hidden="1">"c8217"</definedName>
    <definedName name="IQ_ECO_METRIC_8247" hidden="1">"c8247"</definedName>
    <definedName name="IQ_ECO_METRIC_8251" hidden="1">"c8251"</definedName>
    <definedName name="IQ_ECO_METRIC_8308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7_UNUSED" hidden="1">"c8437"</definedName>
    <definedName name="IQ_ECO_METRIC_8467" hidden="1">"c8467"</definedName>
    <definedName name="IQ_ECO_METRIC_8471" hidden="1">"c8471"</definedName>
    <definedName name="IQ_ECO_METRIC_8528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NTERPRISE_VALUE" localSheetId="3" hidden="1">"c1348"</definedName>
    <definedName name="IQ_ENTERPRISE_VALUE" hidden="1">"c84"</definedName>
    <definedName name="IQ_ENTITLEMENT_DET_EST" hidden="1">"c12044"</definedName>
    <definedName name="IQ_ENTITLEMENT_DET_EST_THOM" hidden="1">"c12072"</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THOM" hidden="1">"c5298"</definedName>
    <definedName name="IQ_EPS_AP" hidden="1">"c8880"</definedName>
    <definedName name="IQ_EPS_AP_ABS" hidden="1">"c8899"</definedName>
    <definedName name="IQ_EPS_DET_EST" hidden="1">"c13571"</definedName>
    <definedName name="IQ_EPS_DET_EST_CURRENCY" hidden="1">"c13583"</definedName>
    <definedName name="IQ_EPS_DET_EST_CURRENCY_THOM" hidden="1">"c12484"</definedName>
    <definedName name="IQ_EPS_DET_EST_DATE" hidden="1">"c13575"</definedName>
    <definedName name="IQ_EPS_DET_EST_DATE_THOM" hidden="1">"c12235"</definedName>
    <definedName name="IQ_EPS_DET_EST_INCL" hidden="1">"c13587"</definedName>
    <definedName name="IQ_EPS_DET_EST_INCL_THOM" hidden="1">"c12367"</definedName>
    <definedName name="IQ_EPS_DET_EST_ORIGIN" hidden="1">"c13579"</definedName>
    <definedName name="IQ_EPS_DET_EST_ORIGIN_THOM" hidden="1">"c12605"</definedName>
    <definedName name="IQ_EPS_DET_EST_THOM" hidden="1">"c12085"</definedName>
    <definedName name="IQ_EPS_EST" hidden="1">"c399"</definedName>
    <definedName name="IQ_EPS_EST_BOTTOM_UP" hidden="1">"c5489"</definedName>
    <definedName name="IQ_EPS_EST_BOTTOM_UP_CIQ" hidden="1">"c12026"</definedName>
    <definedName name="IQ_EPS_EST_BOTTOM_UP_THOM" hidden="1">"c5647"</definedName>
    <definedName name="IQ_EPS_EST_CIQ" hidden="1">"c4994"</definedName>
    <definedName name="IQ_EPS_EST_REUT" hidden="1">"c5453"</definedName>
    <definedName name="IQ_EPS_EST_THOM" hidden="1">"c5290"</definedName>
    <definedName name="IQ_EPS_GW_ACT_OR_EST" hidden="1">"c2223"</definedName>
    <definedName name="IQ_EPS_GW_ACT_OR_EST_CIQ" hidden="1">"c5066"</definedName>
    <definedName name="IQ_EPS_GW_DET_EST" hidden="1">"c12056"</definedName>
    <definedName name="IQ_EPS_GW_DET_EST_CURRENCY" hidden="1">"c12463"</definedName>
    <definedName name="IQ_EPS_GW_DET_EST_CURRENCY_THOM" hidden="1">"c12485"</definedName>
    <definedName name="IQ_EPS_GW_DET_EST_DATE" hidden="1">"c12209"</definedName>
    <definedName name="IQ_EPS_GW_DET_EST_DATE_THOM" hidden="1">"c12236"</definedName>
    <definedName name="IQ_EPS_GW_DET_EST_INCL" hidden="1">"c12346"</definedName>
    <definedName name="IQ_EPS_GW_DET_EST_INCL_THOM" hidden="1">"c12368"</definedName>
    <definedName name="IQ_EPS_GW_DET_EST_ORIGIN" hidden="1">"c12582"</definedName>
    <definedName name="IQ_EPS_GW_DET_EST_ORIGIN_THOM" hidden="1">"c12606"</definedName>
    <definedName name="IQ_EPS_GW_DET_EST_THOM" hidden="1">"c12086"</definedName>
    <definedName name="IQ_EPS_GW_EST" hidden="1">"c1737"</definedName>
    <definedName name="IQ_EPS_GW_EST_BOTTOM_UP" hidden="1">"c5491"</definedName>
    <definedName name="IQ_EPS_GW_EST_BOTTOM_UP_CIQ" hidden="1">"c12028"</definedName>
    <definedName name="IQ_EPS_GW_EST_CIQ" hidden="1">"c4723"</definedName>
    <definedName name="IQ_EPS_GW_EST_THOM" hidden="1">"c5133"</definedName>
    <definedName name="IQ_EPS_GW_HIGH_EST" hidden="1">"c1739"</definedName>
    <definedName name="IQ_EPS_GW_HIGH_EST_CIQ" hidden="1">"c4725"</definedName>
    <definedName name="IQ_EPS_GW_HIGH_EST_THOM" hidden="1">"c5135"</definedName>
    <definedName name="IQ_EPS_GW_LOW_EST" hidden="1">"c1740"</definedName>
    <definedName name="IQ_EPS_GW_LOW_EST_CIQ" hidden="1">"c4726"</definedName>
    <definedName name="IQ_EPS_GW_LOW_EST_THOM" hidden="1">"c5136"</definedName>
    <definedName name="IQ_EPS_GW_MEDIAN_EST" hidden="1">"c1738"</definedName>
    <definedName name="IQ_EPS_GW_MEDIAN_EST_CIQ" hidden="1">"c4724"</definedName>
    <definedName name="IQ_EPS_GW_MEDIAN_EST_THOM" hidden="1">"c5134"</definedName>
    <definedName name="IQ_EPS_GW_NUM_EST" hidden="1">"c1741"</definedName>
    <definedName name="IQ_EPS_GW_NUM_EST_CIQ" hidden="1">"c4727"</definedName>
    <definedName name="IQ_EPS_GW_NUM_EST_THOM" hidden="1">"c5137"</definedName>
    <definedName name="IQ_EPS_GW_STDDEV_EST" hidden="1">"c1742"</definedName>
    <definedName name="IQ_EPS_GW_STDDEV_EST_CIQ" hidden="1">"c4728"</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RM" hidden="1">"c1902"</definedName>
    <definedName name="IQ_EPS_NORM_DET_EST" hidden="1">"c12058"</definedName>
    <definedName name="IQ_EPS_NORM_DET_EST_CURRENCY" hidden="1">"c12465"</definedName>
    <definedName name="IQ_EPS_NORM_DET_EST_DATE" hidden="1">"c12211"</definedName>
    <definedName name="IQ_EPS_NORM_DET_EST_INCL" hidden="1">"c12348"</definedName>
    <definedName name="IQ_EPS_NORM_DET_EST_ORIGIN" hidden="1">"c12583"</definedName>
    <definedName name="IQ_EPS_NORM_DET_EST_ORIGIN_THOM" hidden="1">"c12607"</definedName>
    <definedName name="IQ_EPS_NORM_EST" hidden="1">"c2226"</definedName>
    <definedName name="IQ_EPS_NORM_EST_BOTTOM_UP" hidden="1">"c5490"</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NUM_EST_REUT" hidden="1">"c5451"</definedName>
    <definedName name="IQ_EPS_NUM_EST_THOM" hidden="1">"c5288"</definedName>
    <definedName name="IQ_EPS_REPORT_ACT_OR_EST" hidden="1">"c2224"</definedName>
    <definedName name="IQ_EPS_REPORT_ACT_OR_EST_CIQ" hidden="1">"c5067"</definedName>
    <definedName name="IQ_EPS_REPORT_ACT_OR_EST_THOM" hidden="1">"c5307"</definedName>
    <definedName name="IQ_EPS_REPORTED_DET_EST" hidden="1">"c12057"</definedName>
    <definedName name="IQ_EPS_REPORTED_DET_EST_CURRENCY" hidden="1">"c12464"</definedName>
    <definedName name="IQ_EPS_REPORTED_DET_EST_CURRENCY_THOM" hidden="1">"c12486"</definedName>
    <definedName name="IQ_EPS_REPORTED_DET_EST_DATE" hidden="1">"c12210"</definedName>
    <definedName name="IQ_EPS_REPORTED_DET_EST_DATE_THOM" hidden="1">"c12237"</definedName>
    <definedName name="IQ_EPS_REPORTED_DET_EST_INCL" hidden="1">"c12347"</definedName>
    <definedName name="IQ_EPS_REPORTED_DET_EST_INCL_THOM" hidden="1">"c12369"</definedName>
    <definedName name="IQ_EPS_REPORTED_DET_EST_ORIGIN" hidden="1">"c12772"</definedName>
    <definedName name="IQ_EPS_REPORTED_DET_EST_ORIGIN_THOM" hidden="1">"c13511"</definedName>
    <definedName name="IQ_EPS_REPORTED_DET_EST_THOM" hidden="1">"c12087"</definedName>
    <definedName name="IQ_EPS_REPORTED_EST" hidden="1">"c1744"</definedName>
    <definedName name="IQ_EPS_REPORTED_EST_BOTTOM_UP" hidden="1">"c5492"</definedName>
    <definedName name="IQ_EPS_REPORTED_EST_BOTTOM_UP_CIQ" hidden="1">"c12029"</definedName>
    <definedName name="IQ_EPS_REPORTED_EST_CIQ" hidden="1">"c4730"</definedName>
    <definedName name="IQ_EPS_REPORTED_EST_THOM" hidden="1">"c5140"</definedName>
    <definedName name="IQ_EPS_REPORTED_HIGH_EST" hidden="1">"c1746"</definedName>
    <definedName name="IQ_EPS_REPORTED_HIGH_EST_CIQ" hidden="1">"c4732"</definedName>
    <definedName name="IQ_EPS_REPORTED_HIGH_EST_THOM" hidden="1">"c5142"</definedName>
    <definedName name="IQ_EPS_REPORTED_LOW_EST" hidden="1">"c1747"</definedName>
    <definedName name="IQ_EPS_REPORTED_LOW_EST_CIQ" hidden="1">"c4733"</definedName>
    <definedName name="IQ_EPS_REPORTED_LOW_EST_THOM" hidden="1">"c5143"</definedName>
    <definedName name="IQ_EPS_REPORTED_MEDIAN_EST" hidden="1">"c1745"</definedName>
    <definedName name="IQ_EPS_REPORTED_MEDIAN_EST_CIQ" hidden="1">"c4731"</definedName>
    <definedName name="IQ_EPS_REPORTED_MEDIAN_EST_THOM" hidden="1">"c5141"</definedName>
    <definedName name="IQ_EPS_REPORTED_NUM_EST" hidden="1">"c1748"</definedName>
    <definedName name="IQ_EPS_REPORTED_NUM_EST_CIQ" hidden="1">"c4734"</definedName>
    <definedName name="IQ_EPS_REPORTED_NUM_EST_THOM" hidden="1">"c5144"</definedName>
    <definedName name="IQ_EPS_REPORTED_STDDEV_EST" hidden="1">"c1749"</definedName>
    <definedName name="IQ_EPS_REPORTED_STDDEV_EST_CIQ" hidden="1">"c4735"</definedName>
    <definedName name="IQ_EPS_REPORTED_STDDEV_EST_THOM" hidden="1">"c5145"</definedName>
    <definedName name="IQ_EPS_SBC_ACT_OR_EST" hidden="1">"c4376"</definedName>
    <definedName name="IQ_EPS_SBC_ACT_OR_EST_CIQ" hidden="1">"c4901"</definedName>
    <definedName name="IQ_EPS_SBC_EST" hidden="1">"c4375"</definedName>
    <definedName name="IQ_EPS_SBC_GW_ACT_OR_EST" hidden="1">"c4380"</definedName>
    <definedName name="IQ_EPS_SBC_GW_ACT_OR_EST_CIQ" hidden="1">"c4905"</definedName>
    <definedName name="IQ_EPS_SBC_GW_EST" hidden="1">"c4379"</definedName>
    <definedName name="IQ_EPS_SBC_GW_HIGH_EST" hidden="1">"c4382"</definedName>
    <definedName name="IQ_EPS_SBC_GW_LOW_EST" hidden="1">"c4383"</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LOW_EST" hidden="1">"c4389"</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localSheetId="3" hidden="1">"c1451"</definedName>
    <definedName name="IQ_EQUITY_AFFIL" hidden="1">"c552"</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WITHOUT_FAIR_VALUES_FFIEC" hidden="1">"c12846"</definedName>
    <definedName name="IQ_EQUITY_SECURITY_EXPOSURES_FDIC" hidden="1">"c6664"</definedName>
    <definedName name="IQ_EQV_OVER_BV" hidden="1">"c1596"</definedName>
    <definedName name="IQ_EQV_OVER_LTM_PRETAX_INC" localSheetId="3" hidden="1">"c1390"</definedName>
    <definedName name="IQ_EQV_OVER_LTM_PRETAX_INC" hidden="1">"c739"</definedName>
    <definedName name="IQ_ESOP_DEBT" hidden="1">"c1597"</definedName>
    <definedName name="IQ_ESOP_DEBT_GUARANTEED_FFIEC" hidden="1">"c12971"</definedName>
    <definedName name="IQ_ESOP_OVER_TOTAL" hidden="1">"c13768"</definedName>
    <definedName name="IQ_EST_ACT_BV" hidden="1">"c5630"</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ASH_FLOW" hidden="1">"c4394"</definedName>
    <definedName name="IQ_EST_ACT_CASH_OPER" hidden="1">"c4395"</definedName>
    <definedName name="IQ_EST_ACT_CFPS" hidden="1">"c1673"</definedName>
    <definedName name="IQ_EST_ACT_CFPS_THOM" hidden="1">"c4012"</definedName>
    <definedName name="IQ_EST_ACT_DISTRIBUTABLE_CASH" hidden="1">"c4396"</definedName>
    <definedName name="IQ_EST_ACT_DISTRIBUTABLE_CASH_SHARE" hidden="1">"c4397"</definedName>
    <definedName name="IQ_EST_ACT_DPS" hidden="1">"c1680"</definedName>
    <definedName name="IQ_EST_ACT_DPS_THOM" hidden="1">"c4019"</definedName>
    <definedName name="IQ_EST_ACT_EBIT" hidden="1">"c1687"</definedName>
    <definedName name="IQ_EST_ACT_EBIT_GW" hidden="1">"c4398"</definedName>
    <definedName name="IQ_EST_ACT_EBIT_SBC" hidden="1">"c4399"</definedName>
    <definedName name="IQ_EST_ACT_EBIT_SBC_GW" hidden="1">"c4400"</definedName>
    <definedName name="IQ_EST_ACT_EBIT_THOM" hidden="1">"c5111"</definedName>
    <definedName name="IQ_EST_ACT_EBITDA" hidden="1">"c1664"</definedName>
    <definedName name="IQ_EST_ACT_EBITDA_CIQ" hidden="1">"c3667"</definedName>
    <definedName name="IQ_EST_ACT_EBITDA_SBC" hidden="1">"c4401"</definedName>
    <definedName name="IQ_EST_ACT_EBITDA_THOM" hidden="1">"c3998"</definedName>
    <definedName name="IQ_EST_ACT_EBT_SBC" hidden="1">"c4402"</definedName>
    <definedName name="IQ_EST_ACT_EBT_SBC_GW" hidden="1">"c4403"</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THOM" hidden="1">"c5139"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EPS_REPORTED_THOM" hidden="1">"c5146"</definedName>
    <definedName name="IQ_EST_ACT_EPS_SBC" hidden="1">"c4404"</definedName>
    <definedName name="IQ_EST_ACT_EPS_SBC_GW" hidden="1">"c4405"</definedName>
    <definedName name="IQ_EST_ACT_EPS_THOM" hidden="1">"c5294"</definedName>
    <definedName name="IQ_EST_ACT_FFO" hidden="1">"c4407"</definedName>
    <definedName name="IQ_EST_ACT_FFO_ADJ" hidden="1">"c4406"</definedName>
    <definedName name="IQ_EST_ACT_FFO_SHARE" hidden="1">"c1666"</definedName>
    <definedName name="IQ_EST_ACT_FFO_SHARE_THOM" hidden="1">"c4005"</definedName>
    <definedName name="IQ_EST_ACT_GROSS_MARGIN" hidden="1">"c5553"</definedName>
    <definedName name="IQ_EST_ACT_GROSS_MARGIN_THOM" hidden="1">"c5561"</definedName>
    <definedName name="IQ_EST_ACT_MAINT_CAPEX" hidden="1">"c4408"</definedName>
    <definedName name="IQ_EST_ACT_NAV" hidden="1">"c1757"</definedName>
    <definedName name="IQ_EST_ACT_NAV_SHARE" hidden="1">"c5608"</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SBC" hidden="1">"c4409"</definedName>
    <definedName name="IQ_EST_ACT_NI_SBC_GW" hidden="1">"c4410"</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CURRING_PROFIT_SHARE" hidden="1">"c4412"</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CIQ" hidden="1">"c3666"</definedName>
    <definedName name="IQ_EST_ACT_REV_THOM" hidden="1">"c3997"</definedName>
    <definedName name="IQ_EST_BV_SHARE_DIFF" hidden="1">"c4147"</definedName>
    <definedName name="IQ_EST_BV_SHARE_SURPRISE_PERCENT" hidden="1">"c4148"</definedName>
    <definedName name="IQ_EST_CAPEX_DIFF" hidden="1">"c4149"</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THOM" hidden="1">"c5193"</definedName>
    <definedName name="IQ_EST_EBITDA_DIFF" hidden="1">"c1867"</definedName>
    <definedName name="IQ_EST_EBITDA_DIFF_CIQ" hidden="1">"c3719"</definedName>
    <definedName name="IQ_EST_EBITDA_DIFF_THOM" hidden="1">"c5184"</definedName>
    <definedName name="IQ_EST_EBITDA_GROWTH_1YR" hidden="1">"c1766"</definedName>
    <definedName name="IQ_EST_EBITDA_GROWTH_1YR_CIQ" hidden="1">"c3695"</definedName>
    <definedName name="IQ_EST_EBITDA_GROWTH_1YR_THOM" hidden="1">"c5161"</definedName>
    <definedName name="IQ_EST_EBITDA_GROWTH_2YR" hidden="1">"c1767"</definedName>
    <definedName name="IQ_EST_EBITDA_GROWTH_2YR_CIQ" hidden="1">"c3696"</definedName>
    <definedName name="IQ_EST_EBITDA_GROWTH_2YR_THOM" hidden="1">"c5162"</definedName>
    <definedName name="IQ_EST_EBITDA_GROWTH_Q_1YR" hidden="1">"c1768"</definedName>
    <definedName name="IQ_EST_EBITDA_GROWTH_Q_1YR_CIQ" hidden="1">"c3697"</definedName>
    <definedName name="IQ_EST_EBITDA_GROWTH_Q_1YR_THOM" hidden="1">"c5163"</definedName>
    <definedName name="IQ_EST_EBITDA_SBC_DIFF" hidden="1">"c4335"</definedName>
    <definedName name="IQ_EST_EBITDA_SBC_SURPRISE_PERCENT" hidden="1">"c4344"</definedName>
    <definedName name="IQ_EST_EBITDA_SEQ_GROWTH_Q" hidden="1">"c1769"</definedName>
    <definedName name="IQ_EST_EBITDA_SEQ_GROWTH_Q_CIQ" hidden="1">"c3698"</definedName>
    <definedName name="IQ_EST_EBITDA_SEQ_GROWTH_Q_THOM" hidden="1">"c5164"</definedName>
    <definedName name="IQ_EST_EBITDA_SURPRISE_PERCENT" hidden="1">"c1868"</definedName>
    <definedName name="IQ_EST_EBITDA_SURPRISE_PERCENT_CIQ" hidden="1">"c3720"</definedName>
    <definedName name="IQ_EST_EBITDA_SURPRISE_PERCENT_THOM" hidden="1">"c5185"</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CIQ" hidden="1">"c4999"</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CIQ" hidden="1">"c3689"</definedName>
    <definedName name="IQ_EST_EPS_GROWTH_2YR_THOM" hidden="1">"c5154"</definedName>
    <definedName name="IQ_EST_EPS_GROWTH_5YR" hidden="1">"c1655"</definedName>
    <definedName name="IQ_EST_EPS_GROWTH_5YR_BOTTOM_UP" hidden="1">"c5487"</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THOM" hidden="1">"c5200"</definedName>
    <definedName name="IQ_EST_EPS_GW_SURPRISE_PERCENT" hidden="1">"c1892"</definedName>
    <definedName name="IQ_EST_EPS_GW_SURPRISE_PERCENT_CIQ" hidden="1">"c4762"</definedName>
    <definedName name="IQ_EST_EPS_GW_SURPRISE_PERCENT_THOM" hidden="1">"c5201"</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THOM" hidden="1">"c5203"</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CIQ" hidden="1">"c3690"</definedName>
    <definedName name="IQ_EST_EPS_SEQ_GROWTH_Q_THOM" hidden="1">"c5156"</definedName>
    <definedName name="IQ_EST_EPS_SURPRISE_PERCENT" hidden="1">"c1635"</definedName>
    <definedName name="IQ_EST_EPS_SURPRISE_PERCENT_CIQ" hidden="1">"c5000"</definedName>
    <definedName name="IQ_EST_EPS_SURPRISE_PERCENT_THOM" hidden="1">"c5296"</definedName>
    <definedName name="IQ_EST_FAIR_VALUE_MORT_SERVICING_ASSETS_FFIEC" hidden="1">"c12956"</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"c4444"</definedName>
    <definedName name="IQ_EST_FFO_GROWTH_1YR" hidden="1">"c4425"</definedName>
    <definedName name="IQ_EST_FFO_GROWTH_1YR_THOM" hidden="1">"c5170"</definedName>
    <definedName name="IQ_EST_FFO_GROWTH_2YR" hidden="1">"c4426"</definedName>
    <definedName name="IQ_EST_FFO_GROWTH_2YR_THOM" hidden="1">"c5171"</definedName>
    <definedName name="IQ_EST_FFO_GROWTH_Q_1YR" hidden="1">"c4427"</definedName>
    <definedName name="IQ_EST_FFO_GROWTH_Q_1YR_THOM" hidden="1">"c5172"</definedName>
    <definedName name="IQ_EST_FFO_SEQ_GROWTH_Q" hidden="1">"c4428"</definedName>
    <definedName name="IQ_EST_FFO_SEQ_GROWTH_Q_THOM" hidden="1">"c5173"</definedName>
    <definedName name="IQ_EST_FFO_SHARE_DIFF" hidden="1">"c1869"</definedName>
    <definedName name="IQ_EST_FFO_SHARE_DIFF_THOM" hidden="1">"c5186"</definedName>
    <definedName name="IQ_EST_FFO_SHARE_GROWTH_1YR" hidden="1">"c1770"</definedName>
    <definedName name="IQ_EST_FFO_SHARE_GROWTH_2YR" hidden="1">"c1771"</definedName>
    <definedName name="IQ_EST_FFO_SHARE_GROWTH_Q_1YR" hidden="1">"c1772"</definedName>
    <definedName name="IQ_EST_FFO_SHARE_SEQ_GROWTH_Q" hidden="1">"c1773"</definedName>
    <definedName name="IQ_EST_FFO_SHARE_SURPRISE_PERCENT" hidden="1">"c1870"</definedName>
    <definedName name="IQ_EST_FFO_SHARE_SURPRISE_PERCENT_THOM" hidden="1">"c5187"</definedName>
    <definedName name="IQ_EST_FFO_SURPRISE_PERCENT" hidden="1">"c4453"</definedName>
    <definedName name="IQ_EST_FOOTNOTE" hidden="1">"c4540"</definedName>
    <definedName name="IQ_EST_FOOTNOTE_CIQ" hidden="1">"c12022"</definedName>
    <definedName name="IQ_EST_FOOTNOTE_THOM" hidden="1">"c5313"</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HARE_SURPRISE_PERCENT" hidden="1">"c1896"</definedName>
    <definedName name="IQ_EST_NAV_SURPRISE_PERCENT" hidden="1">"c12040"</definedName>
    <definedName name="IQ_EST_NET_DEBT_DIFF" hidden="1">"c4466"</definedName>
    <definedName name="IQ_EST_NET_DEBT_SURPRISE_PERCENT" hidden="1">"c4468"</definedName>
    <definedName name="IQ_EST_NEXT_EARNINGS_DATE" hidden="1">"c13591"</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CIQ" hidden="1">"c3701"</definedName>
    <definedName name="IQ_EST_NUM_HIGH_REC_THOM" hidden="1">"c5166"</definedName>
    <definedName name="IQ_EST_NUM_HIGHEST_REC" hidden="1">"c5648"</definedName>
    <definedName name="IQ_EST_NUM_HIGHEST_REC_CIQ" hidden="1">"c3700"</definedName>
    <definedName name="IQ_EST_NUM_HIGHEST_REC_THOM" hidden="1">"c5165"</definedName>
    <definedName name="IQ_EST_NUM_HOLD" hidden="1">"c1761"</definedName>
    <definedName name="IQ_EST_NUM_LOW_REC" hidden="1">"c5651"</definedName>
    <definedName name="IQ_EST_NUM_LOW_REC_CIQ" hidden="1">"c3703"</definedName>
    <definedName name="IQ_EST_NUM_LOW_REC_THOM" hidden="1">"c5168"</definedName>
    <definedName name="IQ_EST_NUM_LOWEST_REC" hidden="1">"c5652"</definedName>
    <definedName name="IQ_EST_NUM_LOWEST_REC_CIQ" hidden="1">"c3704"</definedName>
    <definedName name="IQ_EST_NUM_LOWEST_REC_THOM" hidden="1">"c5169"</definedName>
    <definedName name="IQ_EST_NUM_NEUTRAL_REC" hidden="1">"c5650"</definedName>
    <definedName name="IQ_EST_NUM_NEUTRAL_REC_CIQ" hidden="1">"c3702"</definedName>
    <definedName name="IQ_EST_NUM_NEUTRAL_REC_THOM" hidden="1">"c5167"</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CURRING_PROFIT_SHARE_DIFF" hidden="1">"c4505"</definedName>
    <definedName name="IQ_EST_RECURRING_PROFIT_SHARE_SURPRISE_PERCENT" hidden="1">"c4515"</definedName>
    <definedName name="IQ_EST_REV_DIFF" hidden="1">"c1865"</definedName>
    <definedName name="IQ_EST_REV_DIFF_CIQ" hidden="1">"c3717"</definedName>
    <definedName name="IQ_EST_REV_DIFF_THOM" hidden="1">"c5182"</definedName>
    <definedName name="IQ_EST_REV_GROWTH_1YR" hidden="1">"c1638"</definedName>
    <definedName name="IQ_EST_REV_GROWTH_1YR_CIQ" hidden="1">"c3691"</definedName>
    <definedName name="IQ_EST_REV_GROWTH_1YR_THOM" hidden="1">"c5157"</definedName>
    <definedName name="IQ_EST_REV_GROWTH_2YR" hidden="1">"c1639"</definedName>
    <definedName name="IQ_EST_REV_GROWTH_2YR_CIQ" hidden="1">"c3692"</definedName>
    <definedName name="IQ_EST_REV_GROWTH_2YR_THOM" hidden="1">"c5158"</definedName>
    <definedName name="IQ_EST_REV_GROWTH_Q_1YR" hidden="1">"c1640"</definedName>
    <definedName name="IQ_EST_REV_GROWTH_Q_1YR_CIQ" hidden="1">"c3693"</definedName>
    <definedName name="IQ_EST_REV_GROWTH_Q_1YR_THOM" hidden="1">"c5159"</definedName>
    <definedName name="IQ_EST_REV_SEQ_GROWTH_Q" hidden="1">"c1765"</definedName>
    <definedName name="IQ_EST_REV_SEQ_GROWTH_Q_CIQ" hidden="1">"c3694"</definedName>
    <definedName name="IQ_EST_REV_SEQ_GROWTH_Q_THOM" hidden="1">"c5160"</definedName>
    <definedName name="IQ_EST_REV_SURPRISE_PERCENT" hidden="1">"c1866"</definedName>
    <definedName name="IQ_EST_REV_SURPRISE_PERCENT_CIQ" hidden="1">"c3718"</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localSheetId="3" hidden="1">"c1428"</definedName>
    <definedName name="IQ_EV_OVER_EMPLOYEE" hidden="1">"c1225"</definedName>
    <definedName name="IQ_EV_OVER_LTM_EBIT" localSheetId="3" hidden="1">"c1426"</definedName>
    <definedName name="IQ_EV_OVER_LTM_EBIT" hidden="1">"c1221"</definedName>
    <definedName name="IQ_EV_OVER_LTM_EBITDA" localSheetId="3" hidden="1">"c1427"</definedName>
    <definedName name="IQ_EV_OVER_LTM_EBITDA" hidden="1">"c1223"</definedName>
    <definedName name="IQ_EV_OVER_LTM_REVENUE" localSheetId="3" hidden="1">"c1429"</definedName>
    <definedName name="IQ_EV_OVER_LTM_REVENUE" hidden="1">"c1227"</definedName>
    <definedName name="IQ_EVAL_DATE" hidden="1">"c2180"</definedName>
    <definedName name="IQ_EVENT_DATE" hidden="1">"c13819"</definedName>
    <definedName name="IQ_EVENT_ID" hidden="1">"c13818"</definedName>
    <definedName name="IQ_EVENT_TIME" hidden="1">"c13820"</definedName>
    <definedName name="IQ_EVENT_TYPE" hidden="1">"c13821"</definedName>
    <definedName name="IQ_EXCHANGE" hidden="1">"c405"</definedName>
    <definedName name="IQ_EXCISE_TAXES_EXCL_SALES" hidden="1">"c5515"</definedName>
    <definedName name="IQ_EXCISE_TAXES_INCL_SALES" hidden="1">"c5514"</definedName>
    <definedName name="IQ_EXERCISE_PRICE" localSheetId="3" hidden="1">"c1897"</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UNUSED" hidden="1">"c7632"</definedName>
    <definedName name="IQ_EXPORTS_GOODS_REAL_SAAR_FC_UNUSED" hidden="1">"c7852"</definedName>
    <definedName name="IQ_EXPORTS_GOODS_REAL_SAAR_POP" hidden="1">"c11931"</definedName>
    <definedName name="IQ_EXPORTS_GOODS_REAL_SAAR_POP_FC_UNUSED" hidden="1">"c8072"</definedName>
    <definedName name="IQ_EXPORTS_GOODS_REAL_SAAR_POP_UNUSED" hidden="1">"c7192"</definedName>
    <definedName name="IQ_EXPORTS_GOODS_REAL_SAAR_UNUSED" hidden="1">"c6972"</definedName>
    <definedName name="IQ_EXPORTS_GOODS_REAL_SAAR_YOY" hidden="1">"c11932"</definedName>
    <definedName name="IQ_EXPORTS_GOODS_REAL_SAAR_YOY_FC_UNUSED" hidden="1">"c8292"</definedName>
    <definedName name="IQ_EXPORTS_GOODS_REAL_SAAR_YOY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UNUSED" hidden="1">"c7636"</definedName>
    <definedName name="IQ_EXPORTS_SERVICES_REAL_SAAR_FC_UNUSED" hidden="1">"c7856"</definedName>
    <definedName name="IQ_EXPORTS_SERVICES_REAL_SAAR_POP" hidden="1">"c11935"</definedName>
    <definedName name="IQ_EXPORTS_SERVICES_REAL_SAAR_POP_FC_UNUSED" hidden="1">"c8076"</definedName>
    <definedName name="IQ_EXPORTS_SERVICES_REAL_SAAR_POP_UNUSED" hidden="1">"c7196"</definedName>
    <definedName name="IQ_EXPORTS_SERVICES_REAL_SAAR_UNUSED" hidden="1">"c6976"</definedName>
    <definedName name="IQ_EXPORTS_SERVICES_REAL_SAAR_YOY" hidden="1">"c11936"</definedName>
    <definedName name="IQ_EXPORTS_SERVICES_REAL_SAAR_YOY_FC_UNUSED" hidden="1">"c8296"</definedName>
    <definedName name="IQ_EXPORTS_SERVICES_REAL_SAAR_YOY_UNUSED" hidden="1">"c7416"</definedName>
    <definedName name="IQ_EXPORTS_SERVICES_REAL_YOY" hidden="1">"c7417"</definedName>
    <definedName name="IQ_EXPORTS_SERVICES_REAL_YOY_FC" hidden="1">"c8297"</definedName>
    <definedName name="IQ_EXPORTS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localSheetId="3" hidden="1">"c1459"</definedName>
    <definedName name="IQ_EXTRA_ITEMS" hidden="1">"c413"</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FDIC" hidden="1">"c6427"</definedName>
    <definedName name="IQ_FARM_LOANS_NET_FDIC" hidden="1">"c6316"</definedName>
    <definedName name="IQ_FARM_LOANS_TOT_LOANS_FFIEC" hidden="1">"c13870"</definedName>
    <definedName name="IQ_FARM_LOANS_TOTAL_LOANS_FOREIGN_FDIC" hidden="1">"c6450"</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FUNDS_SOLD" hidden="1">"c2256"</definedName>
    <definedName name="IQ_FEES_COMMISSIONS_BROKERAGE_FFIEC" hidden="1">"c13005"</definedName>
    <definedName name="IQ_FFO" hidden="1">"c1574"</definedName>
    <definedName name="IQ_FFO_ACT_OR_EST" hidden="1">"c4446"</definedName>
    <definedName name="IQ_FFO_ADJ_ACT_OR_EST" hidden="1">"c4435"</definedName>
    <definedName name="IQ_FFO_ADJ_ACT_OR_EST_CIQ" hidden="1">"c4960"</definedName>
    <definedName name="IQ_FFO_ADJ_EST" hidden="1">"c4434"</definedName>
    <definedName name="IQ_FFO_ADJ_HIGH_EST" hidden="1">"c4437"</definedName>
    <definedName name="IQ_FFO_ADJ_LOW_EST" hidden="1">"c4438"</definedName>
    <definedName name="IQ_FFO_ADJ_MEDIAN_EST" hidden="1">"c4439"</definedName>
    <definedName name="IQ_FFO_ADJ_NUM_EST" hidden="1">"c4440"</definedName>
    <definedName name="IQ_FFO_ADJ_STDDEV_EST" hidden="1">"c4441"</definedName>
    <definedName name="IQ_FFO_EST" hidden="1">"c4445"</definedName>
    <definedName name="IQ_FFO_HIGH_EST" hidden="1">"c4448"</definedName>
    <definedName name="IQ_FFO_LOW_EST" hidden="1">"c4449"</definedName>
    <definedName name="IQ_FFO_MEDIAN_EST" hidden="1">"c4450"</definedName>
    <definedName name="IQ_FFO_NUM_EST" hidden="1">"c4451"</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EST" hidden="1">"c418"</definedName>
    <definedName name="IQ_FFO_SHARE_EST_DET_EST" hidden="1">"c12059"</definedName>
    <definedName name="IQ_FFO_SHARE_EST_DET_EST_CURRENCY" hidden="1">"c12466"</definedName>
    <definedName name="IQ_FFO_SHARE_EST_DET_EST_CURRENCY_THOM" hidden="1">"c12487"</definedName>
    <definedName name="IQ_FFO_SHARE_EST_DET_EST_DATE" hidden="1">"c12212"</definedName>
    <definedName name="IQ_FFO_SHARE_EST_DET_EST_DATE_THOM" hidden="1">"c12238"</definedName>
    <definedName name="IQ_FFO_SHARE_EST_DET_EST_INCL" hidden="1">"c12349"</definedName>
    <definedName name="IQ_FFO_SHARE_EST_DET_EST_INCL_THOM" hidden="1">"c12370"</definedName>
    <definedName name="IQ_FFO_SHARE_EST_DET_EST_ORIGIN" hidden="1">"c12722"</definedName>
    <definedName name="IQ_FFO_SHARE_EST_DET_EST_ORIGIN_THOM" hidden="1">"c12608"</definedName>
    <definedName name="IQ_FFO_SHARE_EST_DET_EST_THOM" hidden="1">"c12088"</definedName>
    <definedName name="IQ_FFO_SHARE_EST_THOM" hidden="1">"c3999"</definedName>
    <definedName name="IQ_FFO_SHARE_HIGH_EST" hidden="1">"c419"</definedName>
    <definedName name="IQ_FFO_SHARE_HIGH_EST_THOM" hidden="1">"c4001"</definedName>
    <definedName name="IQ_FFO_SHARE_LOW_EST" hidden="1">"c420"</definedName>
    <definedName name="IQ_FFO_SHARE_LOW_EST_THOM" hidden="1">"c4002"</definedName>
    <definedName name="IQ_FFO_SHARE_MEDIAN_EST" hidden="1">"c1665"</definedName>
    <definedName name="IQ_FFO_SHARE_MEDIAN_EST_THOM" hidden="1">"c4000"</definedName>
    <definedName name="IQ_FFO_SHARE_NUM_EST" hidden="1">"c421"</definedName>
    <definedName name="IQ_FFO_SHARE_NUM_EST_THOM" hidden="1">"c4003"</definedName>
    <definedName name="IQ_FFO_SHARE_STDDEV_EST" hidden="1">"c422"</definedName>
    <definedName name="IQ_FFO_SHARE_STDDEV_EST_THOM" hidden="1">"c4004"</definedName>
    <definedName name="IQ_FFO_STDDEV_EST" hidden="1">"c4452"</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localSheetId="3" hidden="1">"c1405"</definedName>
    <definedName name="IQ_FINANCING_CASH" hidden="1">"c893"</definedName>
    <definedName name="IQ_FINANCING_CASH_SUPPL" localSheetId="3" hidden="1">"c1406"</definedName>
    <definedName name="IQ_FINANCING_CASH_SUPPL" hidden="1">"c899"</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THOM" hidden="1">"c6802"</definedName>
    <definedName name="IQ_FISCAL_Y" hidden="1">"c441"</definedName>
    <definedName name="IQ_FISCAL_Y_EST" hidden="1">"c6795"</definedName>
    <definedName name="IQ_FISCAL_Y_EST_CIQ" hidden="1">"c6807"</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UNUSED" hidden="1">"c7530"</definedName>
    <definedName name="IQ_FIXED_INVEST_FC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UNUSED" hidden="1">"c7090"</definedName>
    <definedName name="IQ_FIXED_INVEST_REAL_APR_FC_UNUSED" hidden="1">"c8518"</definedName>
    <definedName name="IQ_FIXED_INVEST_REAL_APR_UNUSED" hidden="1">"c7638"</definedName>
    <definedName name="IQ_FIXED_INVEST_REAL_FC_UNUSED" hidden="1">"c7858"</definedName>
    <definedName name="IQ_FIXED_INVEST_REAL_POP_FC_UNUSED" hidden="1">"c8078"</definedName>
    <definedName name="IQ_FIXED_INVEST_REAL_POP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RANSACTION_ACCOUNTS_FDIC" hidden="1">"c6541"</definedName>
    <definedName name="IQ_FOREIGN_EXCHANGE" localSheetId="3" hidden="1">"c1376"</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L_REC_FFIEC" hidden="1">"c12892"</definedName>
    <definedName name="IQ_FOREIGN_LOANS" hidden="1">"c448"</definedName>
    <definedName name="IQ_FOREIGN_LOANS_LEASES_FOREIGN_FFIEC" hidden="1">"c13478"</definedName>
    <definedName name="IQ_FOUNDATION_OVER_TOTAL" hidden="1">"c13769"</definedName>
    <definedName name="IQ_FQ" hidden="1">500</definedName>
    <definedName name="IQ_FUEL" hidden="1">"c449"</definedName>
    <definedName name="IQ_FULL_TIME" hidden="1">"c450"</definedName>
    <definedName name="IQ_FULLY_INSURED_DEPOSITS_FDIC" hidden="1">"c6487"</definedName>
    <definedName name="IQ_FUND_FEE_INC_NON_INT_INC_FFIEC" hidden="1">"c13493"</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localSheetId="3" hidden="1">"c1377"</definedName>
    <definedName name="IQ_GAIN_SALE_ASSETS" hidden="1">"c452"</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localSheetId="3" hidden="1">"c1380"</definedName>
    <definedName name="IQ_GOODWILL_NET" hidden="1">"c530"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localSheetId="3" hidden="1">"c1446"</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_AVG_LOANS_FFIEC" hidden="1">"c13475"</definedName>
    <definedName name="IQ_GROSS_MARGIN" hidden="1">"c529"</definedName>
    <definedName name="IQ_GROSS_MARGIN_ACT_OR_EST" hidden="1">"c5554"</definedName>
    <definedName name="IQ_GROSS_MARGIN_ACT_OR_EST_THOM" hidden="1">"c5562"</definedName>
    <definedName name="IQ_GROSS_MARGIN_DET_EST_DATE_THOM" hidden="1">"c12239"</definedName>
    <definedName name="IQ_GROSS_MARGIN_DET_EST_INCL_THOM" hidden="1">"c12371"</definedName>
    <definedName name="IQ_GROSS_MARGIN_DET_EST_ORIGIN_THOM" hidden="1">"c12609"</definedName>
    <definedName name="IQ_GROSS_MARGIN_DET_EST_THOM" hidden="1">"c12089"</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localSheetId="3" hidden="1">"c1378"</definedName>
    <definedName name="IQ_GROSS_PROFIT" hidden="1">"c511"</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UNUSED" hidden="1">"c7542"</definedName>
    <definedName name="IQ_HOUSING_COMPLETIONS_SINGLE_FAM_FC_UNUSED" hidden="1">"c7762"</definedName>
    <definedName name="IQ_HOUSING_COMPLETIONS_SINGLE_FAM_POP_FC_UNUSED" hidden="1">"c7982"</definedName>
    <definedName name="IQ_HOUSING_COMPLETIONS_SINGLE_FAM_POP_UNUSED" hidden="1">"c7102"</definedName>
    <definedName name="IQ_HOUSING_COMPLETIONS_SINGLE_FAM_UNUSED" hidden="1">"c6882"</definedName>
    <definedName name="IQ_HOUSING_COMPLETIONS_SINGLE_FAM_YOY_FC_UNUSED" hidden="1">"c8202"</definedName>
    <definedName name="IQ_HOUSING_COMPLETIONS_SINGLE_FAM_YOY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UNUSED" hidden="1">"c7643"</definedName>
    <definedName name="IQ_IMPORTS_GOODS_REAL_SAAR_FC_UNUSED" hidden="1">"c7863"</definedName>
    <definedName name="IQ_IMPORTS_GOODS_REAL_SAAR_POP_FC_UNUSED" hidden="1">"c8083"</definedName>
    <definedName name="IQ_IMPORTS_GOODS_REAL_SAAR_POP_UNUSED" hidden="1">"c7203"</definedName>
    <definedName name="IQ_IMPORTS_GOODS_REAL_SAAR_UNUSED" hidden="1">"c6983"</definedName>
    <definedName name="IQ_IMPORTS_GOODS_REAL_SAAR_YOY_FC_UNUSED" hidden="1">"c8303"</definedName>
    <definedName name="IQ_IMPORTS_GOODS_REAL_SAAR_YOY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UNUSED" hidden="1">"c7549"</definedName>
    <definedName name="IQ_IMPORTS_GOODS_SERVICES_FC_UNUSED" hidden="1">"c7769"</definedName>
    <definedName name="IQ_IMPORTS_GOODS_SERVICES_POP_FC_UNUSED" hidden="1">"c7989"</definedName>
    <definedName name="IQ_IMPORTS_GOODS_SERVICES_POP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UNUSED" hidden="1">"c7644"</definedName>
    <definedName name="IQ_IMPORTS_GOODS_SERVICES_REAL_SAAR_FC_UNUSED" hidden="1">"c7864"</definedName>
    <definedName name="IQ_IMPORTS_GOODS_SERVICES_REAL_SAAR_POP" hidden="1">"c11959"</definedName>
    <definedName name="IQ_IMPORTS_GOODS_SERVICES_REAL_SAAR_POP_FC_UNUSED" hidden="1">"c8084"</definedName>
    <definedName name="IQ_IMPORTS_GOODS_SERVICES_REAL_SAAR_POP_UNUSED" hidden="1">"c7204"</definedName>
    <definedName name="IQ_IMPORTS_GOODS_SERVICES_REAL_SAAR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localSheetId="3" hidden="1">"c1395"</definedName>
    <definedName name="IQ_INC_AVAIL_EXCL" hidden="1">"c789"</definedName>
    <definedName name="IQ_INC_AVAIL_INCL" localSheetId="3" hidden="1">"c1396"</definedName>
    <definedName name="IQ_INC_AVAIL_INCL" hidden="1">"c791"</definedName>
    <definedName name="IQ_INC_BEFORE_TAX" localSheetId="3" hidden="1">"c1375"</definedName>
    <definedName name="IQ_INC_BEFORE_TAX" hidden="1">"c386"</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ES_FDIC" hidden="1">"c6582"</definedName>
    <definedName name="IQ_INCOME_TAXES_FFIEC" hidden="1">"c13030"</definedName>
    <definedName name="IQ_INCREASE_INT_INCOME_FFIEC" hidden="1">"c13063"</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SECURED_RE_DOM_FFIEC" hidden="1">"c12977"</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ANGIBLES_NET" localSheetId="3" hidden="1">"c1407"</definedName>
    <definedName name="IQ_INTANGIBLES_NET" hidden="1">"c907"</definedName>
    <definedName name="IQ_INTEREST_BEARING_BALANCES_FDIC" hidden="1">"c6371"</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localSheetId="3" hidden="1">"c1383"</definedName>
    <definedName name="IQ_INTEREST_EXP_NON" hidden="1">"c618"</definedName>
    <definedName name="IQ_INTEREST_EXP_SUPPL" hidden="1">"c1460"</definedName>
    <definedName name="IQ_INTEREST_INC" localSheetId="3" hidden="1">"c1393"</definedName>
    <definedName name="IQ_INTEREST_INC" hidden="1">"c769"</definedName>
    <definedName name="IQ_INTEREST_INC_NON" localSheetId="3" hidden="1">"c1384"</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UNUSED" hidden="1">"c7563"</definedName>
    <definedName name="IQ_ISM_SERVICES_FC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UNUSED" hidden="1">"c7123"</definedName>
    <definedName name="IQ_ISM_SERVICES_UNUSED" hidden="1">"c6903"</definedName>
    <definedName name="IQ_ISM_SERVICES_YOY_FC_UNUSED" hidden="1">"c8223"</definedName>
    <definedName name="IQ_ISM_SERVICES_YOY_UNUSED" hidden="1">"c7343"</definedName>
    <definedName name="IQ_ISS_DEBT_NET" localSheetId="3" hidden="1">"c1391"</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_MONTHLY_FACTOR" hidden="1">"c8971"</definedName>
    <definedName name="IQ_LATEST_MONTHLY_FACTOR_DATE" hidden="1">"c8972"</definedName>
    <definedName name="IQ_LATESTK" hidden="1">1000</definedName>
    <definedName name="IQ_LATESTQ" hidden="1">500</definedName>
    <definedName name="IQ_LEAD_UNDERWRITER" hidden="1">"c8957"</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ASE_RECEIVABLES_FOREIGN_FFIEC" hidden="1">"c13483"</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localSheetId="3" hidden="1">"c1386"</definedName>
    <definedName name="IQ_LOAN_LOSS" hidden="1">"c656"</definedName>
    <definedName name="IQ_LOAN_LOSS_ALLOW_FDIC" hidden="1">"c6326"</definedName>
    <definedName name="IQ_LOAN_LOSS_ALLOWANCE_NON_PERF_ASSETS_FFIEC" hidden="1">"c13912"</definedName>
    <definedName name="IQ_LOAN_LOSS_ALLOWANCE_NONCURRENT_LOANS_FDIC" hidden="1">"c6740"</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localSheetId="3" hidden="1">"c1387"</definedName>
    <definedName name="IQ_LONG_TERM_DEBT" hidden="1">"c674"</definedName>
    <definedName name="IQ_LONG_TERM_DEBT_OVER_TOTAL_CAP" localSheetId="3" hidden="1">"c1388"</definedName>
    <definedName name="IQ_LONG_TERM_DEBT_OVER_TOTAL_CAP" hidden="1">"c677"</definedName>
    <definedName name="IQ_LONG_TERM_GROWTH" hidden="1">"c671"</definedName>
    <definedName name="IQ_LONG_TERM_INV" localSheetId="3" hidden="1">"c1389"</definedName>
    <definedName name="IQ_LONG_TERM_INV" hidden="1">"c697"</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GROWTH_DET_EST" hidden="1">"c12060"</definedName>
    <definedName name="IQ_LT_GROWTH_DET_EST_DATE" hidden="1">"c12213"</definedName>
    <definedName name="IQ_LT_GROWTH_DET_EST_DATE_THOM" hidden="1">"c12240"</definedName>
    <definedName name="IQ_LT_GROWTH_DET_EST_INCL" hidden="1">"c12350"</definedName>
    <definedName name="IQ_LT_GROWTH_DET_EST_INCL_THOM" hidden="1">"c12372"</definedName>
    <definedName name="IQ_LT_GROWTH_DET_EST_ORIGIN" hidden="1">"c12725"</definedName>
    <definedName name="IQ_LT_GROWTH_DET_EST_ORIGIN_THOM" hidden="1">"c12610"</definedName>
    <definedName name="IQ_LT_GROWTH_DET_EST_THOM" hidden="1">"c12090"</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localSheetId="3" hidden="1">"c1437"</definedName>
    <definedName name="IQ_LTM_REVENUE_OVER_EMPLOYEES" hidden="1">"c1304"</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HIGH_EST" hidden="1">"c4460"</definedName>
    <definedName name="IQ_MAINT_CAPEX_LOW_EST" hidden="1">"c4461"</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UNUSED" hidden="1">"c7580"</definedName>
    <definedName name="IQ_MEDIAN_NEW_HOME_SALES_FC_UNUSED" hidden="1">"c7800"</definedName>
    <definedName name="IQ_MEDIAN_NEW_HOME_SALES_POP_FC_UNUSED" hidden="1">"c8020"</definedName>
    <definedName name="IQ_MEDIAN_NEW_HOME_SALES_POP_UNUSED" hidden="1">"c7140"</definedName>
    <definedName name="IQ_MEDIAN_NEW_HOME_SALES_UNUSED" hidden="1">"c6920"</definedName>
    <definedName name="IQ_MEDIAN_NEW_HOME_SALES_YOY_FC_UNUSED" hidden="1">"c8240"</definedName>
    <definedName name="IQ_MEDIAN_NEW_HOME_SALES_YOY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ASSETS_FFIEC" hidden="1">"c12838"</definedName>
    <definedName name="IQ_MORTGAGE_SERVICING_FDIC" hidden="1">"c6335"</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IDENTIAL_LOANS_FDIC" hidden="1">"c6311"</definedName>
    <definedName name="IQ_MUNICIPAL_INVEST_SECURITIES_FFIEC" hidden="1">"c13459"</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_THOM" hidden="1">"c5607"</definedName>
    <definedName name="IQ_NAV_DET_EST_CURRENCY_THOM" hidden="1">"c12490"</definedName>
    <definedName name="IQ_NAV_DET_EST_DATE_THOM" hidden="1">"c12241"</definedName>
    <definedName name="IQ_NAV_DET_EST_INCL_THOM" hidden="1">"c12373"</definedName>
    <definedName name="IQ_NAV_DET_EST_ORIGIN_THOM" hidden="1">"c12707"</definedName>
    <definedName name="IQ_NAV_DET_EST_THOM" hidden="1">"c12091"</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HARE_ACT_OR_EST" hidden="1">"c2225"</definedName>
    <definedName name="IQ_NAV_SHARE_DET_EST_ORIGIN" hidden="1">"c12585"</definedName>
    <definedName name="IQ_NAV_SHARE_DET_EST_ORIGIN_THOM" hidden="1">"c12611"</definedName>
    <definedName name="IQ_NAV_SHARE_EST" hidden="1">"c5609"</definedName>
    <definedName name="IQ_NAV_SHARE_HIGH_EST" hidden="1">"c5612"</definedName>
    <definedName name="IQ_NAV_SHARE_LOW_EST" hidden="1">"c5613"</definedName>
    <definedName name="IQ_NAV_SHARE_MEDIAN_EST" hidden="1">"c5610"</definedName>
    <definedName name="IQ_NAV_SHARE_NUM_EST" hidden="1">"c5614"</definedName>
    <definedName name="IQ_NAV_SHARE_STDDEV_EST" hidden="1">"c5611"</definedName>
    <definedName name="IQ_NAV_STDDEV_EST" hidden="1">"c1756"</definedName>
    <definedName name="IQ_NAV_STDDEV_EST_THOM" hidden="1">"c5603"</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DET_EST" hidden="1">"c12061"</definedName>
    <definedName name="IQ_NET_DEBT_DET_EST_CURRENCY" hidden="1">"c12468"</definedName>
    <definedName name="IQ_NET_DEBT_DET_EST_CURRENCY_THOM" hidden="1">"c12491"</definedName>
    <definedName name="IQ_NET_DEBT_DET_EST_DATE" hidden="1">"c12214"</definedName>
    <definedName name="IQ_NET_DEBT_DET_EST_DATE_THOM" hidden="1">"c12242"</definedName>
    <definedName name="IQ_NET_DEBT_DET_EST_INCL" hidden="1">"c12351"</definedName>
    <definedName name="IQ_NET_DEBT_DET_EST_INCL_THOM" hidden="1">"c12374"</definedName>
    <definedName name="IQ_NET_DEBT_DET_EST_ORIGIN" hidden="1">"c12586"</definedName>
    <definedName name="IQ_NET_DEBT_DET_EST_ORIGIN_THOM" hidden="1">"c12612"</definedName>
    <definedName name="IQ_NET_DEBT_DET_EST_THOM" hidden="1">"c12092"</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FUNDS_PURCHASED_ASSETS_TOT_FFIEC" hidden="1">"c13448"</definedName>
    <definedName name="IQ_NET_INC" localSheetId="3" hidden="1">"c1394"</definedName>
    <definedName name="IQ_NET_INC" hidden="1">"c781"</definedName>
    <definedName name="IQ_NET_INC_BEFORE" localSheetId="3" hidden="1">"c1368"</definedName>
    <definedName name="IQ_NET_INC_BEFORE" hidden="1">"c344"</definedName>
    <definedName name="IQ_NET_INC_CF" localSheetId="3" hidden="1">"c1397"</definedName>
    <definedName name="IQ_NET_INC_CF" hidden="1">"c793"</definedName>
    <definedName name="IQ_NET_INC_MARGIN" localSheetId="3" hidden="1">"c1398"</definedName>
    <definedName name="IQ_NET_INC_MARGIN" hidden="1">"c794"</definedName>
    <definedName name="IQ_NET_INCOME_FDIC" hidden="1">"c6587"</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localSheetId="3" hidden="1">"c1392"</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DET_EST" hidden="1">"c12062"</definedName>
    <definedName name="IQ_NI_DET_EST_CURRENCY" hidden="1">"c12469"</definedName>
    <definedName name="IQ_NI_DET_EST_CURRENCY_THOM" hidden="1">"c12492"</definedName>
    <definedName name="IQ_NI_DET_EST_DATE" hidden="1">"c12215"</definedName>
    <definedName name="IQ_NI_DET_EST_DATE_THOM" hidden="1">"c12243"</definedName>
    <definedName name="IQ_NI_DET_EST_INCL" hidden="1">"c12352"</definedName>
    <definedName name="IQ_NI_DET_EST_INCL_THOM" hidden="1">"c12375"</definedName>
    <definedName name="IQ_NI_DET_EST_ORIGIN" hidden="1">"c12587"</definedName>
    <definedName name="IQ_NI_DET_EST_ORIGIN_THOM" hidden="1">"c12613"</definedName>
    <definedName name="IQ_NI_DET_EST_THOM" hidden="1">"c12093"</definedName>
    <definedName name="IQ_NI_EST" hidden="1">"c1716"</definedName>
    <definedName name="IQ_NI_EST_THOM" hidden="1">"c5126"</definedName>
    <definedName name="IQ_NI_FFIEC" hidden="1">"c13034"</definedName>
    <definedName name="IQ_NI_GW_DET_EST" hidden="1">"c12063"</definedName>
    <definedName name="IQ_NI_GW_DET_EST_CURRENCY" hidden="1">"c12470"</definedName>
    <definedName name="IQ_NI_GW_DET_EST_DATE" hidden="1">"c12216"</definedName>
    <definedName name="IQ_NI_GW_DET_EST_INCL" hidden="1">"c12353"</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DET_EST_ORIGIN" hidden="1">"c12588"</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ACT_OR_EST_CIQ" hidden="1">"c5012"</definedName>
    <definedName name="IQ_NI_SBC_EST" hidden="1">"c4473"</definedName>
    <definedName name="IQ_NI_SBC_GW_ACT_OR_EST" hidden="1">"c4478"</definedName>
    <definedName name="IQ_NI_SBC_GW_ACT_OR_EST_CIQ" hidden="1">"c5016"</definedName>
    <definedName name="IQ_NI_SBC_GW_EST" hidden="1">"c4477"</definedName>
    <definedName name="IQ_NI_SBC_GW_HIGH_EST" hidden="1">"c4480"</definedName>
    <definedName name="IQ_NI_SBC_GW_LOW_EST" hidden="1">"c4481"</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LOW_EST" hidden="1">"c4487"</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LOANS" hidden="1">"c796"</definedName>
    <definedName name="IQ_NON_CASH" localSheetId="3" hidden="1">"c1399"</definedName>
    <definedName name="IQ_NON_CASH" hidden="1">"c797"</definedName>
    <definedName name="IQ_NON_CASH_ITEMS" hidden="1">"c797"</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FFIEC" hidden="1">"c13017"</definedName>
    <definedName name="IQ_NON_INTEREST_EXP" localSheetId="3" hidden="1">"c1400"</definedName>
    <definedName name="IQ_NON_INTEREST_EXP" hidden="1">"c801"</definedName>
    <definedName name="IQ_NON_INTEREST_INC" localSheetId="3" hidden="1">"c1401"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UNUSED" hidden="1">"c7588"</definedName>
    <definedName name="IQ_NONRES_FIXED_INVEST_PRIV_FC_UNUSED" hidden="1">"c7808"</definedName>
    <definedName name="IQ_NONRES_FIXED_INVEST_PRIV_POP_FC_UNUSED" hidden="1">"c8028"</definedName>
    <definedName name="IQ_NONRES_FIXED_INVEST_PRIV_POP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localSheetId="3" hidden="1">"c1423"</definedName>
    <definedName name="IQ_NOTES_PAY" hidden="1">"c1176"</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DET_EST" hidden="1">"c12064"</definedName>
    <definedName name="IQ_OPER_INC_DET_EST_CURRENCY" hidden="1">"c12471"</definedName>
    <definedName name="IQ_OPER_INC_DET_EST_CURRENCY_THOM" hidden="1">"c12494"</definedName>
    <definedName name="IQ_OPER_INC_DET_EST_DATE" hidden="1">"c12217"</definedName>
    <definedName name="IQ_OPER_INC_DET_EST_DATE_THOM" hidden="1">"c12245"</definedName>
    <definedName name="IQ_OPER_INC_DET_EST_INCL" hidden="1">"c12354"</definedName>
    <definedName name="IQ_OPER_INC_DET_EST_INCL_THOM" hidden="1">"c12377"</definedName>
    <definedName name="IQ_OPER_INC_DET_EST_ORIGIN" hidden="1">"c12589"</definedName>
    <definedName name="IQ_OPER_INC_DET_EST_ORIGIN_THOM" hidden="1">"c12615"</definedName>
    <definedName name="IQ_OPER_INC_DET_EST_THOM" hidden="1">"c12095"</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localSheetId="3" hidden="1">"c1448"</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FIEC" hidden="1">"c12862"</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localSheetId="3" hidden="1">"c1403"</definedName>
    <definedName name="IQ_OTHER_CURRENT_ASSETS" hidden="1">"c868"</definedName>
    <definedName name="IQ_OTHER_CURRENT_LIAB" localSheetId="3" hidden="1">"c1404"</definedName>
    <definedName name="IQ_OTHER_CURRENT_LIAB" hidden="1">"c877"</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RIVATIVES_BENEFICIARY_FFIEC" hidden="1">"c13122"</definedName>
    <definedName name="IQ_OTHER_DERIVATIVES_GUARANTOR_FFIEC" hidden="1">"c13115"</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localSheetId="3" hidden="1">"c1408"</definedName>
    <definedName name="IQ_OTHER_INVESTING" hidden="1">"c916"</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RADING_DOM_FFIEC" hidden="1">"c12936"</definedName>
    <definedName name="IQ_OTHER_LONG_TERM" localSheetId="3" hidden="1">"c1409"</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NET" localSheetId="3" hidden="1">"c1453"</definedName>
    <definedName name="IQ_OTHER_NET" hidden="1">"c959"</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localSheetId="3" hidden="1">"c1410"</definedName>
    <definedName name="IQ_OTHER_REVENUE" hidden="1">"c1010"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AX_EQUIVALENT_ADJUSTMENTS_FFIEC" hidden="1">"c13855"</definedName>
    <definedName name="IQ_OTHER_TRADING_ASSETS_FFIEC" hidden="1">"c12826"</definedName>
    <definedName name="IQ_OTHER_TRADING_ASSETS_TOTAL_FFIEC" hidden="1">"c12937"</definedName>
    <definedName name="IQ_OTHER_TRADING_LIABILITIES_FFIEC" hidden="1">"c12860"</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localSheetId="3" hidden="1">"c2128"</definedName>
    <definedName name="IQ_OUTSTANDING_BS_DATE" hidden="1">"c1022"</definedName>
    <definedName name="IQ_OUTSTANDING_FILING_DATE" localSheetId="3" hidden="1">"c2127"</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localSheetId="3" hidden="1">"c1457"</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THOM" hidden="1">"c5269"</definedName>
    <definedName name="IQ_PERCENT_CHANGE_EST_5YR_GROWTH_RATE_18MONTHS" hidden="1">"c1853"</definedName>
    <definedName name="IQ_PERCENT_CHANGE_EST_5YR_GROWTH_RATE_18MONTHS_CIQ" hidden="1">"c3791"</definedName>
    <definedName name="IQ_PERCENT_CHANGE_EST_5YR_GROWTH_RATE_18MONTHS_THOM" hidden="1">"c5270"</definedName>
    <definedName name="IQ_PERCENT_CHANGE_EST_5YR_GROWTH_RATE_3MONTHS" hidden="1">"c1849"</definedName>
    <definedName name="IQ_PERCENT_CHANGE_EST_5YR_GROWTH_RATE_3MONTHS_CIQ" hidden="1">"c3787"</definedName>
    <definedName name="IQ_PERCENT_CHANGE_EST_5YR_GROWTH_RATE_3MONTHS_THOM" hidden="1">"c5266"</definedName>
    <definedName name="IQ_PERCENT_CHANGE_EST_5YR_GROWTH_RATE_6MONTHS" hidden="1">"c1850"</definedName>
    <definedName name="IQ_PERCENT_CHANGE_EST_5YR_GROWTH_RATE_6MONTHS_CIQ" hidden="1">"c3788"</definedName>
    <definedName name="IQ_PERCENT_CHANGE_EST_5YR_GROWTH_RATE_6MONTHS_THOM" hidden="1">"c5267"</definedName>
    <definedName name="IQ_PERCENT_CHANGE_EST_5YR_GROWTH_RATE_9MONTHS" hidden="1">"c1851"</definedName>
    <definedName name="IQ_PERCENT_CHANGE_EST_5YR_GROWTH_RATE_9MONTHS_CIQ" hidden="1">"c3789"</definedName>
    <definedName name="IQ_PERCENT_CHANGE_EST_5YR_GROWTH_RATE_9MONTHS_THOM" hidden="1">"c5268"</definedName>
    <definedName name="IQ_PERCENT_CHANGE_EST_5YR_GROWTH_RATE_DAY" hidden="1">"c1846"</definedName>
    <definedName name="IQ_PERCENT_CHANGE_EST_5YR_GROWTH_RATE_DAY_CIQ" hidden="1">"c3785"</definedName>
    <definedName name="IQ_PERCENT_CHANGE_EST_5YR_GROWTH_RATE_DAY_THOM" hidden="1">"c5264"</definedName>
    <definedName name="IQ_PERCENT_CHANGE_EST_5YR_GROWTH_RATE_MONTH" hidden="1">"c1848"</definedName>
    <definedName name="IQ_PERCENT_CHANGE_EST_5YR_GROWTH_RATE_MONTH_CIQ" hidden="1">"c3786"</definedName>
    <definedName name="IQ_PERCENT_CHANGE_EST_5YR_GROWTH_RATE_MONTH_THOM" hidden="1">"c5265"</definedName>
    <definedName name="IQ_PERCENT_CHANGE_EST_5YR_GROWTH_RATE_WEEK" hidden="1">"c1847"</definedName>
    <definedName name="IQ_PERCENT_CHANGE_EST_5YR_GROWTH_RATE_WEEK_CIQ" hidden="1">"c3797"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CIQ" hidden="1">"c3748"</definedName>
    <definedName name="IQ_PERCENT_CHANGE_EST_EBITDA_12MONTHS_THOM" hidden="1">"c5227"</definedName>
    <definedName name="IQ_PERCENT_CHANGE_EST_EBITDA_18MONTHS" hidden="1">"c1805"</definedName>
    <definedName name="IQ_PERCENT_CHANGE_EST_EBITDA_18MONTHS_CIQ" hidden="1">"c3749"</definedName>
    <definedName name="IQ_PERCENT_CHANGE_EST_EBITDA_18MONTHS_THOM" hidden="1">"c5228"</definedName>
    <definedName name="IQ_PERCENT_CHANGE_EST_EBITDA_3MONTHS" hidden="1">"c1801"</definedName>
    <definedName name="IQ_PERCENT_CHANGE_EST_EBITDA_3MONTHS_CIQ" hidden="1">"c3745"</definedName>
    <definedName name="IQ_PERCENT_CHANGE_EST_EBITDA_3MONTHS_THOM" hidden="1">"c5224"</definedName>
    <definedName name="IQ_PERCENT_CHANGE_EST_EBITDA_6MONTHS" hidden="1">"c1802"</definedName>
    <definedName name="IQ_PERCENT_CHANGE_EST_EBITDA_6MONTHS_CIQ" hidden="1">"c3746"</definedName>
    <definedName name="IQ_PERCENT_CHANGE_EST_EBITDA_6MONTHS_THOM" hidden="1">"c5225"</definedName>
    <definedName name="IQ_PERCENT_CHANGE_EST_EBITDA_9MONTHS" hidden="1">"c1803"</definedName>
    <definedName name="IQ_PERCENT_CHANGE_EST_EBITDA_9MONTHS_CIQ" hidden="1">"c3747"</definedName>
    <definedName name="IQ_PERCENT_CHANGE_EST_EBITDA_9MONTHS_THOM" hidden="1">"c5226"</definedName>
    <definedName name="IQ_PERCENT_CHANGE_EST_EBITDA_DAY" hidden="1">"c1798"</definedName>
    <definedName name="IQ_PERCENT_CHANGE_EST_EBITDA_DAY_CIQ" hidden="1">"c3743"</definedName>
    <definedName name="IQ_PERCENT_CHANGE_EST_EBITDA_DAY_THOM" hidden="1">"c5222"</definedName>
    <definedName name="IQ_PERCENT_CHANGE_EST_EBITDA_MONTH" hidden="1">"c1800"</definedName>
    <definedName name="IQ_PERCENT_CHANGE_EST_EBITDA_MONTH_CIQ" hidden="1">"c3744"</definedName>
    <definedName name="IQ_PERCENT_CHANGE_EST_EBITDA_MONTH_THOM" hidden="1">"c5223"</definedName>
    <definedName name="IQ_PERCENT_CHANGE_EST_EBITDA_WEEK" hidden="1">"c1799"</definedName>
    <definedName name="IQ_PERCENT_CHANGE_EST_EBITDA_WEEK_CIQ" hidden="1">"c3792"</definedName>
    <definedName name="IQ_PERCENT_CHANGE_EST_EBITDA_WEEK_THOM" hidden="1">"c5271"</definedName>
    <definedName name="IQ_PERCENT_CHANGE_EST_EPS_12MONTHS" hidden="1">"c1788"</definedName>
    <definedName name="IQ_PERCENT_CHANGE_EST_EPS_12MONTHS_CIQ" hidden="1">"c3733"</definedName>
    <definedName name="IQ_PERCENT_CHANGE_EST_EPS_12MONTHS_THOM" hidden="1">"c5212"</definedName>
    <definedName name="IQ_PERCENT_CHANGE_EST_EPS_18MONTHS" hidden="1">"c1789"</definedName>
    <definedName name="IQ_PERCENT_CHANGE_EST_EPS_18MONTHS_CIQ" hidden="1">"c3734"</definedName>
    <definedName name="IQ_PERCENT_CHANGE_EST_EPS_18MONTHS_THOM" hidden="1">"c5213"</definedName>
    <definedName name="IQ_PERCENT_CHANGE_EST_EPS_3MONTHS" hidden="1">"c1785"</definedName>
    <definedName name="IQ_PERCENT_CHANGE_EST_EPS_3MONTHS_CIQ" hidden="1">"c3730"</definedName>
    <definedName name="IQ_PERCENT_CHANGE_EST_EPS_3MONTHS_THOM" hidden="1">"c5209"</definedName>
    <definedName name="IQ_PERCENT_CHANGE_EST_EPS_6MONTHS" hidden="1">"c1786"</definedName>
    <definedName name="IQ_PERCENT_CHANGE_EST_EPS_6MONTHS_CIQ" hidden="1">"c3731"</definedName>
    <definedName name="IQ_PERCENT_CHANGE_EST_EPS_6MONTHS_THOM" hidden="1">"c5210"</definedName>
    <definedName name="IQ_PERCENT_CHANGE_EST_EPS_9MONTHS" hidden="1">"c1787"</definedName>
    <definedName name="IQ_PERCENT_CHANGE_EST_EPS_9MONTHS_CIQ" hidden="1">"c3732"</definedName>
    <definedName name="IQ_PERCENT_CHANGE_EST_EPS_9MONTHS_THOM" hidden="1">"c5211"</definedName>
    <definedName name="IQ_PERCENT_CHANGE_EST_EPS_DAY" hidden="1">"c1782"</definedName>
    <definedName name="IQ_PERCENT_CHANGE_EST_EPS_DAY_CIQ" hidden="1">"c3727"</definedName>
    <definedName name="IQ_PERCENT_CHANGE_EST_EPS_DAY_THOM" hidden="1">"c5206"</definedName>
    <definedName name="IQ_PERCENT_CHANGE_EST_EPS_MONTH" hidden="1">"c1784"</definedName>
    <definedName name="IQ_PERCENT_CHANGE_EST_EPS_MONTH_CIQ" hidden="1">"c3729"</definedName>
    <definedName name="IQ_PERCENT_CHANGE_EST_EPS_MONTH_THOM" hidden="1">"c5208"</definedName>
    <definedName name="IQ_PERCENT_CHANGE_EST_EPS_WEEK" hidden="1">"c1783"</definedName>
    <definedName name="IQ_PERCENT_CHANGE_EST_EPS_WEEK_CIQ" hidden="1">"c3728"</definedName>
    <definedName name="IQ_PERCENT_CHANGE_EST_EPS_WEEK_THOM" hidden="1">"c5207"</definedName>
    <definedName name="IQ_PERCENT_CHANGE_EST_FFO_SHARE_12MONTHS" hidden="1">"c1828"</definedName>
    <definedName name="IQ_PERCENT_CHANGE_EST_FFO_SHARE_12MONTHS_THOM" hidden="1">"c5248"</definedName>
    <definedName name="IQ_PERCENT_CHANGE_EST_FFO_SHARE_18MONTHS" hidden="1">"c1829"</definedName>
    <definedName name="IQ_PERCENT_CHANGE_EST_FFO_SHARE_18MONTHS_THOM" hidden="1">"c5249"</definedName>
    <definedName name="IQ_PERCENT_CHANGE_EST_FFO_SHARE_3MONTHS" hidden="1">"c1825"</definedName>
    <definedName name="IQ_PERCENT_CHANGE_EST_FFO_SHARE_3MONTHS_THOM" hidden="1">"c5245"</definedName>
    <definedName name="IQ_PERCENT_CHANGE_EST_FFO_SHARE_6MONTHS" hidden="1">"c1826"</definedName>
    <definedName name="IQ_PERCENT_CHANGE_EST_FFO_SHARE_6MONTHS_THOM" hidden="1">"c5246"</definedName>
    <definedName name="IQ_PERCENT_CHANGE_EST_FFO_SHARE_9MONTHS" hidden="1">"c1827"</definedName>
    <definedName name="IQ_PERCENT_CHANGE_EST_FFO_SHARE_9MONTHS_THOM" hidden="1">"c5247"</definedName>
    <definedName name="IQ_PERCENT_CHANGE_EST_FFO_SHARE_DAY" hidden="1">"c1822"</definedName>
    <definedName name="IQ_PERCENT_CHANGE_EST_FFO_SHARE_DAY_THOM" hidden="1">"c5243"</definedName>
    <definedName name="IQ_PERCENT_CHANGE_EST_FFO_SHARE_MONTH" hidden="1">"c1824"</definedName>
    <definedName name="IQ_PERCENT_CHANGE_EST_FFO_SHARE_MONTH_THOM" hidden="1">"c5244"</definedName>
    <definedName name="IQ_PERCENT_CHANGE_EST_FFO_SHARE_WEEK" hidden="1">"c1823"</definedName>
    <definedName name="IQ_PERCENT_CHANGE_EST_FFO_SHARE_WEEK_THOM" hidden="1">"c5274"</definedName>
    <definedName name="IQ_PERCENT_CHANGE_EST_PRICE_TARGET_12MONTHS" hidden="1">"c1844"</definedName>
    <definedName name="IQ_PERCENT_CHANGE_EST_PRICE_TARGET_12MONTHS_CIQ" hidden="1">"c3783"</definedName>
    <definedName name="IQ_PERCENT_CHANGE_EST_PRICE_TARGET_12MONTHS_THOM" hidden="1">"c5262"</definedName>
    <definedName name="IQ_PERCENT_CHANGE_EST_PRICE_TARGET_18MONTHS" hidden="1">"c1845"</definedName>
    <definedName name="IQ_PERCENT_CHANGE_EST_PRICE_TARGET_18MONTHS_CIQ" hidden="1">"c3784"</definedName>
    <definedName name="IQ_PERCENT_CHANGE_EST_PRICE_TARGET_18MONTHS_THOM" hidden="1">"c5263"</definedName>
    <definedName name="IQ_PERCENT_CHANGE_EST_PRICE_TARGET_3MONTHS" hidden="1">"c1841"</definedName>
    <definedName name="IQ_PERCENT_CHANGE_EST_PRICE_TARGET_3MONTHS_CIQ" hidden="1">"c3780"</definedName>
    <definedName name="IQ_PERCENT_CHANGE_EST_PRICE_TARGET_3MONTHS_THOM" hidden="1">"c5259"</definedName>
    <definedName name="IQ_PERCENT_CHANGE_EST_PRICE_TARGET_6MONTHS" hidden="1">"c1842"</definedName>
    <definedName name="IQ_PERCENT_CHANGE_EST_PRICE_TARGET_6MONTHS_CIQ" hidden="1">"c3781"</definedName>
    <definedName name="IQ_PERCENT_CHANGE_EST_PRICE_TARGET_6MONTHS_THOM" hidden="1">"c5260"</definedName>
    <definedName name="IQ_PERCENT_CHANGE_EST_PRICE_TARGET_9MONTHS" hidden="1">"c1843"</definedName>
    <definedName name="IQ_PERCENT_CHANGE_EST_PRICE_TARGET_9MONTHS_CIQ" hidden="1">"c3782"</definedName>
    <definedName name="IQ_PERCENT_CHANGE_EST_PRICE_TARGET_9MONTHS_THOM" hidden="1">"c5261"</definedName>
    <definedName name="IQ_PERCENT_CHANGE_EST_PRICE_TARGET_DAY" hidden="1">"c1838"</definedName>
    <definedName name="IQ_PERCENT_CHANGE_EST_PRICE_TARGET_DAY_CIQ" hidden="1">"c3778"</definedName>
    <definedName name="IQ_PERCENT_CHANGE_EST_PRICE_TARGET_DAY_THOM" hidden="1">"c5257"</definedName>
    <definedName name="IQ_PERCENT_CHANGE_EST_PRICE_TARGET_MONTH" hidden="1">"c1840"</definedName>
    <definedName name="IQ_PERCENT_CHANGE_EST_PRICE_TARGET_MONTH_CIQ" hidden="1">"c3779"</definedName>
    <definedName name="IQ_PERCENT_CHANGE_EST_PRICE_TARGET_MONTH_THOM" hidden="1">"c5258"</definedName>
    <definedName name="IQ_PERCENT_CHANGE_EST_PRICE_TARGET_WEEK" hidden="1">"c1839"</definedName>
    <definedName name="IQ_PERCENT_CHANGE_EST_PRICE_TARGET_WEEK_CIQ" hidden="1">"c3798"</definedName>
    <definedName name="IQ_PERCENT_CHANGE_EST_PRICE_TARGET_WEEK_THOM" hidden="1">"c5276"</definedName>
    <definedName name="IQ_PERCENT_CHANGE_EST_RECO_12MONTHS" hidden="1">"c1836"</definedName>
    <definedName name="IQ_PERCENT_CHANGE_EST_RECO_12MONTHS_CIQ" hidden="1">"c3776"</definedName>
    <definedName name="IQ_PERCENT_CHANGE_EST_RECO_12MONTHS_THOM" hidden="1">"c5255"</definedName>
    <definedName name="IQ_PERCENT_CHANGE_EST_RECO_18MONTHS" hidden="1">"c1837"</definedName>
    <definedName name="IQ_PERCENT_CHANGE_EST_RECO_18MONTHS_CIQ" hidden="1">"c3777"</definedName>
    <definedName name="IQ_PERCENT_CHANGE_EST_RECO_18MONTHS_THOM" hidden="1">"c5256"</definedName>
    <definedName name="IQ_PERCENT_CHANGE_EST_RECO_3MONTHS" hidden="1">"c1833"</definedName>
    <definedName name="IQ_PERCENT_CHANGE_EST_RECO_3MONTHS_CIQ" hidden="1">"c3773"</definedName>
    <definedName name="IQ_PERCENT_CHANGE_EST_RECO_3MONTHS_THOM" hidden="1">"c5252"</definedName>
    <definedName name="IQ_PERCENT_CHANGE_EST_RECO_6MONTHS" hidden="1">"c1834"</definedName>
    <definedName name="IQ_PERCENT_CHANGE_EST_RECO_6MONTHS_CIQ" hidden="1">"c3774"</definedName>
    <definedName name="IQ_PERCENT_CHANGE_EST_RECO_6MONTHS_THOM" hidden="1">"c5253"</definedName>
    <definedName name="IQ_PERCENT_CHANGE_EST_RECO_9MONTHS" hidden="1">"c1835"</definedName>
    <definedName name="IQ_PERCENT_CHANGE_EST_RECO_9MONTHS_CIQ" hidden="1">"c3775"</definedName>
    <definedName name="IQ_PERCENT_CHANGE_EST_RECO_9MONTHS_THOM" hidden="1">"c5254"</definedName>
    <definedName name="IQ_PERCENT_CHANGE_EST_RECO_DAY" hidden="1">"c1830"</definedName>
    <definedName name="IQ_PERCENT_CHANGE_EST_RECO_DAY_CIQ" hidden="1">"c3771"</definedName>
    <definedName name="IQ_PERCENT_CHANGE_EST_RECO_DAY_THOM" hidden="1">"c5250"</definedName>
    <definedName name="IQ_PERCENT_CHANGE_EST_RECO_MONTH" hidden="1">"c1832"</definedName>
    <definedName name="IQ_PERCENT_CHANGE_EST_RECO_MONTH_CIQ" hidden="1">"c3772"</definedName>
    <definedName name="IQ_PERCENT_CHANGE_EST_RECO_MONTH_THOM" hidden="1">"c5251"</definedName>
    <definedName name="IQ_PERCENT_CHANGE_EST_RECO_WEEK" hidden="1">"c1831"</definedName>
    <definedName name="IQ_PERCENT_CHANGE_EST_RECO_WEEK_CIQ" hidden="1">"c3796"</definedName>
    <definedName name="IQ_PERCENT_CHANGE_EST_RECO_WEEK_THOM" hidden="1">"c5275"</definedName>
    <definedName name="IQ_PERCENT_CHANGE_EST_REV_12MONTHS" hidden="1">"c1796"</definedName>
    <definedName name="IQ_PERCENT_CHANGE_EST_REV_12MONTHS_CIQ" hidden="1">"c3741"</definedName>
    <definedName name="IQ_PERCENT_CHANGE_EST_REV_12MONTHS_THOM" hidden="1">"c5220"</definedName>
    <definedName name="IQ_PERCENT_CHANGE_EST_REV_18MONTHS" hidden="1">"c1797"</definedName>
    <definedName name="IQ_PERCENT_CHANGE_EST_REV_18MONTHS_CIQ" hidden="1">"c3742"</definedName>
    <definedName name="IQ_PERCENT_CHANGE_EST_REV_18MONTHS_THOM" hidden="1">"c5221"</definedName>
    <definedName name="IQ_PERCENT_CHANGE_EST_REV_3MONTHS" hidden="1">"c1793"</definedName>
    <definedName name="IQ_PERCENT_CHANGE_EST_REV_3MONTHS_CIQ" hidden="1">"c3738"</definedName>
    <definedName name="IQ_PERCENT_CHANGE_EST_REV_3MONTHS_THOM" hidden="1">"c5217"</definedName>
    <definedName name="IQ_PERCENT_CHANGE_EST_REV_6MONTHS" hidden="1">"c1794"</definedName>
    <definedName name="IQ_PERCENT_CHANGE_EST_REV_6MONTHS_CIQ" hidden="1">"c3739"</definedName>
    <definedName name="IQ_PERCENT_CHANGE_EST_REV_6MONTHS_THOM" hidden="1">"c5218"</definedName>
    <definedName name="IQ_PERCENT_CHANGE_EST_REV_9MONTHS" hidden="1">"c1795"</definedName>
    <definedName name="IQ_PERCENT_CHANGE_EST_REV_9MONTHS_CIQ" hidden="1">"c3740"</definedName>
    <definedName name="IQ_PERCENT_CHANGE_EST_REV_9MONTHS_THOM" hidden="1">"c5219"</definedName>
    <definedName name="IQ_PERCENT_CHANGE_EST_REV_DAY" hidden="1">"c1790"</definedName>
    <definedName name="IQ_PERCENT_CHANGE_EST_REV_DAY_CIQ" hidden="1">"c3735"</definedName>
    <definedName name="IQ_PERCENT_CHANGE_EST_REV_DAY_THOM" hidden="1">"c5214"</definedName>
    <definedName name="IQ_PERCENT_CHANGE_EST_REV_MONTH" hidden="1">"c1792"</definedName>
    <definedName name="IQ_PERCENT_CHANGE_EST_REV_MONTH_CIQ" hidden="1">"c3737"</definedName>
    <definedName name="IQ_PERCENT_CHANGE_EST_REV_MONTH_THOM" hidden="1">"c5216"</definedName>
    <definedName name="IQ_PERCENT_CHANGE_EST_REV_WEEK" hidden="1">"c1791"</definedName>
    <definedName name="IQ_PERCENT_CHANGE_EST_REV_WEEK_CIQ" hidden="1">"c3736"</definedName>
    <definedName name="IQ_PERCENT_CHANGE_EST_REV_WEEK_THOM" hidden="1">"c5215"</definedName>
    <definedName name="IQ_PERCENT_INSURED_FDIC" hidden="1">"c6374"</definedName>
    <definedName name="IQ_PERFORMANCE_LOC_FOREIGN_GUARANTEES_FFIEC" hidden="1">"c13251"</definedName>
    <definedName name="IQ_PERIODDATE" localSheetId="3" hidden="1">"c1414"</definedName>
    <definedName name="IQ_PERIODDATE" hidden="1">"c1034"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localSheetId="3" hidden="1">"c1416"</definedName>
    <definedName name="IQ_PREF_STOCK" hidden="1">"c1052"</definedName>
    <definedName name="IQ_PREF_STOCK_FFIEC" hidden="1">"c12875"</definedName>
    <definedName name="IQ_PREF_TOT" localSheetId="3" hidden="1">"c1415"</definedName>
    <definedName name="IQ_PREF_TOT" hidden="1">"c1044"</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localSheetId="3" hidden="1">"c1418"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DET_EST" hidden="1">"c12055"</definedName>
    <definedName name="IQ_PRETAX_INC_DET_EST_CURRENCY" hidden="1">"c12462"</definedName>
    <definedName name="IQ_PRETAX_INC_DET_EST_CURRENCY_THOM" hidden="1">"c12483"</definedName>
    <definedName name="IQ_PRETAX_INC_DET_EST_DATE" hidden="1">"c12208"</definedName>
    <definedName name="IQ_PRETAX_INC_DET_EST_DATE_THOM" hidden="1">"c12234"</definedName>
    <definedName name="IQ_PRETAX_INC_DET_EST_INCL" hidden="1">"c12345"</definedName>
    <definedName name="IQ_PRETAX_INC_DET_EST_INCL_THOM" hidden="1">"c12366"</definedName>
    <definedName name="IQ_PRETAX_INC_DET_EST_ORIGIN" hidden="1">"c12771"</definedName>
    <definedName name="IQ_PRETAX_INC_DET_EST_ORIGIN_THOM" hidden="1">"c12604"</definedName>
    <definedName name="IQ_PRETAX_INC_DET_EST_THOM" hidden="1">"c12084"</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CFPS_FWD_THOM" hidden="1">"c4060"</definedName>
    <definedName name="IQ_PRICE_OVER_BVPS" localSheetId="3" hidden="1">"c1412"</definedName>
    <definedName name="IQ_PRICE_OVER_BVPS" hidden="1">"c1026"</definedName>
    <definedName name="IQ_PRICE_OVER_LTM_EPS" localSheetId="3" hidden="1">"c1413"</definedName>
    <definedName name="IQ_PRICE_OVER_LTM_EPS" hidden="1">"c1029"</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 hidden="1">"c5486"</definedName>
    <definedName name="IQ_PRICE_TARGET_BOTTOM_UP_CIQ" hidden="1">"c12023"</definedName>
    <definedName name="IQ_PRICE_TARGET_CIQ" hidden="1">"c3613"</definedName>
    <definedName name="IQ_PRICE_TARGET_REUT" hidden="1">"c3631"</definedName>
    <definedName name="IQ_PRICE_TARGET_THOM" hidden="1">"c3649"</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 hidden="1">"c8559"</definedName>
    <definedName name="IQ_PRIVATE_CONST_TOTAL_APR_UNUSED" hidden="1">"c7679"</definedName>
    <definedName name="IQ_PRIVATE_CONST_TOTAL_FC_UNUSED" hidden="1">"c7899"</definedName>
    <definedName name="IQ_PRIVATE_CONST_TOTAL_POP_FC_UNUSED" hidden="1">"c8119"</definedName>
    <definedName name="IQ_PRIVATE_CONST_TOTAL_POP_UNUSED" hidden="1">"c7239"</definedName>
    <definedName name="IQ_PRIVATE_CONST_TOTAL_UNUSED" hidden="1">"c7019"</definedName>
    <definedName name="IQ_PRIVATE_CONST_TOTAL_YOY_FC_UNUSED" hidden="1">"c8339"</definedName>
    <definedName name="IQ_PRIVATE_CONST_TOTAL_YOY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UNUSED" hidden="1">"c7655"</definedName>
    <definedName name="IQ_PRIVATE_RES_CONST_REAL_FC_UNUSED" hidden="1">"c7875"</definedName>
    <definedName name="IQ_PRIVATE_RES_CONST_REAL_POP_FC_UNUSED" hidden="1">"c8095"</definedName>
    <definedName name="IQ_PRIVATE_RES_CONST_REAL_POP_UNUSED" hidden="1">"c7215"</definedName>
    <definedName name="IQ_PRIVATE_RES_CONST_REAL_UNUSED" hidden="1">"c6995"</definedName>
    <definedName name="IQ_PRIVATE_RES_CONST_REAL_YOY_FC_UNUSED" hidden="1">"c8315"</definedName>
    <definedName name="IQ_PRIVATE_RES_CONST_REAL_YOY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localSheetId="3" hidden="1">"c1452"</definedName>
    <definedName name="IQ_PRO_FORMA_NET_INC" hidden="1">"c795"</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ID" hidden="1">"c13755"</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localSheetId="3" hidden="1">"c1379"</definedName>
    <definedName name="IQ_PROPERTY_GROSS" hidden="1">"c518"</definedName>
    <definedName name="IQ_PROPERTY_MGMT_FEE" hidden="1">"c1074"</definedName>
    <definedName name="IQ_PROPERTY_NET" localSheetId="3" hidden="1">"c1402"</definedName>
    <definedName name="IQ_PROPERTY_NET" hidden="1">"c829"</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ROVISION_LL_FFIEC" hidden="1">"c13019"</definedName>
    <definedName name="IQ_PROVISION_LOSSES_AVG_ASSETS_FFIEC" hidden="1">"c13362"</definedName>
    <definedName name="IQ_PROVISION_LOSSES_AVG_LOANS_FFIEC" hidden="1">"c13470"</definedName>
    <definedName name="IQ_PROVISION_LOSSES_NET_LOSSES_FFIEC" hidden="1">"c13471"</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UNUSED" hidden="1">"c7611"</definedName>
    <definedName name="IQ_PURCHASES_EQUIP_NONRES_SAAR_FC_UNUSED" hidden="1">"c7831"</definedName>
    <definedName name="IQ_PURCHASES_EQUIP_NONRES_SAAR_POP_FC_UNUSED" hidden="1">"c8051"</definedName>
    <definedName name="IQ_PURCHASES_EQUIP_NONRES_SAAR_POP_UNUSED" hidden="1">"c7171"</definedName>
    <definedName name="IQ_PURCHASES_EQUIP_NONRES_SAAR_UNUSED" hidden="1">"c6951"</definedName>
    <definedName name="IQ_PURCHASES_EQUIP_NONRES_SAAR_YOY_FC_UNUSED" hidden="1">"c8271"</definedName>
    <definedName name="IQ_PURCHASES_EQUIP_NONRES_SAAR_YOY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DEPR_AMORT" hidden="1">"c8750"</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EST" hidden="1">"c4499"</definedName>
    <definedName name="IQ_RECURRING_PROFIT_HIGH_EST" hidden="1">"c4501"</definedName>
    <definedName name="IQ_RECURRING_PROFIT_LOW_EST" hidden="1">"c4502"</definedName>
    <definedName name="IQ_RECURRING_PROFIT_MEDIAN_EST" hidden="1">"c4503"</definedName>
    <definedName name="IQ_RECURRING_PROFIT_NUM_EST" hidden="1">"c4504"</definedName>
    <definedName name="IQ_RECURRING_PROFIT_SHARE_ACT_OR_EST" hidden="1">"c4508"</definedName>
    <definedName name="IQ_RECURRING_PROFIT_SHARE_ACT_OR_EST_CIQ" hidden="1">"c5046"</definedName>
    <definedName name="IQ_RECURRING_PROFIT_SHARE_EST" hidden="1">"c4506"</definedName>
    <definedName name="IQ_RECURRING_PROFIT_SHARE_HIGH_EST" hidden="1">"c4510"</definedName>
    <definedName name="IQ_RECURRING_PROFIT_SHARE_LOW_EST" hidden="1">"c4511"</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localSheetId="3" hidden="1">"c1417"</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REV" hidden="1">"c1101"</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UNUSED" hidden="1">"c7656"</definedName>
    <definedName name="IQ_RES_CONST_REAL_FC_UNUSED" hidden="1">"c7876"</definedName>
    <definedName name="IQ_RES_CONST_REAL_POP_FC_UNUSED" hidden="1">"c8096"</definedName>
    <definedName name="IQ_RES_CONST_REAL_POP_UNUSED" hidden="1">"c7216"</definedName>
    <definedName name="IQ_RES_CONST_REAL_SAAR_APR_FC_UNUSED" hidden="1">"c8537"</definedName>
    <definedName name="IQ_RES_CONST_REAL_SAAR_APR_UNUSED" hidden="1">"c7657"</definedName>
    <definedName name="IQ_RES_CONST_REAL_SAAR_FC_UNUSED" hidden="1">"c7877"</definedName>
    <definedName name="IQ_RES_CONST_REAL_SAAR_POP_FC_UNUSED" hidden="1">"c8097"</definedName>
    <definedName name="IQ_RES_CONST_REAL_SAAR_POP_UNUSED" hidden="1">"c7217"</definedName>
    <definedName name="IQ_RES_CONST_REAL_SAAR_UNUSED" hidden="1">"c6997"</definedName>
    <definedName name="IQ_RES_CONST_REAL_SAAR_YOY_FC_UNUSED" hidden="1">"c8317"</definedName>
    <definedName name="IQ_RES_CONST_REAL_SAAR_YOY_UNUSED" hidden="1">"c7437"</definedName>
    <definedName name="IQ_RES_CONST_REAL_UNUSED" hidden="1">"c6996"</definedName>
    <definedName name="IQ_RES_CONST_REAL_YOY_FC_UNUSED" hidden="1">"c8316"</definedName>
    <definedName name="IQ_RES_CONST_REAL_YOY_UNUSED" hidden="1">"c7436"</definedName>
    <definedName name="IQ_RES_CONST_SAAR_APR_FC_UNUSED" hidden="1">"c8540"</definedName>
    <definedName name="IQ_RES_CONST_SAAR_APR_UNUSED" hidden="1">"c7660"</definedName>
    <definedName name="IQ_RES_CONST_SAAR_FC_UNUSED" hidden="1">"c7880"</definedName>
    <definedName name="IQ_RES_CONST_SAAR_POP_FC_UNUSED" hidden="1">"c8100"</definedName>
    <definedName name="IQ_RES_CONST_SAAR_POP_UNUSED" hidden="1">"c7220"</definedName>
    <definedName name="IQ_RES_CONST_SAAR_UNUSED" hidden="1">"c7000"</definedName>
    <definedName name="IQ_RES_CONST_SAAR_YOY_FC_UNUSED" hidden="1">"c8320"</definedName>
    <definedName name="IQ_RES_CONST_SAAR_YOY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localSheetId="3" hidden="1">"c1419"</definedName>
    <definedName name="IQ_RESEARCH_DEV" hidden="1">"c1090"</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localSheetId="3" hidden="1">"c1420"</definedName>
    <definedName name="IQ_RETAINED_EARN" hidden="1">"c1092"</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DET_EST" hidden="1">"c12066"</definedName>
    <definedName name="IQ_RETURN_ASSETS_DET_EST_DATE" hidden="1">"c12219"</definedName>
    <definedName name="IQ_RETURN_ASSETS_DET_EST_DATE_THOM" hidden="1">"c12247"</definedName>
    <definedName name="IQ_RETURN_ASSETS_DET_EST_INCL" hidden="1">"c12356"</definedName>
    <definedName name="IQ_RETURN_ASSETS_DET_EST_INCL_THOM" hidden="1">"c12379"</definedName>
    <definedName name="IQ_RETURN_ASSETS_DET_EST_ORIGIN" hidden="1">"c12591"</definedName>
    <definedName name="IQ_RETURN_ASSETS_DET_EST_ORIGIN_THOM" hidden="1">"c12617"</definedName>
    <definedName name="IQ_RETURN_ASSETS_DET_EST_THOM" hidden="1">"c12097"</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DET_EST" hidden="1">"c12067"</definedName>
    <definedName name="IQ_RETURN_EQUITY_DET_EST_DATE" hidden="1">"c12220"</definedName>
    <definedName name="IQ_RETURN_EQUITY_DET_EST_DATE_THOM" hidden="1">"c12248"</definedName>
    <definedName name="IQ_RETURN_EQUITY_DET_EST_INCL" hidden="1">"c12357"</definedName>
    <definedName name="IQ_RETURN_EQUITY_DET_EST_INCL_THOM" hidden="1">"c12380"</definedName>
    <definedName name="IQ_RETURN_EQUITY_DET_EST_ORIGIN" hidden="1">"c12592"</definedName>
    <definedName name="IQ_RETURN_EQUITY_DET_EST_ORIGIN_THOM" hidden="1">"c12618"</definedName>
    <definedName name="IQ_RETURN_EQUITY_DET_EST_THOM" hidden="1">"c12098"</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localSheetId="3" hidden="1">"c1421"</definedName>
    <definedName name="IQ_RETURN_INVESTMENT" hidden="1">"c1117"</definedName>
    <definedName name="IQ_REV" hidden="1">"c1122"</definedName>
    <definedName name="IQ_REV_AP" hidden="1">"c8873"</definedName>
    <definedName name="IQ_REV_AP_ABS" hidden="1">"c8892"</definedName>
    <definedName name="IQ_REV_BEFORE_LL" hidden="1">"c1123"</definedName>
    <definedName name="IQ_REV_DET_EST" hidden="1">"c12065"</definedName>
    <definedName name="IQ_REV_DET_EST_CURRENCY" hidden="1">"c12472"</definedName>
    <definedName name="IQ_REV_DET_EST_CURRENCY_THOM" hidden="1">"c12495"</definedName>
    <definedName name="IQ_REV_DET_EST_DATE" hidden="1">"c12218"</definedName>
    <definedName name="IQ_REV_DET_EST_DATE_THOM" hidden="1">"c12246"</definedName>
    <definedName name="IQ_REV_DET_EST_INCL" hidden="1">"c12355"</definedName>
    <definedName name="IQ_REV_DET_EST_INCL_THOM" hidden="1">"c12378"</definedName>
    <definedName name="IQ_REV_DET_EST_ORIGIN" hidden="1">"c12590"</definedName>
    <definedName name="IQ_REV_DET_EST_ORIGIN_THOM" hidden="1">"c12616"</definedName>
    <definedName name="IQ_REV_DET_EST_THOM" hidden="1">"c12096"</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ENUE" localSheetId="3" hidden="1">"c1422"</definedName>
    <definedName name="IQ_REVENUE" hidden="1">"c1122"</definedName>
    <definedName name="IQ_REVENUE_ACT_OR_EST" hidden="1">"c2214"</definedName>
    <definedName name="IQ_REVENUE_ACT_OR_EST_CIQ" hidden="1">"c5059"</definedName>
    <definedName name="IQ_REVENUE_ACT_OR_EST_THOM" hidden="1">"c5299"</definedName>
    <definedName name="IQ_REVENUE_BEFORE_LL_FFIEC" hidden="1">"c13018"</definedName>
    <definedName name="IQ_REVENUE_EST" hidden="1">"c1126"</definedName>
    <definedName name="IQ_REVENUE_EST_BOTTOM_UP" hidden="1">"c5488"</definedName>
    <definedName name="IQ_REVENUE_EST_BOTTOM_UP_CIQ" hidden="1">"c12025"</definedName>
    <definedName name="IQ_REVENUE_EST_CIQ" hidden="1">"c3616"</definedName>
    <definedName name="IQ_REVENUE_EST_REUT" hidden="1">"c3634"</definedName>
    <definedName name="IQ_REVENUE_EST_THOM" hidden="1">"c3652"</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ISION_DATE_" localSheetId="3" hidden="1">38859.8503356481</definedName>
    <definedName name="IQ_REVISION_DATE_" hidden="1">39244.4711574074</definedName>
    <definedName name="IQ_REVISION_DATE__1" hidden="1">38859.8503356481</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Y" hidden="1">"c1130"</definedName>
    <definedName name="IQ_SALARY_FDIC" hidden="1">"c6576"</definedName>
    <definedName name="IQ_SALE_COMMON_GROSS_FFIEC" hidden="1">"c12963"</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DOL" hidden="1">"c12042"</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localSheetId="3" hidden="1">"c1347"</definedName>
    <definedName name="IQ_SHAREOUTSTANDING" hidden="1">"c83"</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localSheetId="3" hidden="1">"c1425"</definedName>
    <definedName name="IQ_SHORT_TERM_INVEST" hidden="1">"c1197"</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_REC_DET_EST" hidden="1">"c12069"</definedName>
    <definedName name="IQ_STAND_REC_DET_EST_DATE" hidden="1">"c12222"</definedName>
    <definedName name="IQ_STAND_REC_DET_EST_DATE_THOM" hidden="1">"c12250"</definedName>
    <definedName name="IQ_STAND_REC_DET_EST_ORIGIN" hidden="1">"c12594"</definedName>
    <definedName name="IQ_STAND_REC_DET_EST_ORIGIN_THOM" hidden="1">"c12620"</definedName>
    <definedName name="IQ_STAND_REC_DET_EST_THOM" hidden="1">"c12100"</definedName>
    <definedName name="IQ_STAND_REC_NUM_DET_EST" hidden="1">"c12068"</definedName>
    <definedName name="IQ_STAND_REC_NUM_DET_EST_DATE" hidden="1">"c12221"</definedName>
    <definedName name="IQ_STAND_REC_NUM_DET_EST_DATE_THOM" hidden="1">"c12249"</definedName>
    <definedName name="IQ_STAND_REC_NUM_DET_EST_ORIGIN" hidden="1">"c12593"</definedName>
    <definedName name="IQ_STAND_REC_NUM_DET_EST_ORIGIN_THOM" hidden="1">"c12619"</definedName>
    <definedName name="IQ_STAND_REC_NUM_DET_EST_THOM" hidden="1">"c12099"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EXPLORE_DRILL" hidden="1">"c13851"</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FIEC" hidden="1">"c12867"</definedName>
    <definedName name="IQ_SUB_NOTES_PAYABLE_UNCONSOLIDATED_TRUSTS_FFIEC" hidden="1">"c12868"</definedName>
    <definedName name="IQ_SUPPLIES_FFIEC" hidden="1">"c13050"</definedName>
    <definedName name="IQ_SURPLUS_FDIC" hidden="1">"c6351"</definedName>
    <definedName name="IQ_SURPLUS_FFIEC" hidden="1">"c12877"</definedName>
    <definedName name="IQ_SVA" hidden="1">"c1214"</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DET_EST" hidden="1">"c12070"</definedName>
    <definedName name="IQ_TARGET_PRICE_DET_EST_CURRENCY" hidden="1">"c12475"</definedName>
    <definedName name="IQ_TARGET_PRICE_DET_EST_CURRENCY_THOM" hidden="1">"c12498"</definedName>
    <definedName name="IQ_TARGET_PRICE_DET_EST_DATE" hidden="1">"c12223"</definedName>
    <definedName name="IQ_TARGET_PRICE_DET_EST_DATE_THOM" hidden="1">"c12251"</definedName>
    <definedName name="IQ_TARGET_PRICE_DET_EST_INCL" hidden="1">"c12358"</definedName>
    <definedName name="IQ_TARGET_PRICE_DET_EST_INCL_THOM" hidden="1">"c12381"</definedName>
    <definedName name="IQ_TARGET_PRICE_DET_EST_ORIGIN" hidden="1">"c12729"</definedName>
    <definedName name="IQ_TARGET_PRICE_DET_EST_ORIGIN_THOM" hidden="1">"c12621"</definedName>
    <definedName name="IQ_TARGET_PRICE_DET_EST_THOM" hidden="1">"c12101"</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ELECOM_FFIEC" hidden="1">"c13057"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DET_EST_CURRENCY_THOM" hidden="1">"c12499"</definedName>
    <definedName name="IQ_TEV_DET_EST_DATE_THOM" hidden="1">"c12252"</definedName>
    <definedName name="IQ_TEV_DET_EST_INCL_THOM" hidden="1">"c12382"</definedName>
    <definedName name="IQ_TEV_DET_EST_ORIGIN_THOM" hidden="1">"c12709"</definedName>
    <definedName name="IQ_TEV_DET_EST_THOM" hidden="1">"c12102"</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DIC" hidden="1">"c6339"</definedName>
    <definedName name="IQ_TOTAL_ASSETS_FFIEC" hidden="1">"c12849"</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localSheetId="3" hidden="1">"c1455"</definedName>
    <definedName name="IQ_TOTAL_CASH_DIVID" hidden="1">"c1266"</definedName>
    <definedName name="IQ_TOTAL_CASH_FINAN" localSheetId="3" hidden="1">"c1352"</definedName>
    <definedName name="IQ_TOTAL_CASH_FINAN" hidden="1">"c119"</definedName>
    <definedName name="IQ_TOTAL_CASH_INVEST" localSheetId="3" hidden="1">"c1353"</definedName>
    <definedName name="IQ_TOTAL_CASH_INVEST" hidden="1">"c121"</definedName>
    <definedName name="IQ_TOTAL_CASH_OPER" localSheetId="3" hidden="1">"c1354"</definedName>
    <definedName name="IQ_TOTAL_CASH_OPER" hidden="1">"c122"</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localSheetId="3" hidden="1">"c1411"</definedName>
    <definedName name="IQ_TOTAL_COMMON" hidden="1">"c1022"</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localSheetId="3" hidden="1">"c1430"</definedName>
    <definedName name="IQ_TOTAL_CURRENT_ASSETS" hidden="1">"c1243"</definedName>
    <definedName name="IQ_TOTAL_CURRENT_LIAB" localSheetId="3" hidden="1">"c1431"</definedName>
    <definedName name="IQ_TOTAL_CURRENT_LIAB" hidden="1">"c1245"</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HIGH_EST" hidden="1">"c4534"</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MEDIAN_EST" hidden="1">"c4536"</definedName>
    <definedName name="IQ_TOTAL_DEBT_NON_CURRENT" hidden="1">"c6191"</definedName>
    <definedName name="IQ_TOTAL_DEBT_NUM_EST" hidden="1">"c4537"</definedName>
    <definedName name="IQ_TOTAL_DEBT_OVER_EBITDA" localSheetId="3" hidden="1">"c1433"</definedName>
    <definedName name="IQ_TOTAL_DEBT_OVER_EBITDA" hidden="1">"c1249"</definedName>
    <definedName name="IQ_TOTAL_DEBT_OVER_TOTAL_BV" localSheetId="3" hidden="1">"c1434"</definedName>
    <definedName name="IQ_TOTAL_DEBT_OVER_TOTAL_BV" hidden="1">"c1250"</definedName>
    <definedName name="IQ_TOTAL_DEBT_OVER_TOTAL_CAP" localSheetId="3" hidden="1">"c1432"</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POSITS" hidden="1">"c1265"</definedName>
    <definedName name="IQ_TOTAL_DEPOSITS_FDIC" hidden="1">"c6342"</definedName>
    <definedName name="IQ_TOTAL_DEPOSITS_FFIEC" hidden="1">"c13623"</definedName>
    <definedName name="IQ_TOTAL_DIV_PAID_CF" hidden="1">"c1266"</definedName>
    <definedName name="IQ_TOTAL_EMPLOYEE" localSheetId="3" hidden="1">"c2141"</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INT_EXPENSE_FFIEC" hidden="1">"c13000"</definedName>
    <definedName name="IQ_TOTAL_INT_INCOME_FFIEC" hidden="1">"c12989"</definedName>
    <definedName name="IQ_TOTAL_INTEREST_EXP" localSheetId="3" hidden="1">"c1382"</definedName>
    <definedName name="IQ_TOTAL_INTEREST_EXP" hidden="1">"c591"</definedName>
    <definedName name="IQ_TOTAL_INVENTORY" localSheetId="3" hidden="1">"c1385"</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localSheetId="3" hidden="1">"c1435"</definedName>
    <definedName name="IQ_TOTAL_LIAB_SHAREHOLD" hidden="1">"c1279"</definedName>
    <definedName name="IQ_TOTAL_LIAB_TOTAL_ASSETS" hidden="1">"c1283"</definedName>
    <definedName name="IQ_TOTAL_LIABILITIES_EQUITY_FFIEC" hidden="1">"c12882"</definedName>
    <definedName name="IQ_TOTAL_LIABILITIES_FDIC" hidden="1">"c6348"</definedName>
    <definedName name="IQ_TOTAL_LIABILITIES_FFIEC" hidden="1">"c12873"</definedName>
    <definedName name="IQ_TOTAL_LL_REC_DOM_FFIEC" hidden="1">"c12917"</definedName>
    <definedName name="IQ_TOTAL_LL_REC_FFIEC" hidden="1">"c12898"</definedName>
    <definedName name="IQ_TOTAL_LOANS" hidden="1">"c5653"</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localSheetId="3" hidden="1">"c1436"</definedName>
    <definedName name="IQ_TOTAL_REVENUE" hidden="1">"c1294"</definedName>
    <definedName name="IQ_TOTAL_REVENUE_FFIEC" hidden="1">"c13020"</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localSheetId="3" hidden="1">"c1424"</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TRADING_ASSETS_FFIEC" hidden="1">"c12939"</definedName>
    <definedName name="IQ_TOTAL_TRADING_LIAB_DOM_FFIEC" hidden="1">"c12944"</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localSheetId="3" hidden="1">"c1345"</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OPERATING_INC_FFIEC" hidden="1">"c13385"</definedName>
    <definedName name="IQ_TRADING_REVENUE_FFIEC" hidden="1">"c13004"</definedName>
    <definedName name="IQ_TRANS_ACCTS_TOT_DEPOSITS_FFIEC" hidden="1">"c13904"</definedName>
    <definedName name="IQ_TRANSACTION_ACCOUNTS_FDIC" hidden="1">"c6544"</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localSheetId="3" hidden="1">"c1438"</definedName>
    <definedName name="IQ_TREASURY_STOCK" hidden="1">"c1311"</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IELD_FED_FUNDS_SOLD_FFIEC" hidden="1">"c13487"</definedName>
    <definedName name="IQ_YIELD_TRADING_ASSETS_FFIEC" hidden="1">"c13488"</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11">IndexInformation!$B$8</definedName>
    <definedName name="LanguageCode">IndexInformation!$B$38</definedName>
    <definedName name="LastCell" localSheetId="0">ImportantDisclosures!$A$22</definedName>
    <definedName name="LastDate" localSheetId="4">Report '[37]Report Summary'!$C$4</definedName>
    <definedName name="LastDate" localSheetId="5">Report '[37]Report Summary'!$C$4</definedName>
    <definedName name="LastDate">Report '[37]Report Summary'!$C$4</definedName>
    <definedName name="LatestFiledQ">[23]summary!$J$11</definedName>
    <definedName name="LatestRpQ">[23]summary!$J$10</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mcount" hidden="1">1</definedName>
    <definedName name="Linking_1" localSheetId="3">OrgGrowth!$A$2:$AO$30</definedName>
    <definedName name="Linking_1">0.116050923459311</definedName>
    <definedName name="Linking_11">OrgGrowth!$A$149:$AW$159</definedName>
    <definedName name="Linking_12">OrgGrowth!$A$163:$AW$173</definedName>
    <definedName name="Linking_13">RevBuild!$B$4:$CG$235</definedName>
    <definedName name="Linking_14">RevBuild!$B$4:$CA$235</definedName>
    <definedName name="Linking_15">'P&amp;L'!$B$5:$BU$58</definedName>
    <definedName name="Linking_16">RevBuild!$B$4:$BU$539</definedName>
    <definedName name="Linking_17">'P&amp;L'!$B$5:$CG$58</definedName>
    <definedName name="Linking_2">'P&amp;L'!$A$5:$BO$58</definedName>
    <definedName name="Linking_21">RevBuild!$B$124:$CG$181</definedName>
    <definedName name="Linking_22">'[26]XRAY-SIRO '!$A$2:$AC$77</definedName>
    <definedName name="Linking_23">'P&amp;L'!$B$5:$CA$58</definedName>
    <definedName name="Linking_24">RevBuild!$B$3:$CG$181</definedName>
    <definedName name="Linking_25">#N/A</definedName>
    <definedName name="Linking_26">'BalSht '!$B$3:$CG$59</definedName>
    <definedName name="Linking_27">'P&amp;L'!$B$3:$CG$58</definedName>
    <definedName name="Linking_28">RevBuild!$B$3:$CG$235</definedName>
    <definedName name="Linking_29">RevBuild!$B$3:$CG$235</definedName>
    <definedName name="Linking_3">457.3067</definedName>
    <definedName name="Linking_30">RevBuild!$B$4:$BU$235</definedName>
    <definedName name="Linking_31">'Cash Flow'!$B$3:$CG$57</definedName>
    <definedName name="Linking_35">RevBuild!$B$3:$CG$235</definedName>
    <definedName name="Linking_36">RevBuild!$B$4:$CG$235</definedName>
    <definedName name="Linking_37">'BalSht '!$B$3:$CG$46</definedName>
    <definedName name="Linking_38">OrgGrowth!$A$3:$AW$26</definedName>
    <definedName name="Linking_41">OrgGrowth!$A$4:$AS$51</definedName>
    <definedName name="Linking_54">OrgGrowth!$A$3:$AW$51</definedName>
    <definedName name="Linking_55">'HSAH-VFC'!$A$2:$H$64</definedName>
    <definedName name="Linking_56">'HSAH-VFC'!$A$2:$J$64</definedName>
    <definedName name="Linking_6">OrgGrowth!$A$109:$AW$131</definedName>
    <definedName name="Linking_7">OrgGrowth!$A$135:$AW$145</definedName>
    <definedName name="Linking_Range_1" localSheetId="3">[38]DCF!$G$56:$Q$66</definedName>
    <definedName name="Linking_Range_1">'P&amp;L'!$B$3:$AQ$58</definedName>
    <definedName name="Linking_Range_10">'[38]P&amp;L'!$C$7:$CA$46</definedName>
    <definedName name="Linking_Range_12">'[38]Q Variance'!$D$7:$P$37</definedName>
    <definedName name="Linking_Range_13">'[38]Q Variance'!$D$7:$Q$37</definedName>
    <definedName name="Linking_Range_14" localSheetId="3">OrgGrowth!$A$4:$X$26</definedName>
    <definedName name="Linking_Range_15" localSheetId="3">OrgGrowth!$A$2:$Y$26</definedName>
    <definedName name="Linking_Range_15">'[38]Earnings Charts'!$Q$50:$Y$90</definedName>
    <definedName name="Linking_Range_16" localSheetId="3">OrgGrowth!$A$4:$AC$26</definedName>
    <definedName name="Linking_Range_16">'[38]Earnings Charts'!$H$17:$I$38</definedName>
    <definedName name="Linking_Range_20" localSheetId="3">'[38]Earnings Charts'!$Q$50:$X$90</definedName>
    <definedName name="Linking_Range_21">'P&amp;L'!$B$3:$AX$58</definedName>
    <definedName name="Linking_Range_23">'[38]P&amp;L'!$C$7:$CA$60</definedName>
    <definedName name="Linking_Range_24" localSheetId="3">OrgGrowth!$A$4:$Z$26</definedName>
    <definedName name="Linking_Range_25">'[38]P&amp;L'!$C$7:$BO$60</definedName>
    <definedName name="Linking_Range_26" localSheetId="3">OrgGrowth!$A$2:$AA$26</definedName>
    <definedName name="Linking_Range_28">'P&amp;L'!$B$3:$AW$58</definedName>
    <definedName name="Linking_Range_29" localSheetId="3">OrgGrowth!$A$4:$AA$26</definedName>
    <definedName name="Linking_Range_3" localSheetId="3">OrgGrowth!$A$2:$W$26</definedName>
    <definedName name="Linking_Range_31" localSheetId="3">OrgGrowth!$A$2:$AC$26</definedName>
    <definedName name="Linking_Range_33" localSheetId="3">'[38]Earnings Charts'!$A$1:$F$15</definedName>
    <definedName name="Linking_Range_33">'P&amp;L'!$B$3:$BC$58</definedName>
    <definedName name="Linking_Range_34" localSheetId="3">OrgGrowth!$A$4:$AG$26</definedName>
    <definedName name="Linking_Range_38" localSheetId="3">OrgGrowth!$A$2:$AF$26</definedName>
    <definedName name="Linking_Range_39" localSheetId="3">OrgGrowth!$A$2:$AG$30</definedName>
    <definedName name="Linking_Range_43">'P&amp;L'!$B$3:$BI$58</definedName>
    <definedName name="Linking_Range_44" localSheetId="3">OrgGrowth!$A$2:$AK$30</definedName>
    <definedName name="Linking_Range_46">'P&amp;L'!$B$5:$BI$33</definedName>
    <definedName name="Linking_Range_5" localSheetId="3">OrgGrowth!$A$4:$W$26</definedName>
    <definedName name="Linking_Range_5">'[38]P&amp;L'!$C$7:$CA$70</definedName>
    <definedName name="Linking_Range_51">'P&amp;L'!$B$5:$BO$58</definedName>
    <definedName name="Linking_Range_52">'P&amp;L'!$B$5:$BO$33</definedName>
    <definedName name="Linking_Range_54" localSheetId="3">OrgGrowth!$A$4:$AK$30</definedName>
    <definedName name="Linking_Range_55">RevBuild!$B$4:$BO$235</definedName>
    <definedName name="Linking_Range_6" localSheetId="3">OrgGrowth!$A$2:$X$26</definedName>
    <definedName name="Linking_Range_60" localSheetId="4">'BalSht '!$B$5:$BO$49</definedName>
    <definedName name="Linking_Range_61" localSheetId="3">OrgGrowth!$A$4:$AK$26</definedName>
    <definedName name="Linking_Range_61">RevBuild!$B$1:$BO$235</definedName>
    <definedName name="Linking_Range_62">OrgGrowth!$A$4:$AK$30</definedName>
    <definedName name="Linking_Range_66" localSheetId="3">OrgGrowth!$A$4:$AO$30</definedName>
    <definedName name="Linking_Range_66">RevBuild!$B$4:$BO$235</definedName>
    <definedName name="Linking_Range_67">'BalSht '!$B$5:$BO$83</definedName>
    <definedName name="Linking_Range_68">RevBuild!$B$4:$BU$179</definedName>
    <definedName name="Linking_Range_69">OrgGrowth!$A$4:$AW$51</definedName>
    <definedName name="Linking_Range_70">'BalSht '!$B$5:$BU$83</definedName>
    <definedName name="Linking_Text_1">'[38]Q Variance'!$D$8</definedName>
    <definedName name="Linking_Text_2">3069.61</definedName>
    <definedName name="MacroVersion" localSheetId="11">IndexInformation!$B$1</definedName>
    <definedName name="millerpp">'[39]PMB AccDil Input'!$T$26</definedName>
    <definedName name="misc_val">[36]QTRLY!$HM$99:'[36]QTRLY'!$IU$100</definedName>
    <definedName name="ModelPrice" localSheetId="0">ImportantDisclosures!$A$14</definedName>
    <definedName name="MonitorCol">1</definedName>
    <definedName name="MonitorRow">1</definedName>
    <definedName name="mticker">'[40]fd shares'!$F$7</definedName>
    <definedName name="mult">[41]Calc!$D$5</definedName>
    <definedName name="Multiplier" localSheetId="11">IndexInformation!$B$35</definedName>
    <definedName name="multSecurities_L">[42]MultipleSecurities!$A$2:$A$17</definedName>
    <definedName name="n">[31]Inputs!$B$3</definedName>
    <definedName name="NAME">[43]INPUT!$A$13:$B$30</definedName>
    <definedName name="nbvc">{"Client Name or Project Name"}</definedName>
    <definedName name="nbvcsdf" hidden="1">{"comp1",#N/A,FALSE,"COMPS";"footnotes",#N/A,FALSE,"COMPS"}</definedName>
    <definedName name="NetIncome" localSheetId="6">{"Client Name or Project Name"}</definedName>
    <definedName name="NetIncome" localSheetId="3">{"Client Name or Project Name"}</definedName>
    <definedName name="NetIncome">{"Client Name or Project Name"}</definedName>
    <definedName name="NEW_GW_LIFE">'[44]Trans Assump'!$J$29</definedName>
    <definedName name="NEW_GW_TAX">'[44]Trans Assump'!$J$28</definedName>
    <definedName name="newDCF" localSheetId="6">{"Client Name or Project Name"}</definedName>
    <definedName name="newDCF" localSheetId="3">{"Client Name or Project Name"}</definedName>
    <definedName name="newDCF">{"Client Name or Project Name"}</definedName>
    <definedName name="newname10" hidden="1">{"comp1",#N/A,FALSE,"COMPS";"footnotes",#N/A,FALSE,"COMPS"}</definedName>
    <definedName name="newname11" hidden="1">{#N/A,#N/A,TRUE,"Pro Forma";#N/A,#N/A,TRUE,"PF_Bal";#N/A,#N/A,TRUE,"PF_INC";#N/A,#N/A,TRUE,"CBE";#N/A,#N/A,TRUE,"SWK"}</definedName>
    <definedName name="newname12" hidden="1">{"comp1",#N/A,FALSE,"COMPS";"footnotes",#N/A,FALSE,"COMPS"}</definedName>
    <definedName name="newname13" hidden="1">{#N/A,#N/A,FALSE,"Calc";#N/A,#N/A,FALSE,"Sensitivity";#N/A,#N/A,FALSE,"LT Earn.Dil.";#N/A,#N/A,FALSE,"Dil. AVP"}</definedName>
    <definedName name="newname14" localSheetId="6">{9}</definedName>
    <definedName name="newname14" localSheetId="3">{9}</definedName>
    <definedName name="newname14">{9}</definedName>
    <definedName name="newname15" hidden="1">{#N/A,#N/A,TRUE,"Pro Forma";#N/A,#N/A,TRUE,"PF_Bal";#N/A,#N/A,TRUE,"PF_INC";#N/A,#N/A,TRUE,"CBE";#N/A,#N/A,TRUE,"SWK"}</definedName>
    <definedName name="newname17" hidden="1">{"comp1",#N/A,FALSE,"COMPS";"footnotes",#N/A,FALSE,"COMPS"}</definedName>
    <definedName name="newname18" localSheetId="6">{9}</definedName>
    <definedName name="newname18" localSheetId="3">{9}</definedName>
    <definedName name="newname18">{9}</definedName>
    <definedName name="newname19" localSheetId="6">{9}</definedName>
    <definedName name="newname19" localSheetId="3">{9}</definedName>
    <definedName name="newname19">{9}</definedName>
    <definedName name="newname20" localSheetId="6">{"Client Name or Project Name"}</definedName>
    <definedName name="newname20" localSheetId="3">{"Client Name or Project Name"}</definedName>
    <definedName name="newname20">{"Client Name or Project Name"}</definedName>
    <definedName name="newname21" hidden="1">{"assumption cash",#N/A,TRUE,"Merger";"has gets cash",#N/A,TRUE,"Merger";"accretion dilution",#N/A,TRUE,"Merger";"comparison credit stats",#N/A,TRUE,"Merger";"pf credit stats",#N/A,TRUE,"Merger";"pf sheets",#N/A,TRUE,"Merger"}</definedName>
    <definedName name="newname22" localSheetId="6">{9}</definedName>
    <definedName name="newname22" localSheetId="3">{9}</definedName>
    <definedName name="newname22">{9}</definedName>
    <definedName name="newname23" localSheetId="6" hidden="1">{"'Breakup 01 Euro'!$A$3:$I$30"}</definedName>
    <definedName name="newname23" localSheetId="3" hidden="1">{"'Breakup 01 Euro'!$A$3:$I$30"}</definedName>
    <definedName name="newname23" hidden="1">{"'Breakup 01 Euro'!$A$3:$I$30"}</definedName>
    <definedName name="newname24" hidden="1">{"casespecific",#N/A,FALSE,"Assumptions"}</definedName>
    <definedName name="newname25" hidden="1">39244.4711574074</definedName>
    <definedName name="newname26" localSheetId="6">{"Client Name or Project Name"}</definedName>
    <definedName name="newname26" localSheetId="3">{"Client Name or Project Name"}</definedName>
    <definedName name="newname26">{"Client Name or Project Name"}</definedName>
    <definedName name="newname28" localSheetId="6">{"Client Name or Project Name"}</definedName>
    <definedName name="newname28" localSheetId="3">{"Client Name or Project Name"}</definedName>
    <definedName name="newname28">{"Client Name or Project Name"}</definedName>
    <definedName name="newname29" localSheetId="6">{"Client Name or Project Name"}</definedName>
    <definedName name="newname29" localSheetId="3">{"Client Name or Project Name"}</definedName>
    <definedName name="newname29">{"Client Name or Project Name"}</definedName>
    <definedName name="newname30" localSheetId="6">{"Client Name or Project Name"}</definedName>
    <definedName name="newname30" localSheetId="3">{"Client Name or Project Name"}</definedName>
    <definedName name="newname30">{"Client Name or Project Name"}</definedName>
    <definedName name="newname31" localSheetId="6">{126}</definedName>
    <definedName name="newname31" localSheetId="3">{126}</definedName>
    <definedName name="newname31">{126}</definedName>
    <definedName name="newname32" localSheetId="6">{1}</definedName>
    <definedName name="newname32" localSheetId="3">{1}</definedName>
    <definedName name="newname32">{1}</definedName>
    <definedName name="newname33" localSheetId="6">{0}</definedName>
    <definedName name="newname33" localSheetId="3">{0}</definedName>
    <definedName name="newname33">{0}</definedName>
    <definedName name="newname34" localSheetId="6">{126}</definedName>
    <definedName name="newname34" localSheetId="3">{126}</definedName>
    <definedName name="newname34">{126}</definedName>
    <definedName name="newname35" localSheetId="6">{"Client Name or Project Name"}</definedName>
    <definedName name="newname35" localSheetId="3">{"Client Name or Project Name"}</definedName>
    <definedName name="newname35">{"Client Name or Project Name"}</definedName>
    <definedName name="newname36" localSheetId="6">{"Client Name or Project Name"}</definedName>
    <definedName name="newname36" localSheetId="3">{"Client Name or Project Name"}</definedName>
    <definedName name="newname36">{"Client Name or Project Name"}</definedName>
    <definedName name="newname37" localSheetId="6">{"Client Name or Project Name"}</definedName>
    <definedName name="newname37" localSheetId="3">{"Client Name or Project Name"}</definedName>
    <definedName name="newname37">{"Client Name or Project Name"}</definedName>
    <definedName name="newname38" localSheetId="6">{"Client Name or Project Name"}</definedName>
    <definedName name="newname38" localSheetId="3">{"Client Name or Project Name"}</definedName>
    <definedName name="newname38">{"Client Name or Project Name"}</definedName>
    <definedName name="newname39" localSheetId="6">{"Client Name or Project Name"}</definedName>
    <definedName name="newname39" localSheetId="3">{"Client Name or Project Name"}</definedName>
    <definedName name="newname39">{"Client Name or Project Name"}</definedName>
    <definedName name="newname40" localSheetId="6">{"Client Name or Project Name"}</definedName>
    <definedName name="newname40" localSheetId="3">{"Client Name or Project Name"}</definedName>
    <definedName name="newname40">{"Client Name or Project Name"}</definedName>
    <definedName name="newname41" localSheetId="6">{"Client Name or Project Name"}</definedName>
    <definedName name="newname41" localSheetId="3">{"Client Name or Project Name"}</definedName>
    <definedName name="newname41">{"Client Name or Project Name"}</definedName>
    <definedName name="newname42" localSheetId="6">{"Client Name or Project Name"}</definedName>
    <definedName name="newname42" localSheetId="3">{"Client Name or Project Name"}</definedName>
    <definedName name="newname42">{"Client Name or Project Name"}</definedName>
    <definedName name="newname43" localSheetId="6">{"Client Name or Project Name"}</definedName>
    <definedName name="newname43" localSheetId="3">{"Client Name or Project Name"}</definedName>
    <definedName name="newname43">{"Client Name or Project Name"}</definedName>
    <definedName name="newname44" hidden="1">{"Client is",#N/A,FALSE,"Client"}</definedName>
    <definedName name="newname45" hidden="1">{TRUE,TRUE,-1.25,-15.5,456.75,279.75,FALSE,FALSE,TRUE,TRUE,0,1,18,1,199,6,3,4,TRUE,TRUE,3,TRUE,1,TRUE,100,"Swvu.cash.","ACwvu.cash.",1,FALSE,FALSE,0.511811023622047,0.511811023622047,0.511811023622047,0.511811023622047,1,"","",FALSE,FALSE,FALSE,FALSE,1,#N/A,1,1,#DIV/0!,FALSE,"Rwvu.cash.",#N/A,FALSE,FALSE}</definedName>
    <definedName name="newname46" hidden="1">{TRUE,TRUE,-1.25,-15.5,456.75,279.75,FALSE,FALSE,TRUE,TRUE,0,1,21,1,127,6,3,4,TRUE,TRUE,3,TRUE,1,TRUE,100,"Swvu.profits.","ACwvu.profits.",1,FALSE,FALSE,0.511811023622047,0.511811023622047,0.511811023622047,0.511811023622047,1,"","",FALSE,FALSE,FALSE,FALSE,1,#N/A,1,1,#DIV/0!,FALSE,"Rwvu.profits.",#N/A,FALSE,FALSE}</definedName>
    <definedName name="newname47" hidden="1">{TRUE,TRUE,-1.25,-15.5,456.75,279.75,FALSE,FALSE,TRUE,TRUE,0,1,8,1,4,6,3,4,TRUE,TRUE,3,TRUE,1,TRUE,100,"Swvu.turnover.","ACwvu.turnover.",1,FALSE,FALSE,0.511811023622047,0.511811023622047,0.511811023622047,0.511811023622047,1,"","",FALSE,FALSE,FALSE,FALSE,1,#N/A,1,1,#DIV/0!,FALSE,"Rwvu.turnover.",#N/A,FALSE,FALSE}</definedName>
    <definedName name="newProjectName" localSheetId="6">{"Client Name or Project Name"}</definedName>
    <definedName name="newProjectName" localSheetId="3">{"Client Name or Project Name"}</definedName>
    <definedName name="newProjectName">{"Client Name or Project Name"}</definedName>
    <definedName name="NewProjName" localSheetId="6">{"Client Name or Project Name"}</definedName>
    <definedName name="NewProjName" localSheetId="3">{"Client Name or Project Name"}</definedName>
    <definedName name="NewProjName">{"Client Name or Project Name"}</definedName>
    <definedName name="newstone" localSheetId="6">{"Client Name or Project Name"}</definedName>
    <definedName name="newstone" localSheetId="3">{"Client Name or Project Name"}</definedName>
    <definedName name="newstone">{"Client Name or Project Name"}</definedName>
    <definedName name="NextYearEPS" localSheetId="11">IndexInformation!$B$13</definedName>
    <definedName name="NextYearTotalRevenue" localSheetId="11">IndexInformation!$B$12</definedName>
    <definedName name="NextYearTotalRevenueActual" localSheetId="11">IndexInformation!$B$33</definedName>
    <definedName name="nfnhjsfnhsfns" hidden="1">{0,#N/A,FALSE,0;0,#N/A,FALSE,0}</definedName>
    <definedName name="nghmg" hidden="1">{0,#N/A,FALSE,0;0,#N/A,FALSE,0}</definedName>
    <definedName name="ni">{"Client Name or Project Name"}</definedName>
    <definedName name="nmnmm" hidden="1">{#N/A,#N/A,FALSE,"Index";"Stmts_Qtrs",#N/A,FALSE,"Summary";"Stmts_24 mo",#N/A,FALSE,"Summary";"Summary_24",#N/A,FALSE,"Revenue";"Month_24",#N/A,FALSE,"Engineering";"Month_24",#N/A,FALSE,"Marketing";"Month_24",#N/A,FALSE,"G &amp; A";"Month_24",#N/A,FALSE,"Manufacturing"}</definedName>
    <definedName name="nmnmm1" hidden="1">{#N/A,#N/A,FALSE,"Index";"Stmts_Qtrs",#N/A,FALSE,"Summary";"Stmts_24 mo",#N/A,FALSE,"Summary";"Summary_24",#N/A,FALSE,"Revenue";"Month_24",#N/A,FALSE,"Engineering";"Month_24",#N/A,FALSE,"Marketing";"Month_24",#N/A,FALSE,"G &amp; A";"Month_24",#N/A,FALSE,"Manufacturing"}</definedName>
    <definedName name="NO_YEARS2">'[45]DCF Inputs'!$H$19</definedName>
    <definedName name="NoIdeaWhatToDo" localSheetId="6">{"Client Name or Project Name"}</definedName>
    <definedName name="NoIdeaWhatToDo" localSheetId="3">{"Client Name or Project Name"}</definedName>
    <definedName name="NoIdeaWhatToDo">{"Client Name or Project Name"}</definedName>
    <definedName name="Normalized_Income_Statement">"IS_Annual"</definedName>
    <definedName name="num" localSheetId="6">{126}</definedName>
    <definedName name="num" localSheetId="3">{126}</definedName>
    <definedName name="num">{126}</definedName>
    <definedName name="NumCUSIP" localSheetId="6">{1}</definedName>
    <definedName name="NumCUSIP" localSheetId="3">{1}</definedName>
    <definedName name="NumCUSIP">{1}</definedName>
    <definedName name="NumCUSIPMissing" localSheetId="6">{0}</definedName>
    <definedName name="NumCUSIPMissing" localSheetId="3">{0}</definedName>
    <definedName name="NumCUSIPMissing">{0}</definedName>
    <definedName name="NumInst" localSheetId="6">{126}</definedName>
    <definedName name="NumInst" localSheetId="3">{126}</definedName>
    <definedName name="NumInst">{126}</definedName>
    <definedName name="NVCURR">[46]I!$B$1:$U$51</definedName>
    <definedName name="nyt">'[47]Control Page'!$C$7</definedName>
    <definedName name="ObjectType">IndexInformation!$B$37</definedName>
    <definedName name="offer">[20]Trans!$C$17</definedName>
    <definedName name="oldlscase">[48]Control!$E$33</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date">'[40]fd shares'!$L$9</definedName>
    <definedName name="OtherExEquityIncome">0</definedName>
    <definedName name="OtherExGainOnSale">0</definedName>
    <definedName name="OtherExInterestIncome">0</definedName>
    <definedName name="OtherExMinorityInterest">0</definedName>
    <definedName name="OtherExTotal">0</definedName>
    <definedName name="over_15_years">0.1</definedName>
    <definedName name="P">'[40]fd shares'!$K$14</definedName>
    <definedName name="PANA" localSheetId="12">ModPubIndex!$A$11</definedName>
    <definedName name="PathName" localSheetId="11">IndexInformation!$B$25</definedName>
    <definedName name="percentcash">'[49]Merger Inputs'!$H$32</definedName>
    <definedName name="PF_BS">'[13]Pro Forma BS'!$A$2:$Q$41</definedName>
    <definedName name="PF_BS_Proj">'[13]ProForma Financials'!$A$123:$K$162</definedName>
    <definedName name="PF_CF">'[13]ProForma Financials'!$A$67:$K$120</definedName>
    <definedName name="pfma_shares">[35]Calcs!$O$46</definedName>
    <definedName name="pfshares">[20]Calcs!$G$45</definedName>
    <definedName name="PHIGH">'[40]fd shares'!$K$10</definedName>
    <definedName name="PLOW">'[40]fd shares'!$K$11</definedName>
    <definedName name="poiuy">{9}</definedName>
    <definedName name="pooling">[35]transinputs!$T$35</definedName>
    <definedName name="PPP" localSheetId="6">{"Client Name or Project Name"}</definedName>
    <definedName name="PPP" localSheetId="3">{"Client Name or Project Name"}</definedName>
    <definedName name="PPP">{"Client Name or Project Name"}</definedName>
    <definedName name="Premium1">[50]AD!$T$18</definedName>
    <definedName name="price_acquiror">[51]Inputs!$L$31</definedName>
    <definedName name="price_sw">[52]LBO!$Y$8</definedName>
    <definedName name="PRICE2">'[53]Hist Inputs'!$G$41</definedName>
    <definedName name="PrimaryShares">[54]Earnings!$P$50</definedName>
    <definedName name="_xlnm.Print_Area" localSheetId="3">OrgGrowth!$A$4:$AW$108</definedName>
    <definedName name="_xlnm.Print_Area" localSheetId="2">RevBuild!$A$1:$CH$182</definedName>
    <definedName name="_xlnm.Print_Area">"Formula removed, name can be deleted."</definedName>
    <definedName name="Print_DCF" localSheetId="4">[55]!Print_DCF</definedName>
    <definedName name="Print_DCF" localSheetId="5">[55]!Print_DCF</definedName>
    <definedName name="Print_DCF">[55]!Print_DCF</definedName>
    <definedName name="Print_HardRock" localSheetId="4">[56]!Print_HardRock</definedName>
    <definedName name="Print_HardRock" localSheetId="5">[56]!Print_HardRock</definedName>
    <definedName name="Print_HardRock">[56]!Print_HardRock</definedName>
    <definedName name="Print_ibt" localSheetId="4">[57]!Print_ibt</definedName>
    <definedName name="Print_ibt" localSheetId="5">[57]!Print_ibt</definedName>
    <definedName name="Print_ibt">[57]!Print_ibt</definedName>
    <definedName name="Print_image" localSheetId="4">[57]!Print_image</definedName>
    <definedName name="Print_image" localSheetId="5">[57]!Print_image</definedName>
    <definedName name="Print_image">[57]!Print_image</definedName>
    <definedName name="_xlnm.Print_Titles">"Formula removed, name can be deleted."</definedName>
    <definedName name="Print_valmat" localSheetId="4">[57]!Print_valmat</definedName>
    <definedName name="Print_valmat" localSheetId="5">[57]!Print_valmat</definedName>
    <definedName name="Print_valmat">[57]!Print_valmat</definedName>
    <definedName name="Print_Valmax" localSheetId="4">[58]!Print_Valmax</definedName>
    <definedName name="Print_Valmax" localSheetId="5">[58]!Print_Valmax</definedName>
    <definedName name="Print_Valmax">[58]!Print_Valmax</definedName>
    <definedName name="print1" hidden="1">{#N/A,#N/A,FALSE,"Index";"Stmts_Qtrs",#N/A,FALSE,"Summary";"Stmts_24 mo",#N/A,FALSE,"Summary";"Summary_24",#N/A,FALSE,"Revenue";"Month_24",#N/A,FALSE,"Engineering";"Month_24",#N/A,FALSE,"Marketing";"Month_24",#N/A,FALSE,"G &amp; A";"Month_24",#N/A,FALSE,"Manufacturing"}</definedName>
    <definedName name="PrintModelReports" localSheetId="4">[59]!PrintModelReports</definedName>
    <definedName name="PrintModelReports" localSheetId="5">[59]!PrintModelReports</definedName>
    <definedName name="PrintModelReports">[59]!PrintModelReports</definedName>
    <definedName name="PrintPreviewModelReports" localSheetId="4">[59]!PrintPreviewModelReports</definedName>
    <definedName name="PrintPreviewModelReports" localSheetId="5">[59]!PrintPreviewModelReports</definedName>
    <definedName name="PrintPreviewModelReports">[59]!PrintPreviewModelReports</definedName>
    <definedName name="PROCEEDS">'[34]Hist Inputs'!$G$39</definedName>
    <definedName name="PROCEEDS2">'[53]Hist Inputs'!$G$39</definedName>
    <definedName name="PRODUCT" localSheetId="12">ModPubIndex!$A$6</definedName>
    <definedName name="proforma_taxrate">'[12]Assumptions &amp; Cases'!$F$13</definedName>
    <definedName name="project">[20]Trans!$I$23</definedName>
    <definedName name="ProjectName" localSheetId="6">{"Client Name or Project Name"}</definedName>
    <definedName name="ProjectName" localSheetId="3">{"Client Name or Project Name"}</definedName>
    <definedName name="ProjectName">{"Client Name or Project Name"}</definedName>
    <definedName name="ProjectName_1">{"Client Name or Project Name"}</definedName>
    <definedName name="ProjectName_2">{"Client Name or Project Name"}</definedName>
    <definedName name="ProjectName_Options" localSheetId="6">{"Client Name or Project Name"}</definedName>
    <definedName name="ProjectName_Options" localSheetId="3">{"Client Name or Project Name"}</definedName>
    <definedName name="ProjectName_Options">{"Client Name or Project Name"}</definedName>
    <definedName name="ProjectName2" localSheetId="6">{"Client Name or Project Name"}</definedName>
    <definedName name="ProjectName2" localSheetId="3">{"Client Name or Project Name"}</definedName>
    <definedName name="ProjectName2">{"Client Name or Project Name"}</definedName>
    <definedName name="projectnamez" localSheetId="6">{"Client Name or Project Name"}</definedName>
    <definedName name="projectnamez" localSheetId="3">{"Client Name or Project Name"}</definedName>
    <definedName name="projectnamez">{"Client Name or Project Name"}</definedName>
    <definedName name="pronames">{"Client Name or Project Name"}</definedName>
    <definedName name="PSYM" localSheetId="12">ModPubIndex!$A$4</definedName>
    <definedName name="PUB_FileID" hidden="1">"L10003787.xls"</definedName>
    <definedName name="PUB_UserID" hidden="1">"MAYERX"</definedName>
    <definedName name="PublishDate" localSheetId="11">IndexInformation!$B$2</definedName>
    <definedName name="qqq" localSheetId="6">{9}</definedName>
    <definedName name="qqq" localSheetId="3">{9}</definedName>
    <definedName name="qqq">{9}</definedName>
    <definedName name="qweqwerqwer">{"Client Name or Project Name"}</definedName>
    <definedName name="qwergfasd">{9}</definedName>
    <definedName name="r_fd_shares">'[40]fd shares'!$H$11</definedName>
    <definedName name="Rating" localSheetId="11">IndexInformation!$B$9</definedName>
    <definedName name="RatingsDefined" localSheetId="0">ImportantDisclosures!$A$21</definedName>
    <definedName name="RatingsDefs" localSheetId="0">ImportantDisclosures!#REF!</definedName>
    <definedName name="receive">[60]Sheet3!$T$13</definedName>
    <definedName name="RegACDisclosure" localSheetId="0">ImportantDisclosures!#REF!</definedName>
    <definedName name="rentper">[10]Switches!$AE$8</definedName>
    <definedName name="rentx">[61]Switches!$D$53</definedName>
    <definedName name="RepairedName0157" hidden="1">"iQShowAnnual"</definedName>
    <definedName name="RepairedName0514" hidden="1">"iQShowAnnual"</definedName>
    <definedName name="RepairedName0679" hidden="1">"iQShowAnnual"</definedName>
    <definedName name="RepairedName1535" hidden="1">"iQShowAnnual"</definedName>
    <definedName name="Repurchase">[62]Assumptions!$C$20</definedName>
    <definedName name="ResearchTopic" localSheetId="11">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EVERSE_SWITCH">[63]Transinputs!$AC$20</definedName>
    <definedName name="RIC" localSheetId="11">IndexInformation!$B$21</definedName>
    <definedName name="RiskAutoStopPercChange">1.5</definedName>
    <definedName name="RiskCollectDistributionSamples">2</definedName>
    <definedName name="RiskExcelReportsGoInNewWorkbook">TRUE</definedName>
    <definedName name="RiskExcelReportsToGenerate">1024</definedName>
    <definedName name="RiskFixedSeed">923</definedName>
    <definedName name="RiskGenerateExcelReportsAtEndOfSimulation">FALSE</definedName>
    <definedName name="RiskHasSettings">TRUE</definedName>
    <definedName name="RiskMinimizeOnStart">TRUE</definedName>
    <definedName name="RiskMonitorConvergence">FALSE</definedName>
    <definedName name="RiskNumIterations">10000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1</definedName>
    <definedName name="RiskTemplateSheetName">"myTemplate"</definedName>
    <definedName name="RiskUpdateDisplay">FALSE</definedName>
    <definedName name="RiskUseDifferentSeedForEachSim">FALSE</definedName>
    <definedName name="RiskUseFixedSeed">TRUE</definedName>
    <definedName name="RiskUseMultipleCPUs">FALSE</definedName>
    <definedName name="rticker">'[40]fd shares'!$H$7</definedName>
    <definedName name="run_no">'[64]Trans Assump'!$C$19</definedName>
    <definedName name="Sdebt1">[65]Inputs!$AC$59</definedName>
    <definedName name="Sdebt2">[65]Inputs!$AC$60</definedName>
    <definedName name="Sdebt3">[65]Inputs!$AC$61</definedName>
    <definedName name="sdf">{"Client Name or Project Name"}</definedName>
    <definedName name="sdfsdfg" hidden="1">{#N/A,#N/A,TRUE,"Pro Forma";#N/A,#N/A,TRUE,"PF_Bal";#N/A,#N/A,TRUE,"PF_INC";#N/A,#N/A,TRUE,"CBE";#N/A,#N/A,TRUE,"SWK"}</definedName>
    <definedName name="SecondROI" localSheetId="6">{"Client Name or Project Name"}</definedName>
    <definedName name="SecondROI" localSheetId="3">{"Client Name or Project Name"}</definedName>
    <definedName name="SecondROI">{"Client Name or Project Name"}</definedName>
    <definedName name="SECSettlement" localSheetId="0">ImportantDisclosures!#REF!</definedName>
    <definedName name="SEDOL" localSheetId="11">IndexInformation!$B$22</definedName>
    <definedName name="sellman">[66]Assump!$P$6</definedName>
    <definedName name="sencount" hidden="1">2</definedName>
    <definedName name="sgfgwer">{9}</definedName>
    <definedName name="sghdfsdfg">{9}</definedName>
    <definedName name="SharePrice">[67]Summary!$K$10</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urceDefined" localSheetId="0">ImportantDisclosures!$A$19</definedName>
    <definedName name="Space">"          "</definedName>
    <definedName name="Spaces">"      "</definedName>
    <definedName name="Ssyn">[65]Inputs!$AA$95</definedName>
    <definedName name="stage">[68]Assumptions!$E$51:$E$60</definedName>
    <definedName name="Stand1" localSheetId="6">{"Client Name or Project Name"}</definedName>
    <definedName name="Stand1" localSheetId="3">{"Client Name or Project Name"}</definedName>
    <definedName name="Stand1">{"Client Name or Project Name"}</definedName>
    <definedName name="state" localSheetId="6">{"Client Name or Project Name"}</definedName>
    <definedName name="state" localSheetId="3">{"Client Name or Project Name"}</definedName>
    <definedName name="state">{"Client Name or Project Name"}</definedName>
    <definedName name="States" localSheetId="6">{"Client Name or Project Name"}</definedName>
    <definedName name="States" localSheetId="3">{"Client Name or Project Name"}</definedName>
    <definedName name="States">{"Client Name or Project Name"}</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[62]Assumptions!$C$15</definedName>
    <definedName name="StockRating" localSheetId="0">ImportantDisclosures!$A$11</definedName>
    <definedName name="SubjectCode" localSheetId="11">IndexInformation!$B$6</definedName>
    <definedName name="SubmitterUserId">IndexInformation!$B$39</definedName>
    <definedName name="SUPPRESSED" localSheetId="12">ModPubIndex!$A$13</definedName>
    <definedName name="SYNERGY_2">[22]Trans_Inputs!$J$41</definedName>
    <definedName name="SYNERGY_4">[22]Trans_Inputs!$N$41</definedName>
    <definedName name="synergy_value">[35]Main_value!$Q$16</definedName>
    <definedName name="SYNON">'[34]DCF Inputs'!$O$20</definedName>
    <definedName name="Table_16">"GENEYE"</definedName>
    <definedName name="Tar">[69]Inputs!$K$9</definedName>
    <definedName name="tar_ownership">'[70]Merger Inputs'!$L$21</definedName>
    <definedName name="tar_price">[12]Selections!$J$11</definedName>
    <definedName name="Tarceva.new">{"Client Name or Project Name"}</definedName>
    <definedName name="Targ52High">[71]Input!$K$63</definedName>
    <definedName name="Targ52Low">[71]Input!$K$64</definedName>
    <definedName name="TargCalEPS1">[71]Input!$K$68</definedName>
    <definedName name="TargCalEPS3">[71]Input!$K$70</definedName>
    <definedName name="target_name">[11]Inputs!$B$3</definedName>
    <definedName name="TARGET_SHPRICE">[22]Target_Sum!$Q$22</definedName>
    <definedName name="TargetName">'[54]Control Page'!$C$5</definedName>
    <definedName name="TargetPrice" localSheetId="0">ImportantDisclosures!$A$15</definedName>
    <definedName name="tarname">'[20]Company Inputs'!$C$3</definedName>
    <definedName name="TAROPTIONS">[72]inputs!$AF$49</definedName>
    <definedName name="tarprice">'[20]Company Inputs'!$C$41</definedName>
    <definedName name="tarshares">'[20]Company Inputs'!$C$43</definedName>
    <definedName name="TARSHS">[73]Target!$P$23</definedName>
    <definedName name="tax">'[20]Company Inputs'!$B$39</definedName>
    <definedName name="tax_benefit_rate">0.34</definedName>
    <definedName name="TemplateRegion">IndexInformation!$B$36</definedName>
    <definedName name="Ticker" localSheetId="0">ImportantDisclosures!$A$10</definedName>
    <definedName name="ticker">OFFSET('[74]Exclusion List'!$A$1,1,0,COUNTA('[74]Exclusion List'!$A$1:$A$65536)-1,1)</definedName>
    <definedName name="TickerRegion">IndexInformation!$B$41</definedName>
    <definedName name="Tickers" localSheetId="11">IndexInformation!$B$19</definedName>
    <definedName name="tones">{"Client Name or Project Name"}</definedName>
    <definedName name="trc_XLS_DATASHEET_ProtectDate">35417.7656018519</definedName>
    <definedName name="twtrqr" hidden="1">{#N/A,#N/A,FALSE,"Calc";#N/A,#N/A,FALSE,"Sensitivity";#N/A,#N/A,FALSE,"LT Earn.Dil.";#N/A,#N/A,FALSE,"Dil. AVP"}</definedName>
    <definedName name="tygreghdh" hidden="1">{"casespecific",#N/A,FALSE,"Assumptions"}</definedName>
    <definedName name="Update_This" localSheetId="4">[30]!Update_This</definedName>
    <definedName name="Update_This" localSheetId="5">[30]!Update_This</definedName>
    <definedName name="Update_This">[30]!Update_This</definedName>
    <definedName name="UpdateReason" localSheetId="11">IndexInformation!$B$17</definedName>
    <definedName name="USRegDisclosures" localSheetId="0">ImportantDisclosures!#REF!</definedName>
    <definedName name="Validation">"MAM"</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 name="wertwertwert" hidden="1">{"assumption cash",#N/A,TRUE,"Merger";"has gets cash",#N/A,TRUE,"Merger";"accretion dilution",#N/A,TRUE,"Merger";"comparison credit stats",#N/A,TRUE,"Merger";"pf credit stats",#N/A,TRUE,"Merger";"pf sheets",#N/A,TRUE,"Merger"}</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Executive._.Summary." hidden="1">{#N/A,#N/A,FALSE,"ES Cover";#N/A,#N/A,FALSE,"ES Index ";#N/A,#N/A,FALSE,"ES 2-1-1  Net Eff Mbrs 2001";#N/A,#N/A,FALSE,"ES 2-1-2  Net Eff  Mbrs 2000";#N/A,#N/A,FALSE,"ES 2-2 Mbr Sales Plan vs Proj";#N/A,#N/A,FALSE,"ES 3_Top 5 IFP States Carriers";#N/A,#N/A,FALSE,"ES 4 Top 5 SBG States Carriers";#N/A,#N/A,FALSE,"ES 5 New Top Bottom 5 Summary";#N/A,#N/A,FALSE,"ES 6 Daily Avg";#N/A,#N/A,FALSE,"ES 7  Vol Graph";#N/A,#N/A,FALSE,"ES 8  ClosRatio by Carr";#N/A,#N/A,FALSE,"ES 9  ClosRatio by State";#N/A,#N/A,FALSE,"ES 10  Apps Ret CA OofS";#N/A,#N/A,FALSE,"ES 11 CLosRatioStateCarr Mont";#N/A,#N/A,FALSE,"ES 12  CarrierPerStateNov";#N/A,#N/A,FALSE,"ES 13 CarrierPerStateYTD";#N/A,#N/A,FALSE,"ES 14 Analytics";#N/A,#N/A,FALSE,"ES 15 Total Calls Graph";#N/A,#N/A,FALSE,"ES 16 Within 30 Sec ";#N/A,#N/A,FALSE,"ES 17 Emails";#N/A,#N/A,FALSE,"ES 18 Chat Graph"}</definedName>
    <definedName name="wrn.Graphs." hidden="1">{#N/A,#N/A,FALSE,"1-1 Vol Graph";#N/A,#N/A,FALSE,"1-2 Approve App Graph";#N/A,#N/A,FALSE,"6-1 Email Graph";#N/A,#N/A,FALSE,"6-2 Chat Graph";#N/A,#N/A,FALSE,"6-3 Abandoned Graph";#N/A,#N/A,FALSE,"6-4 30sec Graph";#N/A,#N/A,FALSE,"6_5TotalCalls"}</definedName>
    <definedName name="wrn.Industry.xls." hidden="1">{#N/A,#N/A,FALSE,"Earnings";#N/A,#N/A,FALSE,"Overview";#N/A,#N/A,FALSE,"Summary";#N/A,#N/A,FALSE,"Summary II";#N/A,#N/A,FALSE,"R&amp;D";#N/A,#N/A,FALSE,"R&amp;D Forecast";#N/A,#N/A,FALSE,"Tax Adj";#N/A,#N/A,FALSE,"Goodwill";#N/A,#N/A,FALSE,"FX ";#N/A,#N/A,FALSE,"Consolidation";#N/A,#N/A,FALSE,"Provisions"}</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rint._.24." hidden="1">{#N/A,#N/A,FALSE,"Index";"Stmts_Qtrs",#N/A,FALSE,"Summary";"Stmts_24 mo",#N/A,FALSE,"Summary";"Summary_24",#N/A,FALSE,"Revenue";"Month_24",#N/A,FALSE,"Engineering";"Month_24",#N/A,FALSE,"Marketing";"Month_24",#N/A,FALSE,"G &amp; A";"Month_24",#N/A,FALSE,"Manufacturing"}</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Reg._.Printer." hidden="1">{#N/A,#N/A,FALSE,"1-3-0 Sales Summary_Volume";#N/A,#N/A,FALSE,"1-3-1 Mon Appr Chgs";#N/A,#N/A,FALSE,"1-3-3 4 Sent to Carrier";#N/A,#N/A,FALSE,"1-3-5 6 Submitted";#N/A,#N/A,FALSE,"1-3-7, 8  ClosRatio by Carr";#N/A,#N/A,FALSE,"1-3-9 % Sub Sent to Carrl";#N/A,#N/A,FALSE,"1-4 Sales Summary_Lag";#N/A,#N/A,FALSE,"1-4-1 Apps Ret CA OofS";#N/A,#N/A,FALSE,"2-1 ClosRatio by State";#N/A,#N/A,FALSE,"2-2 ClosRatio by Carrier";#N/A,#N/A,FALSE,"2-3-1 CLosRatioStateCarr YTD";#N/A,#N/A,FALSE,"2-3-2 CLosRatioStateCarr June";#N/A,#N/A,FALSE,"2-4 ClosRatioStatCarrier99";#N/A,#N/A,FALSE,"2-5#CarrierPerState00";#N/A,#N/A,FALSE,"2-6#CarrierPerState99";#N/A,#N/A,FALSE,"2-7 StateClosRatio";#N/A,#N/A,FALSE,"2-8 CarrierClosRatio";#N/A,#N/A,FALSE,"3  Sales and Persistency";#N/A,#N/A,FALSE,"4-1 Summary Lag Report";#N/A,#N/A,FALSE,"4-2 Detail Lag Report";#N/A,#N/A,FALSE,"4-3 Lag Analysis";#N/A,#N/A,FALSE,"5-1 SBG"}</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wwetr">{9}</definedName>
    <definedName name="ytrewq" hidden="1">{"'Breakup 01 Euro'!$A$3:$I$30"}</definedName>
    <definedName name="z_cash">'[75]Balance Sheet'!$B$8:$CA$8</definedName>
    <definedName name="z_lt_debt">'[75]Balance Sheet'!$B$47:$CA$47</definedName>
    <definedName name="z_qbs_2c05">'[75]Balance Sheet'!$AH$6:$AH$245</definedName>
    <definedName name="z_st_debt">'[75]Balance Sheet'!$B$36:$CA$36</definedName>
  </definedNames>
  <calcPr calcId="145621"/>
</workbook>
</file>

<file path=xl/calcChain.xml><?xml version="1.0" encoding="utf-8"?>
<calcChain xmlns="http://schemas.openxmlformats.org/spreadsheetml/2006/main">
  <c r="BK168" i="3" l="1"/>
  <c r="BN168" i="3"/>
  <c r="BM168" i="3"/>
  <c r="BL168" i="3"/>
  <c r="BN170" i="3"/>
  <c r="BM170" i="3"/>
  <c r="BL170" i="3"/>
  <c r="BK170" i="3"/>
  <c r="G41" i="130" l="1"/>
  <c r="H41" i="130" s="1"/>
  <c r="C24" i="130"/>
  <c r="D24" i="130" s="1"/>
  <c r="E24" i="130" s="1"/>
  <c r="F24" i="130" s="1"/>
  <c r="G24" i="130" s="1"/>
  <c r="H24" i="130" s="1"/>
  <c r="C36" i="130" l="1"/>
  <c r="D36" i="130" s="1"/>
  <c r="E36" i="130" s="1"/>
  <c r="F36" i="130" s="1"/>
  <c r="G36" i="130" s="1"/>
  <c r="H36" i="130" s="1"/>
  <c r="H63" i="130" l="1"/>
  <c r="C48" i="130"/>
  <c r="D48" i="130" s="1"/>
  <c r="B35" i="130"/>
  <c r="C34" i="130"/>
  <c r="D34" i="130" s="1"/>
  <c r="E34" i="130" s="1"/>
  <c r="F34" i="130" s="1"/>
  <c r="G34" i="130" s="1"/>
  <c r="H34" i="130" s="1"/>
  <c r="C33" i="130"/>
  <c r="C35" i="130" s="1"/>
  <c r="B21" i="130"/>
  <c r="B19" i="130"/>
  <c r="B23" i="130" s="1"/>
  <c r="B15" i="130"/>
  <c r="C15" i="130" s="1"/>
  <c r="E13" i="130"/>
  <c r="D13" i="130"/>
  <c r="C13" i="130"/>
  <c r="C12" i="130" s="1"/>
  <c r="B9" i="130"/>
  <c r="C9" i="130" s="1"/>
  <c r="G7" i="130"/>
  <c r="H7" i="130" s="1"/>
  <c r="E7" i="130"/>
  <c r="D7" i="130"/>
  <c r="C7" i="130"/>
  <c r="F6" i="130"/>
  <c r="B42" i="130" l="1"/>
  <c r="B43" i="130" s="1"/>
  <c r="B44" i="130" s="1"/>
  <c r="B45" i="130" s="1"/>
  <c r="B46" i="130" s="1"/>
  <c r="B39" i="130"/>
  <c r="B47" i="130" s="1"/>
  <c r="G6" i="130"/>
  <c r="H6" i="130" s="1"/>
  <c r="B25" i="130"/>
  <c r="B26" i="130" s="1"/>
  <c r="B22" i="130"/>
  <c r="D12" i="130"/>
  <c r="C19" i="130"/>
  <c r="C39" i="130" s="1"/>
  <c r="E48" i="130"/>
  <c r="D15" i="130"/>
  <c r="C14" i="130"/>
  <c r="D9" i="130"/>
  <c r="C8" i="130"/>
  <c r="D33" i="130"/>
  <c r="BU161" i="3" l="1"/>
  <c r="C40" i="130"/>
  <c r="C47" i="130"/>
  <c r="E33" i="130"/>
  <c r="E12" i="130"/>
  <c r="D19" i="130"/>
  <c r="D39" i="130" s="1"/>
  <c r="E9" i="130"/>
  <c r="D8" i="130"/>
  <c r="C21" i="130"/>
  <c r="E15" i="130"/>
  <c r="D14" i="130"/>
  <c r="D35" i="130"/>
  <c r="F48" i="130"/>
  <c r="B49" i="130"/>
  <c r="B50" i="130" s="1"/>
  <c r="C23" i="130"/>
  <c r="C20" i="130"/>
  <c r="CA161" i="3" l="1"/>
  <c r="C25" i="130"/>
  <c r="C26" i="130" s="1"/>
  <c r="F15" i="130"/>
  <c r="E14" i="130"/>
  <c r="C22" i="130"/>
  <c r="C42" i="130"/>
  <c r="F9" i="130"/>
  <c r="E8" i="130"/>
  <c r="D40" i="130"/>
  <c r="D47" i="130"/>
  <c r="G48" i="130"/>
  <c r="D23" i="130"/>
  <c r="D20" i="130"/>
  <c r="E35" i="130"/>
  <c r="F12" i="130"/>
  <c r="E19" i="130"/>
  <c r="D21" i="130"/>
  <c r="D22" i="130" s="1"/>
  <c r="F33" i="130"/>
  <c r="D42" i="130" l="1"/>
  <c r="CG161" i="3"/>
  <c r="D25" i="130"/>
  <c r="F19" i="130"/>
  <c r="G12" i="130"/>
  <c r="E20" i="130"/>
  <c r="E23" i="130"/>
  <c r="F8" i="130"/>
  <c r="G9" i="130"/>
  <c r="G33" i="130"/>
  <c r="E39" i="130"/>
  <c r="D43" i="130"/>
  <c r="D44" i="130" s="1"/>
  <c r="D45" i="130" s="1"/>
  <c r="G15" i="130"/>
  <c r="F14" i="130"/>
  <c r="F35" i="130"/>
  <c r="C43" i="130"/>
  <c r="C44" i="130" s="1"/>
  <c r="C45" i="130" s="1"/>
  <c r="H48" i="130"/>
  <c r="E21" i="130"/>
  <c r="E22" i="130" s="1"/>
  <c r="D26" i="130" l="1"/>
  <c r="D28" i="130"/>
  <c r="F21" i="130"/>
  <c r="F42" i="130" s="1"/>
  <c r="C46" i="130"/>
  <c r="C49" i="130"/>
  <c r="C50" i="130" s="1"/>
  <c r="D46" i="130"/>
  <c r="D49" i="130"/>
  <c r="D52" i="130" s="1"/>
  <c r="F23" i="130"/>
  <c r="F20" i="130"/>
  <c r="H9" i="130"/>
  <c r="H8" i="130" s="1"/>
  <c r="G8" i="130"/>
  <c r="H15" i="130"/>
  <c r="G14" i="130"/>
  <c r="E40" i="130"/>
  <c r="E47" i="130"/>
  <c r="E42" i="130"/>
  <c r="F39" i="130"/>
  <c r="G35" i="130"/>
  <c r="E25" i="130"/>
  <c r="E28" i="130" s="1"/>
  <c r="H33" i="130"/>
  <c r="G19" i="130"/>
  <c r="G39" i="130" s="1"/>
  <c r="H12" i="130"/>
  <c r="H19" i="130" s="1"/>
  <c r="F22" i="130" l="1"/>
  <c r="H39" i="130"/>
  <c r="H40" i="130" s="1"/>
  <c r="H14" i="130"/>
  <c r="H21" i="130" s="1"/>
  <c r="H22" i="130" s="1"/>
  <c r="F25" i="130"/>
  <c r="F43" i="130"/>
  <c r="F44" i="130" s="1"/>
  <c r="F45" i="130" s="1"/>
  <c r="F46" i="130" s="1"/>
  <c r="G40" i="130"/>
  <c r="G47" i="130"/>
  <c r="E26" i="130"/>
  <c r="H35" i="130"/>
  <c r="G20" i="130"/>
  <c r="G23" i="130"/>
  <c r="G21" i="130"/>
  <c r="G22" i="130" s="1"/>
  <c r="F40" i="130"/>
  <c r="F47" i="130"/>
  <c r="D50" i="130"/>
  <c r="H20" i="130"/>
  <c r="H23" i="130"/>
  <c r="E43" i="130"/>
  <c r="E44" i="130" s="1"/>
  <c r="E45" i="130" s="1"/>
  <c r="E46" i="130" s="1"/>
  <c r="F26" i="130" l="1"/>
  <c r="F28" i="130"/>
  <c r="H47" i="130"/>
  <c r="F49" i="130"/>
  <c r="H42" i="130"/>
  <c r="H25" i="130"/>
  <c r="G42" i="130"/>
  <c r="E49" i="130"/>
  <c r="E52" i="130" s="1"/>
  <c r="G25" i="130"/>
  <c r="G28" i="130" s="1"/>
  <c r="H28" i="130" l="1"/>
  <c r="H29" i="130"/>
  <c r="F50" i="130"/>
  <c r="F52" i="130"/>
  <c r="E50" i="130"/>
  <c r="G43" i="130"/>
  <c r="G44" i="130" s="1"/>
  <c r="G45" i="130" s="1"/>
  <c r="H26" i="130"/>
  <c r="G26" i="130"/>
  <c r="H43" i="130"/>
  <c r="H44" i="130" s="1"/>
  <c r="H45" i="130" s="1"/>
  <c r="H30" i="130" l="1"/>
  <c r="H61" i="130" s="1"/>
  <c r="G46" i="130"/>
  <c r="G49" i="130"/>
  <c r="G52" i="130" s="1"/>
  <c r="H46" i="130"/>
  <c r="H49" i="130"/>
  <c r="H53" i="130" l="1"/>
  <c r="H52" i="130"/>
  <c r="H54" i="130" s="1"/>
  <c r="H57" i="130" s="1"/>
  <c r="H60" i="130" s="1"/>
  <c r="H62" i="130" s="1"/>
  <c r="H64" i="130" s="1"/>
  <c r="H50" i="130"/>
  <c r="G50" i="130"/>
  <c r="BQ26" i="3" l="1"/>
  <c r="BR55" i="51" l="1"/>
  <c r="BT55" i="51"/>
  <c r="BS55" i="51"/>
  <c r="BW114" i="51"/>
  <c r="BT114" i="51"/>
  <c r="BS114" i="51"/>
  <c r="BW55" i="51"/>
  <c r="BR114" i="51"/>
  <c r="CF197" i="3"/>
  <c r="CE197" i="3"/>
  <c r="CD197" i="3"/>
  <c r="CC197" i="3"/>
  <c r="BZ197" i="3"/>
  <c r="BY197" i="3"/>
  <c r="BX197" i="3"/>
  <c r="BW197" i="3"/>
  <c r="BT112" i="51" l="1"/>
  <c r="BS112" i="51"/>
  <c r="BR112" i="51"/>
  <c r="BW53" i="51"/>
  <c r="BT53" i="51"/>
  <c r="BS53" i="51"/>
  <c r="BR53" i="51"/>
  <c r="BO166" i="51" l="1"/>
  <c r="BO287" i="51" l="1"/>
  <c r="BN77" i="107" l="1"/>
  <c r="BN74" i="107"/>
  <c r="BN71" i="107"/>
  <c r="BN70" i="107"/>
  <c r="BN76" i="107" s="1"/>
  <c r="BN69" i="107"/>
  <c r="BN80" i="107" s="1"/>
  <c r="BN68" i="107"/>
  <c r="BN72" i="107" s="1"/>
  <c r="BN64" i="107"/>
  <c r="BN62" i="107"/>
  <c r="BN63" i="107" s="1"/>
  <c r="BN78" i="107" l="1"/>
  <c r="BN82" i="107"/>
  <c r="BI270" i="51" l="1"/>
  <c r="M270" i="51"/>
  <c r="S270" i="51" l="1"/>
  <c r="S265" i="51"/>
  <c r="S267" i="51" s="1"/>
  <c r="M267" i="51"/>
  <c r="S262" i="51"/>
  <c r="Y262" i="51"/>
  <c r="Y265" i="51" l="1"/>
  <c r="Y267" i="51" s="1"/>
  <c r="Y270" i="51"/>
  <c r="AE265" i="51" l="1"/>
  <c r="AE267" i="51" s="1"/>
  <c r="AE270" i="51"/>
  <c r="AK265" i="51" l="1"/>
  <c r="AK270" i="51"/>
  <c r="AK267" i="51"/>
  <c r="AQ265" i="51"/>
  <c r="AQ270" i="51" l="1"/>
  <c r="AQ267" i="51"/>
  <c r="AW265" i="51"/>
  <c r="CD104" i="106"/>
  <c r="CE104" i="106" s="1"/>
  <c r="CF104" i="106" s="1"/>
  <c r="BX104" i="106"/>
  <c r="BY104" i="106" s="1"/>
  <c r="BZ104" i="106" s="1"/>
  <c r="BR104" i="106"/>
  <c r="BS104" i="106" s="1"/>
  <c r="BT104" i="106" s="1"/>
  <c r="AW270" i="51" l="1"/>
  <c r="AW267" i="51"/>
  <c r="BC265" i="51"/>
  <c r="BN88" i="107"/>
  <c r="BN86" i="107"/>
  <c r="BN85" i="107"/>
  <c r="BN41" i="107"/>
  <c r="BN35" i="107"/>
  <c r="BN40" i="107"/>
  <c r="BN46" i="107"/>
  <c r="BN42" i="107"/>
  <c r="BN39" i="107"/>
  <c r="BN38" i="107"/>
  <c r="BN37" i="107"/>
  <c r="BN36" i="107"/>
  <c r="BN34" i="107"/>
  <c r="BN30" i="107"/>
  <c r="BN28" i="107"/>
  <c r="BN27" i="107"/>
  <c r="BN23" i="107"/>
  <c r="BN22" i="107"/>
  <c r="BN21" i="107"/>
  <c r="BN20" i="107"/>
  <c r="BN17" i="107"/>
  <c r="BN26" i="106"/>
  <c r="BN88" i="106" s="1"/>
  <c r="BN59" i="106"/>
  <c r="BO78" i="3"/>
  <c r="BO77" i="3"/>
  <c r="BO76" i="3"/>
  <c r="BN95" i="106"/>
  <c r="BN92" i="106"/>
  <c r="BN91" i="106"/>
  <c r="BN87" i="106"/>
  <c r="BN86" i="106"/>
  <c r="BN51" i="106"/>
  <c r="BN52" i="106" s="1"/>
  <c r="BN116" i="106"/>
  <c r="BO105" i="106"/>
  <c r="BN151" i="106"/>
  <c r="BN152" i="106" s="1"/>
  <c r="BN150" i="106"/>
  <c r="BN146" i="106"/>
  <c r="BN145" i="106"/>
  <c r="BN142" i="106"/>
  <c r="BM127" i="106"/>
  <c r="BL127" i="106"/>
  <c r="BM126" i="106"/>
  <c r="BL126" i="106"/>
  <c r="BM121" i="106" s="1"/>
  <c r="BK126" i="106"/>
  <c r="BK127" i="106" s="1"/>
  <c r="BM123" i="106"/>
  <c r="BL123" i="106"/>
  <c r="BL124" i="106" s="1"/>
  <c r="BK123" i="106"/>
  <c r="BK124" i="106" s="1"/>
  <c r="BL121" i="106"/>
  <c r="BK121" i="106"/>
  <c r="BN134" i="106"/>
  <c r="BN135" i="106" s="1"/>
  <c r="BN131" i="106"/>
  <c r="BN126" i="106"/>
  <c r="BN127" i="106" s="1"/>
  <c r="BN123" i="106"/>
  <c r="BN121" i="106"/>
  <c r="BN124" i="106" s="1"/>
  <c r="BN41" i="106"/>
  <c r="BN44" i="106" s="1"/>
  <c r="BN14" i="106"/>
  <c r="BN20" i="106" s="1"/>
  <c r="BN18" i="29"/>
  <c r="BN11" i="29"/>
  <c r="BN27" i="29" s="1"/>
  <c r="BN29" i="29" s="1"/>
  <c r="BN31" i="29" s="1"/>
  <c r="BN34" i="29" s="1"/>
  <c r="BN62" i="29"/>
  <c r="BM62" i="29"/>
  <c r="BN60" i="29"/>
  <c r="BM60" i="29"/>
  <c r="BN59" i="29"/>
  <c r="BM59" i="29"/>
  <c r="BN58" i="29"/>
  <c r="BM58" i="29"/>
  <c r="BN57" i="29"/>
  <c r="BM57" i="29"/>
  <c r="BN56" i="29"/>
  <c r="BM56" i="29"/>
  <c r="BN55" i="29"/>
  <c r="BM55" i="29"/>
  <c r="BN54" i="29"/>
  <c r="BM54" i="29"/>
  <c r="BM52" i="29"/>
  <c r="BN51" i="29"/>
  <c r="BM51" i="29"/>
  <c r="BN50" i="29"/>
  <c r="BM50" i="29"/>
  <c r="BN49" i="29"/>
  <c r="BM49" i="29"/>
  <c r="BN48" i="29"/>
  <c r="BM48" i="29"/>
  <c r="BM45" i="29" s="1"/>
  <c r="BM61" i="29" s="1"/>
  <c r="BM63" i="29" s="1"/>
  <c r="BN47" i="29"/>
  <c r="BM47" i="29"/>
  <c r="BN46" i="29"/>
  <c r="BM46" i="29"/>
  <c r="BN42" i="29"/>
  <c r="BN67" i="29" s="1"/>
  <c r="BM42" i="29"/>
  <c r="BM67" i="29" s="1"/>
  <c r="BN40" i="29"/>
  <c r="BM40" i="29"/>
  <c r="BM65" i="29" s="1"/>
  <c r="BM68" i="29" s="1"/>
  <c r="BN14" i="29"/>
  <c r="BN17" i="29"/>
  <c r="BN28" i="29"/>
  <c r="BN33" i="29"/>
  <c r="BN143" i="3"/>
  <c r="BN141" i="3"/>
  <c r="BN100" i="3"/>
  <c r="BN98" i="3"/>
  <c r="BO259" i="51"/>
  <c r="BO239" i="51"/>
  <c r="BO284" i="51"/>
  <c r="BO279" i="51"/>
  <c r="BO313" i="51"/>
  <c r="BO289" i="51"/>
  <c r="BO129" i="3"/>
  <c r="BO124" i="3"/>
  <c r="BO122" i="3"/>
  <c r="BO113" i="3"/>
  <c r="BI113" i="3"/>
  <c r="BC113" i="3"/>
  <c r="AW113" i="3"/>
  <c r="AQ113" i="3"/>
  <c r="AK113" i="3"/>
  <c r="BO110" i="3"/>
  <c r="BO109" i="3"/>
  <c r="BC267" i="51" l="1"/>
  <c r="BI265" i="51"/>
  <c r="BN102" i="3"/>
  <c r="BN145" i="3"/>
  <c r="BN147" i="3" s="1"/>
  <c r="BN87" i="107"/>
  <c r="BN89" i="107" s="1"/>
  <c r="BN97" i="106"/>
  <c r="BN98" i="106" s="1"/>
  <c r="BN27" i="106"/>
  <c r="BN32" i="106" s="1"/>
  <c r="BN46" i="106" s="1"/>
  <c r="BN147" i="106"/>
  <c r="BO75" i="3"/>
  <c r="BN75" i="3" s="1"/>
  <c r="BN53" i="106"/>
  <c r="BN65" i="106"/>
  <c r="BM124" i="106"/>
  <c r="BN52" i="29"/>
  <c r="BN45" i="29"/>
  <c r="BN61" i="29" s="1"/>
  <c r="BN63" i="29" s="1"/>
  <c r="BN65" i="29" s="1"/>
  <c r="BN68" i="29" s="1"/>
  <c r="BI267" i="51" l="1"/>
  <c r="BO265" i="51"/>
  <c r="BN70" i="106"/>
  <c r="BN71" i="106"/>
  <c r="BN68" i="106"/>
  <c r="BN69" i="106"/>
  <c r="BO267" i="51" l="1"/>
  <c r="BN130" i="51" l="1"/>
  <c r="BN112" i="51"/>
  <c r="BN105" i="51"/>
  <c r="BN106" i="51" s="1"/>
  <c r="BN91" i="51"/>
  <c r="BN92" i="51" s="1"/>
  <c r="BN109" i="51"/>
  <c r="BN111" i="51" s="1"/>
  <c r="BN101" i="51"/>
  <c r="BN99" i="51"/>
  <c r="BN95" i="51"/>
  <c r="BN97" i="51" s="1"/>
  <c r="BN88" i="51"/>
  <c r="BN90" i="51" s="1"/>
  <c r="BN71" i="51"/>
  <c r="BN72" i="51" s="1"/>
  <c r="BN68" i="51"/>
  <c r="BN70" i="51" s="1"/>
  <c r="BN53" i="51"/>
  <c r="BN54" i="51" s="1"/>
  <c r="BN46" i="51"/>
  <c r="BN47" i="51" s="1"/>
  <c r="BN39" i="51"/>
  <c r="BN40" i="51" s="1"/>
  <c r="BN32" i="51"/>
  <c r="BN33" i="51" s="1"/>
  <c r="BN50" i="51"/>
  <c r="BN52" i="51" s="1"/>
  <c r="BN42" i="51"/>
  <c r="BN56" i="51" s="1"/>
  <c r="BN36" i="51"/>
  <c r="BN38" i="51" s="1"/>
  <c r="BN29" i="51"/>
  <c r="BN31" i="51" s="1"/>
  <c r="BN20" i="51"/>
  <c r="BN12" i="51"/>
  <c r="BN13" i="51"/>
  <c r="BN9" i="51"/>
  <c r="BN11" i="51" s="1"/>
  <c r="BN18" i="51" s="1"/>
  <c r="BN63" i="3"/>
  <c r="BN19" i="3"/>
  <c r="BN16" i="3" s="1"/>
  <c r="BN61" i="3"/>
  <c r="BN22" i="3" s="1"/>
  <c r="BN72" i="3"/>
  <c r="BO72" i="3" s="1"/>
  <c r="BN66" i="3"/>
  <c r="BN10" i="3"/>
  <c r="BN14" i="3" l="1"/>
  <c r="BN63" i="106" s="1"/>
  <c r="BN104" i="3"/>
  <c r="BN77" i="51"/>
  <c r="BN83" i="51"/>
  <c r="BN24" i="51"/>
  <c r="BN113" i="51"/>
  <c r="BN115" i="51"/>
  <c r="BN20" i="3" l="1"/>
  <c r="BN21" i="3" s="1"/>
  <c r="BN24" i="3"/>
  <c r="BN27" i="3" l="1"/>
  <c r="BN26" i="3"/>
  <c r="BL5" i="51"/>
  <c r="BM5" i="51" s="1"/>
  <c r="BN5" i="51" s="1"/>
  <c r="BO4" i="51"/>
  <c r="BN33" i="3" l="1"/>
  <c r="BN67" i="3"/>
  <c r="BN68" i="3" l="1"/>
  <c r="BN93" i="106"/>
  <c r="BN96" i="106" s="1"/>
  <c r="BQ53" i="51" l="1"/>
  <c r="BO376" i="51" l="1"/>
  <c r="BO369" i="51"/>
  <c r="E181" i="119" l="1"/>
  <c r="D181" i="119"/>
  <c r="C181" i="119"/>
  <c r="B181" i="119"/>
  <c r="B178" i="119"/>
  <c r="C178" i="119"/>
  <c r="D178" i="119"/>
  <c r="E178" i="119"/>
  <c r="AR8" i="119" l="1"/>
  <c r="AR7" i="119"/>
  <c r="CI92" i="3"/>
  <c r="CI91" i="3"/>
  <c r="CD20" i="51" l="1"/>
  <c r="CE20" i="51" s="1"/>
  <c r="CF20" i="51" s="1"/>
  <c r="BX20" i="51"/>
  <c r="BY20" i="51" s="1"/>
  <c r="BR20" i="51"/>
  <c r="BQ84" i="51"/>
  <c r="BW83" i="51"/>
  <c r="BS83" i="51"/>
  <c r="BR83" i="51"/>
  <c r="BQ83" i="51"/>
  <c r="BQ78" i="51"/>
  <c r="BW77" i="51"/>
  <c r="BS77" i="51"/>
  <c r="BR77" i="51"/>
  <c r="BQ77" i="51"/>
  <c r="BR25" i="51"/>
  <c r="BQ25" i="51"/>
  <c r="BQ24" i="51"/>
  <c r="BR19" i="51"/>
  <c r="BQ19" i="51"/>
  <c r="BQ18" i="51"/>
  <c r="BS20" i="51" l="1"/>
  <c r="BQ76" i="51"/>
  <c r="BQ17" i="51"/>
  <c r="BZ20" i="51"/>
  <c r="BT20" i="51" l="1"/>
  <c r="BX152" i="106" l="1"/>
  <c r="BY152" i="106" s="1"/>
  <c r="BZ152" i="106" s="1"/>
  <c r="BR152" i="106"/>
  <c r="BS152" i="106" s="1"/>
  <c r="BT152" i="106" s="1"/>
  <c r="BM109" i="29" l="1"/>
  <c r="BL108" i="29"/>
  <c r="BN83" i="29"/>
  <c r="BQ83" i="29" s="1"/>
  <c r="BR83" i="29" s="1"/>
  <c r="BS83" i="29" s="1"/>
  <c r="BT83" i="29" s="1"/>
  <c r="BW83" i="29" s="1"/>
  <c r="BX83" i="29" s="1"/>
  <c r="BY83" i="29" s="1"/>
  <c r="BZ83" i="29" s="1"/>
  <c r="CC83" i="29" s="1"/>
  <c r="CD83" i="29" s="1"/>
  <c r="CE83" i="29" s="1"/>
  <c r="CF83" i="29" s="1"/>
  <c r="BM82" i="29"/>
  <c r="BN82" i="29" s="1"/>
  <c r="BQ82" i="29" s="1"/>
  <c r="BR82" i="29" s="1"/>
  <c r="BS82" i="29" s="1"/>
  <c r="BT82" i="29" s="1"/>
  <c r="BW82" i="29" s="1"/>
  <c r="BX82" i="29" s="1"/>
  <c r="BY82" i="29" s="1"/>
  <c r="BZ82" i="29" s="1"/>
  <c r="CC82" i="29" s="1"/>
  <c r="CD82" i="29" s="1"/>
  <c r="CE82" i="29" s="1"/>
  <c r="CF82" i="29" s="1"/>
  <c r="CF45" i="29"/>
  <c r="CE45" i="29"/>
  <c r="CD45" i="29"/>
  <c r="CC45" i="29"/>
  <c r="BZ45" i="29"/>
  <c r="BY45" i="29"/>
  <c r="BX45" i="29"/>
  <c r="BW45" i="29"/>
  <c r="BT45" i="29"/>
  <c r="BS45" i="29"/>
  <c r="BR45" i="29"/>
  <c r="BQ45" i="29"/>
  <c r="CG52" i="29"/>
  <c r="CA52" i="29"/>
  <c r="BU52" i="29"/>
  <c r="BL52" i="29"/>
  <c r="BH52" i="29"/>
  <c r="BG52" i="29"/>
  <c r="BF52" i="29"/>
  <c r="BE52" i="29"/>
  <c r="BB52" i="29"/>
  <c r="BA52" i="29"/>
  <c r="AZ52" i="29"/>
  <c r="AY52" i="29"/>
  <c r="BC52" i="29" s="1"/>
  <c r="AW52" i="29"/>
  <c r="AV52" i="29"/>
  <c r="AU52" i="29"/>
  <c r="AT52" i="29"/>
  <c r="AS52" i="29"/>
  <c r="BM18" i="29"/>
  <c r="BQ18" i="29" s="1"/>
  <c r="BR18" i="29" s="1"/>
  <c r="BS18" i="29" s="1"/>
  <c r="BT18" i="29" s="1"/>
  <c r="BM11" i="29"/>
  <c r="BI18" i="29"/>
  <c r="BK52" i="29" s="1"/>
  <c r="BO52" i="29" s="1"/>
  <c r="BM151" i="106"/>
  <c r="BM150" i="106"/>
  <c r="BM146" i="106"/>
  <c r="BM145" i="106"/>
  <c r="BM134" i="106"/>
  <c r="BM135" i="106" s="1"/>
  <c r="BM116" i="106"/>
  <c r="BM95" i="106"/>
  <c r="BM92" i="106"/>
  <c r="BM88" i="106"/>
  <c r="BM87" i="106"/>
  <c r="BM86" i="106"/>
  <c r="BM51" i="106"/>
  <c r="BM59" i="106"/>
  <c r="BM26" i="106"/>
  <c r="BM69" i="107"/>
  <c r="BM86" i="107"/>
  <c r="BM85" i="107"/>
  <c r="BM74" i="107"/>
  <c r="BM64" i="107"/>
  <c r="BM63" i="107" s="1"/>
  <c r="BM62" i="107"/>
  <c r="BM154" i="3"/>
  <c r="BM151" i="3"/>
  <c r="BM145" i="3"/>
  <c r="BM147" i="3" s="1"/>
  <c r="BM102" i="3"/>
  <c r="BM72" i="3"/>
  <c r="BN71" i="3" s="1"/>
  <c r="BL72" i="3"/>
  <c r="BM87" i="107" l="1"/>
  <c r="BI52" i="29"/>
  <c r="BM157" i="3"/>
  <c r="BN109" i="29"/>
  <c r="BO109" i="29" s="1"/>
  <c r="BR109" i="29"/>
  <c r="BT109" i="29"/>
  <c r="BM108" i="29"/>
  <c r="BQ109" i="29"/>
  <c r="BS109" i="29"/>
  <c r="BU18" i="29"/>
  <c r="BW18" i="29"/>
  <c r="BO18" i="29"/>
  <c r="BM52" i="106"/>
  <c r="BL175" i="106"/>
  <c r="BK175" i="106"/>
  <c r="BH175" i="106"/>
  <c r="BG175" i="106"/>
  <c r="BF175" i="106"/>
  <c r="BE175" i="106"/>
  <c r="BB175" i="106"/>
  <c r="BA175" i="106"/>
  <c r="AZ175" i="106"/>
  <c r="AY175" i="106"/>
  <c r="AV175" i="106"/>
  <c r="AU175" i="106"/>
  <c r="AT175" i="106"/>
  <c r="AS175" i="106"/>
  <c r="AP175" i="106"/>
  <c r="AO175" i="106"/>
  <c r="AN175" i="106"/>
  <c r="AM175" i="106"/>
  <c r="AJ175" i="106"/>
  <c r="AI175" i="106"/>
  <c r="AH175" i="106"/>
  <c r="AG175" i="106"/>
  <c r="AD175" i="106"/>
  <c r="AC175" i="106"/>
  <c r="AB175" i="106"/>
  <c r="AA175" i="106"/>
  <c r="X175" i="106"/>
  <c r="W175" i="106"/>
  <c r="V175" i="106"/>
  <c r="U175" i="106"/>
  <c r="R175" i="106"/>
  <c r="Q175" i="106"/>
  <c r="P175" i="106"/>
  <c r="O175" i="106"/>
  <c r="BL174" i="106"/>
  <c r="BK174" i="106"/>
  <c r="BH174" i="106"/>
  <c r="BG174" i="106"/>
  <c r="BF174" i="106"/>
  <c r="BE174" i="106"/>
  <c r="BB174" i="106"/>
  <c r="BA174" i="106"/>
  <c r="AZ174" i="106"/>
  <c r="AY174" i="106"/>
  <c r="AV174" i="106"/>
  <c r="AU174" i="106"/>
  <c r="AT174" i="106"/>
  <c r="AS174" i="106"/>
  <c r="AP174" i="106"/>
  <c r="AO174" i="106"/>
  <c r="AN174" i="106"/>
  <c r="AM174" i="106"/>
  <c r="AJ174" i="106"/>
  <c r="AI174" i="106"/>
  <c r="AH174" i="106"/>
  <c r="AG174" i="106"/>
  <c r="AD174" i="106"/>
  <c r="AC174" i="106"/>
  <c r="AB174" i="106"/>
  <c r="AA174" i="106"/>
  <c r="X174" i="106"/>
  <c r="W174" i="106"/>
  <c r="V174" i="106"/>
  <c r="U174" i="106"/>
  <c r="R174" i="106"/>
  <c r="Q174" i="106"/>
  <c r="P174" i="106"/>
  <c r="O174" i="106"/>
  <c r="BL173" i="106"/>
  <c r="BK173" i="106"/>
  <c r="BH173" i="106"/>
  <c r="BG173" i="106"/>
  <c r="BF173" i="106"/>
  <c r="BE173" i="106"/>
  <c r="BB173" i="106"/>
  <c r="BA173" i="106"/>
  <c r="AZ173" i="106"/>
  <c r="AY173" i="106"/>
  <c r="AV173" i="106"/>
  <c r="AU173" i="106"/>
  <c r="AT173" i="106"/>
  <c r="AS173" i="106"/>
  <c r="AP173" i="106"/>
  <c r="AO173" i="106"/>
  <c r="AN173" i="106"/>
  <c r="AM173" i="106"/>
  <c r="AJ173" i="106"/>
  <c r="AI173" i="106"/>
  <c r="AH173" i="106"/>
  <c r="AG173" i="106"/>
  <c r="AD173" i="106"/>
  <c r="AC173" i="106"/>
  <c r="AB173" i="106"/>
  <c r="AA173" i="106"/>
  <c r="X173" i="106"/>
  <c r="W173" i="106"/>
  <c r="V173" i="106"/>
  <c r="U173" i="106"/>
  <c r="R173" i="106"/>
  <c r="Q173" i="106"/>
  <c r="P173" i="106"/>
  <c r="O173" i="106"/>
  <c r="BL168" i="106"/>
  <c r="BK168" i="106"/>
  <c r="BH168" i="106"/>
  <c r="BG168" i="106"/>
  <c r="BF168" i="106"/>
  <c r="BE168" i="106"/>
  <c r="BB168" i="106"/>
  <c r="BA168" i="106"/>
  <c r="AZ168" i="106"/>
  <c r="AY168" i="106"/>
  <c r="AV168" i="106"/>
  <c r="AU168" i="106"/>
  <c r="AT168" i="106"/>
  <c r="AS168" i="106"/>
  <c r="AP168" i="106"/>
  <c r="AO168" i="106"/>
  <c r="AN168" i="106"/>
  <c r="AM168" i="106"/>
  <c r="AJ168" i="106"/>
  <c r="AI168" i="106"/>
  <c r="AH168" i="106"/>
  <c r="AG168" i="106"/>
  <c r="AD168" i="106"/>
  <c r="AC168" i="106"/>
  <c r="AB168" i="106"/>
  <c r="AA168" i="106"/>
  <c r="X168" i="106"/>
  <c r="W168" i="106"/>
  <c r="V168" i="106"/>
  <c r="U168" i="106"/>
  <c r="R168" i="106"/>
  <c r="Q168" i="106"/>
  <c r="P168" i="106"/>
  <c r="O168" i="106"/>
  <c r="BL165" i="106"/>
  <c r="BK165" i="106"/>
  <c r="BH165" i="106"/>
  <c r="BG165" i="106"/>
  <c r="BF165" i="106"/>
  <c r="BE165" i="106"/>
  <c r="BB165" i="106"/>
  <c r="BA165" i="106"/>
  <c r="AZ165" i="106"/>
  <c r="AY165" i="106"/>
  <c r="AV165" i="106"/>
  <c r="AU165" i="106"/>
  <c r="AT165" i="106"/>
  <c r="AS165" i="106"/>
  <c r="AP165" i="106"/>
  <c r="AO165" i="106"/>
  <c r="AN165" i="106"/>
  <c r="AM165" i="106"/>
  <c r="AJ165" i="106"/>
  <c r="AI165" i="106"/>
  <c r="AH165" i="106"/>
  <c r="AG165" i="106"/>
  <c r="AD165" i="106"/>
  <c r="AC165" i="106"/>
  <c r="AB165" i="106"/>
  <c r="AA165" i="106"/>
  <c r="X165" i="106"/>
  <c r="W165" i="106"/>
  <c r="V165" i="106"/>
  <c r="U165" i="106"/>
  <c r="R165" i="106"/>
  <c r="Q165" i="106"/>
  <c r="P165" i="106"/>
  <c r="O165" i="106"/>
  <c r="BL164" i="106"/>
  <c r="BK164" i="106"/>
  <c r="BH164" i="106"/>
  <c r="BG164" i="106"/>
  <c r="BF164" i="106"/>
  <c r="BE164" i="106"/>
  <c r="BB164" i="106"/>
  <c r="BA164" i="106"/>
  <c r="AZ164" i="106"/>
  <c r="AY164" i="106"/>
  <c r="AV164" i="106"/>
  <c r="AU164" i="106"/>
  <c r="AT164" i="106"/>
  <c r="AS164" i="106"/>
  <c r="AP164" i="106"/>
  <c r="AO164" i="106"/>
  <c r="AN164" i="106"/>
  <c r="AM164" i="106"/>
  <c r="AJ164" i="106"/>
  <c r="AI164" i="106"/>
  <c r="AH164" i="106"/>
  <c r="AG164" i="106"/>
  <c r="AD164" i="106"/>
  <c r="AC164" i="106"/>
  <c r="AB164" i="106"/>
  <c r="AA164" i="106"/>
  <c r="X164" i="106"/>
  <c r="W164" i="106"/>
  <c r="V164" i="106"/>
  <c r="U164" i="106"/>
  <c r="R164" i="106"/>
  <c r="Q164" i="106"/>
  <c r="P164" i="106"/>
  <c r="O164" i="106"/>
  <c r="BM163" i="106"/>
  <c r="BL163" i="106"/>
  <c r="BK163" i="106"/>
  <c r="BH163" i="106"/>
  <c r="BG163" i="106"/>
  <c r="BF163" i="106"/>
  <c r="BE163" i="106"/>
  <c r="BB163" i="106"/>
  <c r="BA163" i="106"/>
  <c r="AZ163" i="106"/>
  <c r="AY163" i="106"/>
  <c r="AV163" i="106"/>
  <c r="AU163" i="106"/>
  <c r="AT163" i="106"/>
  <c r="AS163" i="106"/>
  <c r="AP163" i="106"/>
  <c r="AO163" i="106"/>
  <c r="AN163" i="106"/>
  <c r="AM163" i="106"/>
  <c r="AJ163" i="106"/>
  <c r="AI163" i="106"/>
  <c r="AH163" i="106"/>
  <c r="AG163" i="106"/>
  <c r="AD163" i="106"/>
  <c r="AC163" i="106"/>
  <c r="AB163" i="106"/>
  <c r="AA163" i="106"/>
  <c r="X163" i="106"/>
  <c r="W163" i="106"/>
  <c r="V163" i="106"/>
  <c r="U163" i="106"/>
  <c r="R163" i="106"/>
  <c r="Q163" i="106"/>
  <c r="P163" i="106"/>
  <c r="O163" i="106"/>
  <c r="L175" i="106"/>
  <c r="K175" i="106"/>
  <c r="J175" i="106"/>
  <c r="I175" i="106"/>
  <c r="L174" i="106"/>
  <c r="K174" i="106"/>
  <c r="J174" i="106"/>
  <c r="I174" i="106"/>
  <c r="L173" i="106"/>
  <c r="K173" i="106"/>
  <c r="J173" i="106"/>
  <c r="I173" i="106"/>
  <c r="L168" i="106"/>
  <c r="K168" i="106"/>
  <c r="J168" i="106"/>
  <c r="I168" i="106"/>
  <c r="L165" i="106"/>
  <c r="K165" i="106"/>
  <c r="J165" i="106"/>
  <c r="I165" i="106"/>
  <c r="L164" i="106"/>
  <c r="K164" i="106"/>
  <c r="J164" i="106"/>
  <c r="I164" i="106"/>
  <c r="L163" i="106"/>
  <c r="K163" i="106"/>
  <c r="J163" i="106"/>
  <c r="I163" i="106"/>
  <c r="F175" i="106"/>
  <c r="E175" i="106"/>
  <c r="D175" i="106"/>
  <c r="F174" i="106"/>
  <c r="E174" i="106"/>
  <c r="D174" i="106"/>
  <c r="F173" i="106"/>
  <c r="E173" i="106"/>
  <c r="D173" i="106"/>
  <c r="F168" i="106"/>
  <c r="E168" i="106"/>
  <c r="D168" i="106"/>
  <c r="F165" i="106"/>
  <c r="E165" i="106"/>
  <c r="D165" i="106"/>
  <c r="F164" i="106"/>
  <c r="E164" i="106"/>
  <c r="D164" i="106"/>
  <c r="F163" i="106"/>
  <c r="E163" i="106"/>
  <c r="D163" i="106"/>
  <c r="C175" i="106"/>
  <c r="C174" i="106"/>
  <c r="C173" i="106"/>
  <c r="C168" i="106"/>
  <c r="C165" i="106"/>
  <c r="C164" i="106"/>
  <c r="C163" i="106"/>
  <c r="BW157" i="106"/>
  <c r="BR157" i="106"/>
  <c r="BQ157" i="106"/>
  <c r="BN157" i="106"/>
  <c r="BM155" i="106"/>
  <c r="BL155" i="106"/>
  <c r="BK155" i="106"/>
  <c r="BH155" i="106"/>
  <c r="BG155" i="106"/>
  <c r="BF155" i="106"/>
  <c r="BE155" i="106"/>
  <c r="BA155" i="106"/>
  <c r="AZ155" i="106"/>
  <c r="AY155" i="106"/>
  <c r="AU155" i="106"/>
  <c r="AT155" i="106"/>
  <c r="AS155" i="106"/>
  <c r="AO155" i="106"/>
  <c r="AN155" i="106"/>
  <c r="AM155" i="106"/>
  <c r="AI155" i="106"/>
  <c r="AH155" i="106"/>
  <c r="AG155" i="106"/>
  <c r="AC155" i="106"/>
  <c r="AB155" i="106"/>
  <c r="AA155" i="106"/>
  <c r="W155" i="106"/>
  <c r="V155" i="106"/>
  <c r="U155" i="106"/>
  <c r="Q155" i="106"/>
  <c r="P155" i="106"/>
  <c r="O155" i="106"/>
  <c r="K155" i="106"/>
  <c r="J155" i="106"/>
  <c r="I155" i="106"/>
  <c r="E155" i="106"/>
  <c r="D155" i="106"/>
  <c r="C155" i="106"/>
  <c r="BU109" i="29" l="1"/>
  <c r="BX18" i="29"/>
  <c r="BX109" i="29"/>
  <c r="BW109" i="29"/>
  <c r="BM53" i="106"/>
  <c r="BO97" i="107"/>
  <c r="BO96" i="107"/>
  <c r="BR89" i="107"/>
  <c r="BS89" i="107" s="1"/>
  <c r="BT89" i="107" s="1"/>
  <c r="BW89" i="107" s="1"/>
  <c r="BX89" i="107" s="1"/>
  <c r="BY89" i="107" s="1"/>
  <c r="BZ89" i="107" s="1"/>
  <c r="CC89" i="107" s="1"/>
  <c r="CD89" i="107" s="1"/>
  <c r="CE89" i="107" s="1"/>
  <c r="CF89" i="107" s="1"/>
  <c r="BK88" i="107"/>
  <c r="BL86" i="107"/>
  <c r="BK86" i="107"/>
  <c r="BL85" i="107"/>
  <c r="BK85" i="107"/>
  <c r="BE88" i="107"/>
  <c r="BH86" i="107"/>
  <c r="BG86" i="107"/>
  <c r="BF86" i="107"/>
  <c r="BE86" i="107"/>
  <c r="BH85" i="107"/>
  <c r="BG85" i="107"/>
  <c r="BF85" i="107"/>
  <c r="BE85" i="107"/>
  <c r="AY88" i="107"/>
  <c r="BA86" i="107"/>
  <c r="AZ86" i="107"/>
  <c r="AY86" i="107"/>
  <c r="BA85" i="107"/>
  <c r="AZ85" i="107"/>
  <c r="AY85" i="107"/>
  <c r="AS88" i="107"/>
  <c r="AU86" i="107"/>
  <c r="AT86" i="107"/>
  <c r="AS86" i="107"/>
  <c r="AU85" i="107"/>
  <c r="AT85" i="107"/>
  <c r="AS85" i="107"/>
  <c r="AM88" i="107"/>
  <c r="AO86" i="107"/>
  <c r="AN86" i="107"/>
  <c r="AM86" i="107"/>
  <c r="AO85" i="107"/>
  <c r="AN85" i="107"/>
  <c r="AM85" i="107"/>
  <c r="AG88" i="107"/>
  <c r="AI86" i="107"/>
  <c r="AH86" i="107"/>
  <c r="AG86" i="107"/>
  <c r="AI85" i="107"/>
  <c r="AH85" i="107"/>
  <c r="AG85" i="107"/>
  <c r="AA88" i="107"/>
  <c r="AC86" i="107"/>
  <c r="AB86" i="107"/>
  <c r="AA86" i="107"/>
  <c r="AC85" i="107"/>
  <c r="AB85" i="107"/>
  <c r="AA85" i="107"/>
  <c r="U88" i="107"/>
  <c r="W86" i="107"/>
  <c r="V86" i="107"/>
  <c r="U86" i="107"/>
  <c r="W85" i="107"/>
  <c r="V85" i="107"/>
  <c r="U85" i="107"/>
  <c r="O88" i="107"/>
  <c r="Q86" i="107"/>
  <c r="P86" i="107"/>
  <c r="O86" i="107"/>
  <c r="Q85" i="107"/>
  <c r="P85" i="107"/>
  <c r="O85" i="107"/>
  <c r="I88" i="107"/>
  <c r="K86" i="107"/>
  <c r="J86" i="107"/>
  <c r="I86" i="107"/>
  <c r="K85" i="107"/>
  <c r="J85" i="107"/>
  <c r="I85" i="107"/>
  <c r="C88" i="107"/>
  <c r="E86" i="107"/>
  <c r="D86" i="107"/>
  <c r="C86" i="107"/>
  <c r="E85" i="107"/>
  <c r="D85" i="107"/>
  <c r="C85" i="107"/>
  <c r="BK82" i="107"/>
  <c r="BE82" i="107"/>
  <c r="AY82" i="107"/>
  <c r="AS82" i="107"/>
  <c r="AM82" i="107"/>
  <c r="AG82" i="107"/>
  <c r="AA82" i="107"/>
  <c r="U82" i="107"/>
  <c r="O82" i="107"/>
  <c r="I82" i="107"/>
  <c r="C82" i="107"/>
  <c r="CF80" i="107"/>
  <c r="CE80" i="107"/>
  <c r="CD80" i="107"/>
  <c r="CC80" i="107"/>
  <c r="BZ80" i="107"/>
  <c r="BY80" i="107"/>
  <c r="BX80" i="107"/>
  <c r="BW80" i="107"/>
  <c r="BT80" i="107"/>
  <c r="BS80" i="107"/>
  <c r="BQ80" i="107"/>
  <c r="BK80" i="107"/>
  <c r="BE80" i="107"/>
  <c r="AY80" i="107"/>
  <c r="AS80" i="107"/>
  <c r="AM80" i="107"/>
  <c r="AG80" i="107"/>
  <c r="AA80" i="107"/>
  <c r="U80" i="107"/>
  <c r="O80" i="107"/>
  <c r="I80" i="107"/>
  <c r="C78" i="107"/>
  <c r="C77" i="107"/>
  <c r="C76" i="107"/>
  <c r="BL74" i="107"/>
  <c r="BK74" i="107"/>
  <c r="BH74" i="107"/>
  <c r="BG74" i="107"/>
  <c r="BF74" i="107"/>
  <c r="BE74" i="107"/>
  <c r="BB74" i="107"/>
  <c r="BA74" i="107"/>
  <c r="AZ74" i="107"/>
  <c r="AY74" i="107"/>
  <c r="AV74" i="107"/>
  <c r="AU74" i="107"/>
  <c r="AT74" i="107"/>
  <c r="AS74" i="107"/>
  <c r="AP74" i="107"/>
  <c r="AO74" i="107"/>
  <c r="AN74" i="107"/>
  <c r="AM74" i="107"/>
  <c r="AJ74" i="107"/>
  <c r="AI74" i="107"/>
  <c r="AH74" i="107"/>
  <c r="AG74" i="107"/>
  <c r="AD74" i="107"/>
  <c r="AC74" i="107"/>
  <c r="AB74" i="107"/>
  <c r="AA74" i="107"/>
  <c r="X74" i="107"/>
  <c r="W74" i="107"/>
  <c r="V74" i="107"/>
  <c r="U74" i="107"/>
  <c r="R74" i="107"/>
  <c r="Q74" i="107"/>
  <c r="P74" i="107"/>
  <c r="O74" i="107"/>
  <c r="L74" i="107"/>
  <c r="K74" i="107"/>
  <c r="J74" i="107"/>
  <c r="I74" i="107"/>
  <c r="BI73" i="107"/>
  <c r="BC73" i="107"/>
  <c r="AW73" i="107"/>
  <c r="AQ73" i="107"/>
  <c r="AK73" i="107"/>
  <c r="AE73" i="107"/>
  <c r="Y73" i="107"/>
  <c r="S73" i="107"/>
  <c r="M73" i="107"/>
  <c r="G73" i="107"/>
  <c r="G68" i="107"/>
  <c r="C72" i="107"/>
  <c r="D68" i="107" s="1"/>
  <c r="BL71" i="107"/>
  <c r="BM71" i="107" s="1"/>
  <c r="BL70" i="107"/>
  <c r="BL69" i="107"/>
  <c r="CG69" i="107"/>
  <c r="CA69" i="107"/>
  <c r="BU69" i="107"/>
  <c r="BO69" i="107"/>
  <c r="BF71" i="107"/>
  <c r="BF70" i="107"/>
  <c r="BF69" i="107"/>
  <c r="BG69" i="107" s="1"/>
  <c r="AZ71" i="107"/>
  <c r="AZ70" i="107"/>
  <c r="AZ69" i="107"/>
  <c r="AT71" i="107"/>
  <c r="AU71" i="107" s="1"/>
  <c r="AT70" i="107"/>
  <c r="AU70" i="107" s="1"/>
  <c r="AV70" i="107" s="1"/>
  <c r="AT69" i="107"/>
  <c r="AN71" i="107"/>
  <c r="AN70" i="107"/>
  <c r="AO70" i="107" s="1"/>
  <c r="AP70" i="107" s="1"/>
  <c r="AN69" i="107"/>
  <c r="AH71" i="107"/>
  <c r="AH70" i="107"/>
  <c r="AH82" i="107" s="1"/>
  <c r="AH69" i="107"/>
  <c r="AI69" i="107" s="1"/>
  <c r="AJ69" i="107" s="1"/>
  <c r="AB71" i="107"/>
  <c r="AB70" i="107"/>
  <c r="AC70" i="107" s="1"/>
  <c r="AB69" i="107"/>
  <c r="V71" i="107"/>
  <c r="W71" i="107" s="1"/>
  <c r="X71" i="107" s="1"/>
  <c r="V70" i="107"/>
  <c r="W70" i="107" s="1"/>
  <c r="V69" i="107"/>
  <c r="P71" i="107"/>
  <c r="P70" i="107"/>
  <c r="P82" i="107" s="1"/>
  <c r="P69" i="107"/>
  <c r="Q69" i="107" s="1"/>
  <c r="J71" i="107"/>
  <c r="J70" i="107"/>
  <c r="J69" i="107"/>
  <c r="K69" i="107" s="1"/>
  <c r="L69" i="107" s="1"/>
  <c r="D71" i="107"/>
  <c r="E71" i="107" s="1"/>
  <c r="F71" i="107" s="1"/>
  <c r="D70" i="107"/>
  <c r="E70" i="107" s="1"/>
  <c r="D69" i="107"/>
  <c r="D78" i="107" s="1"/>
  <c r="S62" i="107"/>
  <c r="G62" i="107"/>
  <c r="C64" i="107"/>
  <c r="C62" i="107"/>
  <c r="BL64" i="107"/>
  <c r="BQ64" i="107" s="1"/>
  <c r="BF64" i="107"/>
  <c r="BF63" i="107" s="1"/>
  <c r="BA64" i="107"/>
  <c r="BA63" i="107" s="1"/>
  <c r="AZ64" i="107"/>
  <c r="AZ63" i="107" s="1"/>
  <c r="V63" i="107"/>
  <c r="U63" i="107"/>
  <c r="R63" i="107"/>
  <c r="Q63" i="107"/>
  <c r="P63" i="107"/>
  <c r="O63" i="107"/>
  <c r="I63" i="107"/>
  <c r="F63" i="107"/>
  <c r="E63" i="107"/>
  <c r="D63" i="107"/>
  <c r="BW62" i="107"/>
  <c r="CC62" i="107" s="1"/>
  <c r="BR62" i="107"/>
  <c r="BS62" i="107" s="1"/>
  <c r="BT62" i="107" s="1"/>
  <c r="BU62" i="107" s="1"/>
  <c r="BL62" i="107"/>
  <c r="BK62" i="107"/>
  <c r="BH62" i="107"/>
  <c r="BH64" i="107" s="1"/>
  <c r="BG62" i="107"/>
  <c r="BG64" i="107" s="1"/>
  <c r="BE62" i="107"/>
  <c r="BE64" i="107" s="1"/>
  <c r="BB62" i="107"/>
  <c r="BB64" i="107" s="1"/>
  <c r="BA62" i="107"/>
  <c r="AY62" i="107"/>
  <c r="BC62" i="107" s="1"/>
  <c r="AT64" i="107"/>
  <c r="AT63" i="107" s="1"/>
  <c r="AS64" i="107"/>
  <c r="AS63" i="107" s="1"/>
  <c r="AV62" i="107"/>
  <c r="AU62" i="107"/>
  <c r="AT62" i="107"/>
  <c r="AS62" i="107"/>
  <c r="AP64" i="107"/>
  <c r="AO64" i="107"/>
  <c r="AP62" i="107"/>
  <c r="AO62" i="107"/>
  <c r="AN62" i="107"/>
  <c r="AN64" i="107" s="1"/>
  <c r="AN63" i="107" s="1"/>
  <c r="AM62" i="107"/>
  <c r="AJ62" i="107"/>
  <c r="AJ64" i="107" s="1"/>
  <c r="AI62" i="107"/>
  <c r="AH62" i="107"/>
  <c r="AG62" i="107"/>
  <c r="AC64" i="107"/>
  <c r="AC63" i="107" s="1"/>
  <c r="AB64" i="107"/>
  <c r="AB63" i="107" s="1"/>
  <c r="AD62" i="107"/>
  <c r="AD64" i="107" s="1"/>
  <c r="AD63" i="107" s="1"/>
  <c r="AC62" i="107"/>
  <c r="AE62" i="107" s="1"/>
  <c r="AB62" i="107"/>
  <c r="AA62" i="107"/>
  <c r="X64" i="107"/>
  <c r="X63" i="107" s="1"/>
  <c r="Y62" i="107"/>
  <c r="X62" i="107"/>
  <c r="W62" i="107"/>
  <c r="W64" i="107" s="1"/>
  <c r="W63" i="107" s="1"/>
  <c r="K64" i="107"/>
  <c r="L62" i="107"/>
  <c r="L64" i="107" s="1"/>
  <c r="L63" i="107" s="1"/>
  <c r="K62" i="107"/>
  <c r="J62" i="107"/>
  <c r="M62" i="107" s="1"/>
  <c r="I87" i="107" l="1"/>
  <c r="P87" i="107"/>
  <c r="I89" i="107"/>
  <c r="AY87" i="107"/>
  <c r="AY89" i="107" s="1"/>
  <c r="C87" i="107"/>
  <c r="C89" i="107" s="1"/>
  <c r="AN87" i="107"/>
  <c r="K87" i="107"/>
  <c r="V87" i="107"/>
  <c r="AM87" i="107"/>
  <c r="BG87" i="107"/>
  <c r="AB87" i="107"/>
  <c r="AT87" i="107"/>
  <c r="BA87" i="107"/>
  <c r="AA87" i="107"/>
  <c r="AA89" i="107" s="1"/>
  <c r="AG87" i="107"/>
  <c r="AG89" i="107" s="1"/>
  <c r="BH87" i="107"/>
  <c r="U87" i="107"/>
  <c r="U89" i="107" s="1"/>
  <c r="AH87" i="107"/>
  <c r="AO87" i="107"/>
  <c r="Q87" i="107"/>
  <c r="AI87" i="107"/>
  <c r="BY18" i="29"/>
  <c r="K63" i="107"/>
  <c r="BH69" i="107"/>
  <c r="BM80" i="107"/>
  <c r="BL82" i="107"/>
  <c r="BM70" i="107"/>
  <c r="Y74" i="107"/>
  <c r="BL63" i="107"/>
  <c r="S74" i="107"/>
  <c r="AE74" i="107"/>
  <c r="BC74" i="107"/>
  <c r="AM89" i="107"/>
  <c r="CD62" i="107"/>
  <c r="CE62" i="107" s="1"/>
  <c r="CF62" i="107" s="1"/>
  <c r="AH80" i="107"/>
  <c r="AN82" i="107"/>
  <c r="S63" i="107"/>
  <c r="S64" i="107" s="1"/>
  <c r="Q70" i="107"/>
  <c r="R70" i="107" s="1"/>
  <c r="S70" i="107" s="1"/>
  <c r="M74" i="107"/>
  <c r="AK74" i="107"/>
  <c r="E87" i="107"/>
  <c r="J87" i="107"/>
  <c r="W87" i="107"/>
  <c r="AC87" i="107"/>
  <c r="AS87" i="107"/>
  <c r="AS89" i="107" s="1"/>
  <c r="AZ87" i="107"/>
  <c r="BE87" i="107"/>
  <c r="BE89" i="107" s="1"/>
  <c r="BK87" i="107"/>
  <c r="BK89" i="107" s="1"/>
  <c r="BL87" i="107"/>
  <c r="AP82" i="107"/>
  <c r="AQ82" i="107" s="1"/>
  <c r="Y63" i="107"/>
  <c r="Y64" i="107" s="1"/>
  <c r="BR64" i="107"/>
  <c r="BQ63" i="107"/>
  <c r="AV82" i="107"/>
  <c r="Q82" i="107"/>
  <c r="AM64" i="107"/>
  <c r="AM63" i="107" s="1"/>
  <c r="AU64" i="107"/>
  <c r="AU63" i="107" s="1"/>
  <c r="K71" i="107"/>
  <c r="BA71" i="107"/>
  <c r="AA64" i="107"/>
  <c r="AA63" i="107" s="1"/>
  <c r="AE63" i="107" s="1"/>
  <c r="AE64" i="107" s="1"/>
  <c r="AW62" i="107"/>
  <c r="AV64" i="107"/>
  <c r="AV63" i="107" s="1"/>
  <c r="BI62" i="107"/>
  <c r="BX62" i="107"/>
  <c r="BE63" i="107"/>
  <c r="C63" i="107"/>
  <c r="G63" i="107" s="1"/>
  <c r="G64" i="107" s="1"/>
  <c r="Q71" i="107"/>
  <c r="AI71" i="107"/>
  <c r="CA80" i="107"/>
  <c r="BU80" i="107"/>
  <c r="AI64" i="107"/>
  <c r="AI63" i="107" s="1"/>
  <c r="AC82" i="107"/>
  <c r="AD70" i="107"/>
  <c r="BG71" i="107"/>
  <c r="AO63" i="107"/>
  <c r="BK64" i="107"/>
  <c r="BK63" i="107" s="1"/>
  <c r="BO62" i="107"/>
  <c r="BI74" i="107"/>
  <c r="AJ63" i="107"/>
  <c r="AV71" i="107"/>
  <c r="D72" i="107"/>
  <c r="E68" i="107" s="1"/>
  <c r="AQ62" i="107"/>
  <c r="BB63" i="107"/>
  <c r="BH63" i="107"/>
  <c r="V80" i="107"/>
  <c r="AN80" i="107"/>
  <c r="AZ80" i="107"/>
  <c r="BA69" i="107"/>
  <c r="BG80" i="107" s="1"/>
  <c r="AW74" i="107"/>
  <c r="AQ74" i="107"/>
  <c r="BF80" i="107"/>
  <c r="W82" i="107"/>
  <c r="X70" i="107"/>
  <c r="AO82" i="107"/>
  <c r="E69" i="107"/>
  <c r="K80" i="107" s="1"/>
  <c r="AP63" i="107"/>
  <c r="BG63" i="107"/>
  <c r="AK62" i="107"/>
  <c r="AG64" i="107"/>
  <c r="AG63" i="107" s="1"/>
  <c r="E82" i="107"/>
  <c r="F70" i="107"/>
  <c r="Q80" i="107"/>
  <c r="R69" i="107"/>
  <c r="S69" i="107" s="1"/>
  <c r="W69" i="107"/>
  <c r="AO69" i="107"/>
  <c r="BF82" i="107"/>
  <c r="BG70" i="107"/>
  <c r="AU82" i="107"/>
  <c r="J64" i="107"/>
  <c r="J63" i="107" s="1"/>
  <c r="M63" i="107" s="1"/>
  <c r="M64" i="107" s="1"/>
  <c r="AH64" i="107"/>
  <c r="AH63" i="107" s="1"/>
  <c r="AY64" i="107"/>
  <c r="AY63" i="107" s="1"/>
  <c r="G71" i="107"/>
  <c r="G77" i="107" s="1"/>
  <c r="J82" i="107"/>
  <c r="K70" i="107"/>
  <c r="V82" i="107"/>
  <c r="AB82" i="107"/>
  <c r="AW70" i="107"/>
  <c r="AT82" i="107"/>
  <c r="AZ82" i="107"/>
  <c r="BA70" i="107"/>
  <c r="D77" i="107"/>
  <c r="D82" i="107"/>
  <c r="D76" i="107"/>
  <c r="G70" i="107"/>
  <c r="G76" i="107" s="1"/>
  <c r="P80" i="107"/>
  <c r="AC71" i="107"/>
  <c r="AT80" i="107"/>
  <c r="AU69" i="107"/>
  <c r="BR80" i="107"/>
  <c r="BL80" i="107"/>
  <c r="O87" i="107"/>
  <c r="O89" i="107" s="1"/>
  <c r="M69" i="107"/>
  <c r="AC69" i="107"/>
  <c r="AI70" i="107"/>
  <c r="AO71" i="107"/>
  <c r="Y71" i="107"/>
  <c r="AQ70" i="107"/>
  <c r="J80" i="107"/>
  <c r="AU87" i="107"/>
  <c r="AB80" i="107"/>
  <c r="CG80" i="107"/>
  <c r="AK69" i="107"/>
  <c r="BF87" i="107"/>
  <c r="D87" i="107"/>
  <c r="BF58" i="107"/>
  <c r="C52" i="107"/>
  <c r="G50" i="107"/>
  <c r="D50" i="107"/>
  <c r="CG46" i="107"/>
  <c r="CA46" i="107"/>
  <c r="BU46" i="107"/>
  <c r="BL46" i="107"/>
  <c r="BF46" i="107"/>
  <c r="BG46" i="107" s="1"/>
  <c r="AZ46" i="107"/>
  <c r="AT46" i="107"/>
  <c r="AU46" i="107" s="1"/>
  <c r="AN46" i="107"/>
  <c r="AO46" i="107" s="1"/>
  <c r="AP46" i="107" s="1"/>
  <c r="AQ46" i="107" s="1"/>
  <c r="AH46" i="107"/>
  <c r="AI46" i="107" s="1"/>
  <c r="AB46" i="107"/>
  <c r="V46" i="107"/>
  <c r="W46" i="107" s="1"/>
  <c r="X46" i="107" s="1"/>
  <c r="P46" i="107"/>
  <c r="J46" i="107"/>
  <c r="K46" i="107" s="1"/>
  <c r="L46" i="107" s="1"/>
  <c r="D46" i="107"/>
  <c r="E46" i="107" s="1"/>
  <c r="F46" i="107" s="1"/>
  <c r="BK44" i="107"/>
  <c r="BE44" i="107"/>
  <c r="AY44" i="107"/>
  <c r="AS44" i="107"/>
  <c r="AM44" i="107"/>
  <c r="AG44" i="107"/>
  <c r="AA44" i="107"/>
  <c r="U44" i="107"/>
  <c r="O44" i="107"/>
  <c r="I44" i="107"/>
  <c r="C44" i="107"/>
  <c r="CG43" i="107"/>
  <c r="CG41" i="107"/>
  <c r="CG40" i="107"/>
  <c r="CG36" i="107"/>
  <c r="CA43" i="107"/>
  <c r="CA41" i="107"/>
  <c r="CA40" i="107"/>
  <c r="CA36" i="107"/>
  <c r="BU43" i="107"/>
  <c r="BU41" i="107"/>
  <c r="BU40" i="107"/>
  <c r="BU36" i="107"/>
  <c r="BL43" i="107"/>
  <c r="BL42" i="107"/>
  <c r="BM42" i="107" s="1"/>
  <c r="BL41" i="107"/>
  <c r="BL40" i="107"/>
  <c r="BL39" i="107"/>
  <c r="BM39" i="107" s="1"/>
  <c r="BL38" i="107"/>
  <c r="BM38" i="107" s="1"/>
  <c r="BL37" i="107"/>
  <c r="BM37" i="107" s="1"/>
  <c r="BL36" i="107"/>
  <c r="BL35" i="107"/>
  <c r="BM35" i="107" s="1"/>
  <c r="BL34" i="107"/>
  <c r="BF43" i="107"/>
  <c r="BG43" i="107" s="1"/>
  <c r="BH43" i="107" s="1"/>
  <c r="BF42" i="107"/>
  <c r="BG42" i="107" s="1"/>
  <c r="BH42" i="107" s="1"/>
  <c r="BI42" i="107" s="1"/>
  <c r="BF41" i="107"/>
  <c r="BG41" i="107" s="1"/>
  <c r="BH41" i="107" s="1"/>
  <c r="BI41" i="107" s="1"/>
  <c r="BF40" i="107"/>
  <c r="BF39" i="107"/>
  <c r="BG39" i="107" s="1"/>
  <c r="BH39" i="107" s="1"/>
  <c r="BI39" i="107" s="1"/>
  <c r="BF38" i="107"/>
  <c r="BF37" i="107"/>
  <c r="BG37" i="107" s="1"/>
  <c r="BH37" i="107" s="1"/>
  <c r="BF36" i="107"/>
  <c r="BG36" i="107" s="1"/>
  <c r="BH36" i="107" s="1"/>
  <c r="BI36" i="107" s="1"/>
  <c r="BF35" i="107"/>
  <c r="BG35" i="107" s="1"/>
  <c r="BH35" i="107" s="1"/>
  <c r="BF34" i="107"/>
  <c r="BG34" i="107" s="1"/>
  <c r="BH34" i="107" s="1"/>
  <c r="AZ43" i="107"/>
  <c r="BA43" i="107" s="1"/>
  <c r="BB43" i="107" s="1"/>
  <c r="BC43" i="107" s="1"/>
  <c r="AZ42" i="107"/>
  <c r="BA42" i="107" s="1"/>
  <c r="BB42" i="107" s="1"/>
  <c r="BC42" i="107" s="1"/>
  <c r="AZ41" i="107"/>
  <c r="BA41" i="107" s="1"/>
  <c r="BB41" i="107" s="1"/>
  <c r="AZ40" i="107"/>
  <c r="AZ39" i="107"/>
  <c r="BA39" i="107" s="1"/>
  <c r="BB39" i="107" s="1"/>
  <c r="AZ38" i="107"/>
  <c r="AZ37" i="107"/>
  <c r="BA37" i="107" s="1"/>
  <c r="BB37" i="107" s="1"/>
  <c r="BC37" i="107" s="1"/>
  <c r="AZ36" i="107"/>
  <c r="BA36" i="107" s="1"/>
  <c r="BB36" i="107" s="1"/>
  <c r="BC36" i="107" s="1"/>
  <c r="AZ35" i="107"/>
  <c r="BA35" i="107" s="1"/>
  <c r="BB35" i="107" s="1"/>
  <c r="BC35" i="107" s="1"/>
  <c r="AZ34" i="107"/>
  <c r="AT43" i="107"/>
  <c r="AU43" i="107" s="1"/>
  <c r="AV43" i="107" s="1"/>
  <c r="AT42" i="107"/>
  <c r="AU42" i="107" s="1"/>
  <c r="AV42" i="107" s="1"/>
  <c r="AW42" i="107" s="1"/>
  <c r="AT41" i="107"/>
  <c r="AU41" i="107" s="1"/>
  <c r="AV41" i="107" s="1"/>
  <c r="AT40" i="107"/>
  <c r="AT39" i="107"/>
  <c r="AU39" i="107" s="1"/>
  <c r="AV39" i="107" s="1"/>
  <c r="AT38" i="107"/>
  <c r="AU38" i="107" s="1"/>
  <c r="AV38" i="107" s="1"/>
  <c r="AW38" i="107" s="1"/>
  <c r="AT37" i="107"/>
  <c r="AU37" i="107" s="1"/>
  <c r="AV37" i="107" s="1"/>
  <c r="AW37" i="107" s="1"/>
  <c r="AT36" i="107"/>
  <c r="AU36" i="107" s="1"/>
  <c r="AV36" i="107" s="1"/>
  <c r="AT35" i="107"/>
  <c r="AT34" i="107"/>
  <c r="AN43" i="107"/>
  <c r="AO43" i="107" s="1"/>
  <c r="AP43" i="107" s="1"/>
  <c r="AQ43" i="107" s="1"/>
  <c r="AN42" i="107"/>
  <c r="AN41" i="107"/>
  <c r="AO41" i="107" s="1"/>
  <c r="AP41" i="107" s="1"/>
  <c r="AN40" i="107"/>
  <c r="AO40" i="107" s="1"/>
  <c r="AP40" i="107" s="1"/>
  <c r="AQ40" i="107" s="1"/>
  <c r="AN39" i="107"/>
  <c r="AO39" i="107" s="1"/>
  <c r="AP39" i="107" s="1"/>
  <c r="AQ39" i="107" s="1"/>
  <c r="AN38" i="107"/>
  <c r="AN37" i="107"/>
  <c r="AO37" i="107" s="1"/>
  <c r="AP37" i="107" s="1"/>
  <c r="AN36" i="107"/>
  <c r="AO36" i="107" s="1"/>
  <c r="AP36" i="107" s="1"/>
  <c r="AQ36" i="107" s="1"/>
  <c r="AN35" i="107"/>
  <c r="AO35" i="107" s="1"/>
  <c r="AP35" i="107" s="1"/>
  <c r="AN34" i="107"/>
  <c r="AO34" i="107" s="1"/>
  <c r="AP34" i="107" s="1"/>
  <c r="AH43" i="107"/>
  <c r="AI43" i="107" s="1"/>
  <c r="AJ43" i="107" s="1"/>
  <c r="AH42" i="107"/>
  <c r="AI42" i="107" s="1"/>
  <c r="AJ42" i="107" s="1"/>
  <c r="AK42" i="107" s="1"/>
  <c r="AH41" i="107"/>
  <c r="AI41" i="107" s="1"/>
  <c r="AJ41" i="107" s="1"/>
  <c r="AK41" i="107" s="1"/>
  <c r="AH40" i="107"/>
  <c r="AH39" i="107"/>
  <c r="AI39" i="107" s="1"/>
  <c r="AJ39" i="107" s="1"/>
  <c r="AH38" i="107"/>
  <c r="AI38" i="107" s="1"/>
  <c r="AJ38" i="107" s="1"/>
  <c r="AH37" i="107"/>
  <c r="AI37" i="107" s="1"/>
  <c r="AJ37" i="107" s="1"/>
  <c r="AH36" i="107"/>
  <c r="AH35" i="107"/>
  <c r="AI35" i="107" s="1"/>
  <c r="AJ35" i="107" s="1"/>
  <c r="AK35" i="107" s="1"/>
  <c r="AH34" i="107"/>
  <c r="AI34" i="107" s="1"/>
  <c r="AJ34" i="107" s="1"/>
  <c r="AB43" i="107"/>
  <c r="AC43" i="107" s="1"/>
  <c r="AD43" i="107" s="1"/>
  <c r="AE43" i="107" s="1"/>
  <c r="AB42" i="107"/>
  <c r="AC42" i="107" s="1"/>
  <c r="AD42" i="107" s="1"/>
  <c r="AB41" i="107"/>
  <c r="AC41" i="107" s="1"/>
  <c r="AD41" i="107" s="1"/>
  <c r="AB40" i="107"/>
  <c r="AC40" i="107" s="1"/>
  <c r="AD40" i="107" s="1"/>
  <c r="AE40" i="107" s="1"/>
  <c r="AB39" i="107"/>
  <c r="AC39" i="107" s="1"/>
  <c r="AD39" i="107" s="1"/>
  <c r="AE39" i="107" s="1"/>
  <c r="AB38" i="107"/>
  <c r="AC38" i="107" s="1"/>
  <c r="AD38" i="107" s="1"/>
  <c r="AE38" i="107" s="1"/>
  <c r="AB37" i="107"/>
  <c r="AC37" i="107" s="1"/>
  <c r="AD37" i="107" s="1"/>
  <c r="AB36" i="107"/>
  <c r="AC36" i="107" s="1"/>
  <c r="AD36" i="107" s="1"/>
  <c r="AE36" i="107" s="1"/>
  <c r="AB35" i="107"/>
  <c r="AC35" i="107" s="1"/>
  <c r="AB34" i="107"/>
  <c r="AC34" i="107" s="1"/>
  <c r="AD34" i="107" s="1"/>
  <c r="V43" i="107"/>
  <c r="W43" i="107" s="1"/>
  <c r="X43" i="107" s="1"/>
  <c r="V42" i="107"/>
  <c r="W42" i="107" s="1"/>
  <c r="X42" i="107" s="1"/>
  <c r="Y42" i="107" s="1"/>
  <c r="V41" i="107"/>
  <c r="W41" i="107" s="1"/>
  <c r="X41" i="107" s="1"/>
  <c r="V40" i="107"/>
  <c r="W40" i="107" s="1"/>
  <c r="X40" i="107" s="1"/>
  <c r="V39" i="107"/>
  <c r="W39" i="107" s="1"/>
  <c r="V38" i="107"/>
  <c r="W38" i="107" s="1"/>
  <c r="X38" i="107" s="1"/>
  <c r="V37" i="107"/>
  <c r="W37" i="107" s="1"/>
  <c r="V36" i="107"/>
  <c r="W36" i="107" s="1"/>
  <c r="X36" i="107" s="1"/>
  <c r="V35" i="107"/>
  <c r="W35" i="107" s="1"/>
  <c r="V34" i="107"/>
  <c r="W34" i="107" s="1"/>
  <c r="X34" i="107" s="1"/>
  <c r="P43" i="107"/>
  <c r="Q43" i="107" s="1"/>
  <c r="P42" i="107"/>
  <c r="Q42" i="107" s="1"/>
  <c r="R42" i="107" s="1"/>
  <c r="P41" i="107"/>
  <c r="Q41" i="107" s="1"/>
  <c r="P40" i="107"/>
  <c r="Q40" i="107" s="1"/>
  <c r="R40" i="107" s="1"/>
  <c r="P39" i="107"/>
  <c r="Q39" i="107" s="1"/>
  <c r="P38" i="107"/>
  <c r="Q38" i="107" s="1"/>
  <c r="R38" i="107" s="1"/>
  <c r="P37" i="107"/>
  <c r="Q37" i="107" s="1"/>
  <c r="P36" i="107"/>
  <c r="Q36" i="107" s="1"/>
  <c r="R36" i="107" s="1"/>
  <c r="P35" i="107"/>
  <c r="Q35" i="107" s="1"/>
  <c r="P34" i="107"/>
  <c r="J43" i="107"/>
  <c r="K43" i="107" s="1"/>
  <c r="L43" i="107" s="1"/>
  <c r="J42" i="107"/>
  <c r="K42" i="107" s="1"/>
  <c r="L42" i="107" s="1"/>
  <c r="J41" i="107"/>
  <c r="J40" i="107"/>
  <c r="K40" i="107" s="1"/>
  <c r="L40" i="107" s="1"/>
  <c r="J39" i="107"/>
  <c r="J38" i="107"/>
  <c r="K38" i="107" s="1"/>
  <c r="L38" i="107" s="1"/>
  <c r="M38" i="107" s="1"/>
  <c r="J37" i="107"/>
  <c r="K37" i="107" s="1"/>
  <c r="L37" i="107" s="1"/>
  <c r="J36" i="107"/>
  <c r="K36" i="107" s="1"/>
  <c r="L36" i="107" s="1"/>
  <c r="M36" i="107" s="1"/>
  <c r="J35" i="107"/>
  <c r="K35" i="107" s="1"/>
  <c r="L35" i="107" s="1"/>
  <c r="J34" i="107"/>
  <c r="D43" i="107"/>
  <c r="E43" i="107" s="1"/>
  <c r="F43" i="107" s="1"/>
  <c r="D42" i="107"/>
  <c r="D41" i="107"/>
  <c r="E41" i="107" s="1"/>
  <c r="F41" i="107" s="1"/>
  <c r="G41" i="107" s="1"/>
  <c r="D40" i="107"/>
  <c r="E40" i="107" s="1"/>
  <c r="F40" i="107" s="1"/>
  <c r="D39" i="107"/>
  <c r="E39" i="107" s="1"/>
  <c r="F39" i="107" s="1"/>
  <c r="G39" i="107" s="1"/>
  <c r="D38" i="107"/>
  <c r="E38" i="107" s="1"/>
  <c r="F38" i="107" s="1"/>
  <c r="D37" i="107"/>
  <c r="D36" i="107"/>
  <c r="E36" i="107" s="1"/>
  <c r="F36" i="107" s="1"/>
  <c r="D35" i="107"/>
  <c r="D34" i="107"/>
  <c r="E34" i="107" s="1"/>
  <c r="BK31" i="107"/>
  <c r="BE31" i="107"/>
  <c r="AY31" i="107"/>
  <c r="AS31" i="107"/>
  <c r="AM31" i="107"/>
  <c r="AG31" i="107"/>
  <c r="AA31" i="107"/>
  <c r="U31" i="107"/>
  <c r="CF30" i="107"/>
  <c r="CE30" i="107"/>
  <c r="CD30" i="107"/>
  <c r="CC30" i="107"/>
  <c r="BZ30" i="107"/>
  <c r="BY30" i="107"/>
  <c r="BX30" i="107"/>
  <c r="BW30" i="107"/>
  <c r="BT30" i="107"/>
  <c r="BS30" i="107"/>
  <c r="BR30" i="107"/>
  <c r="BQ30" i="107"/>
  <c r="BL30" i="107"/>
  <c r="BM30" i="107" s="1"/>
  <c r="O30" i="107"/>
  <c r="CG29" i="107"/>
  <c r="CG28" i="107"/>
  <c r="CA29" i="107"/>
  <c r="CA28" i="107"/>
  <c r="BU29" i="107"/>
  <c r="BU28" i="107"/>
  <c r="BL29" i="107"/>
  <c r="BL28" i="107"/>
  <c r="BL27" i="107"/>
  <c r="BM27" i="107" s="1"/>
  <c r="U29" i="107"/>
  <c r="I31" i="107"/>
  <c r="J30" i="107"/>
  <c r="K30" i="107" s="1"/>
  <c r="L30" i="107" s="1"/>
  <c r="I30" i="107"/>
  <c r="J29" i="107"/>
  <c r="K29" i="107" s="1"/>
  <c r="L29" i="107" s="1"/>
  <c r="I29" i="107"/>
  <c r="C30" i="107"/>
  <c r="D30" i="107" s="1"/>
  <c r="E30" i="107" s="1"/>
  <c r="C29" i="107"/>
  <c r="BF30" i="107"/>
  <c r="BF29" i="107"/>
  <c r="BG29" i="107" s="1"/>
  <c r="BH29" i="107" s="1"/>
  <c r="BF28" i="107"/>
  <c r="BF27" i="107"/>
  <c r="BG27" i="107" s="1"/>
  <c r="AZ30" i="107"/>
  <c r="AZ29" i="107"/>
  <c r="BA29" i="107" s="1"/>
  <c r="BB29" i="107" s="1"/>
  <c r="BC29" i="107" s="1"/>
  <c r="AZ28" i="107"/>
  <c r="AZ27" i="107"/>
  <c r="BA27" i="107" s="1"/>
  <c r="AT30" i="107"/>
  <c r="AT29" i="107"/>
  <c r="AT28" i="107"/>
  <c r="AU28" i="107" s="1"/>
  <c r="AV28" i="107" s="1"/>
  <c r="AT27" i="107"/>
  <c r="AN30" i="107"/>
  <c r="AO30" i="107" s="1"/>
  <c r="AP30" i="107" s="1"/>
  <c r="AQ30" i="107" s="1"/>
  <c r="AN29" i="107"/>
  <c r="AO29" i="107" s="1"/>
  <c r="AP29" i="107" s="1"/>
  <c r="AN28" i="107"/>
  <c r="AO28" i="107" s="1"/>
  <c r="AP28" i="107" s="1"/>
  <c r="AN27" i="107"/>
  <c r="AO27" i="107" s="1"/>
  <c r="AP27" i="107" s="1"/>
  <c r="AH30" i="107"/>
  <c r="AI30" i="107" s="1"/>
  <c r="AJ30" i="107" s="1"/>
  <c r="AH29" i="107"/>
  <c r="AI29" i="107" s="1"/>
  <c r="AJ29" i="107" s="1"/>
  <c r="AH28" i="107"/>
  <c r="AH27" i="107"/>
  <c r="AB30" i="107"/>
  <c r="AB29" i="107"/>
  <c r="AC29" i="107" s="1"/>
  <c r="AD29" i="107" s="1"/>
  <c r="AE29" i="107" s="1"/>
  <c r="AB28" i="107"/>
  <c r="AC28" i="107" s="1"/>
  <c r="AB27" i="107"/>
  <c r="V30" i="107"/>
  <c r="W30" i="107" s="1"/>
  <c r="X30" i="107" s="1"/>
  <c r="V29" i="107"/>
  <c r="V28" i="107"/>
  <c r="W28" i="107" s="1"/>
  <c r="X28" i="107" s="1"/>
  <c r="V27" i="107"/>
  <c r="P29" i="107"/>
  <c r="Q29" i="107" s="1"/>
  <c r="R29" i="107" s="1"/>
  <c r="S29" i="107" s="1"/>
  <c r="P28" i="107"/>
  <c r="Q28" i="107" s="1"/>
  <c r="R28" i="107" s="1"/>
  <c r="P27" i="107"/>
  <c r="Q27" i="107" s="1"/>
  <c r="R27" i="107" s="1"/>
  <c r="J28" i="107"/>
  <c r="K28" i="107" s="1"/>
  <c r="L28" i="107" s="1"/>
  <c r="J27" i="107"/>
  <c r="D28" i="107"/>
  <c r="E28" i="107" s="1"/>
  <c r="F28" i="107" s="1"/>
  <c r="D27" i="107"/>
  <c r="BL23" i="107"/>
  <c r="BM23" i="107" s="1"/>
  <c r="BL22" i="107"/>
  <c r="BM22" i="107" s="1"/>
  <c r="BL21" i="107"/>
  <c r="BM21" i="107" s="1"/>
  <c r="BL20" i="107"/>
  <c r="BM20" i="107" s="1"/>
  <c r="BN19" i="107" s="1"/>
  <c r="BK19" i="107"/>
  <c r="BK24" i="107" s="1"/>
  <c r="BK55" i="107" s="1"/>
  <c r="BK56" i="107" s="1"/>
  <c r="BK57" i="107" s="1"/>
  <c r="BF23" i="107"/>
  <c r="BG23" i="107" s="1"/>
  <c r="BH23" i="107" s="1"/>
  <c r="BF22" i="107"/>
  <c r="BG22" i="107" s="1"/>
  <c r="BH22" i="107" s="1"/>
  <c r="BF21" i="107"/>
  <c r="BF20" i="107"/>
  <c r="BE19" i="107"/>
  <c r="BE24" i="107" s="1"/>
  <c r="BE55" i="107" s="1"/>
  <c r="BE56" i="107" s="1"/>
  <c r="BE57" i="107" s="1"/>
  <c r="AZ23" i="107"/>
  <c r="BA23" i="107" s="1"/>
  <c r="BB23" i="107" s="1"/>
  <c r="AZ22" i="107"/>
  <c r="BA22" i="107" s="1"/>
  <c r="BB22" i="107" s="1"/>
  <c r="AZ21" i="107"/>
  <c r="AZ20" i="107"/>
  <c r="AY19" i="107"/>
  <c r="AY24" i="107" s="1"/>
  <c r="AY55" i="107" s="1"/>
  <c r="AY56" i="107" s="1"/>
  <c r="AY57" i="107" s="1"/>
  <c r="AT23" i="107"/>
  <c r="AU23" i="107" s="1"/>
  <c r="AV23" i="107" s="1"/>
  <c r="AT22" i="107"/>
  <c r="AU22" i="107" s="1"/>
  <c r="AV22" i="107" s="1"/>
  <c r="AT21" i="107"/>
  <c r="AU21" i="107" s="1"/>
  <c r="AV21" i="107" s="1"/>
  <c r="AT20" i="107"/>
  <c r="AS19" i="107"/>
  <c r="AS24" i="107" s="1"/>
  <c r="AS55" i="107" s="1"/>
  <c r="AS56" i="107" s="1"/>
  <c r="AS57" i="107" s="1"/>
  <c r="AN23" i="107"/>
  <c r="AN22" i="107"/>
  <c r="AO22" i="107" s="1"/>
  <c r="AP22" i="107" s="1"/>
  <c r="AN21" i="107"/>
  <c r="AO21" i="107" s="1"/>
  <c r="AP21" i="107" s="1"/>
  <c r="AN20" i="107"/>
  <c r="AO20" i="107" s="1"/>
  <c r="AM19" i="107"/>
  <c r="AM24" i="107" s="1"/>
  <c r="AM55" i="107" s="1"/>
  <c r="AM56" i="107" s="1"/>
  <c r="AM57" i="107" s="1"/>
  <c r="AH23" i="107"/>
  <c r="AH22" i="107"/>
  <c r="AI22" i="107" s="1"/>
  <c r="AJ22" i="107" s="1"/>
  <c r="AH21" i="107"/>
  <c r="AH20" i="107"/>
  <c r="AI20" i="107" s="1"/>
  <c r="AG19" i="107"/>
  <c r="AG24" i="107" s="1"/>
  <c r="AG55" i="107" s="1"/>
  <c r="AG56" i="107" s="1"/>
  <c r="AG57" i="107" s="1"/>
  <c r="AB23" i="107"/>
  <c r="AC23" i="107" s="1"/>
  <c r="AD23" i="107" s="1"/>
  <c r="AB22" i="107"/>
  <c r="AB21" i="107"/>
  <c r="AC21" i="107" s="1"/>
  <c r="AD21" i="107" s="1"/>
  <c r="AB20" i="107"/>
  <c r="AC20" i="107" s="1"/>
  <c r="AA19" i="107"/>
  <c r="AA24" i="107" s="1"/>
  <c r="AA55" i="107" s="1"/>
  <c r="AA56" i="107" s="1"/>
  <c r="AA57" i="107" s="1"/>
  <c r="V23" i="107"/>
  <c r="V22" i="107"/>
  <c r="W22" i="107" s="1"/>
  <c r="X22" i="107" s="1"/>
  <c r="V21" i="107"/>
  <c r="X20" i="107"/>
  <c r="V20" i="107"/>
  <c r="W20" i="107" s="1"/>
  <c r="U19" i="107"/>
  <c r="U24" i="107" s="1"/>
  <c r="U55" i="107" s="1"/>
  <c r="U56" i="107" s="1"/>
  <c r="U57" i="107" s="1"/>
  <c r="P23" i="107"/>
  <c r="Q23" i="107" s="1"/>
  <c r="R23" i="107" s="1"/>
  <c r="S23" i="107" s="1"/>
  <c r="P22" i="107"/>
  <c r="Q22" i="107" s="1"/>
  <c r="R22" i="107" s="1"/>
  <c r="S22" i="107" s="1"/>
  <c r="P21" i="107"/>
  <c r="Q21" i="107" s="1"/>
  <c r="R21" i="107" s="1"/>
  <c r="P20" i="107"/>
  <c r="Q20" i="107" s="1"/>
  <c r="O19" i="107"/>
  <c r="O24" i="107" s="1"/>
  <c r="O55" i="107" s="1"/>
  <c r="O56" i="107" s="1"/>
  <c r="O57" i="107" s="1"/>
  <c r="J23" i="107"/>
  <c r="K23" i="107" s="1"/>
  <c r="L23" i="107" s="1"/>
  <c r="M23" i="107" s="1"/>
  <c r="J22" i="107"/>
  <c r="J21" i="107"/>
  <c r="K21" i="107" s="1"/>
  <c r="L21" i="107" s="1"/>
  <c r="J20" i="107"/>
  <c r="I19" i="107"/>
  <c r="I24" i="107" s="1"/>
  <c r="I55" i="107" s="1"/>
  <c r="I56" i="107" s="1"/>
  <c r="I57" i="107" s="1"/>
  <c r="D23" i="107"/>
  <c r="E23" i="107" s="1"/>
  <c r="D22" i="107"/>
  <c r="E22" i="107" s="1"/>
  <c r="F22" i="107" s="1"/>
  <c r="D21" i="107"/>
  <c r="E21" i="107" s="1"/>
  <c r="F21" i="107" s="1"/>
  <c r="D20" i="107"/>
  <c r="E20" i="107" s="1"/>
  <c r="F20" i="107" s="1"/>
  <c r="C19" i="107"/>
  <c r="BR17" i="107"/>
  <c r="BS17" i="107" s="1"/>
  <c r="BT17" i="107" s="1"/>
  <c r="BW17" i="107" s="1"/>
  <c r="BL17" i="107"/>
  <c r="BM17" i="107" s="1"/>
  <c r="BL16" i="107"/>
  <c r="BL15" i="107"/>
  <c r="BM15" i="107" s="1"/>
  <c r="BN15" i="107" s="1"/>
  <c r="BL14" i="107"/>
  <c r="BM14" i="107" s="1"/>
  <c r="BN14" i="107" s="1"/>
  <c r="BL13" i="107"/>
  <c r="BM13" i="107" s="1"/>
  <c r="BN13" i="107" s="1"/>
  <c r="BL12" i="107"/>
  <c r="BL11" i="107"/>
  <c r="BM11" i="107" s="1"/>
  <c r="BL10" i="107"/>
  <c r="BM10" i="107" s="1"/>
  <c r="BN10" i="107" s="1"/>
  <c r="AM17" i="107"/>
  <c r="AN17" i="107" s="1"/>
  <c r="AO17" i="107" s="1"/>
  <c r="AP17" i="107" s="1"/>
  <c r="V17" i="107"/>
  <c r="W17" i="107" s="1"/>
  <c r="X17" i="107" s="1"/>
  <c r="U17" i="107"/>
  <c r="P17" i="107"/>
  <c r="Q17" i="107" s="1"/>
  <c r="R17" i="107" s="1"/>
  <c r="O17" i="107"/>
  <c r="J17" i="107"/>
  <c r="K17" i="107" s="1"/>
  <c r="L17" i="107" s="1"/>
  <c r="I17" i="107"/>
  <c r="C17" i="107"/>
  <c r="D17" i="107" s="1"/>
  <c r="E17" i="107" s="1"/>
  <c r="CG16" i="107"/>
  <c r="CG12" i="107"/>
  <c r="CA16" i="107"/>
  <c r="CA12" i="107"/>
  <c r="BU16" i="107"/>
  <c r="BU12" i="107"/>
  <c r="BF17" i="107"/>
  <c r="BF16" i="107"/>
  <c r="BF15" i="107"/>
  <c r="BF14" i="107"/>
  <c r="BF13" i="107"/>
  <c r="BG13" i="107" s="1"/>
  <c r="BH13" i="107" s="1"/>
  <c r="BF12" i="107"/>
  <c r="BF11" i="107"/>
  <c r="BG11" i="107" s="1"/>
  <c r="BG88" i="107" s="1"/>
  <c r="BF10" i="107"/>
  <c r="AZ17" i="107"/>
  <c r="BA17" i="107" s="1"/>
  <c r="BB17" i="107" s="1"/>
  <c r="AZ16" i="107"/>
  <c r="AZ15" i="107"/>
  <c r="BA15" i="107" s="1"/>
  <c r="BB15" i="107" s="1"/>
  <c r="AZ14" i="107"/>
  <c r="AZ13" i="107"/>
  <c r="AZ12" i="107"/>
  <c r="AZ11" i="107"/>
  <c r="AZ10" i="107"/>
  <c r="AT17" i="107"/>
  <c r="AT16" i="107"/>
  <c r="AT15" i="107"/>
  <c r="AT14" i="107"/>
  <c r="AT13" i="107"/>
  <c r="AT12" i="107"/>
  <c r="AT11" i="107"/>
  <c r="AU11" i="107" s="1"/>
  <c r="AU88" i="107" s="1"/>
  <c r="AT10" i="107"/>
  <c r="AN16" i="107"/>
  <c r="AO16" i="107" s="1"/>
  <c r="AP16" i="107" s="1"/>
  <c r="AN15" i="107"/>
  <c r="AN14" i="107"/>
  <c r="AO14" i="107" s="1"/>
  <c r="AP14" i="107" s="1"/>
  <c r="AN13" i="107"/>
  <c r="AN12" i="107"/>
  <c r="AN11" i="107"/>
  <c r="AN10" i="107"/>
  <c r="AH17" i="107"/>
  <c r="AH16" i="107"/>
  <c r="AH15" i="107"/>
  <c r="AH14" i="107"/>
  <c r="AH13" i="107"/>
  <c r="AH12" i="107"/>
  <c r="AI12" i="107" s="1"/>
  <c r="AJ12" i="107" s="1"/>
  <c r="AH11" i="107"/>
  <c r="AH10" i="107"/>
  <c r="AI10" i="107" s="1"/>
  <c r="AJ10" i="107" s="1"/>
  <c r="AB17" i="107"/>
  <c r="AB16" i="107"/>
  <c r="AC16" i="107" s="1"/>
  <c r="AD16" i="107" s="1"/>
  <c r="AB15" i="107"/>
  <c r="AB14" i="107"/>
  <c r="AC14" i="107" s="1"/>
  <c r="AD14" i="107" s="1"/>
  <c r="AB13" i="107"/>
  <c r="AC13" i="107" s="1"/>
  <c r="AD13" i="107" s="1"/>
  <c r="AB12" i="107"/>
  <c r="AC12" i="107" s="1"/>
  <c r="AD12" i="107" s="1"/>
  <c r="AB11" i="107"/>
  <c r="AC11" i="107" s="1"/>
  <c r="AB10" i="107"/>
  <c r="V16" i="107"/>
  <c r="V15" i="107"/>
  <c r="V14" i="107"/>
  <c r="V13" i="107"/>
  <c r="W13" i="107" s="1"/>
  <c r="X13" i="107" s="1"/>
  <c r="V12" i="107"/>
  <c r="W12" i="107" s="1"/>
  <c r="X12" i="107" s="1"/>
  <c r="V11" i="107"/>
  <c r="W11" i="107" s="1"/>
  <c r="W88" i="107" s="1"/>
  <c r="V10" i="107"/>
  <c r="W10" i="107" s="1"/>
  <c r="X10" i="107" s="1"/>
  <c r="P16" i="107"/>
  <c r="P15" i="107"/>
  <c r="P14" i="107"/>
  <c r="P13" i="107"/>
  <c r="P12" i="107"/>
  <c r="Q12" i="107" s="1"/>
  <c r="R12" i="107" s="1"/>
  <c r="P11" i="107"/>
  <c r="Q11" i="107" s="1"/>
  <c r="Q88" i="107" s="1"/>
  <c r="P10" i="107"/>
  <c r="Q10" i="107" s="1"/>
  <c r="R10" i="107" s="1"/>
  <c r="J16" i="107"/>
  <c r="J15" i="107"/>
  <c r="J14" i="107"/>
  <c r="J13" i="107"/>
  <c r="J12" i="107"/>
  <c r="J11" i="107"/>
  <c r="K11" i="107" s="1"/>
  <c r="K88" i="107" s="1"/>
  <c r="J10" i="107"/>
  <c r="K10" i="107" s="1"/>
  <c r="L10" i="107" s="1"/>
  <c r="D16" i="107"/>
  <c r="E16" i="107" s="1"/>
  <c r="D15" i="107"/>
  <c r="D14" i="107"/>
  <c r="E14" i="107" s="1"/>
  <c r="F14" i="107" s="1"/>
  <c r="D13" i="107"/>
  <c r="E13" i="107" s="1"/>
  <c r="F13" i="107" s="1"/>
  <c r="D12" i="107"/>
  <c r="E12" i="107" s="1"/>
  <c r="D11" i="107"/>
  <c r="E11" i="107" s="1"/>
  <c r="E88" i="107" s="1"/>
  <c r="D10" i="107"/>
  <c r="E10" i="107" s="1"/>
  <c r="BL8" i="107"/>
  <c r="BM8" i="107" s="1"/>
  <c r="BN8" i="107" s="1"/>
  <c r="BF8" i="107"/>
  <c r="BG8" i="107" s="1"/>
  <c r="BH8" i="107" s="1"/>
  <c r="BI8" i="107" s="1"/>
  <c r="AZ8" i="107"/>
  <c r="BA8" i="107" s="1"/>
  <c r="BB8" i="107" s="1"/>
  <c r="AT8" i="107"/>
  <c r="AU8" i="107" s="1"/>
  <c r="AN8" i="107"/>
  <c r="AH8" i="107"/>
  <c r="AI8" i="107" s="1"/>
  <c r="AJ8" i="107" s="1"/>
  <c r="AB8" i="107"/>
  <c r="V8" i="107"/>
  <c r="W8" i="107" s="1"/>
  <c r="P8" i="107"/>
  <c r="Q8" i="107" s="1"/>
  <c r="R8" i="107" s="1"/>
  <c r="J8" i="107"/>
  <c r="K8" i="107" s="1"/>
  <c r="D8" i="107"/>
  <c r="E8" i="107" s="1"/>
  <c r="BQ6" i="107"/>
  <c r="BW6" i="107" s="1"/>
  <c r="BL6" i="107"/>
  <c r="BM6" i="107" s="1"/>
  <c r="BN6" i="107" s="1"/>
  <c r="BI6" i="107"/>
  <c r="BI5" i="107"/>
  <c r="BC6" i="107"/>
  <c r="BC5" i="107"/>
  <c r="AW6" i="107"/>
  <c r="AW5" i="107"/>
  <c r="AQ6" i="107"/>
  <c r="AQ5" i="107"/>
  <c r="AK6" i="107"/>
  <c r="AK5" i="107"/>
  <c r="AE6" i="107"/>
  <c r="AE5" i="107"/>
  <c r="Y6" i="107"/>
  <c r="Y5" i="107"/>
  <c r="S6" i="107"/>
  <c r="S5" i="107"/>
  <c r="M6" i="107"/>
  <c r="M5" i="107"/>
  <c r="G6" i="107"/>
  <c r="G5" i="107"/>
  <c r="CG5" i="107"/>
  <c r="CA5" i="107"/>
  <c r="BU5" i="107"/>
  <c r="BO5" i="107"/>
  <c r="BM88" i="107" l="1"/>
  <c r="BM89" i="107" s="1"/>
  <c r="BN11" i="107"/>
  <c r="V19" i="107"/>
  <c r="BM103" i="106"/>
  <c r="BM104" i="106" s="1"/>
  <c r="BI69" i="107"/>
  <c r="BN111" i="106"/>
  <c r="BN13" i="3"/>
  <c r="CG62" i="107"/>
  <c r="BG89" i="107"/>
  <c r="K89" i="107"/>
  <c r="AU89" i="107"/>
  <c r="Q89" i="107"/>
  <c r="E89" i="107"/>
  <c r="W89" i="107"/>
  <c r="BZ18" i="29"/>
  <c r="BZ109" i="29"/>
  <c r="BY109" i="29"/>
  <c r="BM12" i="107"/>
  <c r="BM16" i="107"/>
  <c r="BM29" i="107"/>
  <c r="BM34" i="107"/>
  <c r="BM36" i="107"/>
  <c r="BM40" i="107"/>
  <c r="BM46" i="107"/>
  <c r="BM28" i="107"/>
  <c r="BN138" i="106" s="1"/>
  <c r="BM41" i="107"/>
  <c r="BM43" i="107"/>
  <c r="BM82" i="107"/>
  <c r="BO63" i="107"/>
  <c r="BO64" i="107" s="1"/>
  <c r="BO17" i="107"/>
  <c r="G22" i="107"/>
  <c r="P19" i="107"/>
  <c r="AE41" i="107"/>
  <c r="AK37" i="107"/>
  <c r="AQ41" i="107"/>
  <c r="AU40" i="107"/>
  <c r="AV40" i="107" s="1"/>
  <c r="BA38" i="107"/>
  <c r="BB38" i="107" s="1"/>
  <c r="BC41" i="107"/>
  <c r="BI37" i="107"/>
  <c r="AC46" i="107"/>
  <c r="AD46" i="107" s="1"/>
  <c r="AW63" i="107"/>
  <c r="AW64" i="107" s="1"/>
  <c r="S21" i="107"/>
  <c r="AQ22" i="107"/>
  <c r="Y28" i="107"/>
  <c r="I48" i="107"/>
  <c r="G43" i="107"/>
  <c r="AK39" i="107"/>
  <c r="BI43" i="107"/>
  <c r="G20" i="107"/>
  <c r="Q19" i="107"/>
  <c r="AE21" i="107"/>
  <c r="AQ21" i="107"/>
  <c r="AQ27" i="107"/>
  <c r="M30" i="107"/>
  <c r="M37" i="107"/>
  <c r="S36" i="107"/>
  <c r="S38" i="107"/>
  <c r="S40" i="107"/>
  <c r="S42" i="107"/>
  <c r="Y34" i="107"/>
  <c r="W44" i="107"/>
  <c r="Y36" i="107"/>
  <c r="Y38" i="107"/>
  <c r="Y40" i="107"/>
  <c r="Y43" i="107"/>
  <c r="AE34" i="107"/>
  <c r="AE37" i="107"/>
  <c r="AI40" i="107"/>
  <c r="AJ40" i="107" s="1"/>
  <c r="AO42" i="107"/>
  <c r="AP42" i="107" s="1"/>
  <c r="AP44" i="107" s="1"/>
  <c r="BG38" i="107"/>
  <c r="BH38" i="107" s="1"/>
  <c r="BH44" i="107" s="1"/>
  <c r="BO39" i="107"/>
  <c r="Q46" i="107"/>
  <c r="R46" i="107" s="1"/>
  <c r="BA46" i="107"/>
  <c r="BB46" i="107" s="1"/>
  <c r="M17" i="107"/>
  <c r="D19" i="107"/>
  <c r="D24" i="107" s="1"/>
  <c r="D55" i="107" s="1"/>
  <c r="D56" i="107" s="1"/>
  <c r="D57" i="107" s="1"/>
  <c r="AZ19" i="107"/>
  <c r="BA20" i="107"/>
  <c r="BB20" i="107" s="1"/>
  <c r="BF19" i="107"/>
  <c r="BF24" i="107" s="1"/>
  <c r="BF55" i="107" s="1"/>
  <c r="BF56" i="107" s="1"/>
  <c r="BF57" i="107" s="1"/>
  <c r="BG21" i="107"/>
  <c r="BH21" i="107" s="1"/>
  <c r="M28" i="107"/>
  <c r="S28" i="107"/>
  <c r="AD28" i="107"/>
  <c r="AE28" i="107" s="1"/>
  <c r="AQ29" i="107"/>
  <c r="AU30" i="107"/>
  <c r="AV30" i="107" s="1"/>
  <c r="BA28" i="107"/>
  <c r="BB28" i="107" s="1"/>
  <c r="BK48" i="107"/>
  <c r="G38" i="107"/>
  <c r="G40" i="107"/>
  <c r="V44" i="107"/>
  <c r="AB44" i="107"/>
  <c r="AE42" i="107"/>
  <c r="AI36" i="107"/>
  <c r="AJ36" i="107" s="1"/>
  <c r="AK38" i="107"/>
  <c r="AK43" i="107"/>
  <c r="AQ37" i="107"/>
  <c r="AO38" i="107"/>
  <c r="AP38" i="107" s="1"/>
  <c r="AU34" i="107"/>
  <c r="AV34" i="107" s="1"/>
  <c r="AT44" i="107"/>
  <c r="AU35" i="107"/>
  <c r="AW36" i="107"/>
  <c r="AW39" i="107"/>
  <c r="AW41" i="107"/>
  <c r="AW43" i="107"/>
  <c r="AZ44" i="107"/>
  <c r="BA34" i="107"/>
  <c r="BB34" i="107" s="1"/>
  <c r="BB44" i="107" s="1"/>
  <c r="BC39" i="107"/>
  <c r="BA40" i="107"/>
  <c r="BB40" i="107" s="1"/>
  <c r="BG40" i="107"/>
  <c r="BH40" i="107" s="1"/>
  <c r="AI44" i="107"/>
  <c r="AY48" i="107"/>
  <c r="AW82" i="107"/>
  <c r="E72" i="107"/>
  <c r="F68" i="107" s="1"/>
  <c r="F77" i="107" s="1"/>
  <c r="E76" i="107"/>
  <c r="E77" i="107"/>
  <c r="BI63" i="107"/>
  <c r="AK8" i="107"/>
  <c r="AH44" i="107"/>
  <c r="AN44" i="107"/>
  <c r="AQ35" i="107"/>
  <c r="BF44" i="107"/>
  <c r="BI35" i="107"/>
  <c r="BC63" i="107"/>
  <c r="BC64" i="107" s="1"/>
  <c r="BU30" i="107"/>
  <c r="CA30" i="107"/>
  <c r="AV8" i="107"/>
  <c r="AW8" i="107" s="1"/>
  <c r="CC6" i="107"/>
  <c r="CD6" i="107" s="1"/>
  <c r="CE6" i="107" s="1"/>
  <c r="CF6" i="107" s="1"/>
  <c r="BX6" i="107"/>
  <c r="BY6" i="107" s="1"/>
  <c r="BZ6" i="107" s="1"/>
  <c r="AC88" i="107"/>
  <c r="AC89" i="107" s="1"/>
  <c r="AD11" i="107"/>
  <c r="AD88" i="107" s="1"/>
  <c r="F8" i="107"/>
  <c r="G8" i="107" s="1"/>
  <c r="F10" i="107"/>
  <c r="G10" i="107" s="1"/>
  <c r="F16" i="107"/>
  <c r="G16" i="107" s="1"/>
  <c r="BX17" i="107"/>
  <c r="BY17" i="107" s="1"/>
  <c r="BZ17" i="107" s="1"/>
  <c r="CC17" i="107" s="1"/>
  <c r="L8" i="107"/>
  <c r="M8" i="107" s="1"/>
  <c r="AQ28" i="107"/>
  <c r="AP31" i="107"/>
  <c r="F23" i="107"/>
  <c r="G23" i="107" s="1"/>
  <c r="E19" i="107"/>
  <c r="F30" i="107"/>
  <c r="G30" i="107" s="1"/>
  <c r="F12" i="107"/>
  <c r="G12" i="107" s="1"/>
  <c r="X8" i="107"/>
  <c r="Y8" i="107" s="1"/>
  <c r="F17" i="107"/>
  <c r="G17" i="107" s="1"/>
  <c r="G14" i="107"/>
  <c r="AD20" i="107"/>
  <c r="AO13" i="107"/>
  <c r="AP13" i="107" s="1"/>
  <c r="BA14" i="107"/>
  <c r="BB14" i="107" s="1"/>
  <c r="AC15" i="107"/>
  <c r="AD15" i="107" s="1"/>
  <c r="AO15" i="107"/>
  <c r="AP15" i="107" s="1"/>
  <c r="BA16" i="107"/>
  <c r="BB16" i="107" s="1"/>
  <c r="V31" i="107"/>
  <c r="W27" i="107"/>
  <c r="E42" i="107"/>
  <c r="F42" i="107" s="1"/>
  <c r="G42" i="107"/>
  <c r="AM48" i="107"/>
  <c r="K12" i="107"/>
  <c r="L12" i="107" s="1"/>
  <c r="Q13" i="107"/>
  <c r="R13" i="107" s="1"/>
  <c r="X11" i="107"/>
  <c r="X88" i="107" s="1"/>
  <c r="W14" i="107"/>
  <c r="X14" i="107" s="1"/>
  <c r="AI17" i="107"/>
  <c r="AJ17" i="107" s="1"/>
  <c r="AO12" i="107"/>
  <c r="AP12" i="107" s="1"/>
  <c r="AV11" i="107"/>
  <c r="AV88" i="107" s="1"/>
  <c r="BA10" i="107"/>
  <c r="BB10" i="107" s="1"/>
  <c r="BA13" i="107"/>
  <c r="BB13" i="107" s="1"/>
  <c r="BH11" i="107"/>
  <c r="BH88" i="107" s="1"/>
  <c r="BH89" i="107" s="1"/>
  <c r="BL88" i="107"/>
  <c r="AJ20" i="107"/>
  <c r="AI23" i="107"/>
  <c r="AJ23" i="107" s="1"/>
  <c r="BA21" i="107"/>
  <c r="BI23" i="107"/>
  <c r="K27" i="107"/>
  <c r="S27" i="107"/>
  <c r="AC27" i="107"/>
  <c r="AB31" i="107"/>
  <c r="BG28" i="107"/>
  <c r="BH28" i="107" s="1"/>
  <c r="BL31" i="107"/>
  <c r="E37" i="107"/>
  <c r="F37" i="107" s="1"/>
  <c r="R35" i="107"/>
  <c r="S35" i="107" s="1"/>
  <c r="R37" i="107"/>
  <c r="S37" i="107" s="1"/>
  <c r="R39" i="107"/>
  <c r="S39" i="107" s="1"/>
  <c r="R41" i="107"/>
  <c r="S41" i="107" s="1"/>
  <c r="R43" i="107"/>
  <c r="S43" i="107" s="1"/>
  <c r="X35" i="107"/>
  <c r="Y35" i="107" s="1"/>
  <c r="X37" i="107"/>
  <c r="Y37" i="107" s="1"/>
  <c r="X39" i="107"/>
  <c r="Y39" i="107" s="1"/>
  <c r="Y41" i="107"/>
  <c r="AJ44" i="107"/>
  <c r="AK34" i="107"/>
  <c r="AC80" i="107"/>
  <c r="AD69" i="107"/>
  <c r="AI80" i="107"/>
  <c r="R71" i="107"/>
  <c r="S71" i="107" s="1"/>
  <c r="M10" i="107"/>
  <c r="K15" i="107"/>
  <c r="L15" i="107" s="1"/>
  <c r="P88" i="107"/>
  <c r="P89" i="107" s="1"/>
  <c r="Q16" i="107"/>
  <c r="R16" i="107" s="1"/>
  <c r="Y12" i="107"/>
  <c r="AC10" i="107"/>
  <c r="AD10" i="107" s="1"/>
  <c r="AE13" i="107"/>
  <c r="AE16" i="107"/>
  <c r="AH88" i="107"/>
  <c r="AH89" i="107" s="1"/>
  <c r="AI11" i="107"/>
  <c r="AI14" i="107"/>
  <c r="AJ14" i="107" s="1"/>
  <c r="AQ16" i="107"/>
  <c r="AU12" i="107"/>
  <c r="AV12" i="107" s="1"/>
  <c r="AU15" i="107"/>
  <c r="AV15" i="107" s="1"/>
  <c r="BC17" i="107"/>
  <c r="BG12" i="107"/>
  <c r="BH12" i="107" s="1"/>
  <c r="BG15" i="107"/>
  <c r="BH15" i="107" s="1"/>
  <c r="BU17" i="107"/>
  <c r="K20" i="107"/>
  <c r="W21" i="107"/>
  <c r="X21" i="107" s="1"/>
  <c r="AC22" i="107"/>
  <c r="AD22" i="107" s="1"/>
  <c r="AK20" i="107"/>
  <c r="AK30" i="107"/>
  <c r="AU27" i="107"/>
  <c r="AT31" i="107"/>
  <c r="F34" i="107"/>
  <c r="M43" i="107"/>
  <c r="AQ34" i="107"/>
  <c r="BI34" i="107"/>
  <c r="BQ74" i="107"/>
  <c r="P24" i="107"/>
  <c r="P55" i="107" s="1"/>
  <c r="P56" i="107" s="1"/>
  <c r="P57" i="107" s="1"/>
  <c r="AU20" i="107"/>
  <c r="AT19" i="107"/>
  <c r="AT24" i="107" s="1"/>
  <c r="AT55" i="107" s="1"/>
  <c r="AT56" i="107" s="1"/>
  <c r="AT57" i="107" s="1"/>
  <c r="BG20" i="107"/>
  <c r="AC30" i="107"/>
  <c r="AD30" i="107" s="1"/>
  <c r="O31" i="107"/>
  <c r="O48" i="107" s="1"/>
  <c r="P30" i="107"/>
  <c r="Q30" i="107" s="1"/>
  <c r="R30" i="107" s="1"/>
  <c r="R31" i="107" s="1"/>
  <c r="K39" i="107"/>
  <c r="L39" i="107" s="1"/>
  <c r="X82" i="107"/>
  <c r="Y82" i="107" s="1"/>
  <c r="AO8" i="107"/>
  <c r="AP8" i="107" s="1"/>
  <c r="W15" i="107"/>
  <c r="X15" i="107" s="1"/>
  <c r="BB27" i="107"/>
  <c r="J31" i="107"/>
  <c r="J44" i="107"/>
  <c r="K34" i="107"/>
  <c r="AC8" i="107"/>
  <c r="AD8" i="107" s="1"/>
  <c r="D88" i="107"/>
  <c r="D89" i="107" s="1"/>
  <c r="J88" i="107"/>
  <c r="J89" i="107" s="1"/>
  <c r="K16" i="107"/>
  <c r="L16" i="107" s="1"/>
  <c r="S12" i="107"/>
  <c r="Y13" i="107"/>
  <c r="AE14" i="107"/>
  <c r="AC17" i="107"/>
  <c r="AD17" i="107" s="1"/>
  <c r="AQ14" i="107"/>
  <c r="AU10" i="107"/>
  <c r="AV10" i="107" s="1"/>
  <c r="AU13" i="107"/>
  <c r="AV13" i="107" s="1"/>
  <c r="BC15" i="107"/>
  <c r="BG10" i="107"/>
  <c r="BH10" i="107" s="1"/>
  <c r="Y17" i="107"/>
  <c r="F19" i="107"/>
  <c r="M21" i="107"/>
  <c r="AE23" i="107"/>
  <c r="AK22" i="107"/>
  <c r="AN19" i="107"/>
  <c r="AN24" i="107" s="1"/>
  <c r="AN55" i="107" s="1"/>
  <c r="AN56" i="107" s="1"/>
  <c r="AN57" i="107" s="1"/>
  <c r="AW21" i="107"/>
  <c r="BC23" i="107"/>
  <c r="BL19" i="107"/>
  <c r="BL24" i="107" s="1"/>
  <c r="BL55" i="107" s="1"/>
  <c r="BL56" i="107" s="1"/>
  <c r="BL57" i="107" s="1"/>
  <c r="E27" i="107"/>
  <c r="AW28" i="107"/>
  <c r="BA30" i="107"/>
  <c r="BB30" i="107" s="1"/>
  <c r="BG30" i="107"/>
  <c r="BH30" i="107" s="1"/>
  <c r="C31" i="107"/>
  <c r="D29" i="107"/>
  <c r="E29" i="107" s="1"/>
  <c r="F29" i="107" s="1"/>
  <c r="AN31" i="107"/>
  <c r="BE48" i="107"/>
  <c r="E35" i="107"/>
  <c r="F35" i="107" s="1"/>
  <c r="M40" i="107"/>
  <c r="AD35" i="107"/>
  <c r="AE35" i="107" s="1"/>
  <c r="Y70" i="107"/>
  <c r="AZ88" i="107"/>
  <c r="AZ89" i="107" s="1"/>
  <c r="BL44" i="107"/>
  <c r="BC8" i="107"/>
  <c r="G13" i="107"/>
  <c r="R11" i="107"/>
  <c r="R88" i="107" s="1"/>
  <c r="Q14" i="107"/>
  <c r="R14" i="107" s="1"/>
  <c r="AI15" i="107"/>
  <c r="AJ15" i="107" s="1"/>
  <c r="AU16" i="107"/>
  <c r="AV16" i="107" s="1"/>
  <c r="BG16" i="107"/>
  <c r="BH16" i="107" s="1"/>
  <c r="C24" i="107"/>
  <c r="C55" i="107" s="1"/>
  <c r="C56" i="107" s="1"/>
  <c r="C57" i="107" s="1"/>
  <c r="AN88" i="107"/>
  <c r="AN89" i="107" s="1"/>
  <c r="AO11" i="107"/>
  <c r="BA12" i="107"/>
  <c r="BB12" i="107" s="1"/>
  <c r="K22" i="107"/>
  <c r="L22" i="107" s="1"/>
  <c r="AP20" i="107"/>
  <c r="AW22" i="107"/>
  <c r="P31" i="107"/>
  <c r="Y30" i="107"/>
  <c r="AU29" i="107"/>
  <c r="AV29" i="107" s="1"/>
  <c r="BH27" i="107"/>
  <c r="BI27" i="107" s="1"/>
  <c r="BF31" i="107"/>
  <c r="M35" i="107"/>
  <c r="S80" i="107"/>
  <c r="AZ24" i="107"/>
  <c r="AZ55" i="107" s="1"/>
  <c r="AZ56" i="107" s="1"/>
  <c r="AZ57" i="107" s="1"/>
  <c r="AZ31" i="107"/>
  <c r="BR6" i="107"/>
  <c r="BS6" i="107" s="1"/>
  <c r="BT6" i="107" s="1"/>
  <c r="E15" i="107"/>
  <c r="F15" i="107" s="1"/>
  <c r="K13" i="107"/>
  <c r="L13" i="107" s="1"/>
  <c r="Y10" i="107"/>
  <c r="AB88" i="107"/>
  <c r="AB89" i="107" s="1"/>
  <c r="AK12" i="107"/>
  <c r="AO10" i="107"/>
  <c r="AP10" i="107" s="1"/>
  <c r="BA11" i="107"/>
  <c r="BI13" i="107"/>
  <c r="V24" i="107"/>
  <c r="V55" i="107" s="1"/>
  <c r="V56" i="107" s="1"/>
  <c r="V57" i="107" s="1"/>
  <c r="AB19" i="107"/>
  <c r="AB24" i="107" s="1"/>
  <c r="AB55" i="107" s="1"/>
  <c r="AB56" i="107" s="1"/>
  <c r="AB57" i="107" s="1"/>
  <c r="AE20" i="107"/>
  <c r="AI21" i="107"/>
  <c r="AJ21" i="107" s="1"/>
  <c r="BC22" i="107"/>
  <c r="W29" i="107"/>
  <c r="X29" i="107" s="1"/>
  <c r="AI27" i="107"/>
  <c r="AH31" i="107"/>
  <c r="S30" i="107"/>
  <c r="AT48" i="107"/>
  <c r="S8" i="107"/>
  <c r="F11" i="107"/>
  <c r="F88" i="107" s="1"/>
  <c r="L11" i="107"/>
  <c r="L88" i="107" s="1"/>
  <c r="K14" i="107"/>
  <c r="L14" i="107" s="1"/>
  <c r="S10" i="107"/>
  <c r="Q15" i="107"/>
  <c r="R15" i="107" s="1"/>
  <c r="V88" i="107"/>
  <c r="V89" i="107" s="1"/>
  <c r="Y11" i="107"/>
  <c r="Y88" i="107" s="1"/>
  <c r="W16" i="107"/>
  <c r="X16" i="107" s="1"/>
  <c r="AE12" i="107"/>
  <c r="AK10" i="107"/>
  <c r="AI13" i="107"/>
  <c r="AJ13" i="107" s="1"/>
  <c r="AI16" i="107"/>
  <c r="AJ16" i="107" s="1"/>
  <c r="AT88" i="107"/>
  <c r="AT89" i="107" s="1"/>
  <c r="AW11" i="107"/>
  <c r="AW88" i="107" s="1"/>
  <c r="AU14" i="107"/>
  <c r="AV14" i="107" s="1"/>
  <c r="AU17" i="107"/>
  <c r="AV17" i="107" s="1"/>
  <c r="BF88" i="107"/>
  <c r="BI11" i="107"/>
  <c r="BG14" i="107"/>
  <c r="BH14" i="107" s="1"/>
  <c r="BG17" i="107"/>
  <c r="BH17" i="107" s="1"/>
  <c r="S17" i="107"/>
  <c r="AQ17" i="107"/>
  <c r="G21" i="107"/>
  <c r="J19" i="107"/>
  <c r="J24" i="107" s="1"/>
  <c r="J55" i="107" s="1"/>
  <c r="J56" i="107" s="1"/>
  <c r="J57" i="107" s="1"/>
  <c r="R20" i="107"/>
  <c r="W23" i="107"/>
  <c r="X23" i="107" s="1"/>
  <c r="X19" i="107" s="1"/>
  <c r="AH19" i="107"/>
  <c r="AH24" i="107" s="1"/>
  <c r="AH55" i="107" s="1"/>
  <c r="AH56" i="107" s="1"/>
  <c r="AH57" i="107" s="1"/>
  <c r="AO23" i="107"/>
  <c r="AP23" i="107" s="1"/>
  <c r="BI22" i="107"/>
  <c r="AI28" i="107"/>
  <c r="AJ28" i="107" s="1"/>
  <c r="CG30" i="107"/>
  <c r="K41" i="107"/>
  <c r="L41" i="107" s="1"/>
  <c r="D44" i="107"/>
  <c r="BH46" i="107"/>
  <c r="BI46" i="107" s="1"/>
  <c r="Y20" i="107"/>
  <c r="Y22" i="107"/>
  <c r="AW23" i="107"/>
  <c r="G28" i="107"/>
  <c r="AK29" i="107"/>
  <c r="BI29" i="107"/>
  <c r="M29" i="107"/>
  <c r="G36" i="107"/>
  <c r="M42" i="107"/>
  <c r="G46" i="107"/>
  <c r="X69" i="107"/>
  <c r="W80" i="107"/>
  <c r="AW71" i="107"/>
  <c r="AD82" i="107"/>
  <c r="AE82" i="107" s="1"/>
  <c r="AE70" i="107"/>
  <c r="BO30" i="107"/>
  <c r="AD44" i="107"/>
  <c r="BQ39" i="107"/>
  <c r="AK63" i="107"/>
  <c r="AK64" i="107" s="1"/>
  <c r="AO31" i="107"/>
  <c r="P44" i="107"/>
  <c r="Q34" i="107"/>
  <c r="AV46" i="107"/>
  <c r="L71" i="107"/>
  <c r="AG48" i="107"/>
  <c r="BO80" i="107"/>
  <c r="AC44" i="107"/>
  <c r="BA44" i="107"/>
  <c r="BG44" i="107"/>
  <c r="U48" i="107"/>
  <c r="AP71" i="107"/>
  <c r="BS64" i="107"/>
  <c r="BR63" i="107"/>
  <c r="BR39" i="107" s="1"/>
  <c r="AQ63" i="107"/>
  <c r="AQ64" i="107" s="1"/>
  <c r="AA48" i="107"/>
  <c r="AS48" i="107"/>
  <c r="Y46" i="107"/>
  <c r="AJ46" i="107"/>
  <c r="AK46" i="107" s="1"/>
  <c r="BB71" i="107"/>
  <c r="BC71" i="107" s="1"/>
  <c r="M46" i="107"/>
  <c r="AN48" i="107"/>
  <c r="BG82" i="107"/>
  <c r="BH70" i="107"/>
  <c r="AJ71" i="107"/>
  <c r="AK71" i="107" s="1"/>
  <c r="AI82" i="107"/>
  <c r="AJ70" i="107"/>
  <c r="AU80" i="107"/>
  <c r="AV69" i="107"/>
  <c r="AO80" i="107"/>
  <c r="AP69" i="107"/>
  <c r="F82" i="107"/>
  <c r="G82" i="107" s="1"/>
  <c r="F76" i="107"/>
  <c r="BA80" i="107"/>
  <c r="BB69" i="107"/>
  <c r="BY62" i="107"/>
  <c r="BO73" i="107"/>
  <c r="BO74" i="107" s="1"/>
  <c r="R80" i="107"/>
  <c r="E78" i="107"/>
  <c r="F69" i="107"/>
  <c r="F72" i="107" s="1"/>
  <c r="I68" i="107" s="1"/>
  <c r="BH71" i="107"/>
  <c r="AD71" i="107"/>
  <c r="AE71" i="107" s="1"/>
  <c r="BA82" i="107"/>
  <c r="BB70" i="107"/>
  <c r="K82" i="107"/>
  <c r="L70" i="107"/>
  <c r="BI64" i="107"/>
  <c r="R82" i="107"/>
  <c r="S82" i="107" s="1"/>
  <c r="X44" i="107" l="1"/>
  <c r="BO29" i="107"/>
  <c r="BN44" i="107"/>
  <c r="BN62" i="106"/>
  <c r="BN64" i="106"/>
  <c r="BN43" i="107"/>
  <c r="BO43" i="107" s="1"/>
  <c r="BN16" i="107"/>
  <c r="BO16" i="107" s="1"/>
  <c r="BN31" i="107"/>
  <c r="BN103" i="106"/>
  <c r="BN104" i="106" s="1"/>
  <c r="BO41" i="107"/>
  <c r="BN12" i="107"/>
  <c r="BN122" i="106"/>
  <c r="BN125" i="106" s="1"/>
  <c r="BN106" i="106"/>
  <c r="BN132" i="106"/>
  <c r="AU44" i="107"/>
  <c r="AE44" i="107"/>
  <c r="G19" i="107"/>
  <c r="BF48" i="107"/>
  <c r="AQ31" i="107"/>
  <c r="BO40" i="107"/>
  <c r="P48" i="107"/>
  <c r="BI14" i="107"/>
  <c r="AW34" i="107"/>
  <c r="BO28" i="107"/>
  <c r="BO138" i="106" s="1"/>
  <c r="BM138" i="106"/>
  <c r="BM122" i="106" s="1"/>
  <c r="BM125" i="106" s="1"/>
  <c r="CA109" i="29"/>
  <c r="CA18" i="29"/>
  <c r="CC18" i="29"/>
  <c r="AQ38" i="107"/>
  <c r="AK13" i="107"/>
  <c r="BC12" i="107"/>
  <c r="S15" i="107"/>
  <c r="C48" i="107"/>
  <c r="BI10" i="107"/>
  <c r="AW10" i="107"/>
  <c r="BC10" i="107"/>
  <c r="AW15" i="107"/>
  <c r="BC14" i="107"/>
  <c r="BI40" i="107"/>
  <c r="BI44" i="107" s="1"/>
  <c r="BC40" i="107"/>
  <c r="BI38" i="107"/>
  <c r="AQ42" i="107"/>
  <c r="AQ44" i="107" s="1"/>
  <c r="AK40" i="107"/>
  <c r="AW40" i="107"/>
  <c r="G11" i="107"/>
  <c r="G88" i="107" s="1"/>
  <c r="BI28" i="107"/>
  <c r="BC13" i="107"/>
  <c r="AE46" i="107"/>
  <c r="BC38" i="107"/>
  <c r="BB31" i="107"/>
  <c r="AE22" i="107"/>
  <c r="AE19" i="107" s="1"/>
  <c r="V48" i="107"/>
  <c r="AE8" i="107"/>
  <c r="E24" i="107"/>
  <c r="E55" i="107" s="1"/>
  <c r="E56" i="107" s="1"/>
  <c r="E57" i="107" s="1"/>
  <c r="Q31" i="107"/>
  <c r="BC28" i="107"/>
  <c r="BI21" i="107"/>
  <c r="AZ48" i="107"/>
  <c r="AQ23" i="107"/>
  <c r="X24" i="107"/>
  <c r="AW14" i="107"/>
  <c r="Y29" i="107"/>
  <c r="AK21" i="107"/>
  <c r="M41" i="107"/>
  <c r="AW29" i="107"/>
  <c r="AK28" i="107"/>
  <c r="M22" i="107"/>
  <c r="BI16" i="107"/>
  <c r="AW16" i="107"/>
  <c r="AK15" i="107"/>
  <c r="AE17" i="107"/>
  <c r="J48" i="107"/>
  <c r="BI30" i="107"/>
  <c r="BI31" i="107" s="1"/>
  <c r="Y21" i="107"/>
  <c r="BI15" i="107"/>
  <c r="AK17" i="107"/>
  <c r="AQ15" i="107"/>
  <c r="AE15" i="107"/>
  <c r="M12" i="107"/>
  <c r="Y15" i="107"/>
  <c r="BA31" i="107"/>
  <c r="BC34" i="107"/>
  <c r="AV35" i="107"/>
  <c r="AV44" i="107" s="1"/>
  <c r="AK36" i="107"/>
  <c r="BC46" i="107"/>
  <c r="S46" i="107"/>
  <c r="AW30" i="107"/>
  <c r="AO44" i="107"/>
  <c r="BC20" i="107"/>
  <c r="Y44" i="107"/>
  <c r="I78" i="107"/>
  <c r="I72" i="107"/>
  <c r="J68" i="107" s="1"/>
  <c r="M68" i="107"/>
  <c r="I77" i="107"/>
  <c r="I76" i="107"/>
  <c r="AE10" i="107"/>
  <c r="AJ82" i="107"/>
  <c r="AK82" i="107" s="1"/>
  <c r="BH82" i="107"/>
  <c r="BI82" i="107" s="1"/>
  <c r="BA88" i="107"/>
  <c r="BA89" i="107" s="1"/>
  <c r="BB11" i="107"/>
  <c r="AO88" i="107"/>
  <c r="AO89" i="107" s="1"/>
  <c r="AP11" i="107"/>
  <c r="AP88" i="107" s="1"/>
  <c r="BC27" i="107"/>
  <c r="BH20" i="107"/>
  <c r="BH19" i="107" s="1"/>
  <c r="BH24" i="107" s="1"/>
  <c r="BH55" i="107" s="1"/>
  <c r="BH56" i="107" s="1"/>
  <c r="BH57" i="107" s="1"/>
  <c r="BG19" i="107"/>
  <c r="BG24" i="107" s="1"/>
  <c r="BG55" i="107" s="1"/>
  <c r="BG56" i="107" s="1"/>
  <c r="BG57" i="107" s="1"/>
  <c r="BQ73" i="107"/>
  <c r="BR74" i="107"/>
  <c r="E44" i="107"/>
  <c r="AI88" i="107"/>
  <c r="AI89" i="107" s="1"/>
  <c r="AJ11" i="107"/>
  <c r="AJ88" i="107" s="1"/>
  <c r="AD80" i="107"/>
  <c r="AJ80" i="107"/>
  <c r="BB21" i="107"/>
  <c r="BB19" i="107" s="1"/>
  <c r="BA19" i="107"/>
  <c r="BA24" i="107" s="1"/>
  <c r="AQ8" i="107"/>
  <c r="AK70" i="107"/>
  <c r="AH48" i="107"/>
  <c r="BG31" i="107"/>
  <c r="M39" i="107"/>
  <c r="S31" i="107"/>
  <c r="M15" i="107"/>
  <c r="AK23" i="107"/>
  <c r="AK19" i="107" s="1"/>
  <c r="BS63" i="107"/>
  <c r="BS39" i="107" s="1"/>
  <c r="BT64" i="107"/>
  <c r="AK16" i="107"/>
  <c r="G29" i="107"/>
  <c r="E31" i="107"/>
  <c r="F27" i="107"/>
  <c r="G35" i="107"/>
  <c r="K31" i="107"/>
  <c r="L27" i="107"/>
  <c r="AJ19" i="107"/>
  <c r="BC16" i="107"/>
  <c r="Y14" i="107"/>
  <c r="M13" i="107"/>
  <c r="CA17" i="107"/>
  <c r="AQ20" i="107"/>
  <c r="AP19" i="107"/>
  <c r="F78" i="107"/>
  <c r="L80" i="107"/>
  <c r="G69" i="107"/>
  <c r="BH31" i="107"/>
  <c r="K44" i="107"/>
  <c r="L34" i="107"/>
  <c r="L44" i="107" s="1"/>
  <c r="AD27" i="107"/>
  <c r="AD31" i="107" s="1"/>
  <c r="AC31" i="107"/>
  <c r="W19" i="107"/>
  <c r="W24" i="107" s="1"/>
  <c r="W55" i="107" s="1"/>
  <c r="W56" i="107" s="1"/>
  <c r="W57" i="107" s="1"/>
  <c r="AP80" i="107"/>
  <c r="AQ69" i="107"/>
  <c r="X80" i="107"/>
  <c r="Y69" i="107"/>
  <c r="AW13" i="107"/>
  <c r="L82" i="107"/>
  <c r="M82" i="107" s="1"/>
  <c r="M70" i="107"/>
  <c r="BZ62" i="107"/>
  <c r="CA62" i="107" s="1"/>
  <c r="BL48" i="107"/>
  <c r="AQ71" i="107"/>
  <c r="M71" i="107"/>
  <c r="R34" i="107"/>
  <c r="R44" i="107" s="1"/>
  <c r="Q44" i="107"/>
  <c r="M14" i="107"/>
  <c r="AE11" i="107"/>
  <c r="AE88" i="107" s="1"/>
  <c r="AO19" i="107"/>
  <c r="AO24" i="107" s="1"/>
  <c r="AO55" i="107" s="1"/>
  <c r="AO56" i="107" s="1"/>
  <c r="AO57" i="107" s="1"/>
  <c r="BI17" i="107"/>
  <c r="Y16" i="107"/>
  <c r="M16" i="107"/>
  <c r="AU19" i="107"/>
  <c r="AU24" i="107" s="1"/>
  <c r="AU55" i="107" s="1"/>
  <c r="AU56" i="107" s="1"/>
  <c r="AU57" i="107" s="1"/>
  <c r="AV20" i="107"/>
  <c r="L20" i="107"/>
  <c r="K19" i="107"/>
  <c r="K24" i="107" s="1"/>
  <c r="K55" i="107" s="1"/>
  <c r="K56" i="107" s="1"/>
  <c r="K57" i="107" s="1"/>
  <c r="AW12" i="107"/>
  <c r="AI19" i="107"/>
  <c r="AI24" i="107" s="1"/>
  <c r="AI55" i="107" s="1"/>
  <c r="AI56" i="107" s="1"/>
  <c r="AI57" i="107" s="1"/>
  <c r="AK14" i="107"/>
  <c r="W31" i="107"/>
  <c r="X27" i="107"/>
  <c r="X31" i="107" s="1"/>
  <c r="S13" i="107"/>
  <c r="G15" i="107"/>
  <c r="G24" i="107" s="1"/>
  <c r="CD17" i="107"/>
  <c r="CE17" i="107" s="1"/>
  <c r="CF17" i="107" s="1"/>
  <c r="AU31" i="107"/>
  <c r="AU48" i="107" s="1"/>
  <c r="AV27" i="107"/>
  <c r="AV31" i="107" s="1"/>
  <c r="AV80" i="107"/>
  <c r="AW69" i="107"/>
  <c r="Y23" i="107"/>
  <c r="F24" i="107"/>
  <c r="F55" i="107" s="1"/>
  <c r="F56" i="107" s="1"/>
  <c r="F57" i="107" s="1"/>
  <c r="AE30" i="107"/>
  <c r="BI71" i="107"/>
  <c r="R19" i="107"/>
  <c r="R24" i="107" s="1"/>
  <c r="R55" i="107" s="1"/>
  <c r="R56" i="107" s="1"/>
  <c r="R57" i="107" s="1"/>
  <c r="S20" i="107"/>
  <c r="S19" i="107" s="1"/>
  <c r="Q24" i="107"/>
  <c r="Q55" i="107" s="1"/>
  <c r="Q56" i="107" s="1"/>
  <c r="Q57" i="107" s="1"/>
  <c r="AW17" i="107"/>
  <c r="M11" i="107"/>
  <c r="M88" i="107" s="1"/>
  <c r="S14" i="107"/>
  <c r="AC19" i="107"/>
  <c r="AC24" i="107" s="1"/>
  <c r="AC55" i="107" s="1"/>
  <c r="AC56" i="107" s="1"/>
  <c r="AC57" i="107" s="1"/>
  <c r="BB80" i="107"/>
  <c r="BH80" i="107"/>
  <c r="BC69" i="107"/>
  <c r="BB82" i="107"/>
  <c r="BC82" i="107" s="1"/>
  <c r="BC70" i="107"/>
  <c r="BI70" i="107"/>
  <c r="AW46" i="107"/>
  <c r="BI88" i="107"/>
  <c r="BF89" i="107"/>
  <c r="AI31" i="107"/>
  <c r="AJ27" i="107"/>
  <c r="AQ10" i="107"/>
  <c r="BC30" i="107"/>
  <c r="D31" i="107"/>
  <c r="D48" i="107" s="1"/>
  <c r="D51" i="107" s="1"/>
  <c r="F44" i="107"/>
  <c r="G34" i="107"/>
  <c r="BI12" i="107"/>
  <c r="S11" i="107"/>
  <c r="S88" i="107" s="1"/>
  <c r="AE69" i="107"/>
  <c r="AB48" i="107"/>
  <c r="BL89" i="107"/>
  <c r="S16" i="107"/>
  <c r="G37" i="107"/>
  <c r="AQ12" i="107"/>
  <c r="AQ13" i="107"/>
  <c r="AD19" i="107"/>
  <c r="AD24" i="107" s="1"/>
  <c r="BO36" i="107" l="1"/>
  <c r="BN133" i="106"/>
  <c r="BN24" i="107"/>
  <c r="BN81" i="106" s="1"/>
  <c r="BO12" i="107"/>
  <c r="AQ19" i="107"/>
  <c r="BO46" i="107"/>
  <c r="BG48" i="107"/>
  <c r="AK44" i="107"/>
  <c r="AD55" i="107"/>
  <c r="AD56" i="107" s="1"/>
  <c r="AD57" i="107" s="1"/>
  <c r="BM132" i="106"/>
  <c r="BM106" i="106"/>
  <c r="CD18" i="29"/>
  <c r="CD109" i="29"/>
  <c r="CC109" i="29"/>
  <c r="X48" i="107"/>
  <c r="AW35" i="107"/>
  <c r="AW44" i="107" s="1"/>
  <c r="BC44" i="107"/>
  <c r="Y19" i="107"/>
  <c r="Y24" i="107" s="1"/>
  <c r="AD48" i="107"/>
  <c r="E48" i="107"/>
  <c r="AE24" i="107"/>
  <c r="AQ11" i="107"/>
  <c r="AQ88" i="107" s="1"/>
  <c r="CG17" i="107"/>
  <c r="R48" i="107"/>
  <c r="AC48" i="107"/>
  <c r="BH48" i="107"/>
  <c r="AP24" i="107"/>
  <c r="BC31" i="107"/>
  <c r="X55" i="107"/>
  <c r="X56" i="107" s="1"/>
  <c r="X57" i="107" s="1"/>
  <c r="D52" i="107"/>
  <c r="E50" i="107"/>
  <c r="BB24" i="107"/>
  <c r="AE80" i="107"/>
  <c r="AK80" i="107"/>
  <c r="Y80" i="107"/>
  <c r="K48" i="107"/>
  <c r="M72" i="107"/>
  <c r="M78" i="107"/>
  <c r="M34" i="107"/>
  <c r="M44" i="107" s="1"/>
  <c r="S24" i="107"/>
  <c r="S55" i="107" s="1"/>
  <c r="S56" i="107" s="1"/>
  <c r="S57" i="107" s="1"/>
  <c r="L19" i="107"/>
  <c r="L24" i="107" s="1"/>
  <c r="L55" i="107" s="1"/>
  <c r="L56" i="107" s="1"/>
  <c r="L57" i="107" s="1"/>
  <c r="M20" i="107"/>
  <c r="M19" i="107" s="1"/>
  <c r="M24" i="107" s="1"/>
  <c r="M77" i="107"/>
  <c r="F31" i="107"/>
  <c r="F48" i="107" s="1"/>
  <c r="G27" i="107"/>
  <c r="G31" i="107" s="1"/>
  <c r="J78" i="107"/>
  <c r="J72" i="107"/>
  <c r="K68" i="107" s="1"/>
  <c r="J76" i="107"/>
  <c r="J77" i="107"/>
  <c r="AK11" i="107"/>
  <c r="AK88" i="107" s="1"/>
  <c r="W48" i="107"/>
  <c r="AV19" i="107"/>
  <c r="AV24" i="107" s="1"/>
  <c r="AV55" i="107" s="1"/>
  <c r="AV56" i="107" s="1"/>
  <c r="AV57" i="107" s="1"/>
  <c r="AW20" i="107"/>
  <c r="AW19" i="107" s="1"/>
  <c r="AW24" i="107" s="1"/>
  <c r="M76" i="107"/>
  <c r="BC21" i="107"/>
  <c r="BC19" i="107" s="1"/>
  <c r="Y27" i="107"/>
  <c r="Y31" i="107" s="1"/>
  <c r="BW64" i="107"/>
  <c r="BT63" i="107"/>
  <c r="BT39" i="107" s="1"/>
  <c r="BU39" i="107" s="1"/>
  <c r="BB88" i="107"/>
  <c r="BC11" i="107"/>
  <c r="BC88" i="107" s="1"/>
  <c r="BC80" i="107"/>
  <c r="BI80" i="107"/>
  <c r="AW80" i="107"/>
  <c r="AJ31" i="107"/>
  <c r="AK27" i="107"/>
  <c r="AK31" i="107" s="1"/>
  <c r="BI20" i="107"/>
  <c r="BI19" i="107" s="1"/>
  <c r="BI24" i="107" s="1"/>
  <c r="AE27" i="107"/>
  <c r="AE31" i="107" s="1"/>
  <c r="AJ24" i="107"/>
  <c r="AJ55" i="107" s="1"/>
  <c r="AJ56" i="107" s="1"/>
  <c r="AJ57" i="107" s="1"/>
  <c r="AW27" i="107"/>
  <c r="AW31" i="107" s="1"/>
  <c r="AO48" i="107"/>
  <c r="Q48" i="107"/>
  <c r="G44" i="107"/>
  <c r="G72" i="107"/>
  <c r="G78" i="107"/>
  <c r="M80" i="107"/>
  <c r="AI48" i="107"/>
  <c r="S34" i="107"/>
  <c r="S44" i="107" s="1"/>
  <c r="AQ80" i="107"/>
  <c r="L31" i="107"/>
  <c r="M27" i="107"/>
  <c r="M31" i="107" s="1"/>
  <c r="BA55" i="107"/>
  <c r="BA56" i="107" s="1"/>
  <c r="BA57" i="107" s="1"/>
  <c r="BA48" i="107"/>
  <c r="BR73" i="107"/>
  <c r="BS74" i="107"/>
  <c r="BN48" i="107" l="1"/>
  <c r="BN80" i="106"/>
  <c r="G48" i="107"/>
  <c r="G51" i="107" s="1"/>
  <c r="AE48" i="107"/>
  <c r="CE18" i="29"/>
  <c r="E51" i="107"/>
  <c r="F50" i="107" s="1"/>
  <c r="F51" i="107" s="1"/>
  <c r="F52" i="107" s="1"/>
  <c r="AW48" i="107"/>
  <c r="Y48" i="107"/>
  <c r="AJ48" i="107"/>
  <c r="M48" i="107"/>
  <c r="L48" i="107"/>
  <c r="AV48" i="107"/>
  <c r="Y55" i="107"/>
  <c r="Y56" i="107" s="1"/>
  <c r="Y57" i="107" s="1"/>
  <c r="AQ24" i="107"/>
  <c r="AQ55" i="107" s="1"/>
  <c r="AQ56" i="107" s="1"/>
  <c r="AQ57" i="107" s="1"/>
  <c r="BU63" i="107"/>
  <c r="BU64" i="107" s="1"/>
  <c r="AW55" i="107"/>
  <c r="AW56" i="107" s="1"/>
  <c r="AW57" i="107" s="1"/>
  <c r="G55" i="107"/>
  <c r="G56" i="107" s="1"/>
  <c r="G57" i="107" s="1"/>
  <c r="AP55" i="107"/>
  <c r="AP56" i="107" s="1"/>
  <c r="AP57" i="107" s="1"/>
  <c r="AP48" i="107"/>
  <c r="AQ48" i="107"/>
  <c r="K72" i="107"/>
  <c r="L68" i="107" s="1"/>
  <c r="K78" i="107"/>
  <c r="K77" i="107"/>
  <c r="K76" i="107"/>
  <c r="I50" i="107"/>
  <c r="BT74" i="107"/>
  <c r="BS73" i="107"/>
  <c r="S48" i="107"/>
  <c r="BI55" i="107"/>
  <c r="BI48" i="107"/>
  <c r="M55" i="107"/>
  <c r="M56" i="107" s="1"/>
  <c r="M57" i="107" s="1"/>
  <c r="AK24" i="107"/>
  <c r="AK55" i="107" s="1"/>
  <c r="AK56" i="107" s="1"/>
  <c r="AK57" i="107" s="1"/>
  <c r="BC24" i="107"/>
  <c r="BW63" i="107"/>
  <c r="BX64" i="107"/>
  <c r="BB55" i="107"/>
  <c r="BB56" i="107" s="1"/>
  <c r="BB57" i="107" s="1"/>
  <c r="BB48" i="107"/>
  <c r="AE55" i="107"/>
  <c r="AE56" i="107" s="1"/>
  <c r="AE57" i="107" s="1"/>
  <c r="E52" i="107" l="1"/>
  <c r="CF18" i="29"/>
  <c r="CG18" i="29" s="1"/>
  <c r="CF109" i="29"/>
  <c r="CE109" i="29"/>
  <c r="AK48" i="107"/>
  <c r="BC55" i="107"/>
  <c r="BC56" i="107" s="1"/>
  <c r="BC57" i="107" s="1"/>
  <c r="BC48" i="107"/>
  <c r="BW74" i="107"/>
  <c r="BT73" i="107"/>
  <c r="BU73" i="107" s="1"/>
  <c r="BU74" i="107" s="1"/>
  <c r="L72" i="107"/>
  <c r="O68" i="107" s="1"/>
  <c r="L78" i="107"/>
  <c r="L77" i="107"/>
  <c r="L76" i="107"/>
  <c r="M50" i="107"/>
  <c r="M51" i="107" s="1"/>
  <c r="I51" i="107"/>
  <c r="BY64" i="107"/>
  <c r="BX63" i="107"/>
  <c r="BX39" i="107" s="1"/>
  <c r="BW39" i="107"/>
  <c r="CG109" i="29" l="1"/>
  <c r="BX74" i="107"/>
  <c r="BW73" i="107"/>
  <c r="O77" i="107"/>
  <c r="O78" i="107"/>
  <c r="S68" i="107"/>
  <c r="O72" i="107"/>
  <c r="P68" i="107" s="1"/>
  <c r="O76" i="107"/>
  <c r="BZ64" i="107"/>
  <c r="BY63" i="107"/>
  <c r="BY39" i="107" s="1"/>
  <c r="O50" i="107"/>
  <c r="J50" i="107"/>
  <c r="J51" i="107" s="1"/>
  <c r="I52" i="107"/>
  <c r="S72" i="107" l="1"/>
  <c r="S78" i="107"/>
  <c r="S76" i="107"/>
  <c r="S77" i="107"/>
  <c r="S50" i="107"/>
  <c r="S51" i="107" s="1"/>
  <c r="O51" i="107"/>
  <c r="BY74" i="107"/>
  <c r="BX73" i="107"/>
  <c r="CC64" i="107"/>
  <c r="BZ63" i="107"/>
  <c r="J52" i="107"/>
  <c r="K50" i="107"/>
  <c r="K51" i="107" s="1"/>
  <c r="P72" i="107"/>
  <c r="Q68" i="107" s="1"/>
  <c r="P78" i="107"/>
  <c r="P76" i="107"/>
  <c r="P77" i="107"/>
  <c r="BZ39" i="107" l="1"/>
  <c r="CA39" i="107" s="1"/>
  <c r="CA63" i="107"/>
  <c r="CA64" i="107" s="1"/>
  <c r="CD64" i="107"/>
  <c r="CC63" i="107"/>
  <c r="BZ74" i="107"/>
  <c r="BY73" i="107"/>
  <c r="Q72" i="107"/>
  <c r="R68" i="107" s="1"/>
  <c r="Q78" i="107"/>
  <c r="Q76" i="107"/>
  <c r="Q77" i="107"/>
  <c r="K52" i="107"/>
  <c r="L50" i="107"/>
  <c r="L51" i="107" s="1"/>
  <c r="L52" i="107" s="1"/>
  <c r="O52" i="107"/>
  <c r="P50" i="107"/>
  <c r="P51" i="107" s="1"/>
  <c r="U50" i="107"/>
  <c r="BW124" i="106"/>
  <c r="CC124" i="106" s="1"/>
  <c r="CD124" i="106" s="1"/>
  <c r="CE124" i="106" s="1"/>
  <c r="CF124" i="106" s="1"/>
  <c r="CC39" i="107" l="1"/>
  <c r="CE64" i="107"/>
  <c r="CD63" i="107"/>
  <c r="CD39" i="107" s="1"/>
  <c r="Y50" i="107"/>
  <c r="Y51" i="107" s="1"/>
  <c r="U51" i="107"/>
  <c r="R72" i="107"/>
  <c r="U68" i="107" s="1"/>
  <c r="R76" i="107"/>
  <c r="R78" i="107"/>
  <c r="R77" i="107"/>
  <c r="Q50" i="107"/>
  <c r="Q51" i="107" s="1"/>
  <c r="P52" i="107"/>
  <c r="CC74" i="107"/>
  <c r="BZ73" i="107"/>
  <c r="BT111" i="51"/>
  <c r="BT97" i="51"/>
  <c r="BT90" i="51"/>
  <c r="AA50" i="107" l="1"/>
  <c r="Q52" i="107"/>
  <c r="R50" i="107"/>
  <c r="R51" i="107" s="1"/>
  <c r="R52" i="107" s="1"/>
  <c r="CF64" i="107"/>
  <c r="CF63" i="107" s="1"/>
  <c r="CF39" i="107" s="1"/>
  <c r="CE63" i="107"/>
  <c r="CE39" i="107" s="1"/>
  <c r="CA73" i="107"/>
  <c r="CA74" i="107" s="1"/>
  <c r="U76" i="107"/>
  <c r="U78" i="107"/>
  <c r="U77" i="107"/>
  <c r="Y68" i="107"/>
  <c r="U72" i="107"/>
  <c r="V68" i="107" s="1"/>
  <c r="CD74" i="107"/>
  <c r="CC73" i="107"/>
  <c r="U52" i="107"/>
  <c r="V50" i="107"/>
  <c r="V51" i="107" s="1"/>
  <c r="BM191" i="3"/>
  <c r="BM178" i="51"/>
  <c r="BM12" i="51"/>
  <c r="CG39" i="107" l="1"/>
  <c r="CE74" i="107"/>
  <c r="CD73" i="107"/>
  <c r="CG63" i="107"/>
  <c r="CG64" i="107" s="1"/>
  <c r="V72" i="107"/>
  <c r="W68" i="107" s="1"/>
  <c r="V77" i="107"/>
  <c r="V78" i="107"/>
  <c r="V76" i="107"/>
  <c r="Y72" i="107"/>
  <c r="Y77" i="107"/>
  <c r="Y76" i="107"/>
  <c r="Y78" i="107"/>
  <c r="V52" i="107"/>
  <c r="W50" i="107"/>
  <c r="W51" i="107" s="1"/>
  <c r="AE50" i="107"/>
  <c r="AE51" i="107" s="1"/>
  <c r="AA51" i="107"/>
  <c r="AB50" i="107" l="1"/>
  <c r="AB51" i="107" s="1"/>
  <c r="AA52" i="107"/>
  <c r="AG50" i="107"/>
  <c r="X50" i="107"/>
  <c r="X51" i="107" s="1"/>
  <c r="X52" i="107" s="1"/>
  <c r="W52" i="107"/>
  <c r="W72" i="107"/>
  <c r="X68" i="107" s="1"/>
  <c r="W77" i="107"/>
  <c r="W76" i="107"/>
  <c r="W78" i="107"/>
  <c r="CF74" i="107"/>
  <c r="CF73" i="107" s="1"/>
  <c r="CE73" i="107"/>
  <c r="BM39" i="51"/>
  <c r="BM32" i="51"/>
  <c r="AR14" i="119"/>
  <c r="AR13" i="119"/>
  <c r="CG73" i="107" l="1"/>
  <c r="CG74" i="107" s="1"/>
  <c r="AK50" i="107"/>
  <c r="AK51" i="107" s="1"/>
  <c r="AG51" i="107"/>
  <c r="X72" i="107"/>
  <c r="AA68" i="107" s="1"/>
  <c r="X77" i="107"/>
  <c r="X76" i="107"/>
  <c r="X78" i="107"/>
  <c r="AB52" i="107"/>
  <c r="AC50" i="107"/>
  <c r="AC51" i="107" s="1"/>
  <c r="BM179" i="51"/>
  <c r="AR24" i="119" s="1"/>
  <c r="BM153" i="51"/>
  <c r="BM146" i="51"/>
  <c r="BM169" i="3" s="1"/>
  <c r="BM26" i="51"/>
  <c r="BM20" i="51"/>
  <c r="BM172" i="51"/>
  <c r="AR21" i="119" s="1"/>
  <c r="BM167" i="51"/>
  <c r="BM126" i="51"/>
  <c r="BM113" i="51"/>
  <c r="AR23" i="119" s="1"/>
  <c r="BM109" i="51"/>
  <c r="BM111" i="51" s="1"/>
  <c r="BM106" i="51"/>
  <c r="BM101" i="51"/>
  <c r="BM115" i="51" s="1"/>
  <c r="BM99" i="51"/>
  <c r="BM95" i="51"/>
  <c r="BM92" i="51"/>
  <c r="AR17" i="119" s="1"/>
  <c r="BM88" i="51"/>
  <c r="BM90" i="51" s="1"/>
  <c r="BM72" i="51"/>
  <c r="AR12" i="119" s="1"/>
  <c r="BM68" i="51"/>
  <c r="BM70" i="51" s="1"/>
  <c r="BM77" i="51" s="1"/>
  <c r="BM54" i="51"/>
  <c r="AR22" i="119" s="1"/>
  <c r="BM50" i="51"/>
  <c r="BM52" i="51" s="1"/>
  <c r="BM47" i="51"/>
  <c r="BM42" i="51"/>
  <c r="BM40" i="51"/>
  <c r="BM36" i="51"/>
  <c r="BM33" i="51"/>
  <c r="AR16" i="119" s="1"/>
  <c r="BM29" i="51"/>
  <c r="BM31" i="51" s="1"/>
  <c r="BM13" i="51"/>
  <c r="AR9" i="119" s="1"/>
  <c r="BM9" i="51"/>
  <c r="BM11" i="51" s="1"/>
  <c r="BM61" i="3"/>
  <c r="BM22" i="3" s="1"/>
  <c r="BM54" i="3"/>
  <c r="BM52" i="3"/>
  <c r="BM47" i="3"/>
  <c r="BM39" i="3"/>
  <c r="BM38" i="3"/>
  <c r="BM36" i="3"/>
  <c r="BM16" i="3"/>
  <c r="BM10" i="3"/>
  <c r="AR20" i="119" l="1"/>
  <c r="BM38" i="51"/>
  <c r="AR19" i="119"/>
  <c r="BM97" i="51"/>
  <c r="BM14" i="3"/>
  <c r="BM41" i="3" s="1"/>
  <c r="BM104" i="3"/>
  <c r="AR10" i="119"/>
  <c r="AR11" i="119"/>
  <c r="BM101" i="3"/>
  <c r="BM144" i="3"/>
  <c r="BM155" i="3"/>
  <c r="AC52" i="107"/>
  <c r="AD50" i="107"/>
  <c r="AD51" i="107" s="1"/>
  <c r="AD52" i="107" s="1"/>
  <c r="AA77" i="107"/>
  <c r="AE68" i="107"/>
  <c r="AA76" i="107"/>
  <c r="AA72" i="107"/>
  <c r="AB68" i="107" s="1"/>
  <c r="AA78" i="107"/>
  <c r="AG52" i="107"/>
  <c r="AH50" i="107"/>
  <c r="AH51" i="107" s="1"/>
  <c r="AM50" i="107"/>
  <c r="BM56" i="51"/>
  <c r="BM37" i="3"/>
  <c r="BM160" i="51"/>
  <c r="BM165" i="51"/>
  <c r="BM18" i="51"/>
  <c r="BM24" i="51"/>
  <c r="BM83" i="51"/>
  <c r="BM20" i="3"/>
  <c r="BM187" i="3" l="1"/>
  <c r="AR179" i="119"/>
  <c r="BM156" i="106"/>
  <c r="BM63" i="106"/>
  <c r="BM159" i="3"/>
  <c r="BM142" i="3"/>
  <c r="BM99" i="3"/>
  <c r="BS99" i="3" s="1"/>
  <c r="BM152" i="3"/>
  <c r="AB72" i="107"/>
  <c r="AC68" i="107" s="1"/>
  <c r="AB78" i="107"/>
  <c r="AB76" i="107"/>
  <c r="AB77" i="107"/>
  <c r="AQ50" i="107"/>
  <c r="AQ51" i="107" s="1"/>
  <c r="AM51" i="107"/>
  <c r="AE72" i="107"/>
  <c r="AE77" i="107"/>
  <c r="AE76" i="107"/>
  <c r="AE78" i="107"/>
  <c r="AI50" i="107"/>
  <c r="AI51" i="107" s="1"/>
  <c r="AH52" i="107"/>
  <c r="BM174" i="51"/>
  <c r="BM43" i="3"/>
  <c r="BM24" i="3"/>
  <c r="BM21" i="3"/>
  <c r="BY99" i="3" l="1"/>
  <c r="CE99" i="3" s="1"/>
  <c r="BM146" i="3"/>
  <c r="BM103" i="3"/>
  <c r="BM158" i="3"/>
  <c r="BM189" i="3"/>
  <c r="BM157" i="106"/>
  <c r="BM158" i="106" s="1"/>
  <c r="BM159" i="106" s="1"/>
  <c r="BM160" i="106" s="1"/>
  <c r="AS50" i="107"/>
  <c r="AI52" i="107"/>
  <c r="AJ50" i="107"/>
  <c r="AJ51" i="107" s="1"/>
  <c r="AJ52" i="107" s="1"/>
  <c r="AM52" i="107"/>
  <c r="AN50" i="107"/>
  <c r="AN51" i="107" s="1"/>
  <c r="AC72" i="107"/>
  <c r="AD68" i="107" s="1"/>
  <c r="AC76" i="107"/>
  <c r="AC77" i="107"/>
  <c r="AC78" i="107"/>
  <c r="BM180" i="51"/>
  <c r="BM27" i="3"/>
  <c r="BM26" i="3"/>
  <c r="AW50" i="107" l="1"/>
  <c r="AW51" i="107" s="1"/>
  <c r="AS51" i="107"/>
  <c r="AD72" i="107"/>
  <c r="AG68" i="107" s="1"/>
  <c r="AD76" i="107"/>
  <c r="AD77" i="107"/>
  <c r="AD78" i="107"/>
  <c r="AN52" i="107"/>
  <c r="AO50" i="107"/>
  <c r="AO51" i="107" s="1"/>
  <c r="BM33" i="3"/>
  <c r="BM67" i="3"/>
  <c r="BM93" i="106" s="1"/>
  <c r="BM44" i="3"/>
  <c r="BM68" i="3" l="1"/>
  <c r="AP50" i="107"/>
  <c r="AP51" i="107" s="1"/>
  <c r="AP52" i="107" s="1"/>
  <c r="AO52" i="107"/>
  <c r="AG78" i="107"/>
  <c r="AG76" i="107"/>
  <c r="AK68" i="107"/>
  <c r="AG72" i="107"/>
  <c r="AH68" i="107" s="1"/>
  <c r="AG77" i="107"/>
  <c r="AS52" i="107"/>
  <c r="AT50" i="107"/>
  <c r="AT51" i="107" s="1"/>
  <c r="AY50" i="107"/>
  <c r="AK72" i="107" l="1"/>
  <c r="AK78" i="107"/>
  <c r="AK77" i="107"/>
  <c r="AK76" i="107"/>
  <c r="BC50" i="107"/>
  <c r="BC51" i="107" s="1"/>
  <c r="AY51" i="107"/>
  <c r="AH72" i="107"/>
  <c r="AI68" i="107" s="1"/>
  <c r="AH78" i="107"/>
  <c r="AH77" i="107"/>
  <c r="AH76" i="107"/>
  <c r="AT52" i="107"/>
  <c r="AU50" i="107"/>
  <c r="AU51" i="107" s="1"/>
  <c r="BE50" i="107" l="1"/>
  <c r="AI72" i="107"/>
  <c r="AJ68" i="107" s="1"/>
  <c r="AI78" i="107"/>
  <c r="AI76" i="107"/>
  <c r="AI77" i="107"/>
  <c r="AZ50" i="107"/>
  <c r="AZ51" i="107" s="1"/>
  <c r="AY52" i="107"/>
  <c r="AU52" i="107"/>
  <c r="AV50" i="107"/>
  <c r="AV51" i="107" s="1"/>
  <c r="AV52" i="107" s="1"/>
  <c r="AZ52" i="107" l="1"/>
  <c r="BA50" i="107"/>
  <c r="BA51" i="107" s="1"/>
  <c r="AJ72" i="107"/>
  <c r="AM68" i="107" s="1"/>
  <c r="AJ78" i="107"/>
  <c r="AJ76" i="107"/>
  <c r="AJ77" i="107"/>
  <c r="BI50" i="107"/>
  <c r="BI51" i="107" s="1"/>
  <c r="BE51" i="107"/>
  <c r="BK50" i="107" l="1"/>
  <c r="AM78" i="107"/>
  <c r="AM76" i="107"/>
  <c r="AM77" i="107"/>
  <c r="AM72" i="107"/>
  <c r="AN68" i="107" s="1"/>
  <c r="AQ68" i="107"/>
  <c r="BF50" i="107"/>
  <c r="BF51" i="107" s="1"/>
  <c r="BE52" i="107"/>
  <c r="BA52" i="107"/>
  <c r="BB50" i="107"/>
  <c r="BB51" i="107" s="1"/>
  <c r="BB52" i="107" s="1"/>
  <c r="AN72" i="107" l="1"/>
  <c r="AO68" i="107" s="1"/>
  <c r="AN78" i="107"/>
  <c r="AN76" i="107"/>
  <c r="AN77" i="107"/>
  <c r="BG50" i="107"/>
  <c r="BG51" i="107" s="1"/>
  <c r="BF52" i="107"/>
  <c r="BO50" i="107"/>
  <c r="BK51" i="107"/>
  <c r="AQ72" i="107"/>
  <c r="AQ76" i="107"/>
  <c r="AQ78" i="107"/>
  <c r="AQ77" i="107"/>
  <c r="BK52" i="107" l="1"/>
  <c r="BL50" i="107"/>
  <c r="BL51" i="107" s="1"/>
  <c r="BG52" i="107"/>
  <c r="BH50" i="107"/>
  <c r="BH51" i="107" s="1"/>
  <c r="BH52" i="107" s="1"/>
  <c r="AO72" i="107"/>
  <c r="AP68" i="107" s="1"/>
  <c r="AO76" i="107"/>
  <c r="AO77" i="107"/>
  <c r="AO78" i="107"/>
  <c r="BM50" i="107" l="1"/>
  <c r="BL52" i="107"/>
  <c r="AP72" i="107"/>
  <c r="AS68" i="107" s="1"/>
  <c r="AP76" i="107"/>
  <c r="AP77" i="107"/>
  <c r="AP78" i="107"/>
  <c r="AS76" i="107" l="1"/>
  <c r="AS78" i="107"/>
  <c r="AW68" i="107"/>
  <c r="AS77" i="107"/>
  <c r="AS72" i="107"/>
  <c r="AT68" i="107" s="1"/>
  <c r="AW72" i="107" l="1"/>
  <c r="AW76" i="107"/>
  <c r="AW77" i="107"/>
  <c r="AW78" i="107"/>
  <c r="AT77" i="107"/>
  <c r="AT72" i="107"/>
  <c r="AU68" i="107" s="1"/>
  <c r="AT78" i="107"/>
  <c r="AT76" i="107"/>
  <c r="AU72" i="107" l="1"/>
  <c r="AV68" i="107" s="1"/>
  <c r="AU77" i="107"/>
  <c r="AU76" i="107"/>
  <c r="AU78" i="107"/>
  <c r="AV72" i="107" l="1"/>
  <c r="AY68" i="107" s="1"/>
  <c r="AV76" i="107"/>
  <c r="AV77" i="107"/>
  <c r="AV78" i="107"/>
  <c r="AY77" i="107" l="1"/>
  <c r="AY78" i="107"/>
  <c r="AY76" i="107"/>
  <c r="BC68" i="107"/>
  <c r="AY72" i="107"/>
  <c r="AZ68" i="107" s="1"/>
  <c r="BH142" i="51"/>
  <c r="BH136" i="51"/>
  <c r="BH83" i="51"/>
  <c r="BH77" i="51"/>
  <c r="BC72" i="107" l="1"/>
  <c r="BC77" i="107"/>
  <c r="BC78" i="107"/>
  <c r="BC76" i="107"/>
  <c r="AZ72" i="107"/>
  <c r="BA68" i="107" s="1"/>
  <c r="AZ77" i="107"/>
  <c r="AZ76" i="107"/>
  <c r="AZ78" i="107"/>
  <c r="BA72" i="107" l="1"/>
  <c r="BB68" i="107" s="1"/>
  <c r="BA76" i="107"/>
  <c r="BA77" i="107"/>
  <c r="BA78" i="107"/>
  <c r="BK167" i="51"/>
  <c r="BB72" i="107" l="1"/>
  <c r="BE68" i="107" s="1"/>
  <c r="BB78" i="107"/>
  <c r="BB77" i="107"/>
  <c r="BB76" i="107"/>
  <c r="U76" i="119"/>
  <c r="T76" i="119"/>
  <c r="S76" i="119"/>
  <c r="R76" i="119"/>
  <c r="U75" i="119"/>
  <c r="T75" i="119"/>
  <c r="S75" i="119"/>
  <c r="R75" i="119"/>
  <c r="U74" i="119"/>
  <c r="T74" i="119"/>
  <c r="S74" i="119"/>
  <c r="R74" i="119"/>
  <c r="Q76" i="119"/>
  <c r="P76" i="119"/>
  <c r="O76" i="119"/>
  <c r="N76" i="119"/>
  <c r="Q75" i="119"/>
  <c r="P75" i="119"/>
  <c r="O75" i="119"/>
  <c r="N75" i="119"/>
  <c r="Q74" i="119"/>
  <c r="P74" i="119"/>
  <c r="O74" i="119"/>
  <c r="N74" i="119"/>
  <c r="M76" i="119"/>
  <c r="L76" i="119"/>
  <c r="K76" i="119"/>
  <c r="J76" i="119"/>
  <c r="M75" i="119"/>
  <c r="L75" i="119"/>
  <c r="K75" i="119"/>
  <c r="J75" i="119"/>
  <c r="M74" i="119"/>
  <c r="L74" i="119"/>
  <c r="K74" i="119"/>
  <c r="J74" i="119"/>
  <c r="I76" i="119"/>
  <c r="H76" i="119"/>
  <c r="G76" i="119"/>
  <c r="F76" i="119"/>
  <c r="I75" i="119"/>
  <c r="H75" i="119"/>
  <c r="G75" i="119"/>
  <c r="F75" i="119"/>
  <c r="F74" i="119"/>
  <c r="I74" i="119"/>
  <c r="H74" i="119"/>
  <c r="G74" i="119"/>
  <c r="E76" i="119"/>
  <c r="D76" i="119"/>
  <c r="C76" i="119"/>
  <c r="E75" i="119"/>
  <c r="D75" i="119"/>
  <c r="C75" i="119"/>
  <c r="E74" i="119"/>
  <c r="D74" i="119"/>
  <c r="C74" i="119"/>
  <c r="B76" i="119"/>
  <c r="B75" i="119"/>
  <c r="B74" i="119"/>
  <c r="BE77" i="107" l="1"/>
  <c r="BE78" i="107"/>
  <c r="BE76" i="107"/>
  <c r="BE72" i="107"/>
  <c r="BF68" i="107" s="1"/>
  <c r="BI68" i="107"/>
  <c r="BF78" i="107" l="1"/>
  <c r="BF76" i="107"/>
  <c r="BF72" i="107"/>
  <c r="BG68" i="107" s="1"/>
  <c r="BF77" i="107"/>
  <c r="BI72" i="107"/>
  <c r="BI78" i="107"/>
  <c r="BI76" i="107"/>
  <c r="BI77" i="107"/>
  <c r="BG72" i="107" l="1"/>
  <c r="BH68" i="107" s="1"/>
  <c r="BG78" i="107"/>
  <c r="BG76" i="107"/>
  <c r="BG77" i="107"/>
  <c r="BH72" i="107" l="1"/>
  <c r="BK68" i="107" s="1"/>
  <c r="BH78" i="107"/>
  <c r="BH76" i="107"/>
  <c r="BH77" i="107"/>
  <c r="BK77" i="107" l="1"/>
  <c r="BK72" i="107"/>
  <c r="BL68" i="107" s="1"/>
  <c r="BK78" i="107"/>
  <c r="BO68" i="107"/>
  <c r="BK76" i="107"/>
  <c r="BL72" i="107" l="1"/>
  <c r="BM68" i="107" s="1"/>
  <c r="BL76" i="107"/>
  <c r="BL77" i="107"/>
  <c r="BL78" i="107"/>
  <c r="BO78" i="107"/>
  <c r="BM78" i="107" l="1"/>
  <c r="BM72" i="107"/>
  <c r="BM77" i="107"/>
  <c r="BQ77" i="107" s="1"/>
  <c r="BR77" i="107" s="1"/>
  <c r="BS77" i="107" s="1"/>
  <c r="BT77" i="107" s="1"/>
  <c r="BW77" i="107" s="1"/>
  <c r="BX77" i="107" s="1"/>
  <c r="BY77" i="107" s="1"/>
  <c r="BZ77" i="107" s="1"/>
  <c r="CC77" i="107" s="1"/>
  <c r="CD77" i="107" s="1"/>
  <c r="CE77" i="107" s="1"/>
  <c r="CF77" i="107" s="1"/>
  <c r="BM76" i="107"/>
  <c r="BQ76" i="107" s="1"/>
  <c r="BR76" i="107" s="1"/>
  <c r="BS76" i="107" s="1"/>
  <c r="BT76" i="107" s="1"/>
  <c r="BW76" i="107" s="1"/>
  <c r="BX76" i="107" s="1"/>
  <c r="BY76" i="107" s="1"/>
  <c r="BZ76" i="107" s="1"/>
  <c r="CC76" i="107" s="1"/>
  <c r="CD76" i="107" s="1"/>
  <c r="CE76" i="107" s="1"/>
  <c r="CF76" i="107" s="1"/>
  <c r="BO71" i="107" l="1"/>
  <c r="BO77" i="107" s="1"/>
  <c r="BO70" i="107" l="1"/>
  <c r="BO76" i="107" s="1"/>
  <c r="BQ68" i="107"/>
  <c r="BO82" i="107"/>
  <c r="BO72" i="107" l="1"/>
  <c r="BO38" i="107"/>
  <c r="BQ70" i="107"/>
  <c r="BQ71" i="107"/>
  <c r="BQ78" i="107"/>
  <c r="BU68" i="107"/>
  <c r="BQ82" i="107" l="1"/>
  <c r="BU78" i="107"/>
  <c r="BQ72" i="107"/>
  <c r="BR68" i="107" s="1"/>
  <c r="BQ38" i="107" l="1"/>
  <c r="BR70" i="107"/>
  <c r="BR78" i="107"/>
  <c r="BR71" i="107"/>
  <c r="BR72" i="107" l="1"/>
  <c r="BS68" i="107" s="1"/>
  <c r="BS70" i="107" s="1"/>
  <c r="BR82" i="107"/>
  <c r="BS78" i="107" l="1"/>
  <c r="BS82" i="107"/>
  <c r="BS38" i="107" s="1"/>
  <c r="BS71" i="107"/>
  <c r="BS72" i="107" s="1"/>
  <c r="BT68" i="107" s="1"/>
  <c r="BR38" i="107"/>
  <c r="BL20" i="51"/>
  <c r="BT71" i="107" l="1"/>
  <c r="BU71" i="107" s="1"/>
  <c r="BU77" i="107" s="1"/>
  <c r="BT70" i="107"/>
  <c r="BT78" i="107"/>
  <c r="BT72" i="107" l="1"/>
  <c r="BW68" i="107" s="1"/>
  <c r="CA68" i="107" s="1"/>
  <c r="BT82" i="107"/>
  <c r="BU70" i="107"/>
  <c r="BX21" i="3"/>
  <c r="BW70" i="107" l="1"/>
  <c r="BW82" i="107" s="1"/>
  <c r="BW71" i="107"/>
  <c r="BU72" i="107"/>
  <c r="BU76" i="107"/>
  <c r="BW78" i="107"/>
  <c r="BT38" i="107"/>
  <c r="BU38" i="107" s="1"/>
  <c r="BU82" i="107"/>
  <c r="BY21" i="3"/>
  <c r="BX157" i="106"/>
  <c r="CA78" i="107"/>
  <c r="BI30" i="3"/>
  <c r="BI31" i="3"/>
  <c r="S32" i="3"/>
  <c r="Y32" i="3"/>
  <c r="AE32" i="3"/>
  <c r="AK32" i="3"/>
  <c r="AQ32" i="3"/>
  <c r="AW32" i="3"/>
  <c r="BC32" i="3"/>
  <c r="BI32" i="3"/>
  <c r="M32" i="3"/>
  <c r="G32" i="3"/>
  <c r="BW72" i="107" l="1"/>
  <c r="BX68" i="107" s="1"/>
  <c r="BX71" i="107" s="1"/>
  <c r="BI56" i="107"/>
  <c r="BI57" i="107" s="1"/>
  <c r="BZ21" i="3"/>
  <c r="BY157" i="106"/>
  <c r="BW38" i="107"/>
  <c r="BX78" i="107"/>
  <c r="G5" i="3"/>
  <c r="M5" i="3"/>
  <c r="S5" i="3"/>
  <c r="Y5" i="3"/>
  <c r="AE5" i="3"/>
  <c r="AK5" i="3"/>
  <c r="AQ5" i="3"/>
  <c r="AW5" i="3"/>
  <c r="BC5" i="3"/>
  <c r="BI5" i="3"/>
  <c r="BO5" i="3"/>
  <c r="BU5" i="3"/>
  <c r="CA5" i="3"/>
  <c r="CG5" i="3"/>
  <c r="G6" i="3"/>
  <c r="M6" i="3"/>
  <c r="S6" i="3"/>
  <c r="Y6" i="3"/>
  <c r="AE6" i="3"/>
  <c r="AK6" i="3"/>
  <c r="AQ6" i="3"/>
  <c r="AW6" i="3"/>
  <c r="BC6" i="3"/>
  <c r="BI6" i="3"/>
  <c r="BL6" i="3"/>
  <c r="BM6" i="3" s="1"/>
  <c r="BQ6" i="3"/>
  <c r="D7" i="3"/>
  <c r="E7" i="3"/>
  <c r="F7" i="3"/>
  <c r="I7" i="3"/>
  <c r="J7" i="3"/>
  <c r="K7" i="3"/>
  <c r="L7" i="3"/>
  <c r="O7" i="3"/>
  <c r="P7" i="3"/>
  <c r="Q7" i="3"/>
  <c r="R7" i="3"/>
  <c r="U7" i="3"/>
  <c r="V7" i="3"/>
  <c r="W7" i="3"/>
  <c r="X7" i="3"/>
  <c r="AA7" i="3"/>
  <c r="AB7" i="3"/>
  <c r="AC7" i="3"/>
  <c r="AD7" i="3"/>
  <c r="AG7" i="3"/>
  <c r="AH7" i="3"/>
  <c r="AI7" i="3"/>
  <c r="AJ7" i="3"/>
  <c r="AM7" i="3"/>
  <c r="AN7" i="3"/>
  <c r="AO7" i="3"/>
  <c r="AP7" i="3"/>
  <c r="AS7" i="3"/>
  <c r="AT7" i="3"/>
  <c r="AU7" i="3"/>
  <c r="AV7" i="3"/>
  <c r="AY7" i="3"/>
  <c r="AZ7" i="3"/>
  <c r="BA7" i="3"/>
  <c r="BB7" i="3"/>
  <c r="BE7" i="3"/>
  <c r="BF7" i="3"/>
  <c r="BG7" i="3"/>
  <c r="BH7" i="3"/>
  <c r="BK7" i="3"/>
  <c r="F8" i="3"/>
  <c r="L8" i="3"/>
  <c r="L194" i="3" s="1"/>
  <c r="R8" i="3"/>
  <c r="R155" i="106" s="1"/>
  <c r="X8" i="3"/>
  <c r="AD8" i="3"/>
  <c r="AJ8" i="3"/>
  <c r="AK8" i="3" s="1"/>
  <c r="AP8" i="3"/>
  <c r="AV8" i="3"/>
  <c r="BB8" i="3"/>
  <c r="BI8" i="3"/>
  <c r="F9" i="3"/>
  <c r="F85" i="107" s="1"/>
  <c r="L9" i="3"/>
  <c r="L85" i="107" s="1"/>
  <c r="R9" i="3"/>
  <c r="R85" i="107" s="1"/>
  <c r="X9" i="3"/>
  <c r="X85" i="107" s="1"/>
  <c r="AD9" i="3"/>
  <c r="AJ9" i="3"/>
  <c r="AJ85" i="107" s="1"/>
  <c r="AP9" i="3"/>
  <c r="AP85" i="107" s="1"/>
  <c r="AV9" i="3"/>
  <c r="AV85" i="107" s="1"/>
  <c r="BB9" i="3"/>
  <c r="BB85" i="107" s="1"/>
  <c r="BI9" i="3"/>
  <c r="BH98" i="3"/>
  <c r="BI98" i="3" s="1"/>
  <c r="C10" i="3"/>
  <c r="C37" i="3" s="1"/>
  <c r="D10" i="3"/>
  <c r="D14" i="3" s="1"/>
  <c r="D156" i="106" s="1"/>
  <c r="E10" i="3"/>
  <c r="E37" i="3" s="1"/>
  <c r="I10" i="3"/>
  <c r="J10" i="3"/>
  <c r="J14" i="3" s="1"/>
  <c r="K10" i="3"/>
  <c r="K14" i="3" s="1"/>
  <c r="K156" i="106" s="1"/>
  <c r="O10" i="3"/>
  <c r="P10" i="3"/>
  <c r="P14" i="3" s="1"/>
  <c r="P41" i="3" s="1"/>
  <c r="Q10" i="3"/>
  <c r="Q14" i="3" s="1"/>
  <c r="U10" i="3"/>
  <c r="U37" i="3" s="1"/>
  <c r="V10" i="3"/>
  <c r="V37" i="3" s="1"/>
  <c r="W10" i="3"/>
  <c r="W37" i="3" s="1"/>
  <c r="AA10" i="3"/>
  <c r="AB10" i="3"/>
  <c r="AC10" i="3"/>
  <c r="AC37" i="3" s="1"/>
  <c r="AG10" i="3"/>
  <c r="AG37" i="3" s="1"/>
  <c r="AH10" i="3"/>
  <c r="AH37" i="3" s="1"/>
  <c r="AI10" i="3"/>
  <c r="AI37" i="3" s="1"/>
  <c r="AM10" i="3"/>
  <c r="AM37" i="3" s="1"/>
  <c r="AN10" i="3"/>
  <c r="AN37" i="3" s="1"/>
  <c r="AO10" i="3"/>
  <c r="AS10" i="3"/>
  <c r="AT10" i="3"/>
  <c r="AU10" i="3"/>
  <c r="AY10" i="3"/>
  <c r="AY37" i="3" s="1"/>
  <c r="AZ10" i="3"/>
  <c r="AZ37" i="3" s="1"/>
  <c r="BA10" i="3"/>
  <c r="BE10" i="3"/>
  <c r="BF10" i="3"/>
  <c r="BG10" i="3"/>
  <c r="BH10" i="3"/>
  <c r="BK10" i="3"/>
  <c r="BL10" i="3"/>
  <c r="BL14" i="3" s="1"/>
  <c r="BL156" i="106" s="1"/>
  <c r="F11" i="3"/>
  <c r="F86" i="107" s="1"/>
  <c r="L11" i="3"/>
  <c r="R11" i="3"/>
  <c r="R86" i="107" s="1"/>
  <c r="X11" i="3"/>
  <c r="X86" i="107" s="1"/>
  <c r="AD11" i="3"/>
  <c r="AD86" i="107" s="1"/>
  <c r="AJ11" i="3"/>
  <c r="AJ86" i="107" s="1"/>
  <c r="AP11" i="3"/>
  <c r="AP86" i="107" s="1"/>
  <c r="AV11" i="3"/>
  <c r="AV86" i="107" s="1"/>
  <c r="BB11" i="3"/>
  <c r="BB86" i="107" s="1"/>
  <c r="BI11" i="3"/>
  <c r="BH141" i="3"/>
  <c r="BI141" i="3" s="1"/>
  <c r="BH143" i="3"/>
  <c r="BI143" i="3" s="1"/>
  <c r="BI135" i="3" s="1"/>
  <c r="F12" i="3"/>
  <c r="L62" i="3"/>
  <c r="O12" i="3"/>
  <c r="O39" i="3" s="1"/>
  <c r="R62" i="3"/>
  <c r="S62" i="3" s="1"/>
  <c r="U12" i="3"/>
  <c r="V12" i="3"/>
  <c r="V39" i="3" s="1"/>
  <c r="W12" i="3"/>
  <c r="W14" i="3" s="1"/>
  <c r="W156" i="106" s="1"/>
  <c r="X62" i="3"/>
  <c r="AA12" i="3"/>
  <c r="AA39" i="3" s="1"/>
  <c r="AB12" i="3"/>
  <c r="AB39" i="3" s="1"/>
  <c r="AC12" i="3"/>
  <c r="AC39" i="3" s="1"/>
  <c r="AD62" i="3"/>
  <c r="AE62" i="3" s="1"/>
  <c r="AG12" i="3"/>
  <c r="AG39" i="3" s="1"/>
  <c r="AH12" i="3"/>
  <c r="AH39" i="3" s="1"/>
  <c r="AI12" i="3"/>
  <c r="AM12" i="3"/>
  <c r="AN12" i="3"/>
  <c r="AN39" i="3" s="1"/>
  <c r="AO12" i="3"/>
  <c r="AO39" i="3" s="1"/>
  <c r="AP62" i="3"/>
  <c r="AQ62" i="3" s="1"/>
  <c r="AS12" i="3"/>
  <c r="AS39" i="3" s="1"/>
  <c r="AT12" i="3"/>
  <c r="AT39" i="3" s="1"/>
  <c r="AU12" i="3"/>
  <c r="AY12" i="3"/>
  <c r="AY39" i="3" s="1"/>
  <c r="AZ12" i="3"/>
  <c r="BA12" i="3"/>
  <c r="BA39" i="3" s="1"/>
  <c r="BB62" i="3"/>
  <c r="BC62" i="3" s="1"/>
  <c r="BE12" i="3"/>
  <c r="BE39" i="3" s="1"/>
  <c r="BF12" i="3"/>
  <c r="BF39" i="3" s="1"/>
  <c r="BG12" i="3"/>
  <c r="BG39" i="3" s="1"/>
  <c r="C16" i="3"/>
  <c r="D16" i="3"/>
  <c r="E16" i="3"/>
  <c r="F17" i="3"/>
  <c r="G17" i="3" s="1"/>
  <c r="F18" i="3"/>
  <c r="G18" i="3" s="1"/>
  <c r="F19" i="3"/>
  <c r="I16" i="3"/>
  <c r="J16" i="3"/>
  <c r="K19" i="3"/>
  <c r="K16" i="3" s="1"/>
  <c r="L17" i="3"/>
  <c r="M17" i="3" s="1"/>
  <c r="L18" i="3"/>
  <c r="L63" i="3"/>
  <c r="M63" i="3" s="1"/>
  <c r="O16" i="3"/>
  <c r="P16" i="3"/>
  <c r="Q63" i="3"/>
  <c r="R17" i="3"/>
  <c r="S17" i="3" s="1"/>
  <c r="R18" i="3"/>
  <c r="S18" i="3" s="1"/>
  <c r="U16" i="3"/>
  <c r="V16" i="3"/>
  <c r="W16" i="3"/>
  <c r="X17" i="3"/>
  <c r="X18" i="3"/>
  <c r="Y18" i="3" s="1"/>
  <c r="X63" i="3"/>
  <c r="AA16" i="3"/>
  <c r="AB16" i="3"/>
  <c r="AC16" i="3"/>
  <c r="AD17" i="3"/>
  <c r="AD18" i="3"/>
  <c r="AE18" i="3" s="1"/>
  <c r="AD63" i="3"/>
  <c r="AG16" i="3"/>
  <c r="AH16" i="3"/>
  <c r="AI16" i="3"/>
  <c r="AJ17" i="3"/>
  <c r="AK17" i="3" s="1"/>
  <c r="AJ18" i="3"/>
  <c r="AK18" i="3" s="1"/>
  <c r="AJ63" i="3"/>
  <c r="AJ19" i="3" s="1"/>
  <c r="AK19" i="3" s="1"/>
  <c r="AM18" i="3"/>
  <c r="AM16" i="3" s="1"/>
  <c r="AN16" i="3"/>
  <c r="AO16" i="3"/>
  <c r="AP17" i="3"/>
  <c r="AQ17" i="3" s="1"/>
  <c r="AP19" i="3"/>
  <c r="AQ19" i="3" s="1"/>
  <c r="AS16" i="3"/>
  <c r="AT16" i="3"/>
  <c r="AU16" i="3"/>
  <c r="AV17" i="3"/>
  <c r="AV18" i="3"/>
  <c r="AW18" i="3" s="1"/>
  <c r="AV63" i="3"/>
  <c r="AW63" i="3" s="1"/>
  <c r="AY16" i="3"/>
  <c r="AZ16" i="3"/>
  <c r="BA16" i="3"/>
  <c r="BB17" i="3"/>
  <c r="BC17" i="3" s="1"/>
  <c r="BB18" i="3"/>
  <c r="BC18" i="3" s="1"/>
  <c r="BB63" i="3"/>
  <c r="BE16" i="3"/>
  <c r="BF16" i="3"/>
  <c r="BG16" i="3"/>
  <c r="BH16" i="3"/>
  <c r="BI17" i="3"/>
  <c r="BI18" i="3"/>
  <c r="BI19" i="3"/>
  <c r="BK16" i="3"/>
  <c r="BL16" i="3"/>
  <c r="BO19" i="3"/>
  <c r="BU19" i="3"/>
  <c r="CA19" i="3"/>
  <c r="CG19" i="3"/>
  <c r="F22" i="3"/>
  <c r="L65" i="3"/>
  <c r="L22" i="3" s="1"/>
  <c r="M22" i="3" s="1"/>
  <c r="O22" i="3"/>
  <c r="P22" i="3"/>
  <c r="Q64" i="3"/>
  <c r="R65" i="3"/>
  <c r="S65" i="3" s="1"/>
  <c r="U22" i="3"/>
  <c r="V22" i="3"/>
  <c r="W22" i="3"/>
  <c r="X64" i="3"/>
  <c r="Y64" i="3" s="1"/>
  <c r="X65" i="3"/>
  <c r="AA22" i="3"/>
  <c r="AB22" i="3"/>
  <c r="AC22" i="3"/>
  <c r="AD64" i="3"/>
  <c r="AE64" i="3" s="1"/>
  <c r="AD65" i="3"/>
  <c r="AE65" i="3" s="1"/>
  <c r="AG22" i="3"/>
  <c r="AH22" i="3"/>
  <c r="AI22" i="3"/>
  <c r="AJ64" i="3"/>
  <c r="AK64" i="3" s="1"/>
  <c r="AM65" i="3"/>
  <c r="AM22" i="3" s="1"/>
  <c r="AN22" i="3"/>
  <c r="AO22" i="3"/>
  <c r="AS22" i="3"/>
  <c r="AT22" i="3"/>
  <c r="AU22" i="3"/>
  <c r="AV64" i="3"/>
  <c r="AV65" i="3"/>
  <c r="AW65" i="3" s="1"/>
  <c r="AY22" i="3"/>
  <c r="AZ22" i="3"/>
  <c r="BA22" i="3"/>
  <c r="BB64" i="3"/>
  <c r="BB65" i="3"/>
  <c r="BC65" i="3" s="1"/>
  <c r="BE22" i="3"/>
  <c r="BF22" i="3"/>
  <c r="BG22" i="3"/>
  <c r="BH22" i="3"/>
  <c r="BK61" i="3"/>
  <c r="BK22" i="3" s="1"/>
  <c r="BL61" i="3"/>
  <c r="BL22" i="3" s="1"/>
  <c r="F23" i="3"/>
  <c r="G23" i="3" s="1"/>
  <c r="L23" i="3"/>
  <c r="M23" i="3" s="1"/>
  <c r="R23" i="3"/>
  <c r="S23" i="3" s="1"/>
  <c r="X23" i="3"/>
  <c r="Y23" i="3" s="1"/>
  <c r="AD23" i="3"/>
  <c r="AE23" i="3" s="1"/>
  <c r="AJ23" i="3"/>
  <c r="AK23" i="3" s="1"/>
  <c r="AO23" i="3"/>
  <c r="AP23" i="3" s="1"/>
  <c r="AV23" i="3"/>
  <c r="AW23" i="3" s="1"/>
  <c r="BB23" i="3"/>
  <c r="BC23" i="3" s="1"/>
  <c r="BI23" i="3"/>
  <c r="F25" i="3"/>
  <c r="G25" i="3" s="1"/>
  <c r="K25" i="3"/>
  <c r="O25" i="3"/>
  <c r="P25" i="3"/>
  <c r="Q25" i="3"/>
  <c r="X25" i="3"/>
  <c r="AD25" i="3"/>
  <c r="AE25" i="3" s="1"/>
  <c r="AJ25" i="3"/>
  <c r="AK25" i="3" s="1"/>
  <c r="AP25" i="3"/>
  <c r="AQ25" i="3" s="1"/>
  <c r="AV25" i="3"/>
  <c r="BB25" i="3"/>
  <c r="BC25" i="3" s="1"/>
  <c r="BI25" i="3"/>
  <c r="BK72" i="3"/>
  <c r="BL71" i="3" s="1"/>
  <c r="AE72" i="3"/>
  <c r="AK72" i="3"/>
  <c r="AQ72" i="3"/>
  <c r="AW72" i="3"/>
  <c r="C36" i="3"/>
  <c r="D36" i="3"/>
  <c r="E36" i="3"/>
  <c r="I36" i="3"/>
  <c r="J36" i="3"/>
  <c r="K36" i="3"/>
  <c r="O36" i="3"/>
  <c r="P36" i="3"/>
  <c r="Q36" i="3"/>
  <c r="U36" i="3"/>
  <c r="V36" i="3"/>
  <c r="W36" i="3"/>
  <c r="AA36" i="3"/>
  <c r="AB36" i="3"/>
  <c r="AC36" i="3"/>
  <c r="AG36" i="3"/>
  <c r="AH36" i="3"/>
  <c r="AI36" i="3"/>
  <c r="AM36" i="3"/>
  <c r="AN36" i="3"/>
  <c r="AO36" i="3"/>
  <c r="AS36" i="3"/>
  <c r="AT36" i="3"/>
  <c r="AU36" i="3"/>
  <c r="AY36" i="3"/>
  <c r="AZ36" i="3"/>
  <c r="BA36" i="3"/>
  <c r="BE36" i="3"/>
  <c r="BF36" i="3"/>
  <c r="BG36" i="3"/>
  <c r="BH36" i="3"/>
  <c r="BK36" i="3"/>
  <c r="BL36" i="3"/>
  <c r="C38" i="3"/>
  <c r="D38" i="3"/>
  <c r="E38" i="3"/>
  <c r="I38" i="3"/>
  <c r="J38" i="3"/>
  <c r="K38" i="3"/>
  <c r="O38" i="3"/>
  <c r="P38" i="3"/>
  <c r="Q38" i="3"/>
  <c r="U38" i="3"/>
  <c r="V38" i="3"/>
  <c r="W38" i="3"/>
  <c r="AA38" i="3"/>
  <c r="AB38" i="3"/>
  <c r="AC38" i="3"/>
  <c r="AG38" i="3"/>
  <c r="AH38" i="3"/>
  <c r="AI38" i="3"/>
  <c r="AM38" i="3"/>
  <c r="AN38" i="3"/>
  <c r="AO38" i="3"/>
  <c r="AS38" i="3"/>
  <c r="AT38" i="3"/>
  <c r="AU38" i="3"/>
  <c r="AY38" i="3"/>
  <c r="AZ38" i="3"/>
  <c r="BA38" i="3"/>
  <c r="BE38" i="3"/>
  <c r="BF38" i="3"/>
  <c r="BG38" i="3"/>
  <c r="BH38" i="3"/>
  <c r="BK38" i="3"/>
  <c r="BL38" i="3"/>
  <c r="C39" i="3"/>
  <c r="D39" i="3"/>
  <c r="E39" i="3"/>
  <c r="I39" i="3"/>
  <c r="J39" i="3"/>
  <c r="K39" i="3"/>
  <c r="P39" i="3"/>
  <c r="Q39" i="3"/>
  <c r="BH39" i="3"/>
  <c r="BK39" i="3"/>
  <c r="BL39" i="3"/>
  <c r="B41" i="3"/>
  <c r="C47" i="3"/>
  <c r="D47" i="3"/>
  <c r="E47" i="3"/>
  <c r="F47" i="3"/>
  <c r="G47" i="3"/>
  <c r="I47" i="3"/>
  <c r="J47" i="3"/>
  <c r="K47" i="3"/>
  <c r="O47" i="3"/>
  <c r="P47" i="3"/>
  <c r="Q47" i="3"/>
  <c r="U47" i="3"/>
  <c r="V47" i="3"/>
  <c r="W47" i="3"/>
  <c r="AA47" i="3"/>
  <c r="AB47" i="3"/>
  <c r="AC47" i="3"/>
  <c r="AG47" i="3"/>
  <c r="AH47" i="3"/>
  <c r="AI47" i="3"/>
  <c r="AM47" i="3"/>
  <c r="AN47" i="3"/>
  <c r="AO47" i="3"/>
  <c r="AS47" i="3"/>
  <c r="AT47" i="3"/>
  <c r="AU47" i="3"/>
  <c r="AY47" i="3"/>
  <c r="AZ47" i="3"/>
  <c r="BA47" i="3"/>
  <c r="BE47" i="3"/>
  <c r="BF47" i="3"/>
  <c r="BG47" i="3"/>
  <c r="BH47" i="3"/>
  <c r="BK47" i="3"/>
  <c r="BL47" i="3"/>
  <c r="C48" i="3"/>
  <c r="D48" i="3"/>
  <c r="E48" i="3"/>
  <c r="F48" i="3"/>
  <c r="G48" i="3"/>
  <c r="I48" i="3"/>
  <c r="J48" i="3"/>
  <c r="K48" i="3"/>
  <c r="L48" i="3"/>
  <c r="O48" i="3"/>
  <c r="P48" i="3"/>
  <c r="Q48" i="3"/>
  <c r="R48" i="3"/>
  <c r="U48" i="3"/>
  <c r="V48" i="3"/>
  <c r="W48" i="3"/>
  <c r="X48" i="3"/>
  <c r="AA48" i="3"/>
  <c r="AB48" i="3"/>
  <c r="AC48" i="3"/>
  <c r="AD48" i="3"/>
  <c r="AG48" i="3"/>
  <c r="AH48" i="3"/>
  <c r="AI48" i="3"/>
  <c r="AJ48" i="3"/>
  <c r="AM48" i="3"/>
  <c r="AN48" i="3"/>
  <c r="AO48" i="3"/>
  <c r="AP48" i="3"/>
  <c r="AS48" i="3"/>
  <c r="AT48" i="3"/>
  <c r="AU48" i="3"/>
  <c r="AV48" i="3"/>
  <c r="AY48" i="3"/>
  <c r="AZ48" i="3"/>
  <c r="BA48" i="3"/>
  <c r="BB48" i="3"/>
  <c r="BE48" i="3"/>
  <c r="BF48" i="3"/>
  <c r="BG48" i="3"/>
  <c r="BH48" i="3"/>
  <c r="BK48" i="3"/>
  <c r="BL48" i="3"/>
  <c r="B52" i="3"/>
  <c r="I52" i="3"/>
  <c r="J52" i="3"/>
  <c r="K52" i="3"/>
  <c r="O52" i="3"/>
  <c r="P52" i="3"/>
  <c r="Q52" i="3"/>
  <c r="U52" i="3"/>
  <c r="V52" i="3"/>
  <c r="W52" i="3"/>
  <c r="AA52" i="3"/>
  <c r="AB52" i="3"/>
  <c r="AC52" i="3"/>
  <c r="AG52" i="3"/>
  <c r="AH52" i="3"/>
  <c r="AI52" i="3"/>
  <c r="AM52" i="3"/>
  <c r="AN52" i="3"/>
  <c r="AO52" i="3"/>
  <c r="AS52" i="3"/>
  <c r="AT52" i="3"/>
  <c r="AU52" i="3"/>
  <c r="AY52" i="3"/>
  <c r="AZ52" i="3"/>
  <c r="BA52" i="3"/>
  <c r="BE52" i="3"/>
  <c r="BF52" i="3"/>
  <c r="BG52" i="3"/>
  <c r="BK52" i="3"/>
  <c r="BL52" i="3"/>
  <c r="B53" i="3"/>
  <c r="B54" i="3"/>
  <c r="I54" i="3"/>
  <c r="J54" i="3"/>
  <c r="K54" i="3"/>
  <c r="O54" i="3"/>
  <c r="P54" i="3"/>
  <c r="Q54" i="3"/>
  <c r="U54" i="3"/>
  <c r="V54" i="3"/>
  <c r="W54" i="3"/>
  <c r="AA54" i="3"/>
  <c r="AB54" i="3"/>
  <c r="AC54" i="3"/>
  <c r="AG54" i="3"/>
  <c r="AH54" i="3"/>
  <c r="AI54" i="3"/>
  <c r="AM54" i="3"/>
  <c r="AN54" i="3"/>
  <c r="AO54" i="3"/>
  <c r="AS54" i="3"/>
  <c r="AT54" i="3"/>
  <c r="AU54" i="3"/>
  <c r="AY54" i="3"/>
  <c r="AZ54" i="3"/>
  <c r="BA54" i="3"/>
  <c r="BE54" i="3"/>
  <c r="BF54" i="3"/>
  <c r="BG54" i="3"/>
  <c r="BK54" i="3"/>
  <c r="BL54" i="3"/>
  <c r="B55" i="3"/>
  <c r="C61" i="3"/>
  <c r="D61" i="3"/>
  <c r="E61" i="3"/>
  <c r="F62" i="3"/>
  <c r="F63" i="3"/>
  <c r="G63" i="3" s="1"/>
  <c r="F64" i="3"/>
  <c r="G64" i="3" s="1"/>
  <c r="F65" i="3"/>
  <c r="G65" i="3" s="1"/>
  <c r="I61" i="3"/>
  <c r="J61" i="3"/>
  <c r="K61" i="3"/>
  <c r="L64" i="3"/>
  <c r="M64" i="3" s="1"/>
  <c r="O61" i="3"/>
  <c r="P61" i="3"/>
  <c r="U61" i="3"/>
  <c r="V61" i="3"/>
  <c r="W61" i="3"/>
  <c r="AA61" i="3"/>
  <c r="AB61" i="3"/>
  <c r="AC61" i="3"/>
  <c r="AG61" i="3"/>
  <c r="AH61" i="3"/>
  <c r="AI61" i="3"/>
  <c r="AN61" i="3"/>
  <c r="AO61" i="3"/>
  <c r="AS61" i="3"/>
  <c r="AT61" i="3"/>
  <c r="AU61" i="3"/>
  <c r="AV62" i="3"/>
  <c r="AW62" i="3" s="1"/>
  <c r="AY61" i="3"/>
  <c r="AZ61" i="3"/>
  <c r="BA61" i="3"/>
  <c r="BE61" i="3"/>
  <c r="BF61" i="3"/>
  <c r="BG61" i="3"/>
  <c r="BH61" i="3"/>
  <c r="BI76" i="3"/>
  <c r="BI77" i="3"/>
  <c r="BI78" i="3"/>
  <c r="AK62" i="3"/>
  <c r="BI62" i="3"/>
  <c r="BO62" i="3"/>
  <c r="BU62" i="3"/>
  <c r="CA62" i="3"/>
  <c r="CG62" i="3"/>
  <c r="AQ63" i="3"/>
  <c r="BI63" i="3"/>
  <c r="BO63" i="3"/>
  <c r="BU63" i="3"/>
  <c r="CA63" i="3"/>
  <c r="CG63" i="3"/>
  <c r="AQ64" i="3"/>
  <c r="BI64" i="3"/>
  <c r="BO64" i="3"/>
  <c r="BU64" i="3"/>
  <c r="CA64" i="3"/>
  <c r="CG64" i="3"/>
  <c r="AK65" i="3"/>
  <c r="BI65" i="3"/>
  <c r="F66" i="3"/>
  <c r="G66" i="3" s="1"/>
  <c r="L66" i="3"/>
  <c r="M66" i="3" s="1"/>
  <c r="R66" i="3"/>
  <c r="S66" i="3" s="1"/>
  <c r="X66" i="3"/>
  <c r="Y66" i="3" s="1"/>
  <c r="AD66" i="3"/>
  <c r="AE66" i="3" s="1"/>
  <c r="AK66" i="3"/>
  <c r="AQ66" i="3"/>
  <c r="AW66" i="3"/>
  <c r="BB66" i="3"/>
  <c r="BC66" i="3" s="1"/>
  <c r="BH66" i="3"/>
  <c r="BI66" i="3" s="1"/>
  <c r="BO66" i="3"/>
  <c r="BU66" i="3"/>
  <c r="CA66" i="3"/>
  <c r="CG66" i="3"/>
  <c r="C72" i="3"/>
  <c r="D71" i="3" s="1"/>
  <c r="D72" i="3"/>
  <c r="E71" i="3" s="1"/>
  <c r="E72" i="3"/>
  <c r="F71" i="3" s="1"/>
  <c r="G71" i="3"/>
  <c r="F72" i="3"/>
  <c r="I71" i="3" s="1"/>
  <c r="M71" i="3" s="1"/>
  <c r="I72" i="3"/>
  <c r="J71" i="3" s="1"/>
  <c r="J72" i="3"/>
  <c r="K71" i="3" s="1"/>
  <c r="K72" i="3"/>
  <c r="L71" i="3" s="1"/>
  <c r="L72" i="3"/>
  <c r="O71" i="3" s="1"/>
  <c r="S71" i="3" s="1"/>
  <c r="O72" i="3"/>
  <c r="P71" i="3" s="1"/>
  <c r="P72" i="3"/>
  <c r="Q71" i="3" s="1"/>
  <c r="Q72" i="3"/>
  <c r="R71" i="3" s="1"/>
  <c r="R72" i="3"/>
  <c r="U71" i="3" s="1"/>
  <c r="Y71" i="3" s="1"/>
  <c r="U72" i="3"/>
  <c r="V71" i="3" s="1"/>
  <c r="V72" i="3"/>
  <c r="W71" i="3" s="1"/>
  <c r="W72" i="3"/>
  <c r="X71" i="3" s="1"/>
  <c r="X72" i="3"/>
  <c r="AA71" i="3" s="1"/>
  <c r="AE71" i="3" s="1"/>
  <c r="AA72" i="3"/>
  <c r="AB71" i="3" s="1"/>
  <c r="AB72" i="3"/>
  <c r="AC71" i="3" s="1"/>
  <c r="AC72" i="3"/>
  <c r="AD71" i="3" s="1"/>
  <c r="AD72" i="3"/>
  <c r="AG71" i="3" s="1"/>
  <c r="AK71" i="3" s="1"/>
  <c r="AG72" i="3"/>
  <c r="AH71" i="3" s="1"/>
  <c r="AH72" i="3"/>
  <c r="AI71" i="3" s="1"/>
  <c r="AI72" i="3"/>
  <c r="AJ71" i="3" s="1"/>
  <c r="AJ72" i="3"/>
  <c r="AM71" i="3" s="1"/>
  <c r="AQ71" i="3" s="1"/>
  <c r="AM72" i="3"/>
  <c r="AN71" i="3" s="1"/>
  <c r="AN72" i="3"/>
  <c r="AO71" i="3" s="1"/>
  <c r="AO72" i="3"/>
  <c r="AP71" i="3" s="1"/>
  <c r="AP72" i="3"/>
  <c r="AS71" i="3" s="1"/>
  <c r="AW71" i="3" s="1"/>
  <c r="AS72" i="3"/>
  <c r="AT71" i="3" s="1"/>
  <c r="AT72" i="3"/>
  <c r="AU71" i="3" s="1"/>
  <c r="AU72" i="3"/>
  <c r="AV71" i="3" s="1"/>
  <c r="AV72" i="3"/>
  <c r="AY71" i="3" s="1"/>
  <c r="BC71" i="3" s="1"/>
  <c r="AY72" i="3"/>
  <c r="AZ71" i="3" s="1"/>
  <c r="AZ72" i="3"/>
  <c r="BA71" i="3" s="1"/>
  <c r="BA72" i="3"/>
  <c r="BB71" i="3" s="1"/>
  <c r="BB72" i="3"/>
  <c r="BE71" i="3" s="1"/>
  <c r="BI71" i="3" s="1"/>
  <c r="BE72" i="3"/>
  <c r="BF71" i="3" s="1"/>
  <c r="BF72" i="3"/>
  <c r="BG71" i="3" s="1"/>
  <c r="BG72" i="3"/>
  <c r="BH71" i="3" s="1"/>
  <c r="BH72" i="3"/>
  <c r="BI72" i="3" s="1"/>
  <c r="G72" i="3"/>
  <c r="M72" i="3"/>
  <c r="S72" i="3"/>
  <c r="Y72" i="3"/>
  <c r="BC72" i="3"/>
  <c r="G76" i="3"/>
  <c r="G77" i="3"/>
  <c r="G78" i="3"/>
  <c r="M76" i="3"/>
  <c r="M77" i="3"/>
  <c r="M75" i="3" s="1"/>
  <c r="K75" i="3" s="1"/>
  <c r="M78" i="3"/>
  <c r="S76" i="3"/>
  <c r="S77" i="3"/>
  <c r="S78" i="3"/>
  <c r="Y76" i="3"/>
  <c r="Y77" i="3"/>
  <c r="Y78" i="3"/>
  <c r="AE76" i="3"/>
  <c r="AE77" i="3"/>
  <c r="AE78" i="3"/>
  <c r="AK76" i="3"/>
  <c r="AK77" i="3"/>
  <c r="AK78" i="3"/>
  <c r="AQ76" i="3"/>
  <c r="AQ77" i="3"/>
  <c r="AQ78" i="3"/>
  <c r="AW76" i="3"/>
  <c r="AW77" i="3"/>
  <c r="AW78" i="3"/>
  <c r="BC76" i="3"/>
  <c r="BC77" i="3"/>
  <c r="BC78" i="3"/>
  <c r="C81" i="3"/>
  <c r="I81" i="3"/>
  <c r="O81" i="3"/>
  <c r="U81" i="3"/>
  <c r="AA81" i="3"/>
  <c r="AG81" i="3"/>
  <c r="AM81" i="3"/>
  <c r="AS81" i="3"/>
  <c r="AU81" i="3"/>
  <c r="AY81" i="3"/>
  <c r="BE81" i="3"/>
  <c r="BK81" i="3"/>
  <c r="F98" i="3"/>
  <c r="G98" i="3" s="1"/>
  <c r="L98" i="3"/>
  <c r="R98" i="3"/>
  <c r="S98" i="3" s="1"/>
  <c r="X98" i="3"/>
  <c r="AD98" i="3"/>
  <c r="AJ98" i="3"/>
  <c r="AK98" i="3" s="1"/>
  <c r="AP98" i="3"/>
  <c r="AV98" i="3"/>
  <c r="AW98" i="3" s="1"/>
  <c r="BB98" i="3"/>
  <c r="F100" i="3"/>
  <c r="L100" i="3"/>
  <c r="M100" i="3" s="1"/>
  <c r="R100" i="3"/>
  <c r="X100" i="3"/>
  <c r="AD100" i="3"/>
  <c r="AE100" i="3" s="1"/>
  <c r="AJ100" i="3"/>
  <c r="AK100" i="3" s="1"/>
  <c r="AP100" i="3"/>
  <c r="AQ100" i="3" s="1"/>
  <c r="AV100" i="3"/>
  <c r="AW100" i="3" s="1"/>
  <c r="BB100" i="3"/>
  <c r="BC100" i="3" s="1"/>
  <c r="BH100" i="3"/>
  <c r="C101" i="3"/>
  <c r="D101" i="3"/>
  <c r="E101" i="3"/>
  <c r="I101" i="3"/>
  <c r="J101" i="3"/>
  <c r="K101" i="3"/>
  <c r="O101" i="3"/>
  <c r="P101" i="3"/>
  <c r="Q101" i="3"/>
  <c r="U101" i="3"/>
  <c r="V101" i="3"/>
  <c r="W101" i="3"/>
  <c r="AA101" i="3"/>
  <c r="AB101" i="3"/>
  <c r="C102" i="3"/>
  <c r="D102" i="3"/>
  <c r="E102" i="3"/>
  <c r="I102" i="3"/>
  <c r="J102" i="3"/>
  <c r="K102" i="3"/>
  <c r="O102" i="3"/>
  <c r="P102" i="3"/>
  <c r="Q102" i="3"/>
  <c r="U102" i="3"/>
  <c r="V102" i="3"/>
  <c r="W102" i="3"/>
  <c r="AA102" i="3"/>
  <c r="AB102" i="3"/>
  <c r="AC102" i="3"/>
  <c r="AG102" i="3"/>
  <c r="AH102" i="3"/>
  <c r="AI102" i="3"/>
  <c r="AM102" i="3"/>
  <c r="AN102" i="3"/>
  <c r="AO102" i="3"/>
  <c r="AS102" i="3"/>
  <c r="AT102" i="3"/>
  <c r="AU102" i="3"/>
  <c r="AY102" i="3"/>
  <c r="AZ102" i="3"/>
  <c r="BA102" i="3"/>
  <c r="BE102" i="3"/>
  <c r="BF102" i="3"/>
  <c r="BG102" i="3"/>
  <c r="BK102" i="3"/>
  <c r="BL102" i="3"/>
  <c r="M109" i="3"/>
  <c r="S109" i="3"/>
  <c r="Y109" i="3"/>
  <c r="AE109" i="3"/>
  <c r="AK109" i="3"/>
  <c r="AQ109" i="3"/>
  <c r="AW109" i="3"/>
  <c r="BC109" i="3"/>
  <c r="BI109" i="3"/>
  <c r="G110" i="3"/>
  <c r="M110" i="3"/>
  <c r="S110" i="3"/>
  <c r="Y110" i="3"/>
  <c r="AE110" i="3"/>
  <c r="AK110" i="3"/>
  <c r="AK111" i="3" s="1"/>
  <c r="AQ110" i="3"/>
  <c r="AW110" i="3"/>
  <c r="AW111" i="3" s="1"/>
  <c r="BC110" i="3"/>
  <c r="BI110" i="3"/>
  <c r="BI115" i="3"/>
  <c r="BI117" i="3"/>
  <c r="M122" i="3"/>
  <c r="S122" i="3"/>
  <c r="Y122" i="3"/>
  <c r="AE122" i="3"/>
  <c r="AK122" i="3"/>
  <c r="AQ122" i="3"/>
  <c r="AW122" i="3"/>
  <c r="BC122" i="3"/>
  <c r="BI122" i="3"/>
  <c r="M124" i="3"/>
  <c r="S124" i="3"/>
  <c r="Y124" i="3"/>
  <c r="AE124" i="3"/>
  <c r="AK124" i="3"/>
  <c r="AQ124" i="3"/>
  <c r="AW124" i="3"/>
  <c r="BC124" i="3"/>
  <c r="BI124" i="3"/>
  <c r="M129" i="3"/>
  <c r="S129" i="3"/>
  <c r="Y129" i="3"/>
  <c r="AE129" i="3"/>
  <c r="AK129" i="3"/>
  <c r="AQ129" i="3"/>
  <c r="AW129" i="3"/>
  <c r="BC129" i="3"/>
  <c r="BI129" i="3"/>
  <c r="F141" i="3"/>
  <c r="L141" i="3"/>
  <c r="R141" i="3"/>
  <c r="S141" i="3" s="1"/>
  <c r="S133" i="3" s="1"/>
  <c r="X141" i="3"/>
  <c r="Y141" i="3" s="1"/>
  <c r="Y133" i="3" s="1"/>
  <c r="AD141" i="3"/>
  <c r="AJ141" i="3"/>
  <c r="AK141" i="3" s="1"/>
  <c r="AP141" i="3"/>
  <c r="AQ141" i="3" s="1"/>
  <c r="AV141" i="3"/>
  <c r="AW141" i="3" s="1"/>
  <c r="BB141" i="3"/>
  <c r="F143" i="3"/>
  <c r="L143" i="3"/>
  <c r="M143" i="3" s="1"/>
  <c r="R143" i="3"/>
  <c r="X143" i="3"/>
  <c r="AD143" i="3"/>
  <c r="AE143" i="3" s="1"/>
  <c r="AJ143" i="3"/>
  <c r="AP143" i="3"/>
  <c r="AQ143" i="3" s="1"/>
  <c r="AV143" i="3"/>
  <c r="AW143" i="3" s="1"/>
  <c r="AW135" i="3" s="1"/>
  <c r="BB143" i="3"/>
  <c r="C145" i="3"/>
  <c r="C147" i="3" s="1"/>
  <c r="D145" i="3"/>
  <c r="E145" i="3"/>
  <c r="E147" i="3" s="1"/>
  <c r="I145" i="3"/>
  <c r="I147" i="3" s="1"/>
  <c r="J145" i="3"/>
  <c r="J147" i="3" s="1"/>
  <c r="K145" i="3"/>
  <c r="O145" i="3"/>
  <c r="P145" i="3"/>
  <c r="Q145" i="3"/>
  <c r="U145" i="3"/>
  <c r="U147" i="3" s="1"/>
  <c r="V145" i="3"/>
  <c r="V147" i="3" s="1"/>
  <c r="W145" i="3"/>
  <c r="AA145" i="3"/>
  <c r="AB145" i="3"/>
  <c r="AC145" i="3"/>
  <c r="AG145" i="3"/>
  <c r="AH145" i="3"/>
  <c r="AH147" i="3" s="1"/>
  <c r="AI145" i="3"/>
  <c r="AM145" i="3"/>
  <c r="AN145" i="3"/>
  <c r="AO145" i="3"/>
  <c r="AO147" i="3" s="1"/>
  <c r="AS145" i="3"/>
  <c r="AS147" i="3" s="1"/>
  <c r="AT145" i="3"/>
  <c r="AT147" i="3" s="1"/>
  <c r="AU145" i="3"/>
  <c r="AU147" i="3" s="1"/>
  <c r="AY145" i="3"/>
  <c r="AZ145" i="3"/>
  <c r="BA145" i="3"/>
  <c r="BE145" i="3"/>
  <c r="BF145" i="3"/>
  <c r="BF147" i="3" s="1"/>
  <c r="BG145" i="3"/>
  <c r="BK145" i="3"/>
  <c r="BL145" i="3"/>
  <c r="BL147" i="3" s="1"/>
  <c r="C144" i="3"/>
  <c r="D144" i="3"/>
  <c r="E144" i="3"/>
  <c r="I144" i="3"/>
  <c r="J144" i="3"/>
  <c r="K144" i="3"/>
  <c r="O144" i="3"/>
  <c r="P144" i="3"/>
  <c r="Q144" i="3"/>
  <c r="U144" i="3"/>
  <c r="V144" i="3"/>
  <c r="W144" i="3"/>
  <c r="AA144" i="3"/>
  <c r="AB144" i="3"/>
  <c r="C151" i="3"/>
  <c r="C163" i="3" s="1"/>
  <c r="D151" i="3"/>
  <c r="E151" i="3"/>
  <c r="I151" i="3"/>
  <c r="J151" i="3"/>
  <c r="K151" i="3"/>
  <c r="K163" i="3" s="1"/>
  <c r="O151" i="3"/>
  <c r="O163" i="3" s="1"/>
  <c r="P151" i="3"/>
  <c r="P163" i="3" s="1"/>
  <c r="Q151" i="3"/>
  <c r="U151" i="3"/>
  <c r="V151" i="3"/>
  <c r="W151" i="3"/>
  <c r="W163" i="3" s="1"/>
  <c r="AA151" i="3"/>
  <c r="AB151" i="3"/>
  <c r="AB163" i="3" s="1"/>
  <c r="AC151" i="3"/>
  <c r="AC163" i="3" s="1"/>
  <c r="AG151" i="3"/>
  <c r="AH151" i="3"/>
  <c r="AH163" i="3" s="1"/>
  <c r="AI151" i="3"/>
  <c r="AM151" i="3"/>
  <c r="AN151" i="3"/>
  <c r="AO151" i="3"/>
  <c r="AO163" i="3" s="1"/>
  <c r="AS151" i="3"/>
  <c r="AT151" i="3"/>
  <c r="AU151" i="3"/>
  <c r="AY151" i="3"/>
  <c r="AY163" i="3" s="1"/>
  <c r="AZ151" i="3"/>
  <c r="BA151" i="3"/>
  <c r="BE151" i="3"/>
  <c r="BF151" i="3"/>
  <c r="BF163" i="3" s="1"/>
  <c r="BG151" i="3"/>
  <c r="BG163" i="3" s="1"/>
  <c r="BK151" i="3"/>
  <c r="BL151" i="3"/>
  <c r="C154" i="3"/>
  <c r="C155" i="3" s="1"/>
  <c r="D154" i="3"/>
  <c r="D155" i="3" s="1"/>
  <c r="E154" i="3"/>
  <c r="E155" i="3" s="1"/>
  <c r="I154" i="3"/>
  <c r="I155" i="3" s="1"/>
  <c r="J154" i="3"/>
  <c r="J155" i="3" s="1"/>
  <c r="K154" i="3"/>
  <c r="O154" i="3"/>
  <c r="P154" i="3"/>
  <c r="P155" i="3" s="1"/>
  <c r="Q154" i="3"/>
  <c r="Q155" i="3" s="1"/>
  <c r="U154" i="3"/>
  <c r="U155" i="3" s="1"/>
  <c r="V154" i="3"/>
  <c r="V155" i="3" s="1"/>
  <c r="W154" i="3"/>
  <c r="AA154" i="3"/>
  <c r="AA155" i="3" s="1"/>
  <c r="AB154" i="3"/>
  <c r="AB155" i="3" s="1"/>
  <c r="AC154" i="3"/>
  <c r="AG154" i="3"/>
  <c r="AH154" i="3"/>
  <c r="AI154" i="3"/>
  <c r="AM154" i="3"/>
  <c r="AN154" i="3"/>
  <c r="AO154" i="3"/>
  <c r="AO157" i="3" s="1"/>
  <c r="AS154" i="3"/>
  <c r="AT154" i="3"/>
  <c r="AU154" i="3"/>
  <c r="AY154" i="3"/>
  <c r="AZ154" i="3"/>
  <c r="BA154" i="3"/>
  <c r="BE154" i="3"/>
  <c r="BF154" i="3"/>
  <c r="BG154" i="3"/>
  <c r="BK154" i="3"/>
  <c r="BL154" i="3"/>
  <c r="G166" i="3"/>
  <c r="M166" i="3"/>
  <c r="S166" i="3"/>
  <c r="BC167" i="3"/>
  <c r="BI167" i="3" s="1"/>
  <c r="G168" i="3"/>
  <c r="M168" i="3"/>
  <c r="S168" i="3"/>
  <c r="Y168" i="3"/>
  <c r="AE168" i="3"/>
  <c r="AK168" i="3"/>
  <c r="AQ168" i="3"/>
  <c r="AW168" i="3"/>
  <c r="G169" i="3"/>
  <c r="M169" i="3"/>
  <c r="S169" i="3"/>
  <c r="BC170" i="3"/>
  <c r="G171" i="3"/>
  <c r="M171" i="3"/>
  <c r="S171" i="3"/>
  <c r="Y171" i="3"/>
  <c r="AE171" i="3"/>
  <c r="AK171" i="3"/>
  <c r="AQ171" i="3"/>
  <c r="AW171" i="3"/>
  <c r="BI177" i="3"/>
  <c r="BO177" i="3"/>
  <c r="BC178" i="3"/>
  <c r="BI178" i="3"/>
  <c r="AK181" i="3"/>
  <c r="AQ181" i="3"/>
  <c r="AW181" i="3"/>
  <c r="G189" i="3"/>
  <c r="M189" i="3"/>
  <c r="S189" i="3"/>
  <c r="Y189" i="3"/>
  <c r="AE189" i="3"/>
  <c r="AK189" i="3"/>
  <c r="AQ189" i="3"/>
  <c r="BU189" i="3"/>
  <c r="CA189" i="3"/>
  <c r="CG189" i="3"/>
  <c r="C190" i="3"/>
  <c r="D190" i="3"/>
  <c r="E190" i="3"/>
  <c r="I190" i="3"/>
  <c r="J190" i="3"/>
  <c r="K190" i="3"/>
  <c r="O190" i="3"/>
  <c r="P190" i="3"/>
  <c r="Q190" i="3"/>
  <c r="U190" i="3"/>
  <c r="V190" i="3"/>
  <c r="W190" i="3"/>
  <c r="AA190" i="3"/>
  <c r="AB190" i="3"/>
  <c r="AC190" i="3"/>
  <c r="AG190" i="3"/>
  <c r="AH190" i="3"/>
  <c r="AI190" i="3"/>
  <c r="AM190" i="3"/>
  <c r="AN190" i="3"/>
  <c r="AO190" i="3"/>
  <c r="AS190" i="3"/>
  <c r="AT190" i="3"/>
  <c r="AU190" i="3"/>
  <c r="BF190" i="3"/>
  <c r="BH190" i="3"/>
  <c r="G191" i="3"/>
  <c r="M191" i="3"/>
  <c r="S191" i="3"/>
  <c r="Y191" i="3"/>
  <c r="AE191" i="3"/>
  <c r="AK191" i="3"/>
  <c r="AQ191" i="3"/>
  <c r="AW191" i="3"/>
  <c r="BC191" i="3"/>
  <c r="BI191" i="3"/>
  <c r="BO191" i="3"/>
  <c r="BU191" i="3"/>
  <c r="CA191" i="3"/>
  <c r="CG191" i="3"/>
  <c r="C192" i="3"/>
  <c r="D192" i="3"/>
  <c r="E192" i="3"/>
  <c r="I192" i="3"/>
  <c r="J192" i="3"/>
  <c r="K192" i="3"/>
  <c r="O192" i="3"/>
  <c r="P192" i="3"/>
  <c r="Q192" i="3"/>
  <c r="U192" i="3"/>
  <c r="V192" i="3"/>
  <c r="W192" i="3"/>
  <c r="AA192" i="3"/>
  <c r="AB192" i="3"/>
  <c r="AC192" i="3"/>
  <c r="AG192" i="3"/>
  <c r="AH192" i="3"/>
  <c r="AI192" i="3"/>
  <c r="AM192" i="3"/>
  <c r="AN192" i="3"/>
  <c r="AO192" i="3"/>
  <c r="AS192" i="3"/>
  <c r="AT192" i="3"/>
  <c r="AU192" i="3"/>
  <c r="AY192" i="3"/>
  <c r="AZ192" i="3"/>
  <c r="BA192" i="3"/>
  <c r="BE192" i="3"/>
  <c r="BF192" i="3"/>
  <c r="BG192" i="3"/>
  <c r="BH192" i="3"/>
  <c r="BK192" i="3"/>
  <c r="BL192" i="3"/>
  <c r="G193" i="3"/>
  <c r="M193" i="3"/>
  <c r="S193" i="3"/>
  <c r="Y193" i="3"/>
  <c r="AE193" i="3"/>
  <c r="AK193" i="3"/>
  <c r="AQ193" i="3"/>
  <c r="AW193" i="3"/>
  <c r="BC193" i="3"/>
  <c r="BI193" i="3"/>
  <c r="BO193" i="3"/>
  <c r="BU193" i="3"/>
  <c r="CA193" i="3"/>
  <c r="CG193" i="3"/>
  <c r="C194" i="3"/>
  <c r="D194" i="3"/>
  <c r="E194" i="3"/>
  <c r="I194" i="3"/>
  <c r="J194" i="3"/>
  <c r="K194" i="3"/>
  <c r="O194" i="3"/>
  <c r="P194" i="3"/>
  <c r="Q194" i="3"/>
  <c r="U194" i="3"/>
  <c r="V194" i="3"/>
  <c r="W194" i="3"/>
  <c r="AA194" i="3"/>
  <c r="AB194" i="3"/>
  <c r="AC194" i="3"/>
  <c r="AG194" i="3"/>
  <c r="AH194" i="3"/>
  <c r="AI194" i="3"/>
  <c r="AM194" i="3"/>
  <c r="AN194" i="3"/>
  <c r="AO194" i="3"/>
  <c r="AS194" i="3"/>
  <c r="AT194" i="3"/>
  <c r="AU194" i="3"/>
  <c r="AY194" i="3"/>
  <c r="AZ194" i="3"/>
  <c r="BA194" i="3"/>
  <c r="BE194" i="3"/>
  <c r="BF194" i="3"/>
  <c r="BG194" i="3"/>
  <c r="BH194" i="3"/>
  <c r="BK194" i="3"/>
  <c r="BL194" i="3"/>
  <c r="G195" i="3"/>
  <c r="M195" i="3"/>
  <c r="S195" i="3"/>
  <c r="Y195" i="3"/>
  <c r="AE195" i="3"/>
  <c r="AK195" i="3"/>
  <c r="AQ195" i="3"/>
  <c r="AW195" i="3"/>
  <c r="BC195" i="3"/>
  <c r="BI195" i="3"/>
  <c r="BO195" i="3"/>
  <c r="BU195" i="3"/>
  <c r="CA195" i="3"/>
  <c r="CG195" i="3"/>
  <c r="C196" i="3"/>
  <c r="D196" i="3"/>
  <c r="E196" i="3"/>
  <c r="I196" i="3"/>
  <c r="J196" i="3"/>
  <c r="K196" i="3"/>
  <c r="O196" i="3"/>
  <c r="P196" i="3"/>
  <c r="Q196" i="3"/>
  <c r="U196" i="3"/>
  <c r="V196" i="3"/>
  <c r="W196" i="3"/>
  <c r="AA196" i="3"/>
  <c r="AB196" i="3"/>
  <c r="AC196" i="3"/>
  <c r="AG196" i="3"/>
  <c r="AH196" i="3"/>
  <c r="AI196" i="3"/>
  <c r="AM196" i="3"/>
  <c r="AN196" i="3"/>
  <c r="AO196" i="3"/>
  <c r="AS196" i="3"/>
  <c r="AT196" i="3"/>
  <c r="AU196" i="3"/>
  <c r="AV196" i="3"/>
  <c r="AY196" i="3"/>
  <c r="AZ196" i="3"/>
  <c r="BA196" i="3"/>
  <c r="BE196" i="3"/>
  <c r="BF196" i="3"/>
  <c r="BG196" i="3"/>
  <c r="BH196" i="3"/>
  <c r="BK196" i="3"/>
  <c r="BL196" i="3"/>
  <c r="G197" i="3"/>
  <c r="M197" i="3"/>
  <c r="S197" i="3"/>
  <c r="Y197" i="3"/>
  <c r="AE197" i="3"/>
  <c r="AK197" i="3"/>
  <c r="AQ197" i="3"/>
  <c r="AW197" i="3"/>
  <c r="BC197" i="3"/>
  <c r="BI197" i="3"/>
  <c r="BO197" i="3"/>
  <c r="BU197" i="3"/>
  <c r="CA197" i="3"/>
  <c r="CG197" i="3"/>
  <c r="C198" i="3"/>
  <c r="D198" i="3"/>
  <c r="E198" i="3"/>
  <c r="I198" i="3"/>
  <c r="J198" i="3"/>
  <c r="K198" i="3"/>
  <c r="O198" i="3"/>
  <c r="P198" i="3"/>
  <c r="Q198" i="3"/>
  <c r="U198" i="3"/>
  <c r="V198" i="3"/>
  <c r="W198" i="3"/>
  <c r="AA198" i="3"/>
  <c r="AB198" i="3"/>
  <c r="AC198" i="3"/>
  <c r="AG198" i="3"/>
  <c r="AH198" i="3"/>
  <c r="AI198" i="3"/>
  <c r="AM198" i="3"/>
  <c r="AN198" i="3"/>
  <c r="AO198" i="3"/>
  <c r="AS198" i="3"/>
  <c r="AT198" i="3"/>
  <c r="AU198" i="3"/>
  <c r="AY198" i="3"/>
  <c r="AZ198" i="3"/>
  <c r="BA198" i="3"/>
  <c r="BE198" i="3"/>
  <c r="BF198" i="3"/>
  <c r="BG198" i="3"/>
  <c r="BH198" i="3"/>
  <c r="BK198" i="3"/>
  <c r="BL198" i="3"/>
  <c r="P81" i="3"/>
  <c r="AV81" i="3"/>
  <c r="AZ81" i="3"/>
  <c r="BA81" i="3"/>
  <c r="BB81" i="3"/>
  <c r="BF167" i="3" l="1"/>
  <c r="BE167" i="3"/>
  <c r="BK167" i="3" s="1"/>
  <c r="L196" i="3"/>
  <c r="BW6" i="3"/>
  <c r="BK14" i="3"/>
  <c r="AQ111" i="3"/>
  <c r="BI111" i="3"/>
  <c r="BO111" i="3"/>
  <c r="V104" i="3"/>
  <c r="E104" i="3"/>
  <c r="BC111" i="3"/>
  <c r="AP65" i="3"/>
  <c r="AP22" i="3" s="1"/>
  <c r="AQ75" i="3"/>
  <c r="AP75" i="3" s="1"/>
  <c r="R25" i="3"/>
  <c r="S25" i="3" s="1"/>
  <c r="AM61" i="3"/>
  <c r="BH14" i="3"/>
  <c r="BH20" i="3" s="1"/>
  <c r="BH21" i="3" s="1"/>
  <c r="BB87" i="107"/>
  <c r="BB89" i="107" s="1"/>
  <c r="F87" i="107"/>
  <c r="F89" i="107" s="1"/>
  <c r="K179" i="119"/>
  <c r="AP87" i="107"/>
  <c r="AP89" i="107" s="1"/>
  <c r="AJ196" i="3"/>
  <c r="BZ157" i="106"/>
  <c r="CC21" i="3"/>
  <c r="BX70" i="107"/>
  <c r="BX72" i="107" s="1"/>
  <c r="BY68" i="107" s="1"/>
  <c r="BT157" i="106"/>
  <c r="BS157" i="106"/>
  <c r="BI86" i="107"/>
  <c r="M11" i="3"/>
  <c r="M86" i="107" s="1"/>
  <c r="L86" i="107"/>
  <c r="L87" i="107" s="1"/>
  <c r="L89" i="107" s="1"/>
  <c r="Q186" i="3"/>
  <c r="Q199" i="3" s="1"/>
  <c r="Q156" i="106"/>
  <c r="J186" i="3"/>
  <c r="J199" i="3" s="1"/>
  <c r="J156" i="106"/>
  <c r="AE9" i="3"/>
  <c r="AE85" i="107" s="1"/>
  <c r="AD85" i="107"/>
  <c r="AD87" i="107" s="1"/>
  <c r="AD89" i="107" s="1"/>
  <c r="BB198" i="3"/>
  <c r="BB155" i="106"/>
  <c r="AQ8" i="3"/>
  <c r="AQ192" i="3" s="1"/>
  <c r="AP155" i="106"/>
  <c r="AD198" i="3"/>
  <c r="AD155" i="106"/>
  <c r="G8" i="3"/>
  <c r="G155" i="106" s="1"/>
  <c r="F155" i="106"/>
  <c r="AD192" i="3"/>
  <c r="BL186" i="3"/>
  <c r="BI38" i="3"/>
  <c r="R87" i="107"/>
  <c r="R89" i="107" s="1"/>
  <c r="BK186" i="3"/>
  <c r="P186" i="3"/>
  <c r="P156" i="106"/>
  <c r="BI85" i="107"/>
  <c r="AV87" i="107"/>
  <c r="AV89" i="107" s="1"/>
  <c r="AJ87" i="107"/>
  <c r="AJ89" i="107" s="1"/>
  <c r="X87" i="107"/>
  <c r="X89" i="107" s="1"/>
  <c r="BI155" i="106"/>
  <c r="AV39" i="3"/>
  <c r="AV155" i="106"/>
  <c r="AJ198" i="3"/>
  <c r="AJ155" i="106"/>
  <c r="X198" i="3"/>
  <c r="X155" i="106"/>
  <c r="L190" i="3"/>
  <c r="L155" i="106"/>
  <c r="BX82" i="107"/>
  <c r="L38" i="3"/>
  <c r="X194" i="3"/>
  <c r="L198" i="3"/>
  <c r="BH154" i="3"/>
  <c r="BI154" i="3" s="1"/>
  <c r="AP194" i="3"/>
  <c r="AJ190" i="3"/>
  <c r="AD196" i="3"/>
  <c r="AJ192" i="3"/>
  <c r="AP18" i="3"/>
  <c r="AQ18" i="3" s="1"/>
  <c r="AQ16" i="3" s="1"/>
  <c r="AD194" i="3"/>
  <c r="AW8" i="3"/>
  <c r="R52" i="3"/>
  <c r="BC8" i="3"/>
  <c r="BC196" i="3" s="1"/>
  <c r="Y134" i="3"/>
  <c r="BM53" i="3"/>
  <c r="AS157" i="3"/>
  <c r="P37" i="3"/>
  <c r="F39" i="3"/>
  <c r="AP196" i="3"/>
  <c r="AV194" i="3"/>
  <c r="AJ194" i="3"/>
  <c r="AP192" i="3"/>
  <c r="BE53" i="3"/>
  <c r="X151" i="3"/>
  <c r="X163" i="3" s="1"/>
  <c r="AH104" i="3"/>
  <c r="F102" i="3"/>
  <c r="G102" i="3" s="1"/>
  <c r="BH37" i="3"/>
  <c r="C14" i="3"/>
  <c r="C20" i="3" s="1"/>
  <c r="C21" i="3" s="1"/>
  <c r="C157" i="106" s="1"/>
  <c r="W55" i="3"/>
  <c r="P178" i="119" s="1"/>
  <c r="BB22" i="3"/>
  <c r="BC22" i="3" s="1"/>
  <c r="AV198" i="3"/>
  <c r="BA14" i="3"/>
  <c r="BB54" i="3"/>
  <c r="P42" i="3"/>
  <c r="AP190" i="3"/>
  <c r="AD190" i="3"/>
  <c r="BE104" i="3"/>
  <c r="V53" i="3"/>
  <c r="BH52" i="3"/>
  <c r="BB52" i="3"/>
  <c r="AV52" i="3"/>
  <c r="AD52" i="3"/>
  <c r="X52" i="3"/>
  <c r="AV47" i="3"/>
  <c r="AP47" i="3"/>
  <c r="AJ47" i="3"/>
  <c r="BK37" i="3"/>
  <c r="BG37" i="3"/>
  <c r="Q37" i="3"/>
  <c r="AV19" i="3"/>
  <c r="AW19" i="3" s="1"/>
  <c r="AM14" i="3"/>
  <c r="AM63" i="106" s="1"/>
  <c r="V14" i="3"/>
  <c r="V42" i="3" s="1"/>
  <c r="AD54" i="3"/>
  <c r="G11" i="3"/>
  <c r="G86" i="107" s="1"/>
  <c r="BL20" i="3"/>
  <c r="BL21" i="3" s="1"/>
  <c r="BB10" i="3"/>
  <c r="BB37" i="3" s="1"/>
  <c r="AI53" i="3"/>
  <c r="AB53" i="3"/>
  <c r="Q55" i="3"/>
  <c r="L178" i="119" s="1"/>
  <c r="I53" i="3"/>
  <c r="AT157" i="3"/>
  <c r="AD145" i="3"/>
  <c r="AD147" i="3" s="1"/>
  <c r="AJ102" i="3"/>
  <c r="AK102" i="3" s="1"/>
  <c r="E157" i="3"/>
  <c r="AN104" i="3"/>
  <c r="R36" i="3"/>
  <c r="BI198" i="3"/>
  <c r="AP198" i="3"/>
  <c r="F192" i="3"/>
  <c r="R190" i="3"/>
  <c r="F190" i="3"/>
  <c r="AP154" i="3"/>
  <c r="AQ154" i="3" s="1"/>
  <c r="W157" i="3"/>
  <c r="W159" i="3" s="1"/>
  <c r="F151" i="3"/>
  <c r="G151" i="3" s="1"/>
  <c r="BL104" i="3"/>
  <c r="D104" i="3"/>
  <c r="X47" i="3"/>
  <c r="BL41" i="3"/>
  <c r="AK11" i="3"/>
  <c r="AK86" i="107" s="1"/>
  <c r="BA53" i="3"/>
  <c r="AO14" i="3"/>
  <c r="AA14" i="3"/>
  <c r="U53" i="3"/>
  <c r="AV36" i="3"/>
  <c r="AW7" i="3"/>
  <c r="AK7" i="3"/>
  <c r="BR6" i="3"/>
  <c r="BR7" i="3" s="1"/>
  <c r="BN6" i="3"/>
  <c r="X196" i="3"/>
  <c r="X38" i="3"/>
  <c r="BB192" i="3"/>
  <c r="AZ104" i="3"/>
  <c r="R192" i="3"/>
  <c r="AC147" i="3"/>
  <c r="AO53" i="3"/>
  <c r="AD36" i="3"/>
  <c r="AV192" i="3"/>
  <c r="X192" i="3"/>
  <c r="L192" i="3"/>
  <c r="W186" i="3"/>
  <c r="AT163" i="3"/>
  <c r="D163" i="3"/>
  <c r="K147" i="3"/>
  <c r="AW133" i="3"/>
  <c r="I104" i="3"/>
  <c r="J104" i="3"/>
  <c r="BB151" i="3"/>
  <c r="BC151" i="3" s="1"/>
  <c r="W53" i="3"/>
  <c r="L47" i="3"/>
  <c r="J41" i="3"/>
  <c r="AO37" i="3"/>
  <c r="I37" i="3"/>
  <c r="J20" i="3"/>
  <c r="J21" i="3" s="1"/>
  <c r="J157" i="106" s="1"/>
  <c r="O14" i="3"/>
  <c r="G12" i="3"/>
  <c r="L54" i="3"/>
  <c r="AW9" i="3"/>
  <c r="AW85" i="107" s="1"/>
  <c r="Y8" i="3"/>
  <c r="AP38" i="3"/>
  <c r="AP36" i="3"/>
  <c r="BI192" i="3"/>
  <c r="BA37" i="3"/>
  <c r="AE11" i="3"/>
  <c r="AE86" i="107" s="1"/>
  <c r="BB196" i="3"/>
  <c r="BB194" i="3"/>
  <c r="R194" i="3"/>
  <c r="X190" i="3"/>
  <c r="K186" i="3"/>
  <c r="BA147" i="3"/>
  <c r="AA147" i="3"/>
  <c r="AE141" i="3"/>
  <c r="AE133" i="3" s="1"/>
  <c r="AE134" i="3" s="1"/>
  <c r="AB104" i="3"/>
  <c r="AV38" i="3"/>
  <c r="F38" i="3"/>
  <c r="O37" i="3"/>
  <c r="AB14" i="3"/>
  <c r="AB20" i="3" s="1"/>
  <c r="Y11" i="3"/>
  <c r="Y86" i="107" s="1"/>
  <c r="AV10" i="3"/>
  <c r="AV37" i="3" s="1"/>
  <c r="AA53" i="3"/>
  <c r="F10" i="3"/>
  <c r="F37" i="3" s="1"/>
  <c r="BI36" i="3"/>
  <c r="Y9" i="3"/>
  <c r="Y85" i="107" s="1"/>
  <c r="AV151" i="3"/>
  <c r="BH151" i="3"/>
  <c r="BH163" i="3" s="1"/>
  <c r="AY14" i="3"/>
  <c r="P53" i="3"/>
  <c r="R196" i="3"/>
  <c r="F194" i="3"/>
  <c r="BI194" i="3"/>
  <c r="AB157" i="3"/>
  <c r="AZ147" i="3"/>
  <c r="BH145" i="3"/>
  <c r="BI145" i="3" s="1"/>
  <c r="F145" i="3"/>
  <c r="G145" i="3" s="1"/>
  <c r="AA104" i="3"/>
  <c r="M65" i="3"/>
  <c r="AH53" i="3"/>
  <c r="P187" i="3"/>
  <c r="AB37" i="3"/>
  <c r="K37" i="3"/>
  <c r="F36" i="3"/>
  <c r="BI16" i="3"/>
  <c r="R12" i="3"/>
  <c r="R88" i="106" s="1"/>
  <c r="R10" i="3"/>
  <c r="R37" i="3" s="1"/>
  <c r="BC9" i="3"/>
  <c r="BC85" i="107" s="1"/>
  <c r="BC7" i="3"/>
  <c r="AJ52" i="3"/>
  <c r="X154" i="3"/>
  <c r="AP54" i="3"/>
  <c r="Q53" i="3"/>
  <c r="R198" i="3"/>
  <c r="F198" i="3"/>
  <c r="F196" i="3"/>
  <c r="W155" i="3"/>
  <c r="AD154" i="3"/>
  <c r="AE154" i="3" s="1"/>
  <c r="AY147" i="3"/>
  <c r="AV145" i="3"/>
  <c r="AW145" i="3" s="1"/>
  <c r="K104" i="3"/>
  <c r="AD102" i="3"/>
  <c r="AE102" i="3" s="1"/>
  <c r="AJ54" i="3"/>
  <c r="AA37" i="3"/>
  <c r="J37" i="3"/>
  <c r="L19" i="3"/>
  <c r="M19" i="3" s="1"/>
  <c r="AD10" i="3"/>
  <c r="AD37" i="3" s="1"/>
  <c r="S9" i="3"/>
  <c r="S85" i="107" s="1"/>
  <c r="AQ7" i="3"/>
  <c r="BK71" i="3"/>
  <c r="BO71" i="3" s="1"/>
  <c r="U80" i="106"/>
  <c r="C80" i="106"/>
  <c r="AB80" i="106"/>
  <c r="J81" i="3"/>
  <c r="R154" i="3"/>
  <c r="S154" i="3" s="1"/>
  <c r="Q81" i="3"/>
  <c r="M141" i="3"/>
  <c r="L145" i="3"/>
  <c r="L147" i="3" s="1"/>
  <c r="F81" i="3"/>
  <c r="E81" i="3"/>
  <c r="AZ157" i="3"/>
  <c r="BG81" i="3"/>
  <c r="BF81" i="3"/>
  <c r="P157" i="3"/>
  <c r="P159" i="3" s="1"/>
  <c r="AY157" i="3"/>
  <c r="AG163" i="3"/>
  <c r="V81" i="3"/>
  <c r="C157" i="3"/>
  <c r="BG104" i="3"/>
  <c r="P104" i="3"/>
  <c r="C104" i="3"/>
  <c r="AV102" i="3"/>
  <c r="AK63" i="3"/>
  <c r="AJ61" i="3"/>
  <c r="AK61" i="3" s="1"/>
  <c r="D41" i="3"/>
  <c r="J55" i="3"/>
  <c r="G178" i="119" s="1"/>
  <c r="J42" i="3"/>
  <c r="D186" i="3"/>
  <c r="AZ39" i="3"/>
  <c r="AZ14" i="3"/>
  <c r="X61" i="3"/>
  <c r="Y61" i="3" s="1"/>
  <c r="Y62" i="3"/>
  <c r="AH81" i="3"/>
  <c r="U163" i="3"/>
  <c r="AA157" i="3"/>
  <c r="AA163" i="3"/>
  <c r="R145" i="3"/>
  <c r="S143" i="3"/>
  <c r="AO104" i="3"/>
  <c r="AC104" i="3"/>
  <c r="W20" i="3"/>
  <c r="W43" i="3" s="1"/>
  <c r="W41" i="3"/>
  <c r="AK133" i="3"/>
  <c r="AE98" i="3"/>
  <c r="AD151" i="3"/>
  <c r="AE151" i="3" s="1"/>
  <c r="BB19" i="3"/>
  <c r="BC19" i="3" s="1"/>
  <c r="BC16" i="3" s="1"/>
  <c r="BC63" i="3"/>
  <c r="D81" i="3"/>
  <c r="AM163" i="3"/>
  <c r="L154" i="3"/>
  <c r="V163" i="3"/>
  <c r="V157" i="3"/>
  <c r="AI147" i="3"/>
  <c r="L75" i="3"/>
  <c r="BB61" i="3"/>
  <c r="BC61" i="3" s="1"/>
  <c r="BC64" i="3"/>
  <c r="M135" i="3"/>
  <c r="AN81" i="3"/>
  <c r="AM147" i="3"/>
  <c r="K155" i="3"/>
  <c r="K157" i="3"/>
  <c r="AH157" i="3"/>
  <c r="E163" i="3"/>
  <c r="AP145" i="3"/>
  <c r="AQ145" i="3" s="1"/>
  <c r="AQ65" i="3"/>
  <c r="X54" i="3"/>
  <c r="R38" i="3"/>
  <c r="G7" i="3"/>
  <c r="BI125" i="3"/>
  <c r="AT81" i="3"/>
  <c r="AB81" i="3"/>
  <c r="AQ182" i="3"/>
  <c r="BI170" i="3"/>
  <c r="P147" i="3"/>
  <c r="BC141" i="3"/>
  <c r="BC133" i="3" s="1"/>
  <c r="R64" i="3"/>
  <c r="S64" i="3" s="1"/>
  <c r="Q61" i="3"/>
  <c r="G9" i="3"/>
  <c r="G85" i="107" s="1"/>
  <c r="L52" i="3"/>
  <c r="BG14" i="3"/>
  <c r="BG53" i="3"/>
  <c r="AU53" i="3"/>
  <c r="AU104" i="3"/>
  <c r="AU37" i="3"/>
  <c r="AG14" i="3"/>
  <c r="AG156" i="106" s="1"/>
  <c r="AM53" i="3"/>
  <c r="AG53" i="3"/>
  <c r="BL81" i="3"/>
  <c r="BA163" i="3"/>
  <c r="AN157" i="3"/>
  <c r="AN163" i="3"/>
  <c r="U104" i="3"/>
  <c r="Y100" i="3"/>
  <c r="Y65" i="3"/>
  <c r="X22" i="3"/>
  <c r="Y22" i="3" s="1"/>
  <c r="AD19" i="3"/>
  <c r="AE19" i="3" s="1"/>
  <c r="AE63" i="3"/>
  <c r="AD61" i="3"/>
  <c r="AE61" i="3" s="1"/>
  <c r="BB38" i="3"/>
  <c r="BC11" i="3"/>
  <c r="BC86" i="107" s="1"/>
  <c r="BH54" i="3"/>
  <c r="BF14" i="3"/>
  <c r="BF37" i="3"/>
  <c r="BL53" i="3"/>
  <c r="BF53" i="3"/>
  <c r="AT53" i="3"/>
  <c r="AT37" i="3"/>
  <c r="AT14" i="3"/>
  <c r="AZ53" i="3"/>
  <c r="K53" i="3"/>
  <c r="E14" i="3"/>
  <c r="BI179" i="3"/>
  <c r="BG147" i="3"/>
  <c r="AV154" i="3"/>
  <c r="AT104" i="3"/>
  <c r="W39" i="3"/>
  <c r="L12" i="3"/>
  <c r="M62" i="3"/>
  <c r="AH14" i="3"/>
  <c r="I14" i="3"/>
  <c r="O53" i="3"/>
  <c r="BI196" i="3"/>
  <c r="BK157" i="3"/>
  <c r="BK159" i="3" s="1"/>
  <c r="G141" i="3"/>
  <c r="AI14" i="3"/>
  <c r="AI156" i="106" s="1"/>
  <c r="AI39" i="3"/>
  <c r="AW11" i="3"/>
  <c r="AW86" i="107" s="1"/>
  <c r="AV54" i="3"/>
  <c r="BE14" i="3"/>
  <c r="BE156" i="106" s="1"/>
  <c r="BE37" i="3"/>
  <c r="BK53" i="3"/>
  <c r="AS104" i="3"/>
  <c r="AC14" i="3"/>
  <c r="AC53" i="3"/>
  <c r="W42" i="3"/>
  <c r="Q41" i="3"/>
  <c r="D37" i="3"/>
  <c r="J53" i="3"/>
  <c r="X10" i="3"/>
  <c r="X36" i="3"/>
  <c r="AD47" i="3"/>
  <c r="BB47" i="3"/>
  <c r="BB36" i="3"/>
  <c r="S8" i="3"/>
  <c r="S155" i="106" s="1"/>
  <c r="R47" i="3"/>
  <c r="AW182" i="3"/>
  <c r="AG157" i="3"/>
  <c r="S75" i="3"/>
  <c r="O75" i="3" s="1"/>
  <c r="AK16" i="3"/>
  <c r="Q19" i="3"/>
  <c r="R19" i="3" s="1"/>
  <c r="S63" i="3"/>
  <c r="BB145" i="3"/>
  <c r="BB147" i="3" s="1"/>
  <c r="BI61" i="3"/>
  <c r="J13" i="3"/>
  <c r="J40" i="3" s="1"/>
  <c r="AP10" i="3"/>
  <c r="X145" i="3"/>
  <c r="Y145" i="3" s="1"/>
  <c r="AY104" i="3"/>
  <c r="BI75" i="3"/>
  <c r="G143" i="3"/>
  <c r="AK75" i="3"/>
  <c r="AJ75" i="3" s="1"/>
  <c r="BI12" i="3"/>
  <c r="BI39" i="3" s="1"/>
  <c r="AN53" i="3"/>
  <c r="AQ133" i="3"/>
  <c r="L61" i="3"/>
  <c r="M61" i="3" s="1"/>
  <c r="Y7" i="3"/>
  <c r="AP102" i="3"/>
  <c r="AQ98" i="3"/>
  <c r="AP151" i="3"/>
  <c r="AI104" i="3"/>
  <c r="AG147" i="3"/>
  <c r="W147" i="3"/>
  <c r="AU157" i="3"/>
  <c r="AU163" i="3"/>
  <c r="BK147" i="3"/>
  <c r="L151" i="3"/>
  <c r="M151" i="3" s="1"/>
  <c r="M98" i="3"/>
  <c r="L102" i="3"/>
  <c r="M102" i="3" s="1"/>
  <c r="O155" i="3"/>
  <c r="J157" i="3"/>
  <c r="J163" i="3"/>
  <c r="AI163" i="3"/>
  <c r="AI157" i="3"/>
  <c r="I157" i="3"/>
  <c r="I163" i="3"/>
  <c r="BE157" i="3"/>
  <c r="BE163" i="3"/>
  <c r="BI119" i="3"/>
  <c r="W104" i="3"/>
  <c r="F61" i="3"/>
  <c r="G61" i="3" s="1"/>
  <c r="G62" i="3"/>
  <c r="Q163" i="3"/>
  <c r="Q157" i="3"/>
  <c r="BG157" i="3"/>
  <c r="D147" i="3"/>
  <c r="BC143" i="3"/>
  <c r="AG104" i="3"/>
  <c r="AZ163" i="3"/>
  <c r="AC157" i="3"/>
  <c r="D157" i="3"/>
  <c r="Q147" i="3"/>
  <c r="BF104" i="3"/>
  <c r="AV22" i="3"/>
  <c r="AV61" i="3"/>
  <c r="AW61" i="3" s="1"/>
  <c r="AW64" i="3"/>
  <c r="AN147" i="3"/>
  <c r="G19" i="3"/>
  <c r="G16" i="3" s="1"/>
  <c r="F16" i="3"/>
  <c r="BE147" i="3"/>
  <c r="Y143" i="3"/>
  <c r="S100" i="3"/>
  <c r="Y75" i="3"/>
  <c r="I75" i="3"/>
  <c r="J75" i="3"/>
  <c r="BL163" i="3"/>
  <c r="BL157" i="3"/>
  <c r="O157" i="3"/>
  <c r="O147" i="3"/>
  <c r="AQ135" i="3"/>
  <c r="BK104" i="3"/>
  <c r="AS163" i="3"/>
  <c r="U157" i="3"/>
  <c r="AJ154" i="3"/>
  <c r="AK143" i="3"/>
  <c r="AM104" i="3"/>
  <c r="BI100" i="3"/>
  <c r="BH102" i="3"/>
  <c r="R102" i="3"/>
  <c r="R151" i="3"/>
  <c r="AW75" i="3"/>
  <c r="AU14" i="3"/>
  <c r="AU39" i="3"/>
  <c r="Q42" i="3"/>
  <c r="K20" i="3"/>
  <c r="K41" i="3"/>
  <c r="AJ145" i="3"/>
  <c r="AK145" i="3" s="1"/>
  <c r="AJ151" i="3"/>
  <c r="CJ124" i="3"/>
  <c r="Q104" i="3"/>
  <c r="BA104" i="3"/>
  <c r="F154" i="3"/>
  <c r="G100" i="3"/>
  <c r="Y98" i="3"/>
  <c r="X102" i="3"/>
  <c r="CJ122" i="3"/>
  <c r="O104" i="3"/>
  <c r="BK163" i="3"/>
  <c r="BA157" i="3"/>
  <c r="BF157" i="3"/>
  <c r="AM157" i="3"/>
  <c r="AB147" i="3"/>
  <c r="BB102" i="3"/>
  <c r="BC98" i="3"/>
  <c r="BC75" i="3"/>
  <c r="AE75" i="3"/>
  <c r="G75" i="3"/>
  <c r="X12" i="3"/>
  <c r="X39" i="3" s="1"/>
  <c r="U14" i="3"/>
  <c r="U39" i="3"/>
  <c r="S11" i="3"/>
  <c r="S86" i="107" s="1"/>
  <c r="R54" i="3"/>
  <c r="AE135" i="3"/>
  <c r="BI133" i="3"/>
  <c r="Y25" i="3"/>
  <c r="AQ23" i="3"/>
  <c r="AQ146" i="106" s="1"/>
  <c r="BB154" i="3"/>
  <c r="AW25" i="3"/>
  <c r="AS14" i="3"/>
  <c r="AS53" i="3"/>
  <c r="AS37" i="3"/>
  <c r="AY53" i="3"/>
  <c r="M18" i="3"/>
  <c r="AE7" i="3"/>
  <c r="X19" i="3"/>
  <c r="Y19" i="3" s="1"/>
  <c r="Y63" i="3"/>
  <c r="D13" i="3"/>
  <c r="D62" i="106" s="1"/>
  <c r="D20" i="3"/>
  <c r="AD38" i="3"/>
  <c r="AE8" i="3"/>
  <c r="AK9" i="3"/>
  <c r="AK85" i="107" s="1"/>
  <c r="AK87" i="107" s="1"/>
  <c r="AK89" i="107" s="1"/>
  <c r="AP52" i="3"/>
  <c r="AJ36" i="3"/>
  <c r="BL37" i="3"/>
  <c r="AN14" i="3"/>
  <c r="BI7" i="3"/>
  <c r="AD22" i="3"/>
  <c r="AE22" i="3" s="1"/>
  <c r="Q22" i="3"/>
  <c r="G22" i="3"/>
  <c r="AW17" i="3"/>
  <c r="Q13" i="3"/>
  <c r="Q62" i="106" s="1"/>
  <c r="L25" i="3"/>
  <c r="BI22" i="3"/>
  <c r="AJ22" i="3"/>
  <c r="Y17" i="3"/>
  <c r="Y151" i="106" s="1"/>
  <c r="BL13" i="3"/>
  <c r="BL62" i="106" s="1"/>
  <c r="P13" i="3"/>
  <c r="P62" i="106" s="1"/>
  <c r="P20" i="3"/>
  <c r="P55" i="3"/>
  <c r="K178" i="119" s="1"/>
  <c r="AM39" i="3"/>
  <c r="AP12" i="3"/>
  <c r="AP39" i="3" s="1"/>
  <c r="AJ12" i="3"/>
  <c r="AJ16" i="3"/>
  <c r="AQ11" i="3"/>
  <c r="AQ86" i="107" s="1"/>
  <c r="BX6" i="3"/>
  <c r="CC6" i="3"/>
  <c r="M9" i="3"/>
  <c r="M85" i="107" s="1"/>
  <c r="L36" i="3"/>
  <c r="AJ10" i="3"/>
  <c r="AJ38" i="3"/>
  <c r="S7" i="3"/>
  <c r="AE17" i="3"/>
  <c r="AE151" i="106" s="1"/>
  <c r="BB12" i="3"/>
  <c r="BB39" i="3" s="1"/>
  <c r="M8" i="3"/>
  <c r="M155" i="106" s="1"/>
  <c r="L10" i="3"/>
  <c r="M7" i="3"/>
  <c r="AD12" i="3"/>
  <c r="AD39" i="3" s="1"/>
  <c r="AQ9" i="3"/>
  <c r="AQ85" i="107" s="1"/>
  <c r="BM7" i="3"/>
  <c r="AW12" i="3"/>
  <c r="BI10" i="3"/>
  <c r="BL7" i="3"/>
  <c r="BL76" i="106" s="1"/>
  <c r="AS80" i="106"/>
  <c r="BK80" i="106"/>
  <c r="BC81" i="3"/>
  <c r="AI103" i="106"/>
  <c r="AI104" i="106" s="1"/>
  <c r="W13" i="3"/>
  <c r="W40" i="3" s="1"/>
  <c r="G81" i="3"/>
  <c r="Y138" i="106"/>
  <c r="B1" i="106"/>
  <c r="B1" i="107" s="1"/>
  <c r="G5" i="106"/>
  <c r="M5" i="106"/>
  <c r="S5" i="106"/>
  <c r="Y5" i="106"/>
  <c r="AE5" i="106"/>
  <c r="AK5" i="106"/>
  <c r="AQ5" i="106"/>
  <c r="AW5" i="106"/>
  <c r="BC5" i="106"/>
  <c r="BI5" i="106"/>
  <c r="BO5" i="106"/>
  <c r="BU5" i="106"/>
  <c r="CA5" i="106"/>
  <c r="CG5" i="106"/>
  <c r="G6" i="106"/>
  <c r="M6" i="106"/>
  <c r="S6" i="106"/>
  <c r="Y6" i="106"/>
  <c r="AE6" i="106"/>
  <c r="AK6" i="106"/>
  <c r="AQ6" i="106"/>
  <c r="AW6" i="106"/>
  <c r="BC6" i="106"/>
  <c r="BI6" i="106"/>
  <c r="BL6" i="106"/>
  <c r="BM6" i="106" s="1"/>
  <c r="BN6" i="106" s="1"/>
  <c r="BQ6" i="106"/>
  <c r="G9" i="106"/>
  <c r="M9" i="106"/>
  <c r="M150" i="106" s="1"/>
  <c r="S9" i="106"/>
  <c r="S86" i="106" s="1"/>
  <c r="Y9" i="106"/>
  <c r="AE9" i="106"/>
  <c r="AK9" i="106"/>
  <c r="AQ9" i="106"/>
  <c r="AW9" i="106"/>
  <c r="BC9" i="106"/>
  <c r="BI9" i="106"/>
  <c r="BI150" i="106" s="1"/>
  <c r="G10" i="106"/>
  <c r="M10" i="106"/>
  <c r="S10" i="106"/>
  <c r="Y10" i="106"/>
  <c r="AE10" i="106"/>
  <c r="AK10" i="106"/>
  <c r="AQ10" i="106"/>
  <c r="AW10" i="106"/>
  <c r="BC10" i="106"/>
  <c r="BI10" i="106"/>
  <c r="BG74" i="106"/>
  <c r="BH74" i="106"/>
  <c r="BK74" i="106"/>
  <c r="BQ74" i="106" s="1"/>
  <c r="BW74" i="106" s="1"/>
  <c r="CC74" i="106" s="1"/>
  <c r="G11" i="106"/>
  <c r="M11" i="106"/>
  <c r="S11" i="106"/>
  <c r="Y11" i="106"/>
  <c r="AE11" i="106"/>
  <c r="AK11" i="106"/>
  <c r="AQ11" i="106"/>
  <c r="AW11" i="106"/>
  <c r="BC11" i="106"/>
  <c r="BI11" i="106"/>
  <c r="BG75" i="106"/>
  <c r="BH75" i="106"/>
  <c r="BK75" i="106"/>
  <c r="BQ75" i="106" s="1"/>
  <c r="BW75" i="106" s="1"/>
  <c r="CC75" i="106" s="1"/>
  <c r="G12" i="106"/>
  <c r="M12" i="106"/>
  <c r="S12" i="106"/>
  <c r="Y12" i="106"/>
  <c r="AE12" i="106"/>
  <c r="AK12" i="106"/>
  <c r="AQ12" i="106"/>
  <c r="AW12" i="106"/>
  <c r="BC12" i="106"/>
  <c r="BI12" i="106"/>
  <c r="C13" i="106"/>
  <c r="C14" i="106" s="1"/>
  <c r="C20" i="106" s="1"/>
  <c r="D13" i="106"/>
  <c r="D14" i="106" s="1"/>
  <c r="D20" i="106" s="1"/>
  <c r="E13" i="106"/>
  <c r="E14" i="106" s="1"/>
  <c r="E20" i="106" s="1"/>
  <c r="F13" i="106"/>
  <c r="F14" i="106" s="1"/>
  <c r="I13" i="106"/>
  <c r="J13" i="106"/>
  <c r="M13" i="106"/>
  <c r="S13" i="106"/>
  <c r="U13" i="106"/>
  <c r="U14" i="106" s="1"/>
  <c r="U20" i="106" s="1"/>
  <c r="V13" i="106"/>
  <c r="Y13" i="106"/>
  <c r="AE13" i="106"/>
  <c r="AK13" i="106"/>
  <c r="AQ13" i="106"/>
  <c r="AW13" i="106"/>
  <c r="BC13" i="106"/>
  <c r="BI13" i="106"/>
  <c r="BI87" i="106" s="1"/>
  <c r="BL87" i="106"/>
  <c r="I14" i="106"/>
  <c r="I20" i="106" s="1"/>
  <c r="J14" i="106"/>
  <c r="K14" i="106"/>
  <c r="L14" i="106"/>
  <c r="L20" i="106" s="1"/>
  <c r="O14" i="106"/>
  <c r="O20" i="106" s="1"/>
  <c r="P14" i="106"/>
  <c r="P20" i="106" s="1"/>
  <c r="Q14" i="106"/>
  <c r="Q20" i="106" s="1"/>
  <c r="R14" i="106"/>
  <c r="R20" i="106" s="1"/>
  <c r="V14" i="106"/>
  <c r="V20" i="106" s="1"/>
  <c r="W14" i="106"/>
  <c r="W68" i="106" s="1"/>
  <c r="X14" i="106"/>
  <c r="X20" i="106" s="1"/>
  <c r="AA14" i="106"/>
  <c r="AB14" i="106"/>
  <c r="AB20" i="106" s="1"/>
  <c r="AC14" i="106"/>
  <c r="AC20" i="106" s="1"/>
  <c r="AD14" i="106"/>
  <c r="AD20" i="106" s="1"/>
  <c r="AG14" i="106"/>
  <c r="AG20" i="106" s="1"/>
  <c r="AH14" i="106"/>
  <c r="AI14" i="106"/>
  <c r="AJ14" i="106"/>
  <c r="AJ20" i="106" s="1"/>
  <c r="AM14" i="106"/>
  <c r="AM20" i="106" s="1"/>
  <c r="AN14" i="106"/>
  <c r="AO14" i="106"/>
  <c r="AO20" i="106" s="1"/>
  <c r="AP14" i="106"/>
  <c r="AP20" i="106" s="1"/>
  <c r="AS14" i="106"/>
  <c r="AS20" i="106" s="1"/>
  <c r="AT14" i="106"/>
  <c r="AU14" i="106"/>
  <c r="AV14" i="106"/>
  <c r="AV20" i="106" s="1"/>
  <c r="AY14" i="106"/>
  <c r="AZ14" i="106"/>
  <c r="AZ20" i="106" s="1"/>
  <c r="BA14" i="106"/>
  <c r="BB14" i="106"/>
  <c r="BB20" i="106" s="1"/>
  <c r="BE14" i="106"/>
  <c r="BE20" i="106" s="1"/>
  <c r="BF14" i="106"/>
  <c r="BG14" i="106"/>
  <c r="BH14" i="106"/>
  <c r="BH20" i="106" s="1"/>
  <c r="BK14" i="106"/>
  <c r="BL14" i="106"/>
  <c r="BL20" i="106" s="1"/>
  <c r="G16" i="106"/>
  <c r="M16" i="106"/>
  <c r="S16" i="106"/>
  <c r="Y16" i="106"/>
  <c r="AE16" i="106"/>
  <c r="AK16" i="106"/>
  <c r="AQ16" i="106"/>
  <c r="AW16" i="106"/>
  <c r="BC16" i="106"/>
  <c r="BI16" i="106"/>
  <c r="BK102" i="106"/>
  <c r="BK103" i="106"/>
  <c r="BK138" i="106"/>
  <c r="BL103" i="106"/>
  <c r="BL138" i="106"/>
  <c r="BL116" i="106"/>
  <c r="BQ138" i="106"/>
  <c r="BR138" i="106"/>
  <c r="BR106" i="106" s="1"/>
  <c r="BS138" i="106"/>
  <c r="BT138" i="106"/>
  <c r="BT106" i="106" s="1"/>
  <c r="BW138" i="106"/>
  <c r="BW106" i="106" s="1"/>
  <c r="BX138" i="106"/>
  <c r="BX122" i="106" s="1"/>
  <c r="BY138" i="106"/>
  <c r="BY106" i="106" s="1"/>
  <c r="BZ138" i="106"/>
  <c r="CC138" i="106"/>
  <c r="CD138" i="106"/>
  <c r="CD106" i="106" s="1"/>
  <c r="CE138" i="106"/>
  <c r="CF138" i="106"/>
  <c r="CF122" i="106" s="1"/>
  <c r="G17" i="106"/>
  <c r="G175" i="106" s="1"/>
  <c r="M17" i="106"/>
  <c r="M175" i="106" s="1"/>
  <c r="S17" i="106"/>
  <c r="S175" i="106" s="1"/>
  <c r="Y17" i="106"/>
  <c r="Y175" i="106" s="1"/>
  <c r="AE17" i="106"/>
  <c r="AE175" i="106" s="1"/>
  <c r="AK17" i="106"/>
  <c r="AK175" i="106" s="1"/>
  <c r="AQ17" i="106"/>
  <c r="AQ175" i="106" s="1"/>
  <c r="AW17" i="106"/>
  <c r="AW175" i="106" s="1"/>
  <c r="BC17" i="106"/>
  <c r="BC175" i="106" s="1"/>
  <c r="BI17" i="106"/>
  <c r="BI175" i="106" s="1"/>
  <c r="BL134" i="106"/>
  <c r="BM131" i="106" s="1"/>
  <c r="BM133" i="106" s="1"/>
  <c r="G18" i="106"/>
  <c r="G127" i="106" s="1"/>
  <c r="M18" i="106"/>
  <c r="S18" i="106"/>
  <c r="Y18" i="106"/>
  <c r="AE18" i="106"/>
  <c r="AK18" i="106"/>
  <c r="AQ18" i="106"/>
  <c r="AW18" i="106"/>
  <c r="BC18" i="106"/>
  <c r="BI18" i="106"/>
  <c r="G19" i="106"/>
  <c r="M19" i="106"/>
  <c r="M174" i="106" s="1"/>
  <c r="S19" i="106"/>
  <c r="S174" i="106" s="1"/>
  <c r="Y19" i="106"/>
  <c r="Y174" i="106" s="1"/>
  <c r="AE19" i="106"/>
  <c r="AE174" i="106" s="1"/>
  <c r="AK19" i="106"/>
  <c r="AK174" i="106" s="1"/>
  <c r="AQ19" i="106"/>
  <c r="AW19" i="106"/>
  <c r="BC19" i="106"/>
  <c r="BI19" i="106"/>
  <c r="AA20" i="106"/>
  <c r="AH20" i="106"/>
  <c r="BA20" i="106"/>
  <c r="BK20" i="106"/>
  <c r="G23" i="106"/>
  <c r="M23" i="106"/>
  <c r="S23" i="106"/>
  <c r="Y23" i="106"/>
  <c r="AE23" i="106"/>
  <c r="AK23" i="106"/>
  <c r="AQ23" i="106"/>
  <c r="AW23" i="106"/>
  <c r="BC23" i="106"/>
  <c r="BI23" i="106"/>
  <c r="BG76" i="106"/>
  <c r="BH76" i="106"/>
  <c r="BK76" i="106"/>
  <c r="G24" i="106"/>
  <c r="M24" i="106"/>
  <c r="S24" i="106"/>
  <c r="Y24" i="106"/>
  <c r="Y51" i="106" s="1"/>
  <c r="Y52" i="106" s="1"/>
  <c r="AE24" i="106"/>
  <c r="AK24" i="106"/>
  <c r="AQ24" i="106"/>
  <c r="AW24" i="106"/>
  <c r="BC24" i="106"/>
  <c r="BI24" i="106"/>
  <c r="G25" i="106"/>
  <c r="M25" i="106"/>
  <c r="S25" i="106"/>
  <c r="Y25" i="106"/>
  <c r="AE25" i="106"/>
  <c r="AK25" i="106"/>
  <c r="AQ25" i="106"/>
  <c r="AW25" i="106"/>
  <c r="BC25" i="106"/>
  <c r="BI25" i="106"/>
  <c r="C26" i="106"/>
  <c r="D26" i="106"/>
  <c r="D27" i="106" s="1"/>
  <c r="D70" i="106" s="1"/>
  <c r="E26" i="106"/>
  <c r="E59" i="106" s="1"/>
  <c r="F26" i="106"/>
  <c r="G26" i="106" s="1"/>
  <c r="I26" i="106"/>
  <c r="J26" i="106"/>
  <c r="J27" i="106" s="1"/>
  <c r="J32" i="106" s="1"/>
  <c r="K26" i="106"/>
  <c r="L26" i="106"/>
  <c r="O26" i="106"/>
  <c r="O27" i="106" s="1"/>
  <c r="P26" i="106"/>
  <c r="Q26" i="106"/>
  <c r="R26" i="106"/>
  <c r="U26" i="106"/>
  <c r="V26" i="106"/>
  <c r="V27" i="106" s="1"/>
  <c r="V71" i="106" s="1"/>
  <c r="W26" i="106"/>
  <c r="X26" i="106"/>
  <c r="AA26" i="106"/>
  <c r="AA27" i="106" s="1"/>
  <c r="AA69" i="106" s="1"/>
  <c r="AB26" i="106"/>
  <c r="AC26" i="106"/>
  <c r="AD26" i="106"/>
  <c r="AD27" i="106" s="1"/>
  <c r="AD69" i="106" s="1"/>
  <c r="AG26" i="106"/>
  <c r="AH26" i="106"/>
  <c r="AI26" i="106"/>
  <c r="AJ26" i="106"/>
  <c r="AM26" i="106"/>
  <c r="AM27" i="106" s="1"/>
  <c r="AN26" i="106"/>
  <c r="AN27" i="106" s="1"/>
  <c r="AO26" i="106"/>
  <c r="AO27" i="106" s="1"/>
  <c r="AO32" i="106" s="1"/>
  <c r="AP26" i="106"/>
  <c r="AQ26" i="106"/>
  <c r="AS26" i="106"/>
  <c r="AT26" i="106"/>
  <c r="AU26" i="106"/>
  <c r="AV26" i="106"/>
  <c r="AY26" i="106"/>
  <c r="AZ26" i="106"/>
  <c r="BA26" i="106"/>
  <c r="BA27" i="106" s="1"/>
  <c r="BA32" i="106" s="1"/>
  <c r="BB26" i="106"/>
  <c r="BC26" i="106"/>
  <c r="BE26" i="106"/>
  <c r="BF26" i="106"/>
  <c r="BG26" i="106"/>
  <c r="BG27" i="106" s="1"/>
  <c r="BH26" i="106"/>
  <c r="BK26" i="106"/>
  <c r="BL26" i="106"/>
  <c r="BL88" i="106" s="1"/>
  <c r="E27" i="106"/>
  <c r="E70" i="106" s="1"/>
  <c r="F27" i="106"/>
  <c r="F32" i="106" s="1"/>
  <c r="W27" i="106"/>
  <c r="AC27" i="106"/>
  <c r="AC68" i="106" s="1"/>
  <c r="AH27" i="106"/>
  <c r="AP27" i="106"/>
  <c r="AP69" i="106" s="1"/>
  <c r="AS27" i="106"/>
  <c r="AY27" i="106"/>
  <c r="AY32" i="106" s="1"/>
  <c r="AZ27" i="106"/>
  <c r="AZ32" i="106" s="1"/>
  <c r="BB27" i="106"/>
  <c r="BB69" i="106" s="1"/>
  <c r="BK27" i="106"/>
  <c r="BK32" i="106" s="1"/>
  <c r="G29" i="106"/>
  <c r="G163" i="106" s="1"/>
  <c r="M29" i="106"/>
  <c r="S29" i="106"/>
  <c r="Y29" i="106"/>
  <c r="AE29" i="106"/>
  <c r="AE163" i="106" s="1"/>
  <c r="AK29" i="106"/>
  <c r="AK163" i="106" s="1"/>
  <c r="AQ29" i="106"/>
  <c r="AW29" i="106"/>
  <c r="AW163" i="106" s="1"/>
  <c r="BC29" i="106"/>
  <c r="BC163" i="106" s="1"/>
  <c r="BI29" i="106"/>
  <c r="G30" i="106"/>
  <c r="G164" i="106" s="1"/>
  <c r="M30" i="106"/>
  <c r="M164" i="106" s="1"/>
  <c r="S30" i="106"/>
  <c r="S164" i="106" s="1"/>
  <c r="Y30" i="106"/>
  <c r="Y164" i="106" s="1"/>
  <c r="AE30" i="106"/>
  <c r="AE164" i="106" s="1"/>
  <c r="AK30" i="106"/>
  <c r="AK164" i="106" s="1"/>
  <c r="AQ30" i="106"/>
  <c r="AQ164" i="106" s="1"/>
  <c r="AW30" i="106"/>
  <c r="AW164" i="106" s="1"/>
  <c r="BC30" i="106"/>
  <c r="BC164" i="106" s="1"/>
  <c r="BI30" i="106"/>
  <c r="BI164" i="106" s="1"/>
  <c r="G31" i="106"/>
  <c r="G165" i="106" s="1"/>
  <c r="M31" i="106"/>
  <c r="M165" i="106" s="1"/>
  <c r="S31" i="106"/>
  <c r="S165" i="106" s="1"/>
  <c r="Y31" i="106"/>
  <c r="Y165" i="106" s="1"/>
  <c r="AE31" i="106"/>
  <c r="AE165" i="106" s="1"/>
  <c r="AK31" i="106"/>
  <c r="AK165" i="106" s="1"/>
  <c r="AQ31" i="106"/>
  <c r="AQ165" i="106" s="1"/>
  <c r="AW31" i="106"/>
  <c r="AW165" i="106" s="1"/>
  <c r="BC31" i="106"/>
  <c r="BC165" i="106" s="1"/>
  <c r="BI31" i="106"/>
  <c r="BI165" i="106" s="1"/>
  <c r="D32" i="106"/>
  <c r="K32" i="106"/>
  <c r="AC32" i="106"/>
  <c r="AH32" i="106"/>
  <c r="G34" i="106"/>
  <c r="M34" i="106"/>
  <c r="S34" i="106"/>
  <c r="Y34" i="106"/>
  <c r="AE34" i="106"/>
  <c r="AK34" i="106"/>
  <c r="AQ34" i="106"/>
  <c r="AW34" i="106"/>
  <c r="BC34" i="106"/>
  <c r="BI34" i="106"/>
  <c r="G37" i="106"/>
  <c r="M37" i="106"/>
  <c r="S37" i="106"/>
  <c r="Y37" i="106"/>
  <c r="AE37" i="106"/>
  <c r="AK37" i="106"/>
  <c r="AQ37" i="106"/>
  <c r="AW37" i="106"/>
  <c r="BC37" i="106"/>
  <c r="BI37" i="106"/>
  <c r="G38" i="106"/>
  <c r="M38" i="106"/>
  <c r="S38" i="106"/>
  <c r="Y38" i="106"/>
  <c r="AE38" i="106"/>
  <c r="AK38" i="106"/>
  <c r="AQ38" i="106"/>
  <c r="AW38" i="106"/>
  <c r="BC38" i="106"/>
  <c r="BI38" i="106"/>
  <c r="G39" i="106"/>
  <c r="M39" i="106"/>
  <c r="S39" i="106"/>
  <c r="Y39" i="106"/>
  <c r="AE39" i="106"/>
  <c r="AK39" i="106"/>
  <c r="AQ39" i="106"/>
  <c r="AW39" i="106"/>
  <c r="BC39" i="106"/>
  <c r="BI39" i="106"/>
  <c r="G40" i="106"/>
  <c r="M40" i="106"/>
  <c r="S40" i="106"/>
  <c r="Y40" i="106"/>
  <c r="AE40" i="106"/>
  <c r="AK40" i="106"/>
  <c r="AQ40" i="106"/>
  <c r="AW40" i="106"/>
  <c r="BC40" i="106"/>
  <c r="BI40" i="106"/>
  <c r="BO40" i="106"/>
  <c r="C41" i="106"/>
  <c r="C170" i="106" s="1"/>
  <c r="D41" i="106"/>
  <c r="E41" i="106"/>
  <c r="E170" i="106" s="1"/>
  <c r="F41" i="106"/>
  <c r="I41" i="106"/>
  <c r="J41" i="106"/>
  <c r="K41" i="106"/>
  <c r="K170" i="106" s="1"/>
  <c r="L41" i="106"/>
  <c r="O41" i="106"/>
  <c r="O170" i="106" s="1"/>
  <c r="P41" i="106"/>
  <c r="Q41" i="106"/>
  <c r="R41" i="106"/>
  <c r="U41" i="106"/>
  <c r="V41" i="106"/>
  <c r="W41" i="106"/>
  <c r="X41" i="106"/>
  <c r="AA41" i="106"/>
  <c r="AA170" i="106" s="1"/>
  <c r="AB41" i="106"/>
  <c r="AB97" i="106" s="1"/>
  <c r="AC41" i="106"/>
  <c r="AC97" i="106" s="1"/>
  <c r="AD41" i="106"/>
  <c r="AG41" i="106"/>
  <c r="AG170" i="106" s="1"/>
  <c r="AH41" i="106"/>
  <c r="AI41" i="106"/>
  <c r="AJ41" i="106"/>
  <c r="AJ97" i="106" s="1"/>
  <c r="AM91" i="106" s="1"/>
  <c r="AM41" i="106"/>
  <c r="AM170" i="106" s="1"/>
  <c r="AN41" i="106"/>
  <c r="AO41" i="106"/>
  <c r="AO170" i="106" s="1"/>
  <c r="AP41" i="106"/>
  <c r="AS41" i="106"/>
  <c r="AT41" i="106"/>
  <c r="AU41" i="106"/>
  <c r="AV41" i="106"/>
  <c r="AV97" i="106" s="1"/>
  <c r="AV98" i="106" s="1"/>
  <c r="AY41" i="106"/>
  <c r="AZ41" i="106"/>
  <c r="BA41" i="106"/>
  <c r="BA170" i="106" s="1"/>
  <c r="BB41" i="106"/>
  <c r="BE41" i="106"/>
  <c r="BF41" i="106"/>
  <c r="BG41" i="106"/>
  <c r="BG97" i="106" s="1"/>
  <c r="BH91" i="106" s="1"/>
  <c r="BH41" i="106"/>
  <c r="BH170" i="106" s="1"/>
  <c r="BK41" i="106"/>
  <c r="BL41" i="106"/>
  <c r="G43" i="106"/>
  <c r="M43" i="106"/>
  <c r="S43" i="106"/>
  <c r="Y43" i="106"/>
  <c r="AE43" i="106"/>
  <c r="AK43" i="106"/>
  <c r="AQ43" i="106"/>
  <c r="AW43" i="106"/>
  <c r="BC43" i="106"/>
  <c r="BI43" i="106"/>
  <c r="C44" i="106"/>
  <c r="C51" i="106"/>
  <c r="C52" i="106" s="1"/>
  <c r="D51" i="106"/>
  <c r="E51" i="106"/>
  <c r="E52" i="106" s="1"/>
  <c r="E53" i="106" s="1"/>
  <c r="F51" i="106"/>
  <c r="F52" i="106" s="1"/>
  <c r="F53" i="106" s="1"/>
  <c r="I51" i="106"/>
  <c r="I52" i="106" s="1"/>
  <c r="I53" i="106" s="1"/>
  <c r="J51" i="106"/>
  <c r="K51" i="106"/>
  <c r="K52" i="106" s="1"/>
  <c r="L51" i="106"/>
  <c r="O51" i="106"/>
  <c r="O52" i="106" s="1"/>
  <c r="O53" i="106" s="1"/>
  <c r="P51" i="106"/>
  <c r="Q51" i="106"/>
  <c r="Q52" i="106" s="1"/>
  <c r="R51" i="106"/>
  <c r="U51" i="106"/>
  <c r="U52" i="106" s="1"/>
  <c r="V51" i="106"/>
  <c r="W51" i="106"/>
  <c r="W52" i="106" s="1"/>
  <c r="W53" i="106" s="1"/>
  <c r="X51" i="106"/>
  <c r="X52" i="106" s="1"/>
  <c r="X53" i="106" s="1"/>
  <c r="AA51" i="106"/>
  <c r="AA52" i="106" s="1"/>
  <c r="AB51" i="106"/>
  <c r="AB52" i="106" s="1"/>
  <c r="AC51" i="106"/>
  <c r="AC52" i="106" s="1"/>
  <c r="AC53" i="106" s="1"/>
  <c r="AD51" i="106"/>
  <c r="AG51" i="106"/>
  <c r="AG52" i="106" s="1"/>
  <c r="AH51" i="106"/>
  <c r="AH52" i="106" s="1"/>
  <c r="AH53" i="106" s="1"/>
  <c r="AI51" i="106"/>
  <c r="AJ51" i="106"/>
  <c r="AJ52" i="106" s="1"/>
  <c r="AM51" i="106"/>
  <c r="AM52" i="106" s="1"/>
  <c r="AM53" i="106" s="1"/>
  <c r="AN51" i="106"/>
  <c r="AN52" i="106" s="1"/>
  <c r="AN53" i="106" s="1"/>
  <c r="AO51" i="106"/>
  <c r="AP51" i="106"/>
  <c r="AP52" i="106" s="1"/>
  <c r="AS51" i="106"/>
  <c r="AT51" i="106"/>
  <c r="AT52" i="106" s="1"/>
  <c r="AU51" i="106"/>
  <c r="AU52" i="106" s="1"/>
  <c r="AV51" i="106"/>
  <c r="AV52" i="106" s="1"/>
  <c r="AV53" i="106" s="1"/>
  <c r="AY51" i="106"/>
  <c r="AZ51" i="106"/>
  <c r="AZ52" i="106" s="1"/>
  <c r="AZ53" i="106" s="1"/>
  <c r="BA51" i="106"/>
  <c r="BB51" i="106"/>
  <c r="BB52" i="106" s="1"/>
  <c r="BB53" i="106" s="1"/>
  <c r="BE51" i="106"/>
  <c r="BE52" i="106" s="1"/>
  <c r="BF51" i="106"/>
  <c r="BG51" i="106"/>
  <c r="BG52" i="106" s="1"/>
  <c r="BH51" i="106"/>
  <c r="BH52" i="106" s="1"/>
  <c r="BH53" i="106" s="1"/>
  <c r="BK51" i="106"/>
  <c r="BL51" i="106"/>
  <c r="V52" i="106"/>
  <c r="AD52" i="106"/>
  <c r="AO52" i="106"/>
  <c r="AO53" i="106" s="1"/>
  <c r="AY52" i="106"/>
  <c r="AG53" i="106"/>
  <c r="F59" i="106"/>
  <c r="J59" i="106"/>
  <c r="K59" i="106"/>
  <c r="P59" i="106"/>
  <c r="Q59" i="106"/>
  <c r="R59" i="106"/>
  <c r="V59" i="106"/>
  <c r="W59" i="106"/>
  <c r="AB59" i="106"/>
  <c r="AC59" i="106"/>
  <c r="AD59" i="106"/>
  <c r="AH59" i="106"/>
  <c r="AM59" i="106"/>
  <c r="AN59" i="106"/>
  <c r="AO59" i="106"/>
  <c r="AP59" i="106"/>
  <c r="AS59" i="106"/>
  <c r="AY59" i="106"/>
  <c r="AZ59" i="106"/>
  <c r="BA59" i="106"/>
  <c r="BB59" i="106"/>
  <c r="BG59" i="106"/>
  <c r="BH59" i="106"/>
  <c r="BK59" i="106"/>
  <c r="BL59" i="106"/>
  <c r="D63" i="106"/>
  <c r="J63" i="106"/>
  <c r="K63" i="106"/>
  <c r="P63" i="106"/>
  <c r="Q63" i="106"/>
  <c r="W63" i="106"/>
  <c r="BL63" i="106"/>
  <c r="F68" i="106"/>
  <c r="AH68" i="106"/>
  <c r="BG68" i="106"/>
  <c r="F69" i="106"/>
  <c r="K69" i="106"/>
  <c r="AH69" i="106"/>
  <c r="F70" i="106"/>
  <c r="K70" i="106"/>
  <c r="W70" i="106"/>
  <c r="AH70" i="106"/>
  <c r="AO70" i="106"/>
  <c r="AO71" i="106"/>
  <c r="D74" i="106"/>
  <c r="E74" i="106"/>
  <c r="F74" i="106"/>
  <c r="I74" i="106"/>
  <c r="J74" i="106"/>
  <c r="K74" i="106"/>
  <c r="L74" i="106"/>
  <c r="O74" i="106"/>
  <c r="P74" i="106"/>
  <c r="Q74" i="106"/>
  <c r="R74" i="106"/>
  <c r="U74" i="106"/>
  <c r="V74" i="106"/>
  <c r="W74" i="106"/>
  <c r="X74" i="106"/>
  <c r="AA74" i="106"/>
  <c r="AB74" i="106"/>
  <c r="AC74" i="106"/>
  <c r="AD74" i="106"/>
  <c r="AG74" i="106"/>
  <c r="AH74" i="106"/>
  <c r="AI74" i="106"/>
  <c r="AJ74" i="106"/>
  <c r="AM74" i="106"/>
  <c r="AN74" i="106"/>
  <c r="AO74" i="106"/>
  <c r="AP74" i="106"/>
  <c r="AS74" i="106"/>
  <c r="AT74" i="106"/>
  <c r="AU74" i="106"/>
  <c r="AV74" i="106"/>
  <c r="AY74" i="106"/>
  <c r="AZ74" i="106"/>
  <c r="BA74" i="106"/>
  <c r="BB74" i="106"/>
  <c r="BE74" i="106"/>
  <c r="BF74" i="106"/>
  <c r="D75" i="106"/>
  <c r="E75" i="106"/>
  <c r="F75" i="106"/>
  <c r="I75" i="106"/>
  <c r="J75" i="106"/>
  <c r="K75" i="106"/>
  <c r="L75" i="106"/>
  <c r="O75" i="106"/>
  <c r="P75" i="106"/>
  <c r="Q75" i="106"/>
  <c r="R75" i="106"/>
  <c r="U75" i="106"/>
  <c r="V75" i="106"/>
  <c r="W75" i="106"/>
  <c r="X75" i="106"/>
  <c r="AA75" i="106"/>
  <c r="AB75" i="106"/>
  <c r="AC75" i="106"/>
  <c r="AD75" i="106"/>
  <c r="AG75" i="106"/>
  <c r="AH75" i="106"/>
  <c r="AI75" i="106"/>
  <c r="AJ75" i="106"/>
  <c r="AM75" i="106"/>
  <c r="AN75" i="106"/>
  <c r="AO75" i="106"/>
  <c r="AP75" i="106"/>
  <c r="AS75" i="106"/>
  <c r="AT75" i="106"/>
  <c r="AU75" i="106"/>
  <c r="AV75" i="106"/>
  <c r="AY75" i="106"/>
  <c r="AZ75" i="106"/>
  <c r="BA75" i="106"/>
  <c r="BB75" i="106"/>
  <c r="BE75" i="106"/>
  <c r="BF75" i="106"/>
  <c r="D76" i="106"/>
  <c r="E76" i="106"/>
  <c r="F76" i="106"/>
  <c r="I76" i="106"/>
  <c r="J76" i="106"/>
  <c r="K76" i="106"/>
  <c r="L76" i="106"/>
  <c r="O76" i="106"/>
  <c r="P76" i="106"/>
  <c r="Q76" i="106"/>
  <c r="R76" i="106"/>
  <c r="U76" i="106"/>
  <c r="V76" i="106"/>
  <c r="W76" i="106"/>
  <c r="X76" i="106"/>
  <c r="AA76" i="106"/>
  <c r="AB76" i="106"/>
  <c r="AC76" i="106"/>
  <c r="AD76" i="106"/>
  <c r="AG76" i="106"/>
  <c r="AH76" i="106"/>
  <c r="AI76" i="106"/>
  <c r="AJ76" i="106"/>
  <c r="AM76" i="106"/>
  <c r="AN76" i="106"/>
  <c r="AO76" i="106"/>
  <c r="AP76" i="106"/>
  <c r="AS76" i="106"/>
  <c r="AT76" i="106"/>
  <c r="AU76" i="106"/>
  <c r="AV76" i="106"/>
  <c r="AY76" i="106"/>
  <c r="AZ76" i="106"/>
  <c r="BA76" i="106"/>
  <c r="BB76" i="106"/>
  <c r="BE76" i="106"/>
  <c r="BF76" i="106"/>
  <c r="AA80" i="106"/>
  <c r="AG80" i="106"/>
  <c r="AM80" i="106"/>
  <c r="AY80" i="106"/>
  <c r="BE80" i="106"/>
  <c r="C81" i="106"/>
  <c r="I81" i="106"/>
  <c r="O81" i="106"/>
  <c r="U81" i="106"/>
  <c r="V81" i="106"/>
  <c r="AA81" i="106"/>
  <c r="AB81" i="106"/>
  <c r="AG81" i="106"/>
  <c r="AH81" i="106"/>
  <c r="AM81" i="106"/>
  <c r="AS81" i="106"/>
  <c r="AT81" i="106"/>
  <c r="AY81" i="106"/>
  <c r="AZ81" i="106"/>
  <c r="BE81" i="106"/>
  <c r="BK81" i="106"/>
  <c r="BL81" i="106"/>
  <c r="C82" i="106"/>
  <c r="U82" i="106"/>
  <c r="AA82" i="106"/>
  <c r="AG82" i="106"/>
  <c r="AH82" i="106"/>
  <c r="AM82" i="106"/>
  <c r="AS82" i="106"/>
  <c r="AT82" i="106"/>
  <c r="AY82" i="106"/>
  <c r="BE82" i="106"/>
  <c r="BK82" i="106"/>
  <c r="BL82" i="106"/>
  <c r="C83" i="106"/>
  <c r="U83" i="106"/>
  <c r="AA83" i="106"/>
  <c r="AG83" i="106"/>
  <c r="AH83" i="106"/>
  <c r="AM83" i="106"/>
  <c r="AS83" i="106"/>
  <c r="AT83" i="106"/>
  <c r="AY83" i="106"/>
  <c r="BE83" i="106"/>
  <c r="BK83" i="106"/>
  <c r="BL83" i="106"/>
  <c r="C86" i="106"/>
  <c r="D86" i="106"/>
  <c r="E86" i="106"/>
  <c r="F86" i="106"/>
  <c r="G86" i="106"/>
  <c r="I86" i="106"/>
  <c r="J86" i="106"/>
  <c r="K86" i="106"/>
  <c r="L86" i="106"/>
  <c r="M86" i="106"/>
  <c r="O86" i="106"/>
  <c r="P86" i="106"/>
  <c r="Q86" i="106"/>
  <c r="R86" i="106"/>
  <c r="U86" i="106"/>
  <c r="V86" i="106"/>
  <c r="W86" i="106"/>
  <c r="X86" i="106"/>
  <c r="Y86" i="106"/>
  <c r="AA86" i="106"/>
  <c r="AB86" i="106"/>
  <c r="AC86" i="106"/>
  <c r="AD86" i="106"/>
  <c r="AG86" i="106"/>
  <c r="AH86" i="106"/>
  <c r="AI86" i="106"/>
  <c r="AJ86" i="106"/>
  <c r="AK86" i="106"/>
  <c r="AM86" i="106"/>
  <c r="AN86" i="106"/>
  <c r="AO86" i="106"/>
  <c r="AP86" i="106"/>
  <c r="AS86" i="106"/>
  <c r="AT86" i="106"/>
  <c r="AU86" i="106"/>
  <c r="AV86" i="106"/>
  <c r="AY86" i="106"/>
  <c r="AZ86" i="106"/>
  <c r="BA86" i="106"/>
  <c r="BB86" i="106"/>
  <c r="BE86" i="106"/>
  <c r="BF86" i="106"/>
  <c r="BG86" i="106"/>
  <c r="BH86" i="106"/>
  <c r="BI86" i="106"/>
  <c r="BK86" i="106"/>
  <c r="BL86" i="106"/>
  <c r="C87" i="106"/>
  <c r="D87" i="106"/>
  <c r="E87" i="106"/>
  <c r="F87" i="106"/>
  <c r="I87" i="106"/>
  <c r="J87" i="106"/>
  <c r="K87" i="106"/>
  <c r="L87" i="106"/>
  <c r="O87" i="106"/>
  <c r="P87" i="106"/>
  <c r="Q87" i="106"/>
  <c r="R87" i="106"/>
  <c r="U87" i="106"/>
  <c r="V87" i="106"/>
  <c r="W87" i="106"/>
  <c r="X87" i="106"/>
  <c r="AA87" i="106"/>
  <c r="AB87" i="106"/>
  <c r="AC87" i="106"/>
  <c r="AD87" i="106"/>
  <c r="AG87" i="106"/>
  <c r="AH87" i="106"/>
  <c r="AI87" i="106"/>
  <c r="AJ87" i="106"/>
  <c r="AM87" i="106"/>
  <c r="AN87" i="106"/>
  <c r="AO87" i="106"/>
  <c r="AP87" i="106"/>
  <c r="AS87" i="106"/>
  <c r="AT87" i="106"/>
  <c r="AU87" i="106"/>
  <c r="AV87" i="106"/>
  <c r="AY87" i="106"/>
  <c r="AZ87" i="106"/>
  <c r="BA87" i="106"/>
  <c r="BB87" i="106"/>
  <c r="BE87" i="106"/>
  <c r="BF87" i="106"/>
  <c r="BG87" i="106"/>
  <c r="BH87" i="106"/>
  <c r="BK87" i="106"/>
  <c r="E88" i="106"/>
  <c r="F88" i="106"/>
  <c r="I88" i="106"/>
  <c r="J88" i="106"/>
  <c r="K88" i="106"/>
  <c r="U88" i="106"/>
  <c r="V88" i="106"/>
  <c r="W88" i="106"/>
  <c r="AC88" i="106"/>
  <c r="AG88" i="106"/>
  <c r="AH88" i="106"/>
  <c r="AN88" i="106"/>
  <c r="AO88" i="106"/>
  <c r="AS88" i="106"/>
  <c r="AY88" i="106"/>
  <c r="AZ88" i="106"/>
  <c r="BA88" i="106"/>
  <c r="BG88" i="106"/>
  <c r="BH88" i="106"/>
  <c r="BK88" i="106"/>
  <c r="C97" i="106"/>
  <c r="C98" i="106" s="1"/>
  <c r="G91" i="106"/>
  <c r="C92" i="106"/>
  <c r="D92" i="106"/>
  <c r="E92" i="106"/>
  <c r="F92" i="106"/>
  <c r="G94" i="106"/>
  <c r="C95" i="106"/>
  <c r="D95" i="106"/>
  <c r="E95" i="106"/>
  <c r="F95" i="106"/>
  <c r="Q97" i="106"/>
  <c r="R91" i="106" s="1"/>
  <c r="I92" i="106"/>
  <c r="J92" i="106"/>
  <c r="K92" i="106"/>
  <c r="L92" i="106"/>
  <c r="M94" i="106"/>
  <c r="I95" i="106"/>
  <c r="J95" i="106"/>
  <c r="K95" i="106"/>
  <c r="L95" i="106"/>
  <c r="O92" i="106"/>
  <c r="P92" i="106"/>
  <c r="Q92" i="106"/>
  <c r="R92" i="106"/>
  <c r="S94" i="106"/>
  <c r="O95" i="106"/>
  <c r="P95" i="106"/>
  <c r="Q95" i="106"/>
  <c r="R95" i="106"/>
  <c r="U92" i="106"/>
  <c r="V92" i="106"/>
  <c r="W92" i="106"/>
  <c r="X92" i="106"/>
  <c r="Y94" i="106"/>
  <c r="U95" i="106"/>
  <c r="V95" i="106"/>
  <c r="W95" i="106"/>
  <c r="X95" i="106"/>
  <c r="AA92" i="106"/>
  <c r="AB92" i="106"/>
  <c r="AC92" i="106"/>
  <c r="AD92" i="106"/>
  <c r="AE94" i="106"/>
  <c r="AA95" i="106"/>
  <c r="AB95" i="106"/>
  <c r="AC95" i="106"/>
  <c r="AD95" i="106"/>
  <c r="AO97" i="106"/>
  <c r="AG92" i="106"/>
  <c r="AH92" i="106"/>
  <c r="AI92" i="106"/>
  <c r="AJ92" i="106"/>
  <c r="AK94" i="106"/>
  <c r="AG95" i="106"/>
  <c r="AH95" i="106"/>
  <c r="AI95" i="106"/>
  <c r="AJ95" i="106"/>
  <c r="AM92" i="106"/>
  <c r="AN92" i="106"/>
  <c r="AO92" i="106"/>
  <c r="AP92" i="106"/>
  <c r="AQ94" i="106"/>
  <c r="AM95" i="106"/>
  <c r="AN95" i="106"/>
  <c r="AO95" i="106"/>
  <c r="AP95" i="106"/>
  <c r="AZ97" i="106"/>
  <c r="AS92" i="106"/>
  <c r="AT92" i="106"/>
  <c r="AU92" i="106"/>
  <c r="AV92" i="106"/>
  <c r="AW94" i="106"/>
  <c r="AS95" i="106"/>
  <c r="AT95" i="106"/>
  <c r="AU95" i="106"/>
  <c r="AV95" i="106"/>
  <c r="BE97" i="106"/>
  <c r="BF91" i="106" s="1"/>
  <c r="BF97" i="106"/>
  <c r="BF98" i="106" s="1"/>
  <c r="AY92" i="106"/>
  <c r="AZ92" i="106"/>
  <c r="BA92" i="106"/>
  <c r="BB92" i="106"/>
  <c r="BC94" i="106"/>
  <c r="AY95" i="106"/>
  <c r="AZ95" i="106"/>
  <c r="BA95" i="106"/>
  <c r="BB95" i="106"/>
  <c r="BK97" i="106"/>
  <c r="BL97" i="106"/>
  <c r="BM91" i="106" s="1"/>
  <c r="BE92" i="106"/>
  <c r="BF92" i="106"/>
  <c r="BG92" i="106"/>
  <c r="BH92" i="106"/>
  <c r="BI94" i="106"/>
  <c r="BE95" i="106"/>
  <c r="BF95" i="106"/>
  <c r="BG95" i="106"/>
  <c r="BH95" i="106"/>
  <c r="BK92" i="106"/>
  <c r="BL92" i="106"/>
  <c r="BO94" i="106"/>
  <c r="BK95" i="106"/>
  <c r="BL95" i="106"/>
  <c r="BU94" i="106"/>
  <c r="BU96" i="106"/>
  <c r="CA94" i="106"/>
  <c r="CA96" i="106"/>
  <c r="CG94" i="106"/>
  <c r="CG96" i="106"/>
  <c r="C103" i="106"/>
  <c r="C138" i="106"/>
  <c r="C106" i="106" s="1"/>
  <c r="D103" i="106"/>
  <c r="D104" i="106" s="1"/>
  <c r="D138" i="106"/>
  <c r="D106" i="106" s="1"/>
  <c r="E103" i="106"/>
  <c r="E104" i="106" s="1"/>
  <c r="E138" i="106"/>
  <c r="G102" i="106"/>
  <c r="I102" i="106"/>
  <c r="I103" i="106"/>
  <c r="I104" i="106" s="1"/>
  <c r="I138" i="106"/>
  <c r="I106" i="106" s="1"/>
  <c r="J103" i="106"/>
  <c r="J104" i="106" s="1"/>
  <c r="J138" i="106"/>
  <c r="J106" i="106" s="1"/>
  <c r="K103" i="106"/>
  <c r="K104" i="106" s="1"/>
  <c r="K138" i="106"/>
  <c r="K122" i="106" s="1"/>
  <c r="F103" i="106"/>
  <c r="F104" i="106" s="1"/>
  <c r="G105" i="106"/>
  <c r="O102" i="106"/>
  <c r="O103" i="106"/>
  <c r="O104" i="106" s="1"/>
  <c r="O138" i="106"/>
  <c r="O132" i="106" s="1"/>
  <c r="P103" i="106"/>
  <c r="P138" i="106"/>
  <c r="Q103" i="106"/>
  <c r="Q104" i="106" s="1"/>
  <c r="Q138" i="106"/>
  <c r="Q106" i="106" s="1"/>
  <c r="M105" i="106"/>
  <c r="L138" i="106"/>
  <c r="U102" i="106"/>
  <c r="U103" i="106"/>
  <c r="U104" i="106" s="1"/>
  <c r="U138" i="106"/>
  <c r="U106" i="106" s="1"/>
  <c r="V103" i="106"/>
  <c r="V138" i="106"/>
  <c r="V106" i="106" s="1"/>
  <c r="W103" i="106"/>
  <c r="W104" i="106" s="1"/>
  <c r="W138" i="106"/>
  <c r="S105" i="106"/>
  <c r="R138" i="106"/>
  <c r="R122" i="106" s="1"/>
  <c r="AA102" i="106"/>
  <c r="AA103" i="106"/>
  <c r="AA104" i="106" s="1"/>
  <c r="AA138" i="106"/>
  <c r="AA106" i="106" s="1"/>
  <c r="AB103" i="106"/>
  <c r="AB104" i="106" s="1"/>
  <c r="AB138" i="106"/>
  <c r="AB132" i="106" s="1"/>
  <c r="AC103" i="106"/>
  <c r="AC138" i="106"/>
  <c r="Y105" i="106"/>
  <c r="X138" i="106"/>
  <c r="X132" i="106" s="1"/>
  <c r="AG102" i="106"/>
  <c r="AG103" i="106"/>
  <c r="AG104" i="106" s="1"/>
  <c r="AG138" i="106"/>
  <c r="AG132" i="106" s="1"/>
  <c r="AH103" i="106"/>
  <c r="AH138" i="106"/>
  <c r="AI138" i="106"/>
  <c r="AI106" i="106" s="1"/>
  <c r="AD103" i="106"/>
  <c r="AD104" i="106" s="1"/>
  <c r="AE105" i="106"/>
  <c r="AM102" i="106"/>
  <c r="AM103" i="106"/>
  <c r="AM104" i="106" s="1"/>
  <c r="AM138" i="106"/>
  <c r="AM106" i="106" s="1"/>
  <c r="AN103" i="106"/>
  <c r="AN138" i="106"/>
  <c r="AN122" i="106" s="1"/>
  <c r="AO103" i="106"/>
  <c r="AO104" i="106" s="1"/>
  <c r="AO138" i="106"/>
  <c r="AK105" i="106"/>
  <c r="AJ138" i="106"/>
  <c r="AJ132" i="106" s="1"/>
  <c r="AS102" i="106"/>
  <c r="AS103" i="106"/>
  <c r="AS104" i="106" s="1"/>
  <c r="AS138" i="106"/>
  <c r="AS122" i="106" s="1"/>
  <c r="AT103" i="106"/>
  <c r="AT104" i="106" s="1"/>
  <c r="AT138" i="106"/>
  <c r="AT106" i="106" s="1"/>
  <c r="AU103" i="106"/>
  <c r="AU138" i="106"/>
  <c r="AU132" i="106" s="1"/>
  <c r="AQ105" i="106"/>
  <c r="AY102" i="106"/>
  <c r="AY103" i="106"/>
  <c r="AY104" i="106" s="1"/>
  <c r="AY138" i="106"/>
  <c r="AY106" i="106" s="1"/>
  <c r="AZ103" i="106"/>
  <c r="AZ104" i="106" s="1"/>
  <c r="AZ138" i="106"/>
  <c r="AZ106" i="106" s="1"/>
  <c r="BA103" i="106"/>
  <c r="BA138" i="106"/>
  <c r="BA132" i="106" s="1"/>
  <c r="AW105" i="106"/>
  <c r="AV138" i="106"/>
  <c r="AV106" i="106" s="1"/>
  <c r="BE102" i="106"/>
  <c r="BE103" i="106"/>
  <c r="BE104" i="106" s="1"/>
  <c r="BE138" i="106"/>
  <c r="BF103" i="106"/>
  <c r="BF104" i="106" s="1"/>
  <c r="BF138" i="106"/>
  <c r="BF106" i="106" s="1"/>
  <c r="BG103" i="106"/>
  <c r="BG104" i="106" s="1"/>
  <c r="BG138" i="106"/>
  <c r="BG106" i="106" s="1"/>
  <c r="BB103" i="106"/>
  <c r="BB104" i="106" s="1"/>
  <c r="BC105" i="106"/>
  <c r="BB138" i="106"/>
  <c r="BB132" i="106" s="1"/>
  <c r="BI105" i="106"/>
  <c r="BU105" i="106"/>
  <c r="BU107" i="106"/>
  <c r="CA105" i="106"/>
  <c r="CA107" i="106"/>
  <c r="CG105" i="106"/>
  <c r="CG107" i="106"/>
  <c r="C116" i="106"/>
  <c r="D116" i="106"/>
  <c r="E116" i="106"/>
  <c r="G110" i="106"/>
  <c r="I110" i="106"/>
  <c r="I116" i="106"/>
  <c r="J116" i="106"/>
  <c r="K116" i="106"/>
  <c r="C123" i="106"/>
  <c r="C111" i="106" s="1"/>
  <c r="C112" i="106" s="1"/>
  <c r="D123" i="106"/>
  <c r="D111" i="106" s="1"/>
  <c r="E123" i="106"/>
  <c r="F123" i="106"/>
  <c r="O110" i="106"/>
  <c r="O116" i="106"/>
  <c r="P116" i="106"/>
  <c r="Q116" i="106"/>
  <c r="I123" i="106"/>
  <c r="I111" i="106" s="1"/>
  <c r="J123" i="106"/>
  <c r="J111" i="106" s="1"/>
  <c r="K123" i="106"/>
  <c r="K111" i="106" s="1"/>
  <c r="L123" i="106"/>
  <c r="L111" i="106" s="1"/>
  <c r="U110" i="106"/>
  <c r="U116" i="106"/>
  <c r="V116" i="106"/>
  <c r="W116" i="106"/>
  <c r="O123" i="106"/>
  <c r="O111" i="106" s="1"/>
  <c r="P123" i="106"/>
  <c r="P111" i="106" s="1"/>
  <c r="Q123" i="106"/>
  <c r="Q111" i="106" s="1"/>
  <c r="R123" i="106"/>
  <c r="R111" i="106" s="1"/>
  <c r="AA110" i="106"/>
  <c r="AA116" i="106"/>
  <c r="AB116" i="106"/>
  <c r="AC116" i="106"/>
  <c r="U123" i="106"/>
  <c r="U111" i="106" s="1"/>
  <c r="V123" i="106"/>
  <c r="V111" i="106" s="1"/>
  <c r="W123" i="106"/>
  <c r="X123" i="106"/>
  <c r="AG110" i="106"/>
  <c r="AG116" i="106"/>
  <c r="AH116" i="106"/>
  <c r="AI116" i="106"/>
  <c r="AA123" i="106"/>
  <c r="AA111" i="106" s="1"/>
  <c r="AB123" i="106"/>
  <c r="AC123" i="106"/>
  <c r="AC111" i="106" s="1"/>
  <c r="AD123" i="106"/>
  <c r="AD111" i="106" s="1"/>
  <c r="AM110" i="106"/>
  <c r="AM116" i="106"/>
  <c r="AN116" i="106"/>
  <c r="AO116" i="106"/>
  <c r="AG123" i="106"/>
  <c r="AG111" i="106" s="1"/>
  <c r="AH123" i="106"/>
  <c r="AI123" i="106"/>
  <c r="AI111" i="106" s="1"/>
  <c r="AJ123" i="106"/>
  <c r="AJ111" i="106" s="1"/>
  <c r="AS110" i="106"/>
  <c r="AS116" i="106"/>
  <c r="AT116" i="106"/>
  <c r="AU116" i="106"/>
  <c r="AM123" i="106"/>
  <c r="AM111" i="106" s="1"/>
  <c r="AN123" i="106"/>
  <c r="AN111" i="106" s="1"/>
  <c r="AO123" i="106"/>
  <c r="AO111" i="106" s="1"/>
  <c r="AP123" i="106"/>
  <c r="AY110" i="106"/>
  <c r="AY116" i="106"/>
  <c r="AZ116" i="106"/>
  <c r="BA116" i="106"/>
  <c r="AS123" i="106"/>
  <c r="AS111" i="106" s="1"/>
  <c r="AT123" i="106"/>
  <c r="AU123" i="106"/>
  <c r="AU111" i="106" s="1"/>
  <c r="AV123" i="106"/>
  <c r="BE110" i="106"/>
  <c r="BE116" i="106"/>
  <c r="BF116" i="106"/>
  <c r="BG116" i="106"/>
  <c r="AY123" i="106"/>
  <c r="AZ123" i="106"/>
  <c r="AZ111" i="106" s="1"/>
  <c r="BA123" i="106"/>
  <c r="BB123" i="106"/>
  <c r="BK110" i="106"/>
  <c r="BK116" i="106"/>
  <c r="BE123" i="106"/>
  <c r="BE111" i="106" s="1"/>
  <c r="BE112" i="106" s="1"/>
  <c r="BF123" i="106"/>
  <c r="BG123" i="106"/>
  <c r="BG111" i="106" s="1"/>
  <c r="BH123" i="106"/>
  <c r="BH111" i="106" s="1"/>
  <c r="BH126" i="106"/>
  <c r="BK111" i="106" s="1"/>
  <c r="BU113" i="106"/>
  <c r="CA113" i="106"/>
  <c r="CG113" i="106"/>
  <c r="F116" i="106"/>
  <c r="F117" i="106" s="1"/>
  <c r="L116" i="106"/>
  <c r="L117" i="106" s="1"/>
  <c r="R116" i="106"/>
  <c r="R117" i="106" s="1"/>
  <c r="X116" i="106"/>
  <c r="X117" i="106" s="1"/>
  <c r="AD116" i="106"/>
  <c r="AD117" i="106" s="1"/>
  <c r="AJ116" i="106"/>
  <c r="AJ117" i="106" s="1"/>
  <c r="AP116" i="106"/>
  <c r="AP117" i="106" s="1"/>
  <c r="AV116" i="106"/>
  <c r="AV117" i="106" s="1"/>
  <c r="BB116" i="106"/>
  <c r="BB117" i="106" s="1"/>
  <c r="BH116" i="106"/>
  <c r="BH117" i="106" s="1"/>
  <c r="C126" i="106"/>
  <c r="D121" i="106" s="1"/>
  <c r="D126" i="106"/>
  <c r="E126" i="106"/>
  <c r="G121" i="106"/>
  <c r="G124" i="106" s="1"/>
  <c r="F126" i="106"/>
  <c r="I121" i="106" s="1"/>
  <c r="I126" i="106"/>
  <c r="J121" i="106" s="1"/>
  <c r="J126" i="106"/>
  <c r="J127" i="106" s="1"/>
  <c r="K126" i="106"/>
  <c r="K127" i="106" s="1"/>
  <c r="M121" i="106"/>
  <c r="L126" i="106"/>
  <c r="O121" i="106" s="1"/>
  <c r="O126" i="106"/>
  <c r="P121" i="106" s="1"/>
  <c r="P124" i="106" s="1"/>
  <c r="P126" i="106"/>
  <c r="Q121" i="106" s="1"/>
  <c r="Q126" i="106"/>
  <c r="R126" i="106"/>
  <c r="U126" i="106"/>
  <c r="V126" i="106"/>
  <c r="W126" i="106"/>
  <c r="W127" i="106" s="1"/>
  <c r="X126" i="106"/>
  <c r="AA121" i="106" s="1"/>
  <c r="AA126" i="106"/>
  <c r="AB126" i="106"/>
  <c r="AC121" i="106" s="1"/>
  <c r="AC126" i="106"/>
  <c r="X122" i="106"/>
  <c r="AD126" i="106"/>
  <c r="AG121" i="106" s="1"/>
  <c r="AG126" i="106"/>
  <c r="AH121" i="106" s="1"/>
  <c r="AH126" i="106"/>
  <c r="AI121" i="106" s="1"/>
  <c r="AI126" i="106"/>
  <c r="AJ126" i="106"/>
  <c r="AJ127" i="106" s="1"/>
  <c r="AM126" i="106"/>
  <c r="AN121" i="106" s="1"/>
  <c r="AN126" i="106"/>
  <c r="AO126" i="106"/>
  <c r="AP126" i="106"/>
  <c r="AS121" i="106" s="1"/>
  <c r="AS126" i="106"/>
  <c r="AT121" i="106" s="1"/>
  <c r="AT126" i="106"/>
  <c r="AT127" i="106" s="1"/>
  <c r="AU126" i="106"/>
  <c r="AV126" i="106"/>
  <c r="AY121" i="106" s="1"/>
  <c r="AY126" i="106"/>
  <c r="AZ121" i="106" s="1"/>
  <c r="AZ126" i="106"/>
  <c r="AZ127" i="106" s="1"/>
  <c r="BA126" i="106"/>
  <c r="BB126" i="106"/>
  <c r="BE126" i="106"/>
  <c r="BF121" i="106" s="1"/>
  <c r="BF126" i="106"/>
  <c r="BG121" i="106" s="1"/>
  <c r="BG124" i="106" s="1"/>
  <c r="BG126" i="106"/>
  <c r="BG127" i="106" s="1"/>
  <c r="BU125" i="106"/>
  <c r="CA125" i="106"/>
  <c r="M124" i="106"/>
  <c r="CG125" i="106"/>
  <c r="C127" i="106"/>
  <c r="C134" i="106"/>
  <c r="C135" i="106" s="1"/>
  <c r="D134" i="106"/>
  <c r="E131" i="106" s="1"/>
  <c r="E134" i="106"/>
  <c r="F131" i="106" s="1"/>
  <c r="G131" i="106"/>
  <c r="F134" i="106"/>
  <c r="F135" i="106" s="1"/>
  <c r="I134" i="106"/>
  <c r="J131" i="106" s="1"/>
  <c r="J134" i="106"/>
  <c r="J135" i="106" s="1"/>
  <c r="K134" i="106"/>
  <c r="L134" i="106"/>
  <c r="L135" i="106" s="1"/>
  <c r="O134" i="106"/>
  <c r="O135" i="106" s="1"/>
  <c r="P134" i="106"/>
  <c r="P135" i="106" s="1"/>
  <c r="Q134" i="106"/>
  <c r="Q135" i="106" s="1"/>
  <c r="R134" i="106"/>
  <c r="R135" i="106" s="1"/>
  <c r="U134" i="106"/>
  <c r="V131" i="106" s="1"/>
  <c r="V134" i="106"/>
  <c r="V135" i="106" s="1"/>
  <c r="W134" i="106"/>
  <c r="X131" i="106" s="1"/>
  <c r="X134" i="106"/>
  <c r="X135" i="106" s="1"/>
  <c r="AA134" i="106"/>
  <c r="AB131" i="106" s="1"/>
  <c r="AB134" i="106"/>
  <c r="AB135" i="106" s="1"/>
  <c r="AC134" i="106"/>
  <c r="AD131" i="106" s="1"/>
  <c r="AD134" i="106"/>
  <c r="AG134" i="106"/>
  <c r="AH131" i="106" s="1"/>
  <c r="AH134" i="106"/>
  <c r="AH135" i="106" s="1"/>
  <c r="AI134" i="106"/>
  <c r="AJ131" i="106" s="1"/>
  <c r="AJ134" i="106"/>
  <c r="AM131" i="106" s="1"/>
  <c r="AM134" i="106"/>
  <c r="AN131" i="106" s="1"/>
  <c r="AN134" i="106"/>
  <c r="AO134" i="106"/>
  <c r="AP131" i="106" s="1"/>
  <c r="AP134" i="106"/>
  <c r="AP135" i="106" s="1"/>
  <c r="AS134" i="106"/>
  <c r="AS135" i="106" s="1"/>
  <c r="AT134" i="106"/>
  <c r="AU134" i="106"/>
  <c r="AV131" i="106" s="1"/>
  <c r="AV134" i="106"/>
  <c r="AY131" i="106" s="1"/>
  <c r="AY134" i="106"/>
  <c r="AZ134" i="106"/>
  <c r="BA134" i="106"/>
  <c r="BB131" i="106" s="1"/>
  <c r="BB134" i="106"/>
  <c r="BE131" i="106" s="1"/>
  <c r="BE134" i="106"/>
  <c r="BF131" i="106" s="1"/>
  <c r="BF134" i="106"/>
  <c r="BG134" i="106"/>
  <c r="BG135" i="106" s="1"/>
  <c r="BH134" i="106"/>
  <c r="BK134" i="106"/>
  <c r="BK135" i="106" s="1"/>
  <c r="BU133" i="106"/>
  <c r="CA133" i="106"/>
  <c r="CG133" i="106"/>
  <c r="E135" i="106"/>
  <c r="AT135" i="106"/>
  <c r="BF135" i="106"/>
  <c r="M138" i="106"/>
  <c r="S138" i="106"/>
  <c r="AK138" i="106"/>
  <c r="AW138" i="106"/>
  <c r="BU138" i="106"/>
  <c r="CA138" i="106"/>
  <c r="CG138" i="106"/>
  <c r="C142" i="106"/>
  <c r="D142" i="106"/>
  <c r="E142" i="106"/>
  <c r="F142" i="106"/>
  <c r="I142" i="106"/>
  <c r="J142" i="106"/>
  <c r="K142" i="106"/>
  <c r="L142" i="106"/>
  <c r="O142" i="106"/>
  <c r="P142" i="106"/>
  <c r="Q142" i="106"/>
  <c r="R142" i="106"/>
  <c r="U142" i="106"/>
  <c r="V142" i="106"/>
  <c r="W142" i="106"/>
  <c r="X142" i="106"/>
  <c r="AA142" i="106"/>
  <c r="AB142" i="106"/>
  <c r="AC142" i="106"/>
  <c r="AD142" i="106"/>
  <c r="AG142" i="106"/>
  <c r="AH142" i="106"/>
  <c r="AI142" i="106"/>
  <c r="AJ142" i="106"/>
  <c r="AM142" i="106"/>
  <c r="AN142" i="106"/>
  <c r="AO142" i="106"/>
  <c r="AP142" i="106"/>
  <c r="AS142" i="106"/>
  <c r="AT142" i="106"/>
  <c r="AU142" i="106"/>
  <c r="AV142" i="106"/>
  <c r="AY142" i="106"/>
  <c r="AZ142" i="106"/>
  <c r="BA142" i="106"/>
  <c r="BB142" i="106"/>
  <c r="BE142" i="106"/>
  <c r="BF142" i="106"/>
  <c r="BG142" i="106"/>
  <c r="BH142" i="106"/>
  <c r="BK142" i="106"/>
  <c r="BL142" i="106"/>
  <c r="BM142" i="106"/>
  <c r="BQ142" i="106"/>
  <c r="BR142" i="106"/>
  <c r="BS142" i="106"/>
  <c r="BT142" i="106"/>
  <c r="BW142" i="106"/>
  <c r="BX142" i="106"/>
  <c r="BY142" i="106"/>
  <c r="BZ142" i="106"/>
  <c r="CC142" i="106"/>
  <c r="CD142" i="106"/>
  <c r="CE142" i="106"/>
  <c r="CF142" i="106"/>
  <c r="C145" i="106"/>
  <c r="D145" i="106"/>
  <c r="E145" i="106"/>
  <c r="F145" i="106"/>
  <c r="I145" i="106"/>
  <c r="J145" i="106"/>
  <c r="K145" i="106"/>
  <c r="L145" i="106"/>
  <c r="M145" i="106"/>
  <c r="O145" i="106"/>
  <c r="P145" i="106"/>
  <c r="Q145" i="106"/>
  <c r="R145" i="106"/>
  <c r="S145" i="106"/>
  <c r="U145" i="106"/>
  <c r="V145" i="106"/>
  <c r="W145" i="106"/>
  <c r="X145" i="106"/>
  <c r="Y145" i="106"/>
  <c r="AA145" i="106"/>
  <c r="AB145" i="106"/>
  <c r="AC145" i="106"/>
  <c r="AD145" i="106"/>
  <c r="AE145" i="106"/>
  <c r="AG145" i="106"/>
  <c r="AH145" i="106"/>
  <c r="AI145" i="106"/>
  <c r="AJ145" i="106"/>
  <c r="AK145" i="106"/>
  <c r="AM145" i="106"/>
  <c r="AN145" i="106"/>
  <c r="AO145" i="106"/>
  <c r="AP145" i="106"/>
  <c r="AS145" i="106"/>
  <c r="AT145" i="106"/>
  <c r="AU145" i="106"/>
  <c r="AV145" i="106"/>
  <c r="AY145" i="106"/>
  <c r="AZ145" i="106"/>
  <c r="BA145" i="106"/>
  <c r="BB145" i="106"/>
  <c r="BE145" i="106"/>
  <c r="BF145" i="106"/>
  <c r="BG145" i="106"/>
  <c r="BH145" i="106"/>
  <c r="BK145" i="106"/>
  <c r="BL145" i="106"/>
  <c r="BM147" i="106" s="1"/>
  <c r="C146" i="106"/>
  <c r="D146" i="106"/>
  <c r="E146" i="106"/>
  <c r="F146" i="106"/>
  <c r="G146" i="106"/>
  <c r="I146" i="106"/>
  <c r="J146" i="106"/>
  <c r="K146" i="106"/>
  <c r="L146" i="106"/>
  <c r="M146" i="106"/>
  <c r="O146" i="106"/>
  <c r="P146" i="106"/>
  <c r="Q146" i="106"/>
  <c r="R146" i="106"/>
  <c r="S146" i="106"/>
  <c r="U146" i="106"/>
  <c r="V146" i="106"/>
  <c r="W146" i="106"/>
  <c r="X146" i="106"/>
  <c r="Y146" i="106"/>
  <c r="AA146" i="106"/>
  <c r="AB146" i="106"/>
  <c r="AC146" i="106"/>
  <c r="AD146" i="106"/>
  <c r="AE146" i="106"/>
  <c r="AG146" i="106"/>
  <c r="AH146" i="106"/>
  <c r="AI146" i="106"/>
  <c r="AJ146" i="106"/>
  <c r="AK146" i="106"/>
  <c r="AM146" i="106"/>
  <c r="AN146" i="106"/>
  <c r="AO146" i="106"/>
  <c r="AP146" i="106"/>
  <c r="AS146" i="106"/>
  <c r="AT146" i="106"/>
  <c r="AU146" i="106"/>
  <c r="AV146" i="106"/>
  <c r="AW146" i="106"/>
  <c r="AY146" i="106"/>
  <c r="AZ146" i="106"/>
  <c r="BA146" i="106"/>
  <c r="BB146" i="106"/>
  <c r="BC146" i="106"/>
  <c r="BE146" i="106"/>
  <c r="BF146" i="106"/>
  <c r="BG146" i="106"/>
  <c r="BH146" i="106"/>
  <c r="BI146" i="106"/>
  <c r="BK146" i="106"/>
  <c r="BL146" i="106"/>
  <c r="C150" i="106"/>
  <c r="D150" i="106"/>
  <c r="E150" i="106"/>
  <c r="F150" i="106"/>
  <c r="G150" i="106"/>
  <c r="I150" i="106"/>
  <c r="J150" i="106"/>
  <c r="K150" i="106"/>
  <c r="L150" i="106"/>
  <c r="O150" i="106"/>
  <c r="P150" i="106"/>
  <c r="Q150" i="106"/>
  <c r="R150" i="106"/>
  <c r="U150" i="106"/>
  <c r="V150" i="106"/>
  <c r="W150" i="106"/>
  <c r="X150" i="106"/>
  <c r="Y150" i="106"/>
  <c r="AA150" i="106"/>
  <c r="AB150" i="106"/>
  <c r="AC150" i="106"/>
  <c r="AD150" i="106"/>
  <c r="AE150" i="106"/>
  <c r="AG150" i="106"/>
  <c r="AH150" i="106"/>
  <c r="AI150" i="106"/>
  <c r="AJ150" i="106"/>
  <c r="AM150" i="106"/>
  <c r="AN150" i="106"/>
  <c r="AO150" i="106"/>
  <c r="AP150" i="106"/>
  <c r="AS150" i="106"/>
  <c r="AT150" i="106"/>
  <c r="AU150" i="106"/>
  <c r="AV150" i="106"/>
  <c r="AY150" i="106"/>
  <c r="AZ150" i="106"/>
  <c r="BA150" i="106"/>
  <c r="BB150" i="106"/>
  <c r="BC150" i="106"/>
  <c r="BE150" i="106"/>
  <c r="BF150" i="106"/>
  <c r="BG150" i="106"/>
  <c r="BH150" i="106"/>
  <c r="BK150" i="106"/>
  <c r="BL150" i="106"/>
  <c r="BM152" i="106" s="1"/>
  <c r="C151" i="106"/>
  <c r="D151" i="106"/>
  <c r="E151" i="106"/>
  <c r="F151" i="106"/>
  <c r="G151" i="106"/>
  <c r="I151" i="106"/>
  <c r="J151" i="106"/>
  <c r="K151" i="106"/>
  <c r="L151" i="106"/>
  <c r="M151" i="106"/>
  <c r="O151" i="106"/>
  <c r="P151" i="106"/>
  <c r="Q151" i="106"/>
  <c r="R151" i="106"/>
  <c r="S151" i="106"/>
  <c r="U151" i="106"/>
  <c r="V151" i="106"/>
  <c r="W151" i="106"/>
  <c r="X151" i="106"/>
  <c r="AA151" i="106"/>
  <c r="AB151" i="106"/>
  <c r="AC151" i="106"/>
  <c r="AD151" i="106"/>
  <c r="AG151" i="106"/>
  <c r="AH151" i="106"/>
  <c r="AI151" i="106"/>
  <c r="AJ151" i="106"/>
  <c r="AK151" i="106"/>
  <c r="AM151" i="106"/>
  <c r="AN151" i="106"/>
  <c r="AO151" i="106"/>
  <c r="AP151" i="106"/>
  <c r="AQ151" i="106"/>
  <c r="AS151" i="106"/>
  <c r="AT151" i="106"/>
  <c r="AU151" i="106"/>
  <c r="AV151" i="106"/>
  <c r="AY151" i="106"/>
  <c r="AZ151" i="106"/>
  <c r="BA151" i="106"/>
  <c r="BB151" i="106"/>
  <c r="BC151" i="106"/>
  <c r="BE151" i="106"/>
  <c r="BF151" i="106"/>
  <c r="BG151" i="106"/>
  <c r="BH151" i="106"/>
  <c r="BI151" i="106"/>
  <c r="BK151" i="106"/>
  <c r="BL151" i="106"/>
  <c r="BO171" i="3" l="1"/>
  <c r="BE170" i="3"/>
  <c r="BG167" i="3"/>
  <c r="BL167" i="3"/>
  <c r="BK63" i="106"/>
  <c r="BK41" i="3"/>
  <c r="BK13" i="3"/>
  <c r="BK40" i="3" s="1"/>
  <c r="BH13" i="3"/>
  <c r="BH62" i="106" s="1"/>
  <c r="BK156" i="106"/>
  <c r="BK20" i="3"/>
  <c r="BK21" i="3" s="1"/>
  <c r="AN75" i="3"/>
  <c r="AM75" i="3"/>
  <c r="AP61" i="3"/>
  <c r="AQ61" i="3" s="1"/>
  <c r="AO75" i="3"/>
  <c r="BK104" i="106"/>
  <c r="BO103" i="106"/>
  <c r="BR122" i="106"/>
  <c r="BR132" i="106"/>
  <c r="BK106" i="106"/>
  <c r="BK122" i="106"/>
  <c r="BL106" i="106"/>
  <c r="BL122" i="106"/>
  <c r="BL125" i="106" s="1"/>
  <c r="AZ70" i="106"/>
  <c r="AC69" i="106"/>
  <c r="S150" i="106"/>
  <c r="AQ163" i="106"/>
  <c r="E44" i="106"/>
  <c r="Y163" i="106"/>
  <c r="BA97" i="106"/>
  <c r="BA98" i="106" s="1"/>
  <c r="BA44" i="106"/>
  <c r="BA65" i="106" s="1"/>
  <c r="AO44" i="106"/>
  <c r="O127" i="106"/>
  <c r="S163" i="106"/>
  <c r="E97" i="106"/>
  <c r="E98" i="106" s="1"/>
  <c r="D135" i="106"/>
  <c r="AY71" i="106"/>
  <c r="BA69" i="106"/>
  <c r="BI163" i="106"/>
  <c r="M163" i="106"/>
  <c r="G194" i="3"/>
  <c r="BH63" i="106"/>
  <c r="BH186" i="3"/>
  <c r="AP16" i="3"/>
  <c r="BH41" i="3"/>
  <c r="M87" i="107"/>
  <c r="M89" i="107" s="1"/>
  <c r="AQ196" i="3"/>
  <c r="AQ198" i="3"/>
  <c r="L16" i="3"/>
  <c r="C63" i="106"/>
  <c r="BR124" i="106"/>
  <c r="BS124" i="106" s="1"/>
  <c r="BT124" i="106" s="1"/>
  <c r="BX124" i="106" s="1"/>
  <c r="BY124" i="106" s="1"/>
  <c r="BZ124" i="106" s="1"/>
  <c r="AS152" i="106"/>
  <c r="AM127" i="106"/>
  <c r="AA124" i="106"/>
  <c r="AQ194" i="3"/>
  <c r="AQ190" i="3"/>
  <c r="AQ87" i="106"/>
  <c r="G198" i="3"/>
  <c r="P199" i="3"/>
  <c r="BH157" i="106"/>
  <c r="BN7" i="3"/>
  <c r="BH156" i="106"/>
  <c r="BQ76" i="106"/>
  <c r="BW76" i="106" s="1"/>
  <c r="CC76" i="106" s="1"/>
  <c r="BR76" i="106"/>
  <c r="BX76" i="106" s="1"/>
  <c r="CD76" i="106" s="1"/>
  <c r="M16" i="3"/>
  <c r="H179" i="119"/>
  <c r="AK134" i="3"/>
  <c r="AW87" i="106"/>
  <c r="P179" i="119"/>
  <c r="G39" i="3"/>
  <c r="G179" i="119"/>
  <c r="K180" i="119" s="1"/>
  <c r="G190" i="3"/>
  <c r="G38" i="3"/>
  <c r="D187" i="3"/>
  <c r="C179" i="119"/>
  <c r="M54" i="3"/>
  <c r="AP179" i="119"/>
  <c r="AD88" i="106"/>
  <c r="G125" i="3"/>
  <c r="L179" i="119"/>
  <c r="BM76" i="106"/>
  <c r="BS76" i="106" s="1"/>
  <c r="BY76" i="106" s="1"/>
  <c r="CE76" i="106" s="1"/>
  <c r="BM74" i="106"/>
  <c r="BS74" i="106" s="1"/>
  <c r="BY74" i="106" s="1"/>
  <c r="CE74" i="106" s="1"/>
  <c r="BM75" i="106"/>
  <c r="BS75" i="106" s="1"/>
  <c r="BY75" i="106" s="1"/>
  <c r="CE75" i="106" s="1"/>
  <c r="AO179" i="119"/>
  <c r="G192" i="3"/>
  <c r="AQ179" i="119"/>
  <c r="G196" i="3"/>
  <c r="CC157" i="106"/>
  <c r="CD21" i="3"/>
  <c r="BI87" i="107"/>
  <c r="BI89" i="107" s="1"/>
  <c r="BC87" i="107"/>
  <c r="BC89" i="107" s="1"/>
  <c r="AQ87" i="107"/>
  <c r="AQ89" i="107" s="1"/>
  <c r="U122" i="106"/>
  <c r="BY78" i="107"/>
  <c r="BY71" i="107"/>
  <c r="BY70" i="107"/>
  <c r="BY82" i="107" s="1"/>
  <c r="BY38" i="107" s="1"/>
  <c r="AN63" i="106"/>
  <c r="AN156" i="106"/>
  <c r="AU63" i="106"/>
  <c r="AU156" i="106"/>
  <c r="AC13" i="3"/>
  <c r="AC62" i="106" s="1"/>
  <c r="AC156" i="106"/>
  <c r="AH63" i="106"/>
  <c r="AH156" i="106"/>
  <c r="E20" i="3"/>
  <c r="E21" i="3" s="1"/>
  <c r="E157" i="106" s="1"/>
  <c r="E156" i="106"/>
  <c r="BG41" i="3"/>
  <c r="BG156" i="106"/>
  <c r="AZ63" i="106"/>
  <c r="AZ156" i="106"/>
  <c r="S87" i="107"/>
  <c r="S89" i="107" s="1"/>
  <c r="Y87" i="107"/>
  <c r="Y89" i="107" s="1"/>
  <c r="AB13" i="3"/>
  <c r="AB62" i="106" s="1"/>
  <c r="AB156" i="106"/>
  <c r="Y198" i="3"/>
  <c r="Y155" i="106"/>
  <c r="O20" i="3"/>
  <c r="O21" i="3" s="1"/>
  <c r="O157" i="106" s="1"/>
  <c r="O156" i="106"/>
  <c r="AA13" i="3"/>
  <c r="AA62" i="106" s="1"/>
  <c r="AA156" i="106"/>
  <c r="BL189" i="3"/>
  <c r="BL157" i="106"/>
  <c r="BL158" i="106" s="1"/>
  <c r="BL159" i="106" s="1"/>
  <c r="BL160" i="106" s="1"/>
  <c r="AM186" i="3"/>
  <c r="AM199" i="3" s="1"/>
  <c r="AM156" i="106"/>
  <c r="BI47" i="3"/>
  <c r="BC155" i="106"/>
  <c r="AW125" i="3"/>
  <c r="AW155" i="106"/>
  <c r="J158" i="106"/>
  <c r="J159" i="106" s="1"/>
  <c r="J160" i="106" s="1"/>
  <c r="AK196" i="3"/>
  <c r="AK155" i="106"/>
  <c r="AE36" i="3"/>
  <c r="AE155" i="106"/>
  <c r="AS63" i="106"/>
  <c r="AS156" i="106"/>
  <c r="U63" i="106"/>
  <c r="U156" i="106"/>
  <c r="I63" i="106"/>
  <c r="I156" i="106"/>
  <c r="AT13" i="3"/>
  <c r="AT62" i="106" s="1"/>
  <c r="AT156" i="106"/>
  <c r="BL55" i="3"/>
  <c r="AQ178" i="119" s="1"/>
  <c r="BF156" i="106"/>
  <c r="BK189" i="3"/>
  <c r="BK157" i="106"/>
  <c r="AY13" i="3"/>
  <c r="AY40" i="3" s="1"/>
  <c r="AY156" i="106"/>
  <c r="AW87" i="107"/>
  <c r="AW89" i="107" s="1"/>
  <c r="AO186" i="3"/>
  <c r="AO199" i="3" s="1"/>
  <c r="AO156" i="106"/>
  <c r="G87" i="107"/>
  <c r="G89" i="107" s="1"/>
  <c r="V186" i="3"/>
  <c r="V156" i="106"/>
  <c r="BA186" i="3"/>
  <c r="BA156" i="106"/>
  <c r="C186" i="3"/>
  <c r="C156" i="106"/>
  <c r="AQ125" i="3"/>
  <c r="AQ155" i="106"/>
  <c r="AE87" i="107"/>
  <c r="AE89" i="107" s="1"/>
  <c r="AH147" i="106"/>
  <c r="X147" i="106"/>
  <c r="AA135" i="106"/>
  <c r="BF127" i="106"/>
  <c r="P127" i="106"/>
  <c r="BK44" i="106"/>
  <c r="BK170" i="106"/>
  <c r="BG44" i="106"/>
  <c r="BG65" i="106" s="1"/>
  <c r="BG170" i="106"/>
  <c r="BE44" i="106"/>
  <c r="BE170" i="106"/>
  <c r="BA177" i="106"/>
  <c r="BA176" i="106"/>
  <c r="AY44" i="106"/>
  <c r="AY170" i="106"/>
  <c r="AU44" i="106"/>
  <c r="AU65" i="106" s="1"/>
  <c r="AU170" i="106"/>
  <c r="AS44" i="106"/>
  <c r="AS170" i="106"/>
  <c r="AO177" i="106"/>
  <c r="AO176" i="106"/>
  <c r="AM177" i="106"/>
  <c r="AM176" i="106"/>
  <c r="AI44" i="106"/>
  <c r="AI65" i="106" s="1"/>
  <c r="AI170" i="106"/>
  <c r="AG177" i="106"/>
  <c r="AG176" i="106"/>
  <c r="AC44" i="106"/>
  <c r="AC170" i="106"/>
  <c r="AA176" i="106"/>
  <c r="AA177" i="106"/>
  <c r="W44" i="106"/>
  <c r="W65" i="106" s="1"/>
  <c r="W170" i="106"/>
  <c r="U44" i="106"/>
  <c r="U170" i="106"/>
  <c r="Q44" i="106"/>
  <c r="Q65" i="106" s="1"/>
  <c r="Q170" i="106"/>
  <c r="O176" i="106"/>
  <c r="O177" i="106"/>
  <c r="K177" i="106"/>
  <c r="K176" i="106"/>
  <c r="I44" i="106"/>
  <c r="I170" i="106"/>
  <c r="E177" i="106"/>
  <c r="E176" i="106"/>
  <c r="C177" i="106"/>
  <c r="C176" i="106"/>
  <c r="BI168" i="106"/>
  <c r="AW168" i="106"/>
  <c r="AK168" i="106"/>
  <c r="Y168" i="106"/>
  <c r="M168" i="106"/>
  <c r="BM164" i="106"/>
  <c r="BI145" i="106"/>
  <c r="BI174" i="106"/>
  <c r="AW145" i="106"/>
  <c r="BC147" i="106" s="1"/>
  <c r="AW174" i="106"/>
  <c r="BI173" i="106"/>
  <c r="BI52" i="107"/>
  <c r="AW86" i="106"/>
  <c r="AW173" i="106"/>
  <c r="AW52" i="107"/>
  <c r="AK150" i="106"/>
  <c r="AK152" i="106" s="1"/>
  <c r="AK173" i="106"/>
  <c r="AK52" i="107"/>
  <c r="Y173" i="106"/>
  <c r="Y52" i="107"/>
  <c r="M173" i="106"/>
  <c r="M52" i="107"/>
  <c r="BI74" i="106"/>
  <c r="BL44" i="106"/>
  <c r="BL170" i="106"/>
  <c r="BH176" i="106"/>
  <c r="BH177" i="106"/>
  <c r="BF44" i="106"/>
  <c r="BF170" i="106"/>
  <c r="BB44" i="106"/>
  <c r="BB170" i="106"/>
  <c r="AZ44" i="106"/>
  <c r="AZ65" i="106" s="1"/>
  <c r="AZ170" i="106"/>
  <c r="AV44" i="106"/>
  <c r="AV170" i="106"/>
  <c r="AT97" i="106"/>
  <c r="AT170" i="106"/>
  <c r="AP44" i="106"/>
  <c r="AP65" i="106" s="1"/>
  <c r="AP170" i="106"/>
  <c r="AN44" i="106"/>
  <c r="AN65" i="106" s="1"/>
  <c r="AN170" i="106"/>
  <c r="AJ44" i="106"/>
  <c r="AJ170" i="106"/>
  <c r="AH44" i="106"/>
  <c r="AH170" i="106"/>
  <c r="AD44" i="106"/>
  <c r="AD65" i="106" s="1"/>
  <c r="AD170" i="106"/>
  <c r="AB44" i="106"/>
  <c r="AB65" i="106" s="1"/>
  <c r="AB170" i="106"/>
  <c r="X44" i="106"/>
  <c r="X170" i="106"/>
  <c r="V97" i="106"/>
  <c r="V170" i="106"/>
  <c r="R44" i="106"/>
  <c r="R65" i="106" s="1"/>
  <c r="R170" i="106"/>
  <c r="P44" i="106"/>
  <c r="P65" i="106" s="1"/>
  <c r="P170" i="106"/>
  <c r="L44" i="106"/>
  <c r="L170" i="106"/>
  <c r="J44" i="106"/>
  <c r="J170" i="106"/>
  <c r="F44" i="106"/>
  <c r="F170" i="106"/>
  <c r="D44" i="106"/>
  <c r="D46" i="106" s="1"/>
  <c r="D48" i="106" s="1"/>
  <c r="D170" i="106"/>
  <c r="BC168" i="106"/>
  <c r="AQ168" i="106"/>
  <c r="AE168" i="106"/>
  <c r="S168" i="106"/>
  <c r="G168" i="106"/>
  <c r="BN165" i="106"/>
  <c r="BM165" i="106"/>
  <c r="BC145" i="106"/>
  <c r="BI147" i="106" s="1"/>
  <c r="BC174" i="106"/>
  <c r="AQ145" i="106"/>
  <c r="AQ174" i="106"/>
  <c r="G145" i="106"/>
  <c r="M147" i="106" s="1"/>
  <c r="G174" i="106"/>
  <c r="BC86" i="106"/>
  <c r="BC173" i="106"/>
  <c r="BC52" i="107"/>
  <c r="AQ150" i="106"/>
  <c r="AQ173" i="106"/>
  <c r="AQ52" i="107"/>
  <c r="AE86" i="106"/>
  <c r="AE173" i="106"/>
  <c r="AE52" i="107"/>
  <c r="S173" i="106"/>
  <c r="S52" i="107"/>
  <c r="G173" i="106"/>
  <c r="G52" i="107"/>
  <c r="BL132" i="106"/>
  <c r="AM132" i="106"/>
  <c r="AM133" i="106" s="1"/>
  <c r="BF132" i="106"/>
  <c r="BF133" i="106" s="1"/>
  <c r="I132" i="106"/>
  <c r="I122" i="106"/>
  <c r="I125" i="106" s="1"/>
  <c r="AM108" i="106"/>
  <c r="AN102" i="106" s="1"/>
  <c r="AG106" i="106"/>
  <c r="AG108" i="106" s="1"/>
  <c r="AG122" i="106"/>
  <c r="AG125" i="106" s="1"/>
  <c r="BW132" i="106"/>
  <c r="R132" i="106"/>
  <c r="J122" i="106"/>
  <c r="J125" i="106" s="1"/>
  <c r="BX38" i="107"/>
  <c r="AI132" i="106"/>
  <c r="AU122" i="106"/>
  <c r="BG122" i="106"/>
  <c r="BG125" i="106" s="1"/>
  <c r="AB106" i="106"/>
  <c r="BC87" i="106"/>
  <c r="Y151" i="3"/>
  <c r="Y163" i="3" s="1"/>
  <c r="BC194" i="3"/>
  <c r="BC192" i="3"/>
  <c r="BL43" i="3"/>
  <c r="BC198" i="3"/>
  <c r="BC125" i="3"/>
  <c r="BI126" i="3" s="1"/>
  <c r="AA20" i="3"/>
  <c r="AA24" i="3" s="1"/>
  <c r="AO159" i="3"/>
  <c r="BL24" i="3"/>
  <c r="BL27" i="3" s="1"/>
  <c r="BL44" i="3" s="1"/>
  <c r="AH20" i="3"/>
  <c r="AH21" i="3" s="1"/>
  <c r="AH157" i="106" s="1"/>
  <c r="AW39" i="3"/>
  <c r="AM41" i="3"/>
  <c r="AM20" i="3"/>
  <c r="AM21" i="3" s="1"/>
  <c r="AM157" i="106" s="1"/>
  <c r="AO41" i="3"/>
  <c r="AW47" i="3"/>
  <c r="AM13" i="3"/>
  <c r="AM62" i="106" s="1"/>
  <c r="AW196" i="3"/>
  <c r="AM42" i="3"/>
  <c r="AT63" i="106"/>
  <c r="C41" i="3"/>
  <c r="Y194" i="3"/>
  <c r="AW194" i="3"/>
  <c r="BC47" i="3"/>
  <c r="V63" i="106"/>
  <c r="AW198" i="3"/>
  <c r="AW192" i="3"/>
  <c r="V20" i="3"/>
  <c r="V43" i="3" s="1"/>
  <c r="C13" i="3"/>
  <c r="C64" i="106" s="1"/>
  <c r="AY63" i="106"/>
  <c r="AB63" i="106"/>
  <c r="F163" i="3"/>
  <c r="BL75" i="106"/>
  <c r="BR75" i="106" s="1"/>
  <c r="BX75" i="106" s="1"/>
  <c r="CD75" i="106" s="1"/>
  <c r="AT55" i="3"/>
  <c r="AE178" i="119" s="1"/>
  <c r="BC134" i="3"/>
  <c r="BM42" i="3"/>
  <c r="BM55" i="3"/>
  <c r="AR178" i="119" s="1"/>
  <c r="BC52" i="3"/>
  <c r="AO63" i="106"/>
  <c r="AE87" i="106"/>
  <c r="AV16" i="3"/>
  <c r="BA20" i="3"/>
  <c r="BA21" i="3" s="1"/>
  <c r="BH53" i="3"/>
  <c r="AW75" i="106"/>
  <c r="AO13" i="3"/>
  <c r="AO62" i="106" s="1"/>
  <c r="BI52" i="3"/>
  <c r="AH42" i="3"/>
  <c r="AY20" i="3"/>
  <c r="AY21" i="3" s="1"/>
  <c r="AG63" i="106"/>
  <c r="AW74" i="106"/>
  <c r="AO20" i="3"/>
  <c r="AO24" i="3" s="1"/>
  <c r="S12" i="3"/>
  <c r="S39" i="3" s="1"/>
  <c r="BS6" i="3"/>
  <c r="AO42" i="3"/>
  <c r="BA41" i="3"/>
  <c r="BA13" i="3"/>
  <c r="BA40" i="3" s="1"/>
  <c r="X157" i="3"/>
  <c r="Y157" i="3" s="1"/>
  <c r="W24" i="3"/>
  <c r="W27" i="3" s="1"/>
  <c r="AW10" i="3"/>
  <c r="AW37" i="3" s="1"/>
  <c r="BA63" i="106"/>
  <c r="AC41" i="3"/>
  <c r="AO55" i="3"/>
  <c r="AB178" i="119" s="1"/>
  <c r="BQ7" i="3"/>
  <c r="Y75" i="106"/>
  <c r="AC63" i="106"/>
  <c r="E63" i="106"/>
  <c r="BI75" i="106"/>
  <c r="AK75" i="106"/>
  <c r="S75" i="106"/>
  <c r="BC10" i="3"/>
  <c r="AI55" i="3"/>
  <c r="X178" i="119" s="1"/>
  <c r="AC20" i="3"/>
  <c r="AC24" i="3" s="1"/>
  <c r="AW16" i="3"/>
  <c r="AG159" i="3"/>
  <c r="V41" i="3"/>
  <c r="V13" i="3"/>
  <c r="V40" i="3" s="1"/>
  <c r="AA186" i="3"/>
  <c r="F14" i="3"/>
  <c r="AE54" i="3"/>
  <c r="R39" i="3"/>
  <c r="AY186" i="3"/>
  <c r="AY41" i="3"/>
  <c r="AE52" i="3"/>
  <c r="BC36" i="3"/>
  <c r="AY159" i="3"/>
  <c r="R14" i="3"/>
  <c r="V55" i="3"/>
  <c r="O178" i="119" s="1"/>
  <c r="Y154" i="3"/>
  <c r="F147" i="3"/>
  <c r="AE145" i="3"/>
  <c r="AE137" i="3" s="1"/>
  <c r="BH147" i="3"/>
  <c r="X147" i="3"/>
  <c r="AT159" i="3"/>
  <c r="AD14" i="3"/>
  <c r="AD13" i="3" s="1"/>
  <c r="AV157" i="3"/>
  <c r="AW157" i="3" s="1"/>
  <c r="J200" i="3"/>
  <c r="BL187" i="3"/>
  <c r="J152" i="106"/>
  <c r="BL74" i="106"/>
  <c r="BR74" i="106" s="1"/>
  <c r="BX74" i="106" s="1"/>
  <c r="CD74" i="106" s="1"/>
  <c r="AA63" i="106"/>
  <c r="G88" i="106"/>
  <c r="BI76" i="106"/>
  <c r="AK76" i="106"/>
  <c r="I20" i="3"/>
  <c r="I21" i="3" s="1"/>
  <c r="I157" i="106" s="1"/>
  <c r="BC38" i="3"/>
  <c r="W21" i="3"/>
  <c r="W157" i="106" s="1"/>
  <c r="W158" i="106" s="1"/>
  <c r="W159" i="106" s="1"/>
  <c r="W160" i="106" s="1"/>
  <c r="AT20" i="3"/>
  <c r="AT21" i="3" s="1"/>
  <c r="AT157" i="106" s="1"/>
  <c r="AB42" i="3"/>
  <c r="BI151" i="3"/>
  <c r="BI163" i="3" s="1"/>
  <c r="BH157" i="3"/>
  <c r="BH159" i="3" s="1"/>
  <c r="AH55" i="3"/>
  <c r="W178" i="119" s="1"/>
  <c r="AA41" i="3"/>
  <c r="BG63" i="106"/>
  <c r="D199" i="3"/>
  <c r="K199" i="3"/>
  <c r="W199" i="3"/>
  <c r="Q200" i="3"/>
  <c r="CF106" i="106"/>
  <c r="AN132" i="106"/>
  <c r="AN133" i="106" s="1"/>
  <c r="K132" i="106"/>
  <c r="CF132" i="106"/>
  <c r="AJ122" i="106"/>
  <c r="AB152" i="106"/>
  <c r="V152" i="106"/>
  <c r="L152" i="106"/>
  <c r="BA135" i="106"/>
  <c r="I135" i="106"/>
  <c r="U131" i="106"/>
  <c r="AV127" i="106"/>
  <c r="AB127" i="106"/>
  <c r="D124" i="106"/>
  <c r="G95" i="106"/>
  <c r="BB65" i="106"/>
  <c r="AN71" i="106"/>
  <c r="BE152" i="106"/>
  <c r="AE152" i="106"/>
  <c r="S152" i="106"/>
  <c r="AI135" i="106"/>
  <c r="AT131" i="106"/>
  <c r="BH127" i="106"/>
  <c r="AY127" i="106"/>
  <c r="X127" i="106"/>
  <c r="AU121" i="106"/>
  <c r="AU124" i="106" s="1"/>
  <c r="AN124" i="106"/>
  <c r="AS112" i="106"/>
  <c r="AJ98" i="106"/>
  <c r="AW92" i="106"/>
  <c r="AY91" i="106"/>
  <c r="AN97" i="106"/>
  <c r="AO91" i="106" s="1"/>
  <c r="X97" i="106"/>
  <c r="X98" i="106" s="1"/>
  <c r="P97" i="106"/>
  <c r="Q91" i="106" s="1"/>
  <c r="L97" i="106"/>
  <c r="D97" i="106"/>
  <c r="E91" i="106" s="1"/>
  <c r="BB71" i="106"/>
  <c r="AP71" i="106"/>
  <c r="AD68" i="106"/>
  <c r="AT44" i="106"/>
  <c r="AT65" i="106" s="1"/>
  <c r="I65" i="106"/>
  <c r="BI41" i="106"/>
  <c r="BI170" i="106" s="1"/>
  <c r="AD32" i="106"/>
  <c r="AD46" i="106" s="1"/>
  <c r="AD48" i="106" s="1"/>
  <c r="AE76" i="106"/>
  <c r="AY68" i="106"/>
  <c r="J71" i="106"/>
  <c r="F71" i="106"/>
  <c r="AQ75" i="106"/>
  <c r="AQ74" i="106"/>
  <c r="BC74" i="106"/>
  <c r="AY122" i="106"/>
  <c r="AY125" i="106" s="1"/>
  <c r="J62" i="106"/>
  <c r="Q122" i="106"/>
  <c r="Q125" i="106" s="1"/>
  <c r="BY122" i="106"/>
  <c r="AT132" i="106"/>
  <c r="AT133" i="106" s="1"/>
  <c r="AZ132" i="106"/>
  <c r="CD132" i="106"/>
  <c r="AY132" i="106"/>
  <c r="AY133" i="106" s="1"/>
  <c r="Q132" i="106"/>
  <c r="U108" i="106"/>
  <c r="V102" i="106" s="1"/>
  <c r="BW122" i="106"/>
  <c r="BY132" i="106"/>
  <c r="AW137" i="3"/>
  <c r="S19" i="3"/>
  <c r="S16" i="3" s="1"/>
  <c r="R16" i="3"/>
  <c r="Q187" i="3"/>
  <c r="X88" i="106"/>
  <c r="AD53" i="3"/>
  <c r="I13" i="3"/>
  <c r="I64" i="106" s="1"/>
  <c r="Y36" i="3"/>
  <c r="AG147" i="106"/>
  <c r="L147" i="106"/>
  <c r="BF63" i="106"/>
  <c r="O63" i="106"/>
  <c r="X14" i="3"/>
  <c r="AE16" i="3"/>
  <c r="Q16" i="3"/>
  <c r="Q20" i="3" s="1"/>
  <c r="Q43" i="3" s="1"/>
  <c r="C43" i="3"/>
  <c r="S145" i="3"/>
  <c r="S147" i="3" s="1"/>
  <c r="AW102" i="3"/>
  <c r="AV14" i="3"/>
  <c r="AV163" i="3"/>
  <c r="Y52" i="3"/>
  <c r="AW36" i="3"/>
  <c r="AW38" i="3"/>
  <c r="AD104" i="3"/>
  <c r="O13" i="3"/>
  <c r="O41" i="3"/>
  <c r="O186" i="3"/>
  <c r="BK187" i="3"/>
  <c r="AM147" i="106"/>
  <c r="J147" i="106"/>
  <c r="Y10" i="3"/>
  <c r="Y37" i="3" s="1"/>
  <c r="Q75" i="3"/>
  <c r="BC145" i="3"/>
  <c r="BC147" i="3" s="1"/>
  <c r="C24" i="3"/>
  <c r="C27" i="3" s="1"/>
  <c r="R147" i="3"/>
  <c r="AW151" i="3"/>
  <c r="AW163" i="3" s="1"/>
  <c r="J24" i="3"/>
  <c r="J27" i="3" s="1"/>
  <c r="J33" i="3" s="1"/>
  <c r="F104" i="3"/>
  <c r="J187" i="3"/>
  <c r="AQ147" i="106"/>
  <c r="AD16" i="3"/>
  <c r="AD20" i="3" s="1"/>
  <c r="AZ159" i="3"/>
  <c r="AV147" i="106"/>
  <c r="BB88" i="106"/>
  <c r="AK87" i="106"/>
  <c r="BC76" i="106"/>
  <c r="AV147" i="3"/>
  <c r="AE192" i="3"/>
  <c r="AV104" i="3"/>
  <c r="AK54" i="3"/>
  <c r="J43" i="3"/>
  <c r="W187" i="3"/>
  <c r="AB55" i="3"/>
  <c r="S178" i="119" s="1"/>
  <c r="AB186" i="3"/>
  <c r="AB41" i="3"/>
  <c r="AB159" i="3"/>
  <c r="BB53" i="3"/>
  <c r="Y38" i="3"/>
  <c r="Y125" i="3"/>
  <c r="BB163" i="3"/>
  <c r="Y196" i="3"/>
  <c r="K187" i="3"/>
  <c r="AW151" i="106"/>
  <c r="AP88" i="106"/>
  <c r="Y192" i="3"/>
  <c r="AV152" i="106"/>
  <c r="AM152" i="106"/>
  <c r="Y87" i="106"/>
  <c r="AI63" i="106"/>
  <c r="AQ76" i="106"/>
  <c r="BC75" i="106"/>
  <c r="Y12" i="3"/>
  <c r="Y39" i="3" s="1"/>
  <c r="BB16" i="3"/>
  <c r="Y190" i="3"/>
  <c r="O82" i="106"/>
  <c r="C53" i="106"/>
  <c r="AU91" i="106"/>
  <c r="AT98" i="106"/>
  <c r="W91" i="106"/>
  <c r="V98" i="106"/>
  <c r="AQ152" i="106"/>
  <c r="AK74" i="106"/>
  <c r="AV135" i="106"/>
  <c r="I127" i="106"/>
  <c r="AY69" i="106"/>
  <c r="AT152" i="106"/>
  <c r="Q152" i="106"/>
  <c r="BF147" i="106"/>
  <c r="AC147" i="106"/>
  <c r="AU135" i="106"/>
  <c r="K131" i="106"/>
  <c r="AP127" i="106"/>
  <c r="Q98" i="106"/>
  <c r="BB97" i="106"/>
  <c r="BE91" i="106" s="1"/>
  <c r="AS97" i="106"/>
  <c r="AT91" i="106" s="1"/>
  <c r="AK92" i="106"/>
  <c r="AH97" i="106"/>
  <c r="AH98" i="106" s="1"/>
  <c r="U97" i="106"/>
  <c r="V91" i="106" s="1"/>
  <c r="AD71" i="106"/>
  <c r="AZ68" i="106"/>
  <c r="E68" i="106"/>
  <c r="AN68" i="106"/>
  <c r="AY20" i="106"/>
  <c r="BL152" i="106"/>
  <c r="BB152" i="106"/>
  <c r="P152" i="106"/>
  <c r="BE147" i="106"/>
  <c r="AU147" i="106"/>
  <c r="AB147" i="106"/>
  <c r="R147" i="106"/>
  <c r="I147" i="106"/>
  <c r="F127" i="106"/>
  <c r="AG112" i="106"/>
  <c r="BG98" i="106"/>
  <c r="D98" i="106"/>
  <c r="AP97" i="106"/>
  <c r="AP98" i="106" s="1"/>
  <c r="AD97" i="106"/>
  <c r="AG91" i="106" s="1"/>
  <c r="J97" i="106"/>
  <c r="AO69" i="106"/>
  <c r="BH64" i="106"/>
  <c r="AN20" i="106"/>
  <c r="F20" i="106"/>
  <c r="AZ69" i="106"/>
  <c r="BI92" i="106"/>
  <c r="AD70" i="106"/>
  <c r="V44" i="106"/>
  <c r="V65" i="106" s="1"/>
  <c r="AI152" i="106"/>
  <c r="BA152" i="106"/>
  <c r="AT147" i="106"/>
  <c r="AJ147" i="106"/>
  <c r="Q147" i="106"/>
  <c r="AD127" i="106"/>
  <c r="AC124" i="106"/>
  <c r="BE98" i="106"/>
  <c r="R97" i="106"/>
  <c r="I97" i="106"/>
  <c r="I98" i="106" s="1"/>
  <c r="AO68" i="106"/>
  <c r="AV65" i="106"/>
  <c r="I152" i="106"/>
  <c r="Y152" i="106"/>
  <c r="F152" i="106"/>
  <c r="BL135" i="106"/>
  <c r="AC135" i="106"/>
  <c r="BA121" i="106"/>
  <c r="BA124" i="106" s="1"/>
  <c r="F97" i="106"/>
  <c r="I91" i="106" s="1"/>
  <c r="AZ71" i="106"/>
  <c r="AI131" i="106"/>
  <c r="J77" i="106"/>
  <c r="BE77" i="106"/>
  <c r="AU77" i="106"/>
  <c r="AJ77" i="106"/>
  <c r="R77" i="106"/>
  <c r="F77" i="106"/>
  <c r="BC41" i="106"/>
  <c r="G41" i="106"/>
  <c r="AC46" i="106"/>
  <c r="AC48" i="106" s="1"/>
  <c r="S51" i="106"/>
  <c r="S52" i="106" s="1"/>
  <c r="BI14" i="106"/>
  <c r="BI20" i="106" s="1"/>
  <c r="AC152" i="106"/>
  <c r="X121" i="106"/>
  <c r="X124" i="106" s="1"/>
  <c r="AQ95" i="106"/>
  <c r="AT77" i="106"/>
  <c r="Q77" i="106"/>
  <c r="F65" i="106"/>
  <c r="BQ40" i="106"/>
  <c r="BR40" i="106" s="1"/>
  <c r="S41" i="106"/>
  <c r="S170" i="106" s="1"/>
  <c r="O147" i="106"/>
  <c r="K121" i="106"/>
  <c r="K124" i="106" s="1"/>
  <c r="AW95" i="106"/>
  <c r="AB77" i="106"/>
  <c r="AC65" i="106"/>
  <c r="M41" i="106"/>
  <c r="AE51" i="106"/>
  <c r="AE52" i="106" s="1"/>
  <c r="AH71" i="106"/>
  <c r="M76" i="106"/>
  <c r="Q131" i="106"/>
  <c r="AE95" i="106"/>
  <c r="M92" i="106"/>
  <c r="AA77" i="106"/>
  <c r="AO65" i="106"/>
  <c r="C65" i="106"/>
  <c r="BK46" i="106"/>
  <c r="BK48" i="106" s="1"/>
  <c r="AK51" i="106"/>
  <c r="AK52" i="106" s="1"/>
  <c r="AK53" i="106" s="1"/>
  <c r="AE75" i="106"/>
  <c r="D122" i="106"/>
  <c r="D125" i="106" s="1"/>
  <c r="AY108" i="106"/>
  <c r="AY114" i="106" s="1"/>
  <c r="BK132" i="106"/>
  <c r="BO132" i="106" s="1"/>
  <c r="BO139" i="106" s="1"/>
  <c r="U132" i="106"/>
  <c r="AB122" i="106"/>
  <c r="AU106" i="106"/>
  <c r="AM112" i="106"/>
  <c r="BK62" i="106"/>
  <c r="W62" i="106"/>
  <c r="BT132" i="106"/>
  <c r="O122" i="106"/>
  <c r="O125" i="106" s="1"/>
  <c r="O83" i="106"/>
  <c r="AI122" i="106"/>
  <c r="AI125" i="106" s="1"/>
  <c r="K106" i="106"/>
  <c r="CD122" i="106"/>
  <c r="AM122" i="106"/>
  <c r="D132" i="106"/>
  <c r="BF122" i="106"/>
  <c r="BF125" i="106" s="1"/>
  <c r="AT122" i="106"/>
  <c r="AT125" i="106" s="1"/>
  <c r="R106" i="106"/>
  <c r="AO80" i="106"/>
  <c r="AI80" i="106"/>
  <c r="O32" i="106"/>
  <c r="O68" i="106"/>
  <c r="O70" i="106"/>
  <c r="O69" i="106"/>
  <c r="O71" i="106"/>
  <c r="X152" i="106"/>
  <c r="BA106" i="106"/>
  <c r="BA122" i="106"/>
  <c r="AD53" i="106"/>
  <c r="AY65" i="106"/>
  <c r="W147" i="106"/>
  <c r="V147" i="106"/>
  <c r="BH97" i="106"/>
  <c r="BH44" i="106"/>
  <c r="BH65" i="106" s="1"/>
  <c r="S125" i="3"/>
  <c r="S192" i="3"/>
  <c r="S10" i="3"/>
  <c r="S198" i="3"/>
  <c r="S36" i="3"/>
  <c r="S196" i="3"/>
  <c r="S190" i="3"/>
  <c r="S194" i="3"/>
  <c r="Y47" i="3"/>
  <c r="S74" i="106"/>
  <c r="S87" i="106"/>
  <c r="M152" i="106"/>
  <c r="I112" i="106"/>
  <c r="L106" i="106"/>
  <c r="L122" i="106"/>
  <c r="AC98" i="106"/>
  <c r="AD91" i="106"/>
  <c r="K91" i="106"/>
  <c r="J98" i="106"/>
  <c r="AA88" i="106"/>
  <c r="Y53" i="106"/>
  <c r="E65" i="106"/>
  <c r="D71" i="106"/>
  <c r="D69" i="106"/>
  <c r="D68" i="106"/>
  <c r="BK77" i="106"/>
  <c r="R75" i="3"/>
  <c r="P75" i="3"/>
  <c r="AS32" i="106"/>
  <c r="AS46" i="106" s="1"/>
  <c r="AS48" i="106" s="1"/>
  <c r="AS69" i="106"/>
  <c r="AS68" i="106"/>
  <c r="AS70" i="106"/>
  <c r="R103" i="106"/>
  <c r="R104" i="106" s="1"/>
  <c r="O44" i="106"/>
  <c r="O65" i="106" s="1"/>
  <c r="O97" i="106"/>
  <c r="AD121" i="106"/>
  <c r="AC127" i="106"/>
  <c r="AI52" i="106"/>
  <c r="C27" i="106"/>
  <c r="C59" i="106"/>
  <c r="C88" i="106"/>
  <c r="W131" i="106"/>
  <c r="R131" i="106"/>
  <c r="AE92" i="106"/>
  <c r="BF77" i="106"/>
  <c r="BF52" i="106"/>
  <c r="BF65" i="106"/>
  <c r="BF59" i="106"/>
  <c r="BF27" i="106"/>
  <c r="BF68" i="106" s="1"/>
  <c r="BF88" i="106"/>
  <c r="AU27" i="106"/>
  <c r="AU88" i="106"/>
  <c r="AU59" i="106"/>
  <c r="AK26" i="106"/>
  <c r="AJ27" i="106"/>
  <c r="AJ59" i="106"/>
  <c r="AJ88" i="106"/>
  <c r="Y26" i="106"/>
  <c r="Y59" i="106" s="1"/>
  <c r="X59" i="106"/>
  <c r="X27" i="106"/>
  <c r="M26" i="106"/>
  <c r="L27" i="106"/>
  <c r="L59" i="106"/>
  <c r="L88" i="106"/>
  <c r="AV121" i="106"/>
  <c r="AV124" i="106" s="1"/>
  <c r="AU127" i="106"/>
  <c r="F111" i="106"/>
  <c r="AH104" i="106"/>
  <c r="AD98" i="106"/>
  <c r="AH152" i="106"/>
  <c r="E121" i="106"/>
  <c r="D127" i="106"/>
  <c r="AS71" i="106"/>
  <c r="AA44" i="106"/>
  <c r="AA65" i="106" s="1"/>
  <c r="AA97" i="106"/>
  <c r="BG53" i="106"/>
  <c r="L65" i="106"/>
  <c r="L52" i="106"/>
  <c r="L53" i="106" s="1"/>
  <c r="AM68" i="106"/>
  <c r="AM71" i="106"/>
  <c r="AM69" i="106"/>
  <c r="AM32" i="106"/>
  <c r="AM70" i="106"/>
  <c r="O59" i="106"/>
  <c r="O88" i="106"/>
  <c r="AK147" i="106"/>
  <c r="AT111" i="106"/>
  <c r="AT124" i="106"/>
  <c r="AD124" i="106"/>
  <c r="AA122" i="106"/>
  <c r="AA125" i="106" s="1"/>
  <c r="AA132" i="106"/>
  <c r="C122" i="106"/>
  <c r="C125" i="106" s="1"/>
  <c r="C132" i="106"/>
  <c r="C133" i="106" s="1"/>
  <c r="S92" i="106"/>
  <c r="M95" i="106"/>
  <c r="AM88" i="106"/>
  <c r="AA59" i="106"/>
  <c r="BE53" i="106"/>
  <c r="F121" i="106"/>
  <c r="F124" i="106" s="1"/>
  <c r="E127" i="106"/>
  <c r="BF111" i="106"/>
  <c r="BI111" i="106" s="1"/>
  <c r="BF124" i="106"/>
  <c r="E111" i="106"/>
  <c r="P104" i="106"/>
  <c r="AM44" i="106"/>
  <c r="AM97" i="106"/>
  <c r="AN135" i="106"/>
  <c r="AO131" i="106"/>
  <c r="BE106" i="106"/>
  <c r="BE108" i="106" s="1"/>
  <c r="BE132" i="106"/>
  <c r="BE122" i="106"/>
  <c r="W106" i="106"/>
  <c r="W132" i="106"/>
  <c r="AY97" i="106"/>
  <c r="AZ91" i="106" s="1"/>
  <c r="AC91" i="106"/>
  <c r="AB98" i="106"/>
  <c r="AW26" i="106"/>
  <c r="AW88" i="106" s="1"/>
  <c r="AV59" i="106"/>
  <c r="AV88" i="106"/>
  <c r="AA70" i="106"/>
  <c r="AA68" i="106"/>
  <c r="AA71" i="106"/>
  <c r="AA32" i="106"/>
  <c r="AE74" i="106"/>
  <c r="AA152" i="106"/>
  <c r="AY111" i="106"/>
  <c r="AY112" i="106" s="1"/>
  <c r="AH111" i="106"/>
  <c r="AK111" i="106" s="1"/>
  <c r="AH124" i="106"/>
  <c r="AH106" i="106"/>
  <c r="AH132" i="106"/>
  <c r="AA108" i="106"/>
  <c r="AB102" i="106" s="1"/>
  <c r="BG91" i="106"/>
  <c r="AQ92" i="106"/>
  <c r="AV27" i="106"/>
  <c r="BI138" i="106"/>
  <c r="BH138" i="106"/>
  <c r="G103" i="106"/>
  <c r="G104" i="106" s="1"/>
  <c r="AS52" i="106"/>
  <c r="AS65" i="106"/>
  <c r="AP70" i="106"/>
  <c r="AP68" i="106"/>
  <c r="E32" i="106"/>
  <c r="E71" i="106"/>
  <c r="E69" i="106"/>
  <c r="BE27" i="106"/>
  <c r="BE59" i="106"/>
  <c r="AT27" i="106"/>
  <c r="AT59" i="106"/>
  <c r="AI27" i="106"/>
  <c r="AI88" i="106"/>
  <c r="AI59" i="106"/>
  <c r="Y76" i="106"/>
  <c r="S76" i="106"/>
  <c r="K20" i="106"/>
  <c r="K68" i="106"/>
  <c r="K71" i="106"/>
  <c r="Y74" i="106"/>
  <c r="BF81" i="106"/>
  <c r="M196" i="3"/>
  <c r="M198" i="3"/>
  <c r="M74" i="106"/>
  <c r="AP37" i="3"/>
  <c r="AV53" i="3"/>
  <c r="AP14" i="3"/>
  <c r="AP156" i="106" s="1"/>
  <c r="M133" i="3"/>
  <c r="AP152" i="106"/>
  <c r="AG152" i="106"/>
  <c r="W152" i="106"/>
  <c r="AW150" i="106"/>
  <c r="BC152" i="106" s="1"/>
  <c r="BA147" i="106"/>
  <c r="W135" i="106"/>
  <c r="BG132" i="106"/>
  <c r="X133" i="106"/>
  <c r="BE127" i="106"/>
  <c r="Q124" i="106"/>
  <c r="AN106" i="106"/>
  <c r="O106" i="106"/>
  <c r="O108" i="106" s="1"/>
  <c r="BL98" i="106"/>
  <c r="AU97" i="106"/>
  <c r="BE88" i="106"/>
  <c r="AT88" i="106"/>
  <c r="V53" i="106"/>
  <c r="S44" i="106"/>
  <c r="S65" i="106" s="1"/>
  <c r="BL27" i="106"/>
  <c r="V32" i="106"/>
  <c r="V69" i="106"/>
  <c r="V70" i="106"/>
  <c r="J70" i="106"/>
  <c r="J69" i="106"/>
  <c r="BZ106" i="106"/>
  <c r="BZ122" i="106"/>
  <c r="BZ132" i="106"/>
  <c r="BG20" i="106"/>
  <c r="BG71" i="106"/>
  <c r="AU20" i="106"/>
  <c r="AI20" i="106"/>
  <c r="AI71" i="106"/>
  <c r="W20" i="106"/>
  <c r="W71" i="106"/>
  <c r="J20" i="106"/>
  <c r="J68" i="106"/>
  <c r="AG75" i="3"/>
  <c r="AH75" i="3"/>
  <c r="AI75" i="3"/>
  <c r="AP147" i="3"/>
  <c r="K159" i="3"/>
  <c r="AJ81" i="3"/>
  <c r="AI81" i="3"/>
  <c r="BO167" i="3"/>
  <c r="AY152" i="106"/>
  <c r="S95" i="106"/>
  <c r="AG27" i="106"/>
  <c r="AG59" i="106"/>
  <c r="AT20" i="106"/>
  <c r="AT68" i="106"/>
  <c r="M14" i="106"/>
  <c r="M20" i="106" s="1"/>
  <c r="M75" i="106"/>
  <c r="BH147" i="106"/>
  <c r="AY147" i="106"/>
  <c r="AO147" i="106"/>
  <c r="AJ135" i="106"/>
  <c r="AB133" i="106"/>
  <c r="V132" i="106"/>
  <c r="O131" i="106"/>
  <c r="O133" i="106" s="1"/>
  <c r="AS124" i="106"/>
  <c r="BA111" i="106"/>
  <c r="AJ106" i="106"/>
  <c r="AI97" i="106"/>
  <c r="W97" i="106"/>
  <c r="X91" i="106" s="1"/>
  <c r="BE65" i="106"/>
  <c r="K53" i="106"/>
  <c r="R52" i="106"/>
  <c r="AP32" i="106"/>
  <c r="AP46" i="106" s="1"/>
  <c r="AP48" i="106" s="1"/>
  <c r="BB70" i="106"/>
  <c r="BB68" i="106"/>
  <c r="BB32" i="106"/>
  <c r="BB46" i="106" s="1"/>
  <c r="BB48" i="106" s="1"/>
  <c r="AC70" i="106"/>
  <c r="AC71" i="106"/>
  <c r="BA70" i="106"/>
  <c r="BA68" i="106"/>
  <c r="BA71" i="106"/>
  <c r="AQ51" i="106"/>
  <c r="AQ52" i="106" s="1"/>
  <c r="AQ86" i="106"/>
  <c r="M192" i="3"/>
  <c r="G135" i="3"/>
  <c r="M136" i="3" s="1"/>
  <c r="AD81" i="3"/>
  <c r="AC81" i="3"/>
  <c r="AE81" i="3"/>
  <c r="AB82" i="106"/>
  <c r="L81" i="3"/>
  <c r="K81" i="3"/>
  <c r="M81" i="3"/>
  <c r="C104" i="106"/>
  <c r="BF20" i="106"/>
  <c r="AP81" i="3"/>
  <c r="AO81" i="3"/>
  <c r="AQ81" i="3"/>
  <c r="BG147" i="106"/>
  <c r="AW147" i="106"/>
  <c r="AN147" i="106"/>
  <c r="AD147" i="106"/>
  <c r="U147" i="106"/>
  <c r="K147" i="106"/>
  <c r="BK147" i="106"/>
  <c r="AA147" i="106"/>
  <c r="F147" i="106"/>
  <c r="C124" i="106"/>
  <c r="AY124" i="106"/>
  <c r="X106" i="106"/>
  <c r="I77" i="106"/>
  <c r="V68" i="106"/>
  <c r="U53" i="106"/>
  <c r="AW41" i="106"/>
  <c r="AO46" i="106"/>
  <c r="AO48" i="106" s="1"/>
  <c r="AQ27" i="106"/>
  <c r="AQ32" i="106" s="1"/>
  <c r="AW76" i="106"/>
  <c r="AP103" i="106"/>
  <c r="AP104" i="106" s="1"/>
  <c r="O152" i="106"/>
  <c r="J124" i="106"/>
  <c r="I124" i="106"/>
  <c r="BK71" i="106"/>
  <c r="BK69" i="106"/>
  <c r="AU152" i="106"/>
  <c r="R152" i="106"/>
  <c r="AJ152" i="106"/>
  <c r="AZ147" i="106"/>
  <c r="AP147" i="106"/>
  <c r="S147" i="106"/>
  <c r="AJ133" i="106"/>
  <c r="AS127" i="106"/>
  <c r="AZ122" i="106"/>
  <c r="AZ125" i="106" s="1"/>
  <c r="V122" i="106"/>
  <c r="C108" i="106"/>
  <c r="AK95" i="106"/>
  <c r="M87" i="106"/>
  <c r="AV77" i="106"/>
  <c r="AM77" i="106"/>
  <c r="AC77" i="106"/>
  <c r="BK70" i="106"/>
  <c r="BK68" i="106"/>
  <c r="W64" i="106"/>
  <c r="P52" i="106"/>
  <c r="D52" i="106"/>
  <c r="D65" i="106"/>
  <c r="W32" i="106"/>
  <c r="W69" i="106"/>
  <c r="AB27" i="106"/>
  <c r="AB88" i="106"/>
  <c r="P27" i="106"/>
  <c r="P32" i="106" s="1"/>
  <c r="P46" i="106" s="1"/>
  <c r="P48" i="106" s="1"/>
  <c r="P88" i="106"/>
  <c r="D59" i="106"/>
  <c r="D88" i="106"/>
  <c r="CE106" i="106"/>
  <c r="CE132" i="106"/>
  <c r="CE122" i="106"/>
  <c r="I82" i="106"/>
  <c r="V82" i="106"/>
  <c r="AJ39" i="3"/>
  <c r="AK12" i="3"/>
  <c r="AK39" i="3" s="1"/>
  <c r="BE41" i="3"/>
  <c r="BE55" i="3"/>
  <c r="AL178" i="119" s="1"/>
  <c r="BE186" i="3"/>
  <c r="BK55" i="3"/>
  <c r="AP178" i="119" s="1"/>
  <c r="BE42" i="3"/>
  <c r="BE20" i="3"/>
  <c r="BE21" i="3" s="1"/>
  <c r="BE13" i="3"/>
  <c r="BE62" i="106" s="1"/>
  <c r="BK42" i="3"/>
  <c r="BE63" i="106"/>
  <c r="M12" i="3"/>
  <c r="M39" i="3" s="1"/>
  <c r="L39" i="3"/>
  <c r="BB77" i="106"/>
  <c r="AS77" i="106"/>
  <c r="AI77" i="106"/>
  <c r="P77" i="106"/>
  <c r="E77" i="106"/>
  <c r="AJ65" i="106"/>
  <c r="AK41" i="106"/>
  <c r="BT122" i="106"/>
  <c r="BX106" i="106"/>
  <c r="BX132" i="106"/>
  <c r="BK108" i="106"/>
  <c r="BL102" i="106" s="1"/>
  <c r="AE14" i="106"/>
  <c r="BG42" i="3"/>
  <c r="BG186" i="3"/>
  <c r="BG20" i="3"/>
  <c r="BG13" i="3"/>
  <c r="BG55" i="3"/>
  <c r="AN178" i="119" s="1"/>
  <c r="AZ55" i="3"/>
  <c r="AI178" i="119" s="1"/>
  <c r="AZ186" i="3"/>
  <c r="AZ42" i="3"/>
  <c r="AZ41" i="3"/>
  <c r="AZ13" i="3"/>
  <c r="AZ62" i="106" s="1"/>
  <c r="AZ20" i="3"/>
  <c r="AZ21" i="3" s="1"/>
  <c r="Y41" i="106"/>
  <c r="AE26" i="106"/>
  <c r="E13" i="3"/>
  <c r="E41" i="3"/>
  <c r="E186" i="3"/>
  <c r="K55" i="3"/>
  <c r="H178" i="119" s="1"/>
  <c r="K42" i="3"/>
  <c r="E159" i="3"/>
  <c r="R61" i="3"/>
  <c r="S61" i="3" s="1"/>
  <c r="R22" i="3"/>
  <c r="S22" i="3" s="1"/>
  <c r="AA159" i="3"/>
  <c r="R81" i="3"/>
  <c r="S81" i="3"/>
  <c r="AZ77" i="106"/>
  <c r="AP77" i="106"/>
  <c r="AG77" i="106"/>
  <c r="W77" i="106"/>
  <c r="I80" i="106"/>
  <c r="BI81" i="3"/>
  <c r="BH81" i="3"/>
  <c r="K13" i="3"/>
  <c r="BH75" i="3"/>
  <c r="BK75" i="3"/>
  <c r="BF13" i="3"/>
  <c r="BL56" i="3" s="1"/>
  <c r="BL42" i="3"/>
  <c r="BF42" i="3"/>
  <c r="BF41" i="3"/>
  <c r="BF55" i="3"/>
  <c r="AM178" i="119" s="1"/>
  <c r="BF20" i="3"/>
  <c r="BF186" i="3"/>
  <c r="BK43" i="3"/>
  <c r="BK24" i="3"/>
  <c r="BK27" i="3" s="1"/>
  <c r="M154" i="3"/>
  <c r="AE41" i="106"/>
  <c r="BC27" i="106"/>
  <c r="CC106" i="106"/>
  <c r="CC122" i="106"/>
  <c r="CC132" i="106"/>
  <c r="AW81" i="3"/>
  <c r="AQ134" i="3"/>
  <c r="AW134" i="3"/>
  <c r="G133" i="3"/>
  <c r="G137" i="3"/>
  <c r="G147" i="3"/>
  <c r="M145" i="3"/>
  <c r="M137" i="3" s="1"/>
  <c r="BL80" i="106"/>
  <c r="AT41" i="3"/>
  <c r="AT186" i="3"/>
  <c r="BC54" i="3"/>
  <c r="BI54" i="3"/>
  <c r="AG13" i="3"/>
  <c r="AG20" i="3"/>
  <c r="AG42" i="3"/>
  <c r="AG55" i="3"/>
  <c r="V178" i="119" s="1"/>
  <c r="AG186" i="3"/>
  <c r="AG41" i="3"/>
  <c r="AW147" i="3"/>
  <c r="AM55" i="3"/>
  <c r="Z178" i="119" s="1"/>
  <c r="AK14" i="106"/>
  <c r="AK20" i="106" s="1"/>
  <c r="AH80" i="106"/>
  <c r="AC55" i="3"/>
  <c r="T178" i="119" s="1"/>
  <c r="AC42" i="3"/>
  <c r="AC186" i="3"/>
  <c r="AI13" i="3"/>
  <c r="AI42" i="3"/>
  <c r="AI41" i="3"/>
  <c r="AI186" i="3"/>
  <c r="AI20" i="3"/>
  <c r="I42" i="3"/>
  <c r="I55" i="3"/>
  <c r="F178" i="119" s="1"/>
  <c r="O55" i="3"/>
  <c r="J178" i="119" s="1"/>
  <c r="I186" i="3"/>
  <c r="I41" i="3"/>
  <c r="O42" i="3"/>
  <c r="AH159" i="3"/>
  <c r="C159" i="3"/>
  <c r="BM71" i="3"/>
  <c r="AH13" i="3"/>
  <c r="AH186" i="3"/>
  <c r="AH41" i="3"/>
  <c r="S135" i="3"/>
  <c r="S136" i="3" s="1"/>
  <c r="X37" i="3"/>
  <c r="X53" i="3"/>
  <c r="G10" i="3"/>
  <c r="G36" i="3"/>
  <c r="AW154" i="3"/>
  <c r="V159" i="3"/>
  <c r="AD163" i="3"/>
  <c r="AD157" i="3"/>
  <c r="AD159" i="3" s="1"/>
  <c r="W81" i="3"/>
  <c r="M163" i="3"/>
  <c r="R157" i="3"/>
  <c r="R163" i="3"/>
  <c r="S151" i="3"/>
  <c r="J159" i="3"/>
  <c r="AS20" i="3"/>
  <c r="AS13" i="3"/>
  <c r="AS62" i="106" s="1"/>
  <c r="AS55" i="3"/>
  <c r="AD178" i="119" s="1"/>
  <c r="AY42" i="3"/>
  <c r="AS42" i="3"/>
  <c r="AS41" i="3"/>
  <c r="AY55" i="3"/>
  <c r="AH178" i="119" s="1"/>
  <c r="AS159" i="3"/>
  <c r="AS186" i="3"/>
  <c r="AQ137" i="3"/>
  <c r="AB21" i="3"/>
  <c r="AB157" i="106" s="1"/>
  <c r="AB24" i="3"/>
  <c r="AB43" i="3"/>
  <c r="BC154" i="3"/>
  <c r="BB157" i="3"/>
  <c r="L14" i="3"/>
  <c r="L156" i="106" s="1"/>
  <c r="L37" i="3"/>
  <c r="L53" i="3"/>
  <c r="R53" i="3"/>
  <c r="L104" i="3"/>
  <c r="S38" i="3"/>
  <c r="Y54" i="3"/>
  <c r="S54" i="3"/>
  <c r="C75" i="3"/>
  <c r="E75" i="3"/>
  <c r="F75" i="3"/>
  <c r="D75" i="3"/>
  <c r="AM159" i="3"/>
  <c r="G154" i="3"/>
  <c r="F157" i="3"/>
  <c r="G157" i="3" s="1"/>
  <c r="I159" i="3"/>
  <c r="Y137" i="3"/>
  <c r="Y147" i="3"/>
  <c r="M10" i="3"/>
  <c r="M47" i="3"/>
  <c r="S47" i="3"/>
  <c r="M38" i="3"/>
  <c r="M125" i="3"/>
  <c r="M194" i="3"/>
  <c r="AJ14" i="3"/>
  <c r="AJ53" i="3"/>
  <c r="AP53" i="3"/>
  <c r="AJ104" i="3"/>
  <c r="AJ37" i="3"/>
  <c r="M25" i="3"/>
  <c r="BB14" i="3"/>
  <c r="BI134" i="3"/>
  <c r="AA75" i="3"/>
  <c r="AC75" i="3"/>
  <c r="AD75" i="3"/>
  <c r="AB75" i="3"/>
  <c r="AU13" i="3"/>
  <c r="AU62" i="106" s="1"/>
  <c r="AU20" i="3"/>
  <c r="AU42" i="3"/>
  <c r="AU41" i="3"/>
  <c r="BA55" i="3"/>
  <c r="AJ178" i="119" s="1"/>
  <c r="AU55" i="3"/>
  <c r="AF178" i="119" s="1"/>
  <c r="BA42" i="3"/>
  <c r="AU186" i="3"/>
  <c r="AU159" i="3"/>
  <c r="Q159" i="3"/>
  <c r="BE159" i="3"/>
  <c r="AP104" i="3"/>
  <c r="AQ102" i="3"/>
  <c r="P24" i="3"/>
  <c r="P43" i="3"/>
  <c r="L163" i="3"/>
  <c r="L157" i="3"/>
  <c r="AQ38" i="3"/>
  <c r="AW54" i="3"/>
  <c r="AQ147" i="3"/>
  <c r="AQ54" i="3"/>
  <c r="P40" i="3"/>
  <c r="P56" i="3"/>
  <c r="BB104" i="3"/>
  <c r="BC102" i="3"/>
  <c r="AJ157" i="3"/>
  <c r="AJ163" i="3"/>
  <c r="R104" i="3"/>
  <c r="Y135" i="3"/>
  <c r="AE136" i="3" s="1"/>
  <c r="AQ36" i="3"/>
  <c r="AQ52" i="3"/>
  <c r="AW52" i="3"/>
  <c r="AQ47" i="3"/>
  <c r="AK38" i="3"/>
  <c r="AK125" i="3"/>
  <c r="AK10" i="3"/>
  <c r="AK47" i="3"/>
  <c r="AK192" i="3"/>
  <c r="CD6" i="3"/>
  <c r="X16" i="3"/>
  <c r="AD186" i="3"/>
  <c r="AY75" i="3"/>
  <c r="BE75" i="3"/>
  <c r="BA75" i="3"/>
  <c r="BB75" i="3"/>
  <c r="BF75" i="3"/>
  <c r="BG75" i="3"/>
  <c r="AZ75" i="3"/>
  <c r="BF159" i="3"/>
  <c r="BQ12" i="3"/>
  <c r="G163" i="3"/>
  <c r="AK198" i="3"/>
  <c r="AK151" i="3"/>
  <c r="BI14" i="3"/>
  <c r="BI37" i="3"/>
  <c r="AC159" i="3"/>
  <c r="BG159" i="3"/>
  <c r="AW22" i="3"/>
  <c r="P21" i="3"/>
  <c r="P157" i="106" s="1"/>
  <c r="P158" i="106" s="1"/>
  <c r="P159" i="106" s="1"/>
  <c r="P160" i="106" s="1"/>
  <c r="S102" i="3"/>
  <c r="AW136" i="3"/>
  <c r="Q40" i="3"/>
  <c r="W56" i="3"/>
  <c r="BH104" i="3"/>
  <c r="BY6" i="3"/>
  <c r="BX7" i="3"/>
  <c r="Y16" i="3"/>
  <c r="D21" i="3"/>
  <c r="D157" i="106" s="1"/>
  <c r="D158" i="106" s="1"/>
  <c r="D159" i="106" s="1"/>
  <c r="D160" i="106" s="1"/>
  <c r="D24" i="3"/>
  <c r="D43" i="3"/>
  <c r="X104" i="3"/>
  <c r="Y102" i="3"/>
  <c r="BO12" i="3"/>
  <c r="O159" i="3"/>
  <c r="BI137" i="3"/>
  <c r="BI147" i="3"/>
  <c r="D159" i="3"/>
  <c r="AK194" i="3"/>
  <c r="AQ22" i="3"/>
  <c r="AK22" i="3"/>
  <c r="AK135" i="3"/>
  <c r="AK136" i="3" s="1"/>
  <c r="AE163" i="3"/>
  <c r="BC135" i="3"/>
  <c r="AK147" i="3"/>
  <c r="AK137" i="3"/>
  <c r="AK154" i="3"/>
  <c r="AK36" i="3"/>
  <c r="AK52" i="3"/>
  <c r="BC163" i="3"/>
  <c r="AP157" i="3"/>
  <c r="AP163" i="3"/>
  <c r="BC12" i="3"/>
  <c r="BL40" i="3"/>
  <c r="BH43" i="3"/>
  <c r="BH24" i="3"/>
  <c r="AJ147" i="3"/>
  <c r="U75" i="3"/>
  <c r="X75" i="3"/>
  <c r="V75" i="3"/>
  <c r="W75" i="3"/>
  <c r="AE12" i="3"/>
  <c r="AE39" i="3" s="1"/>
  <c r="AQ10" i="3"/>
  <c r="M36" i="3"/>
  <c r="M52" i="3"/>
  <c r="S52" i="3"/>
  <c r="AQ12" i="3"/>
  <c r="AN42" i="3"/>
  <c r="AN13" i="3"/>
  <c r="AN20" i="3"/>
  <c r="AN41" i="3"/>
  <c r="AN55" i="3"/>
  <c r="AA178" i="119" s="1"/>
  <c r="AT42" i="3"/>
  <c r="AN186" i="3"/>
  <c r="AN159" i="3"/>
  <c r="AE10" i="3"/>
  <c r="AE47" i="3"/>
  <c r="AE125" i="3"/>
  <c r="AE38" i="3"/>
  <c r="AE190" i="3"/>
  <c r="AE196" i="3"/>
  <c r="AE194" i="3"/>
  <c r="AE198" i="3"/>
  <c r="D40" i="3"/>
  <c r="J56" i="3"/>
  <c r="U13" i="3"/>
  <c r="U62" i="106" s="1"/>
  <c r="U41" i="3"/>
  <c r="U42" i="3"/>
  <c r="U20" i="3"/>
  <c r="U55" i="3"/>
  <c r="N178" i="119" s="1"/>
  <c r="AA42" i="3"/>
  <c r="U159" i="3"/>
  <c r="AA55" i="3"/>
  <c r="R178" i="119" s="1"/>
  <c r="U186" i="3"/>
  <c r="BA159" i="3"/>
  <c r="K43" i="3"/>
  <c r="K21" i="3"/>
  <c r="K157" i="106" s="1"/>
  <c r="K158" i="106" s="1"/>
  <c r="K159" i="106" s="1"/>
  <c r="K160" i="106" s="1"/>
  <c r="K24" i="3"/>
  <c r="AS75" i="3"/>
  <c r="AV75" i="3"/>
  <c r="AT75" i="3"/>
  <c r="AU75" i="3"/>
  <c r="BL159" i="3"/>
  <c r="AQ151" i="3"/>
  <c r="BI102" i="3"/>
  <c r="AI159" i="3"/>
  <c r="AK190" i="3"/>
  <c r="M190" i="3"/>
  <c r="BF80" i="106"/>
  <c r="AV103" i="106"/>
  <c r="AV104" i="106" s="1"/>
  <c r="BB111" i="106"/>
  <c r="V80" i="106"/>
  <c r="O80" i="106"/>
  <c r="AT80" i="106"/>
  <c r="AZ80" i="106"/>
  <c r="J80" i="106"/>
  <c r="L103" i="106"/>
  <c r="AJ81" i="106"/>
  <c r="X103" i="106"/>
  <c r="AJ103" i="106"/>
  <c r="AJ104" i="106" s="1"/>
  <c r="BH81" i="106"/>
  <c r="O124" i="106"/>
  <c r="E106" i="106"/>
  <c r="E122" i="106"/>
  <c r="E132" i="106"/>
  <c r="AJ121" i="106"/>
  <c r="AJ124" i="106" s="1"/>
  <c r="W121" i="106"/>
  <c r="W124" i="106" s="1"/>
  <c r="V127" i="106"/>
  <c r="AU104" i="106"/>
  <c r="V121" i="106"/>
  <c r="U127" i="106"/>
  <c r="BA91" i="106"/>
  <c r="AZ98" i="106"/>
  <c r="BA77" i="106"/>
  <c r="AH77" i="106"/>
  <c r="X77" i="106"/>
  <c r="O77" i="106"/>
  <c r="D77" i="106"/>
  <c r="BK152" i="106"/>
  <c r="E152" i="106"/>
  <c r="BL147" i="106"/>
  <c r="BE135" i="106"/>
  <c r="BH135" i="106"/>
  <c r="BK131" i="106"/>
  <c r="AA131" i="106"/>
  <c r="L131" i="106"/>
  <c r="K135" i="106"/>
  <c r="AH127" i="106"/>
  <c r="U121" i="106"/>
  <c r="R127" i="106"/>
  <c r="V104" i="106"/>
  <c r="AY77" i="106"/>
  <c r="AO77" i="106"/>
  <c r="V77" i="106"/>
  <c r="L77" i="106"/>
  <c r="AP121" i="106"/>
  <c r="AP124" i="106" s="1"/>
  <c r="AO127" i="106"/>
  <c r="BB121" i="106"/>
  <c r="BB124" i="106" s="1"/>
  <c r="BA127" i="106"/>
  <c r="AA112" i="106"/>
  <c r="AB91" i="106"/>
  <c r="AA98" i="106"/>
  <c r="BI152" i="106"/>
  <c r="AZ152" i="106"/>
  <c r="D152" i="106"/>
  <c r="BA131" i="106"/>
  <c r="BA133" i="106" s="1"/>
  <c r="AZ135" i="106"/>
  <c r="L127" i="106"/>
  <c r="AV132" i="106"/>
  <c r="AV133" i="106" s="1"/>
  <c r="AV122" i="106"/>
  <c r="AS125" i="106"/>
  <c r="AA127" i="106"/>
  <c r="AB121" i="106"/>
  <c r="AB124" i="106" s="1"/>
  <c r="P106" i="106"/>
  <c r="P122" i="106"/>
  <c r="P132" i="106"/>
  <c r="AZ131" i="106"/>
  <c r="AY135" i="106"/>
  <c r="AO106" i="106"/>
  <c r="AO122" i="106"/>
  <c r="AO132" i="106"/>
  <c r="AO133" i="106" s="1"/>
  <c r="P98" i="106"/>
  <c r="AW51" i="106"/>
  <c r="AB111" i="106"/>
  <c r="AO121" i="106"/>
  <c r="AO124" i="106" s="1"/>
  <c r="AN127" i="106"/>
  <c r="AN125" i="106"/>
  <c r="AG131" i="106"/>
  <c r="AG133" i="106" s="1"/>
  <c r="AD135" i="106"/>
  <c r="AV111" i="106"/>
  <c r="AO135" i="106"/>
  <c r="P131" i="106"/>
  <c r="AI127" i="106"/>
  <c r="U112" i="106"/>
  <c r="AC106" i="106"/>
  <c r="AC132" i="106"/>
  <c r="AC122" i="106"/>
  <c r="AC125" i="106" s="1"/>
  <c r="AA91" i="106"/>
  <c r="BH152" i="106"/>
  <c r="AO152" i="106"/>
  <c r="BF152" i="106"/>
  <c r="AE147" i="106"/>
  <c r="D147" i="106"/>
  <c r="BB133" i="106"/>
  <c r="BB135" i="106"/>
  <c r="AU131" i="106"/>
  <c r="AU133" i="106" s="1"/>
  <c r="U135" i="106"/>
  <c r="AI124" i="106"/>
  <c r="BH121" i="106"/>
  <c r="BH124" i="106" s="1"/>
  <c r="AP111" i="106"/>
  <c r="AQ111" i="106" s="1"/>
  <c r="S111" i="106"/>
  <c r="O112" i="106"/>
  <c r="BB106" i="106"/>
  <c r="BB122" i="106"/>
  <c r="F98" i="106"/>
  <c r="AE103" i="106"/>
  <c r="AE104" i="106" s="1"/>
  <c r="AC104" i="106"/>
  <c r="BK98" i="106"/>
  <c r="BL91" i="106"/>
  <c r="BG152" i="106"/>
  <c r="AN152" i="106"/>
  <c r="AD152" i="106"/>
  <c r="U152" i="106"/>
  <c r="K152" i="106"/>
  <c r="AG135" i="106"/>
  <c r="BH131" i="106"/>
  <c r="AS132" i="106"/>
  <c r="AS131" i="106"/>
  <c r="J132" i="106"/>
  <c r="D131" i="106"/>
  <c r="BB127" i="106"/>
  <c r="AG127" i="106"/>
  <c r="BE121" i="106"/>
  <c r="BE124" i="106" s="1"/>
  <c r="W122" i="106"/>
  <c r="AS106" i="106"/>
  <c r="AN104" i="106"/>
  <c r="AS91" i="106"/>
  <c r="BB147" i="106"/>
  <c r="AS147" i="106"/>
  <c r="AI147" i="106"/>
  <c r="Y147" i="106"/>
  <c r="P147" i="106"/>
  <c r="BG131" i="106"/>
  <c r="AC131" i="106"/>
  <c r="I131" i="106"/>
  <c r="AM121" i="106"/>
  <c r="AM124" i="106" s="1"/>
  <c r="M111" i="106"/>
  <c r="BL104" i="106"/>
  <c r="K125" i="106"/>
  <c r="L121" i="106"/>
  <c r="L124" i="106" s="1"/>
  <c r="E147" i="106"/>
  <c r="W111" i="106"/>
  <c r="BL131" i="106"/>
  <c r="AM135" i="106"/>
  <c r="AH122" i="106"/>
  <c r="AH125" i="106" s="1"/>
  <c r="BK112" i="106"/>
  <c r="BC103" i="106"/>
  <c r="BC104" i="106" s="1"/>
  <c r="BA104" i="106"/>
  <c r="BC95" i="106"/>
  <c r="AO98" i="106"/>
  <c r="AP91" i="106"/>
  <c r="Y95" i="106"/>
  <c r="BC32" i="106"/>
  <c r="R121" i="106"/>
  <c r="R124" i="106" s="1"/>
  <c r="Q127" i="106"/>
  <c r="BB91" i="106"/>
  <c r="Y92" i="106"/>
  <c r="AU53" i="106"/>
  <c r="AB53" i="106"/>
  <c r="BC59" i="106"/>
  <c r="AT53" i="106"/>
  <c r="AA53" i="106"/>
  <c r="X65" i="106"/>
  <c r="AJ68" i="106"/>
  <c r="AJ71" i="106"/>
  <c r="AJ32" i="106"/>
  <c r="AJ46" i="106" s="1"/>
  <c r="AJ48" i="106" s="1"/>
  <c r="AJ70" i="106"/>
  <c r="AJ69" i="106"/>
  <c r="BI95" i="106"/>
  <c r="BC92" i="106"/>
  <c r="AN98" i="106"/>
  <c r="G92" i="106"/>
  <c r="D91" i="106"/>
  <c r="BA52" i="106"/>
  <c r="AP53" i="106"/>
  <c r="L132" i="106"/>
  <c r="AZ124" i="106"/>
  <c r="AG124" i="106"/>
  <c r="I108" i="106"/>
  <c r="BH77" i="106"/>
  <c r="AY53" i="106"/>
  <c r="F91" i="106"/>
  <c r="BL52" i="106"/>
  <c r="BL65" i="106"/>
  <c r="K44" i="106"/>
  <c r="K46" i="106" s="1"/>
  <c r="K97" i="106"/>
  <c r="U27" i="106"/>
  <c r="U59" i="106"/>
  <c r="I27" i="106"/>
  <c r="I59" i="106"/>
  <c r="BI51" i="106"/>
  <c r="M51" i="106"/>
  <c r="BK52" i="106"/>
  <c r="BK65" i="106"/>
  <c r="J52" i="106"/>
  <c r="J65" i="106"/>
  <c r="U65" i="106"/>
  <c r="J46" i="106"/>
  <c r="AN77" i="106"/>
  <c r="AD77" i="106"/>
  <c r="U77" i="106"/>
  <c r="K77" i="106"/>
  <c r="AE53" i="106"/>
  <c r="AG44" i="106"/>
  <c r="AG97" i="106"/>
  <c r="BG32" i="106"/>
  <c r="BG70" i="106"/>
  <c r="BG69" i="106"/>
  <c r="AN32" i="106"/>
  <c r="AN70" i="106"/>
  <c r="AN69" i="106"/>
  <c r="Q27" i="106"/>
  <c r="Q88" i="106"/>
  <c r="BC51" i="106"/>
  <c r="G27" i="106"/>
  <c r="G51" i="106"/>
  <c r="BG77" i="106"/>
  <c r="AJ53" i="106"/>
  <c r="Q53" i="106"/>
  <c r="Q64" i="106"/>
  <c r="AQ41" i="106"/>
  <c r="AQ59" i="106"/>
  <c r="AH46" i="106"/>
  <c r="AH48" i="106" s="1"/>
  <c r="AH65" i="106"/>
  <c r="AY46" i="106"/>
  <c r="AY70" i="106"/>
  <c r="S14" i="106"/>
  <c r="BI26" i="106"/>
  <c r="BI27" i="106" s="1"/>
  <c r="BI32" i="106" s="1"/>
  <c r="BH27" i="106"/>
  <c r="BQ132" i="106"/>
  <c r="BQ106" i="106"/>
  <c r="BQ122" i="106"/>
  <c r="BO30" i="106"/>
  <c r="BC14" i="106"/>
  <c r="BW6" i="106"/>
  <c r="BR6" i="106"/>
  <c r="BS6" i="106" s="1"/>
  <c r="BT6" i="106" s="1"/>
  <c r="AK27" i="106"/>
  <c r="AK32" i="106" s="1"/>
  <c r="F46" i="106"/>
  <c r="Y14" i="106"/>
  <c r="R27" i="106"/>
  <c r="S26" i="106"/>
  <c r="BS132" i="106"/>
  <c r="BS122" i="106"/>
  <c r="BS106" i="106"/>
  <c r="G13" i="106"/>
  <c r="G14" i="106" s="1"/>
  <c r="AW14" i="106"/>
  <c r="AW27" i="106"/>
  <c r="AQ14" i="106"/>
  <c r="BK171" i="3" l="1"/>
  <c r="BF170" i="3"/>
  <c r="BH167" i="3"/>
  <c r="BN167" i="3" s="1"/>
  <c r="BM167" i="3"/>
  <c r="BM166" i="3" s="1"/>
  <c r="BK158" i="106"/>
  <c r="BK159" i="106" s="1"/>
  <c r="BK160" i="106" s="1"/>
  <c r="BH187" i="3"/>
  <c r="BH40" i="3"/>
  <c r="BO7" i="3"/>
  <c r="BL56" i="106" s="1"/>
  <c r="BN76" i="106"/>
  <c r="BT76" i="106" s="1"/>
  <c r="BZ76" i="106" s="1"/>
  <c r="CF76" i="106" s="1"/>
  <c r="BN75" i="106"/>
  <c r="BT75" i="106" s="1"/>
  <c r="BZ75" i="106" s="1"/>
  <c r="CF75" i="106" s="1"/>
  <c r="BN74" i="106"/>
  <c r="AM43" i="3"/>
  <c r="AD41" i="3"/>
  <c r="W26" i="3"/>
  <c r="BK125" i="106"/>
  <c r="BO125" i="106" s="1"/>
  <c r="BO122" i="106"/>
  <c r="BO140" i="106" s="1"/>
  <c r="BO106" i="106"/>
  <c r="BL108" i="106"/>
  <c r="BM102" i="106" s="1"/>
  <c r="BM108" i="106" s="1"/>
  <c r="BN102" i="106" s="1"/>
  <c r="F48" i="106"/>
  <c r="BG46" i="106"/>
  <c r="J48" i="106"/>
  <c r="BA125" i="106"/>
  <c r="P71" i="106"/>
  <c r="AS98" i="106"/>
  <c r="AZ46" i="106"/>
  <c r="AZ48" i="106" s="1"/>
  <c r="P70" i="106"/>
  <c r="E46" i="106"/>
  <c r="E48" i="106" s="1"/>
  <c r="BI44" i="106"/>
  <c r="BI46" i="106"/>
  <c r="BI48" i="106" s="1"/>
  <c r="BA46" i="106"/>
  <c r="BA48" i="106" s="1"/>
  <c r="AN46" i="106"/>
  <c r="W46" i="106"/>
  <c r="BQ31" i="106"/>
  <c r="BR31" i="106" s="1"/>
  <c r="BH199" i="3"/>
  <c r="BL190" i="3"/>
  <c r="V21" i="3"/>
  <c r="V157" i="106" s="1"/>
  <c r="V158" i="106" s="1"/>
  <c r="V159" i="106" s="1"/>
  <c r="V160" i="106" s="1"/>
  <c r="BY72" i="107"/>
  <c r="BZ68" i="107" s="1"/>
  <c r="W56" i="106"/>
  <c r="BM111" i="106"/>
  <c r="BM112" i="106" s="1"/>
  <c r="BR112" i="106" s="1"/>
  <c r="BS112" i="106" s="1"/>
  <c r="BT112" i="106" s="1"/>
  <c r="BW112" i="106" s="1"/>
  <c r="BX112" i="106" s="1"/>
  <c r="BY112" i="106" s="1"/>
  <c r="BZ112" i="106" s="1"/>
  <c r="CC112" i="106" s="1"/>
  <c r="CD112" i="106" s="1"/>
  <c r="CE112" i="106" s="1"/>
  <c r="CF112" i="106" s="1"/>
  <c r="C199" i="3"/>
  <c r="P200" i="3"/>
  <c r="AY64" i="106"/>
  <c r="BH158" i="106"/>
  <c r="BH159" i="106" s="1"/>
  <c r="BH160" i="106" s="1"/>
  <c r="V24" i="3"/>
  <c r="V26" i="3" s="1"/>
  <c r="BE24" i="3"/>
  <c r="BE26" i="3" s="1"/>
  <c r="P180" i="119"/>
  <c r="Q24" i="3"/>
  <c r="Q27" i="3" s="1"/>
  <c r="W57" i="3" s="1"/>
  <c r="AC64" i="106"/>
  <c r="AA64" i="106"/>
  <c r="AT64" i="106"/>
  <c r="AC40" i="3"/>
  <c r="BA43" i="3"/>
  <c r="BA187" i="3"/>
  <c r="AA43" i="3"/>
  <c r="AC56" i="3"/>
  <c r="L180" i="119"/>
  <c r="AO40" i="3"/>
  <c r="AT40" i="3"/>
  <c r="O24" i="3"/>
  <c r="O26" i="3" s="1"/>
  <c r="O43" i="3"/>
  <c r="AA40" i="3"/>
  <c r="S179" i="119"/>
  <c r="R179" i="119"/>
  <c r="AB179" i="119"/>
  <c r="J179" i="119"/>
  <c r="X179" i="119"/>
  <c r="AM179" i="119"/>
  <c r="E187" i="3"/>
  <c r="K188" i="3" s="1"/>
  <c r="D179" i="119"/>
  <c r="H180" i="119" s="1"/>
  <c r="BO189" i="3"/>
  <c r="AO64" i="106"/>
  <c r="C187" i="3"/>
  <c r="B179" i="119"/>
  <c r="N179" i="119"/>
  <c r="F179" i="119"/>
  <c r="E43" i="3"/>
  <c r="BC53" i="3"/>
  <c r="Z179" i="119"/>
  <c r="O179" i="119"/>
  <c r="O180" i="119" s="1"/>
  <c r="AH179" i="119"/>
  <c r="AL179" i="119"/>
  <c r="AA179" i="119"/>
  <c r="AD179" i="119"/>
  <c r="W179" i="119"/>
  <c r="V179" i="119"/>
  <c r="E24" i="3"/>
  <c r="AN179" i="119"/>
  <c r="G180" i="119"/>
  <c r="T179" i="119"/>
  <c r="T180" i="119" s="1"/>
  <c r="AI179" i="119"/>
  <c r="AF179" i="119"/>
  <c r="AE179" i="119"/>
  <c r="V187" i="3"/>
  <c r="AY187" i="3"/>
  <c r="AJ179" i="119"/>
  <c r="V199" i="3"/>
  <c r="V200" i="3" s="1"/>
  <c r="BM77" i="106"/>
  <c r="CE21" i="3"/>
  <c r="CD157" i="106"/>
  <c r="Y126" i="3"/>
  <c r="AY62" i="106"/>
  <c r="BL199" i="3"/>
  <c r="AI56" i="3"/>
  <c r="BL133" i="106"/>
  <c r="AA199" i="3"/>
  <c r="BO31" i="106"/>
  <c r="BO165" i="106" s="1"/>
  <c r="AM200" i="3"/>
  <c r="BI156" i="106"/>
  <c r="BB63" i="106"/>
  <c r="BB156" i="106"/>
  <c r="BE189" i="3"/>
  <c r="BE157" i="106"/>
  <c r="BE158" i="106" s="1"/>
  <c r="BE159" i="106" s="1"/>
  <c r="BE160" i="106" s="1"/>
  <c r="R63" i="106"/>
  <c r="R156" i="106"/>
  <c r="F63" i="106"/>
  <c r="F156" i="106"/>
  <c r="AY189" i="3"/>
  <c r="AY157" i="106"/>
  <c r="AY158" i="106" s="1"/>
  <c r="AY159" i="106" s="1"/>
  <c r="AY160" i="106" s="1"/>
  <c r="BA189" i="3"/>
  <c r="BA157" i="106"/>
  <c r="BA158" i="106" s="1"/>
  <c r="BA159" i="106" s="1"/>
  <c r="BA160" i="106" s="1"/>
  <c r="K180" i="106"/>
  <c r="K58" i="106" s="1"/>
  <c r="C158" i="106"/>
  <c r="C159" i="106" s="1"/>
  <c r="AW126" i="3"/>
  <c r="AB64" i="106"/>
  <c r="AT56" i="3"/>
  <c r="AB40" i="3"/>
  <c r="AM24" i="3"/>
  <c r="AM26" i="3" s="1"/>
  <c r="AJ63" i="106"/>
  <c r="AJ156" i="106"/>
  <c r="BA24" i="3"/>
  <c r="BA27" i="3" s="1"/>
  <c r="AA21" i="3"/>
  <c r="AA157" i="106" s="1"/>
  <c r="AA158" i="106" s="1"/>
  <c r="AA159" i="106" s="1"/>
  <c r="AH56" i="3"/>
  <c r="AZ189" i="3"/>
  <c r="AZ157" i="106"/>
  <c r="AZ158" i="106" s="1"/>
  <c r="AZ159" i="106" s="1"/>
  <c r="AZ160" i="106" s="1"/>
  <c r="BK199" i="3"/>
  <c r="BK190" i="3"/>
  <c r="BG187" i="3"/>
  <c r="AV13" i="3"/>
  <c r="AV40" i="3" s="1"/>
  <c r="AV156" i="106"/>
  <c r="X63" i="106"/>
  <c r="X156" i="106"/>
  <c r="BC126" i="3"/>
  <c r="AD63" i="106"/>
  <c r="AD156" i="106"/>
  <c r="K179" i="106"/>
  <c r="AT158" i="106"/>
  <c r="AT159" i="106" s="1"/>
  <c r="AT160" i="106" s="1"/>
  <c r="I158" i="106"/>
  <c r="I159" i="106" s="1"/>
  <c r="I160" i="106" s="1"/>
  <c r="AM158" i="106"/>
  <c r="AM159" i="106" s="1"/>
  <c r="AM160" i="106" s="1"/>
  <c r="O158" i="106"/>
  <c r="O159" i="106" s="1"/>
  <c r="AB158" i="106"/>
  <c r="AB159" i="106" s="1"/>
  <c r="AB160" i="106" s="1"/>
  <c r="E158" i="106"/>
  <c r="E159" i="106" s="1"/>
  <c r="E160" i="106" s="1"/>
  <c r="AH158" i="106"/>
  <c r="AH159" i="106" s="1"/>
  <c r="AH160" i="106" s="1"/>
  <c r="AE44" i="106"/>
  <c r="AE65" i="106" s="1"/>
  <c r="AE170" i="106"/>
  <c r="X125" i="106"/>
  <c r="BC44" i="106"/>
  <c r="BC170" i="106"/>
  <c r="K133" i="106"/>
  <c r="AI133" i="106"/>
  <c r="R133" i="106"/>
  <c r="BI176" i="106"/>
  <c r="AQ44" i="106"/>
  <c r="AQ170" i="106"/>
  <c r="BC46" i="106"/>
  <c r="Y44" i="106"/>
  <c r="Y170" i="106"/>
  <c r="AK44" i="106"/>
  <c r="AK170" i="106"/>
  <c r="W48" i="106"/>
  <c r="AW44" i="106"/>
  <c r="AW170" i="106"/>
  <c r="M44" i="106"/>
  <c r="M170" i="106"/>
  <c r="G44" i="106"/>
  <c r="G65" i="106" s="1"/>
  <c r="G170" i="106"/>
  <c r="Q133" i="106"/>
  <c r="AU125" i="106"/>
  <c r="BO13" i="107"/>
  <c r="BO42" i="107"/>
  <c r="BM44" i="107"/>
  <c r="D176" i="106"/>
  <c r="D179" i="106" s="1"/>
  <c r="D177" i="106"/>
  <c r="D180" i="106" s="1"/>
  <c r="D58" i="106" s="1"/>
  <c r="F177" i="106"/>
  <c r="F176" i="106"/>
  <c r="J176" i="106"/>
  <c r="J179" i="106" s="1"/>
  <c r="J177" i="106"/>
  <c r="J180" i="106" s="1"/>
  <c r="J58" i="106" s="1"/>
  <c r="L177" i="106"/>
  <c r="L176" i="106"/>
  <c r="P177" i="106"/>
  <c r="P180" i="106" s="1"/>
  <c r="P58" i="106" s="1"/>
  <c r="P176" i="106"/>
  <c r="P179" i="106" s="1"/>
  <c r="R176" i="106"/>
  <c r="R177" i="106"/>
  <c r="V177" i="106"/>
  <c r="V176" i="106"/>
  <c r="X176" i="106"/>
  <c r="X177" i="106"/>
  <c r="AB177" i="106"/>
  <c r="AB176" i="106"/>
  <c r="AD177" i="106"/>
  <c r="AD176" i="106"/>
  <c r="AH176" i="106"/>
  <c r="AH177" i="106"/>
  <c r="AJ177" i="106"/>
  <c r="AJ176" i="106"/>
  <c r="AN177" i="106"/>
  <c r="AN176" i="106"/>
  <c r="AP176" i="106"/>
  <c r="AP177" i="106"/>
  <c r="AT176" i="106"/>
  <c r="AT177" i="106"/>
  <c r="AV176" i="106"/>
  <c r="AV177" i="106"/>
  <c r="AZ177" i="106"/>
  <c r="AZ176" i="106"/>
  <c r="BB177" i="106"/>
  <c r="BB176" i="106"/>
  <c r="BF176" i="106"/>
  <c r="BF177" i="106"/>
  <c r="BI177" i="106"/>
  <c r="BL177" i="106"/>
  <c r="BL180" i="106" s="1"/>
  <c r="BL58" i="106" s="1"/>
  <c r="BL176" i="106"/>
  <c r="BL179" i="106" s="1"/>
  <c r="BQ30" i="106"/>
  <c r="BN164" i="106"/>
  <c r="I177" i="106"/>
  <c r="I176" i="106"/>
  <c r="Q177" i="106"/>
  <c r="Q176" i="106"/>
  <c r="U177" i="106"/>
  <c r="U176" i="106"/>
  <c r="W177" i="106"/>
  <c r="W180" i="106" s="1"/>
  <c r="W58" i="106" s="1"/>
  <c r="W176" i="106"/>
  <c r="W179" i="106" s="1"/>
  <c r="AC176" i="106"/>
  <c r="AC177" i="106"/>
  <c r="AI177" i="106"/>
  <c r="AI176" i="106"/>
  <c r="AS176" i="106"/>
  <c r="AS177" i="106"/>
  <c r="AU176" i="106"/>
  <c r="AU177" i="106"/>
  <c r="AY177" i="106"/>
  <c r="AY176" i="106"/>
  <c r="BE177" i="106"/>
  <c r="BE176" i="106"/>
  <c r="BG176" i="106"/>
  <c r="BG177" i="106"/>
  <c r="BK177" i="106"/>
  <c r="BK180" i="106" s="1"/>
  <c r="BK58" i="106" s="1"/>
  <c r="BK176" i="106"/>
  <c r="BK179" i="106" s="1"/>
  <c r="I133" i="106"/>
  <c r="BI77" i="106"/>
  <c r="AM114" i="106"/>
  <c r="AM117" i="106" s="1"/>
  <c r="AJ125" i="106"/>
  <c r="AK125" i="106" s="1"/>
  <c r="U114" i="106"/>
  <c r="U117" i="106" s="1"/>
  <c r="D133" i="106"/>
  <c r="BQ95" i="106"/>
  <c r="CA122" i="106"/>
  <c r="CA140" i="106" s="1"/>
  <c r="M122" i="106"/>
  <c r="M140" i="106" s="1"/>
  <c r="BO95" i="106"/>
  <c r="BZ78" i="107"/>
  <c r="BZ70" i="107"/>
  <c r="BZ71" i="107"/>
  <c r="CA71" i="107" s="1"/>
  <c r="CA77" i="107" s="1"/>
  <c r="AB108" i="106"/>
  <c r="AC102" i="106" s="1"/>
  <c r="AK132" i="106"/>
  <c r="AK139" i="106" s="1"/>
  <c r="BA62" i="106"/>
  <c r="V64" i="106"/>
  <c r="BL26" i="3"/>
  <c r="BS26" i="3" s="1"/>
  <c r="BT26" i="3" s="1"/>
  <c r="BW26" i="3" s="1"/>
  <c r="BX26" i="3" s="1"/>
  <c r="BY26" i="3" s="1"/>
  <c r="BZ26" i="3" s="1"/>
  <c r="CC26" i="3" s="1"/>
  <c r="CD26" i="3" s="1"/>
  <c r="CE26" i="3" s="1"/>
  <c r="CF26" i="3" s="1"/>
  <c r="AM187" i="3"/>
  <c r="AH43" i="3"/>
  <c r="AO187" i="3"/>
  <c r="BL33" i="3"/>
  <c r="AA187" i="3"/>
  <c r="BC14" i="3"/>
  <c r="BC41" i="3" s="1"/>
  <c r="BC187" i="3" s="1"/>
  <c r="AH24" i="3"/>
  <c r="AH26" i="3" s="1"/>
  <c r="AW14" i="3"/>
  <c r="BL67" i="3"/>
  <c r="BL80" i="3" s="1"/>
  <c r="AW77" i="106"/>
  <c r="AM64" i="106"/>
  <c r="R186" i="3"/>
  <c r="R199" i="3" s="1"/>
  <c r="Y53" i="3"/>
  <c r="BI53" i="3"/>
  <c r="AM56" i="3"/>
  <c r="C40" i="3"/>
  <c r="C62" i="106"/>
  <c r="J26" i="3"/>
  <c r="BK26" i="3"/>
  <c r="AO43" i="3"/>
  <c r="Q21" i="3"/>
  <c r="Q157" i="106" s="1"/>
  <c r="Q158" i="106" s="1"/>
  <c r="Q159" i="106" s="1"/>
  <c r="Q160" i="106" s="1"/>
  <c r="AM40" i="3"/>
  <c r="AT24" i="3"/>
  <c r="AT26" i="3" s="1"/>
  <c r="AO21" i="3"/>
  <c r="AO157" i="106" s="1"/>
  <c r="AO158" i="106" s="1"/>
  <c r="AO159" i="106" s="1"/>
  <c r="Q188" i="3"/>
  <c r="M138" i="3"/>
  <c r="V62" i="106"/>
  <c r="W200" i="3"/>
  <c r="X186" i="3"/>
  <c r="AC43" i="3"/>
  <c r="R42" i="3"/>
  <c r="BC37" i="3"/>
  <c r="F20" i="3"/>
  <c r="F21" i="3" s="1"/>
  <c r="F157" i="106" s="1"/>
  <c r="AW104" i="3"/>
  <c r="BS7" i="3"/>
  <c r="BT6" i="3"/>
  <c r="AY24" i="3"/>
  <c r="AY26" i="3" s="1"/>
  <c r="AY43" i="3"/>
  <c r="AC187" i="3"/>
  <c r="AC21" i="3"/>
  <c r="AC157" i="106" s="1"/>
  <c r="AC158" i="106" s="1"/>
  <c r="AC159" i="106" s="1"/>
  <c r="AC160" i="106" s="1"/>
  <c r="R13" i="3"/>
  <c r="R62" i="106" s="1"/>
  <c r="F41" i="3"/>
  <c r="R20" i="3"/>
  <c r="R43" i="3" s="1"/>
  <c r="R41" i="3"/>
  <c r="S88" i="106"/>
  <c r="Y14" i="3"/>
  <c r="Y41" i="3" s="1"/>
  <c r="Y187" i="3" s="1"/>
  <c r="M147" i="3"/>
  <c r="BC104" i="3"/>
  <c r="J201" i="3"/>
  <c r="I24" i="3"/>
  <c r="I27" i="3" s="1"/>
  <c r="AB56" i="3"/>
  <c r="AZ24" i="3"/>
  <c r="AZ26" i="3" s="1"/>
  <c r="AT43" i="3"/>
  <c r="V56" i="3"/>
  <c r="F186" i="3"/>
  <c r="F199" i="3" s="1"/>
  <c r="F13" i="3"/>
  <c r="F64" i="106" s="1"/>
  <c r="Y77" i="106"/>
  <c r="W188" i="3"/>
  <c r="O56" i="3"/>
  <c r="S137" i="3"/>
  <c r="S138" i="3" s="1"/>
  <c r="BI157" i="3"/>
  <c r="BI159" i="3" s="1"/>
  <c r="AE147" i="3"/>
  <c r="AK138" i="3"/>
  <c r="BC137" i="3"/>
  <c r="BC138" i="3" s="1"/>
  <c r="AS199" i="3"/>
  <c r="AH199" i="3"/>
  <c r="AC199" i="3"/>
  <c r="AG199" i="3"/>
  <c r="P188" i="3"/>
  <c r="J188" i="3"/>
  <c r="O199" i="3"/>
  <c r="D200" i="3"/>
  <c r="BE43" i="3"/>
  <c r="I43" i="3"/>
  <c r="AZ43" i="3"/>
  <c r="AD199" i="3"/>
  <c r="C26" i="3"/>
  <c r="AU199" i="3"/>
  <c r="X55" i="3"/>
  <c r="Q178" i="119" s="1"/>
  <c r="AT199" i="3"/>
  <c r="BL77" i="106"/>
  <c r="AE77" i="106"/>
  <c r="AK77" i="106"/>
  <c r="AQ77" i="106"/>
  <c r="Q201" i="3"/>
  <c r="AB199" i="3"/>
  <c r="AO200" i="3"/>
  <c r="K200" i="3"/>
  <c r="CG106" i="106"/>
  <c r="CG141" i="106" s="1"/>
  <c r="S132" i="106"/>
  <c r="S139" i="106" s="1"/>
  <c r="BK56" i="3"/>
  <c r="BG48" i="106"/>
  <c r="K48" i="106"/>
  <c r="BB98" i="106"/>
  <c r="BQ34" i="106"/>
  <c r="AA133" i="106"/>
  <c r="AK65" i="106"/>
  <c r="U133" i="106"/>
  <c r="BC77" i="106"/>
  <c r="L98" i="106"/>
  <c r="O91" i="106"/>
  <c r="BC132" i="106"/>
  <c r="AO56" i="3"/>
  <c r="AZ133" i="106"/>
  <c r="BC133" i="106" s="1"/>
  <c r="AW122" i="106"/>
  <c r="AW140" i="106" s="1"/>
  <c r="BK133" i="106"/>
  <c r="O64" i="106"/>
  <c r="AH133" i="106"/>
  <c r="AZ40" i="3"/>
  <c r="AZ56" i="3"/>
  <c r="I62" i="106"/>
  <c r="S106" i="106"/>
  <c r="S141" i="106" s="1"/>
  <c r="AU187" i="3"/>
  <c r="AB187" i="3"/>
  <c r="X159" i="3"/>
  <c r="BF187" i="3"/>
  <c r="AV20" i="3"/>
  <c r="U187" i="3"/>
  <c r="BI63" i="106"/>
  <c r="BH200" i="3"/>
  <c r="J44" i="3"/>
  <c r="AD42" i="3"/>
  <c r="AS187" i="3"/>
  <c r="X42" i="3"/>
  <c r="AG187" i="3"/>
  <c r="AV186" i="3"/>
  <c r="I187" i="3"/>
  <c r="J67" i="3"/>
  <c r="J93" i="106" s="1"/>
  <c r="X41" i="3"/>
  <c r="AN187" i="3"/>
  <c r="I56" i="3"/>
  <c r="X20" i="3"/>
  <c r="X21" i="3" s="1"/>
  <c r="X157" i="106" s="1"/>
  <c r="AV159" i="3"/>
  <c r="M157" i="3"/>
  <c r="AQ157" i="3"/>
  <c r="X13" i="3"/>
  <c r="X64" i="106" s="1"/>
  <c r="AH187" i="3"/>
  <c r="AT187" i="3"/>
  <c r="BE187" i="3"/>
  <c r="W57" i="106"/>
  <c r="O187" i="3"/>
  <c r="AI187" i="3"/>
  <c r="AV41" i="3"/>
  <c r="AV63" i="106"/>
  <c r="AU64" i="106"/>
  <c r="AE126" i="3"/>
  <c r="AE157" i="3"/>
  <c r="I40" i="3"/>
  <c r="AD55" i="3"/>
  <c r="U178" i="119" s="1"/>
  <c r="BE56" i="3"/>
  <c r="AZ187" i="3"/>
  <c r="O40" i="3"/>
  <c r="O62" i="106"/>
  <c r="AV81" i="106"/>
  <c r="U98" i="106"/>
  <c r="AW152" i="106"/>
  <c r="BC122" i="106"/>
  <c r="AB125" i="106"/>
  <c r="AN48" i="106"/>
  <c r="AY48" i="106"/>
  <c r="J91" i="106"/>
  <c r="AN108" i="106"/>
  <c r="AN114" i="106" s="1"/>
  <c r="BC106" i="106"/>
  <c r="CG122" i="106"/>
  <c r="CG140" i="106" s="1"/>
  <c r="AW59" i="106"/>
  <c r="M77" i="106"/>
  <c r="R98" i="106"/>
  <c r="U91" i="106"/>
  <c r="AI91" i="106"/>
  <c r="V46" i="106"/>
  <c r="V48" i="106" s="1"/>
  <c r="W133" i="106"/>
  <c r="M106" i="106"/>
  <c r="M141" i="106" s="1"/>
  <c r="AK106" i="106"/>
  <c r="AK141" i="106" s="1"/>
  <c r="S77" i="106"/>
  <c r="BR87" i="106"/>
  <c r="AQ46" i="106"/>
  <c r="AK103" i="106"/>
  <c r="AK104" i="106" s="1"/>
  <c r="AY117" i="106"/>
  <c r="AC133" i="106"/>
  <c r="AQ103" i="106"/>
  <c r="AQ104" i="106" s="1"/>
  <c r="AZ102" i="106"/>
  <c r="AZ108" i="106" s="1"/>
  <c r="AG64" i="106"/>
  <c r="BG133" i="106"/>
  <c r="AS133" i="106"/>
  <c r="AW133" i="106" s="1"/>
  <c r="CG132" i="106"/>
  <c r="CG139" i="106" s="1"/>
  <c r="CG142" i="106" s="1"/>
  <c r="CA132" i="106"/>
  <c r="CA139" i="106" s="1"/>
  <c r="CA142" i="106" s="1"/>
  <c r="BO141" i="106"/>
  <c r="BO142" i="106" s="1"/>
  <c r="AW103" i="106"/>
  <c r="AW104" i="106" s="1"/>
  <c r="G111" i="106"/>
  <c r="G112" i="106" s="1"/>
  <c r="AW132" i="106"/>
  <c r="AW139" i="106" s="1"/>
  <c r="AZ64" i="106"/>
  <c r="CA106" i="106"/>
  <c r="CA141" i="106" s="1"/>
  <c r="Y106" i="106"/>
  <c r="Y141" i="106" s="1"/>
  <c r="Y122" i="106"/>
  <c r="Y140" i="106" s="1"/>
  <c r="AK122" i="106"/>
  <c r="AK140" i="106" s="1"/>
  <c r="P133" i="106"/>
  <c r="S122" i="106"/>
  <c r="S140" i="106" s="1"/>
  <c r="BK114" i="106"/>
  <c r="BK117" i="106" s="1"/>
  <c r="AV125" i="106"/>
  <c r="BE40" i="3"/>
  <c r="BF56" i="3"/>
  <c r="AV80" i="106"/>
  <c r="AK80" i="106"/>
  <c r="AD80" i="106"/>
  <c r="V133" i="106"/>
  <c r="Y132" i="106"/>
  <c r="Y139" i="106" s="1"/>
  <c r="AP138" i="106"/>
  <c r="Y104" i="3"/>
  <c r="V108" i="106"/>
  <c r="V112" i="106"/>
  <c r="AB112" i="106"/>
  <c r="AE111" i="106"/>
  <c r="AE20" i="106"/>
  <c r="AP63" i="106"/>
  <c r="AP41" i="3"/>
  <c r="AP13" i="3"/>
  <c r="AP20" i="3"/>
  <c r="AP24" i="3" s="1"/>
  <c r="AU32" i="106"/>
  <c r="AU46" i="106" s="1"/>
  <c r="AU48" i="106" s="1"/>
  <c r="AU69" i="106"/>
  <c r="AU68" i="106"/>
  <c r="AU70" i="106"/>
  <c r="AU71" i="106"/>
  <c r="AP186" i="3"/>
  <c r="D81" i="106"/>
  <c r="BO12" i="106"/>
  <c r="BO164" i="106" s="1"/>
  <c r="BQ12" i="106"/>
  <c r="E80" i="106"/>
  <c r="P53" i="106"/>
  <c r="P64" i="106"/>
  <c r="AA114" i="106"/>
  <c r="AA117" i="106" s="1"/>
  <c r="AV55" i="3"/>
  <c r="AG178" i="119" s="1"/>
  <c r="AD62" i="106"/>
  <c r="AD64" i="106"/>
  <c r="L63" i="106"/>
  <c r="R55" i="3"/>
  <c r="M178" i="119" s="1"/>
  <c r="D102" i="106"/>
  <c r="D108" i="106" s="1"/>
  <c r="C114" i="106"/>
  <c r="D110" i="106" s="1"/>
  <c r="AV91" i="106"/>
  <c r="AU98" i="106"/>
  <c r="AC81" i="106"/>
  <c r="X81" i="3"/>
  <c r="Y81" i="3"/>
  <c r="BF24" i="3"/>
  <c r="BF21" i="3"/>
  <c r="BF157" i="106" s="1"/>
  <c r="BF158" i="106" s="1"/>
  <c r="BF159" i="106" s="1"/>
  <c r="BF160" i="106" s="1"/>
  <c r="BF43" i="3"/>
  <c r="BL75" i="3"/>
  <c r="BB125" i="106"/>
  <c r="BG62" i="106"/>
  <c r="BG40" i="3"/>
  <c r="BG56" i="3"/>
  <c r="BG64" i="106"/>
  <c r="BL57" i="106"/>
  <c r="X111" i="106"/>
  <c r="Y111" i="106" s="1"/>
  <c r="AM46" i="106"/>
  <c r="AM48" i="106" s="1"/>
  <c r="AM65" i="106"/>
  <c r="E124" i="106"/>
  <c r="E125" i="106"/>
  <c r="AD81" i="106"/>
  <c r="BH103" i="106"/>
  <c r="L104" i="106"/>
  <c r="M103" i="106"/>
  <c r="M104" i="106" s="1"/>
  <c r="AW81" i="106"/>
  <c r="AV42" i="3"/>
  <c r="AI24" i="3"/>
  <c r="AI43" i="3"/>
  <c r="AI21" i="3"/>
  <c r="AI157" i="106" s="1"/>
  <c r="AI158" i="106" s="1"/>
  <c r="AI159" i="106" s="1"/>
  <c r="AI160" i="106" s="1"/>
  <c r="AG43" i="3"/>
  <c r="AG24" i="3"/>
  <c r="AG21" i="3"/>
  <c r="AG157" i="106" s="1"/>
  <c r="AG158" i="106" s="1"/>
  <c r="AG159" i="106" s="1"/>
  <c r="AG160" i="106" s="1"/>
  <c r="AB70" i="106"/>
  <c r="AB68" i="106"/>
  <c r="AB69" i="106"/>
  <c r="AB71" i="106"/>
  <c r="AB32" i="106"/>
  <c r="AB46" i="106" s="1"/>
  <c r="AB48" i="106" s="1"/>
  <c r="BU167" i="3"/>
  <c r="BH106" i="106"/>
  <c r="BI106" i="106" s="1"/>
  <c r="BI141" i="106" s="1"/>
  <c r="BH122" i="106"/>
  <c r="BI122" i="106" s="1"/>
  <c r="BI140" i="106" s="1"/>
  <c r="BH132" i="106"/>
  <c r="BI132" i="106" s="1"/>
  <c r="BI139" i="106" s="1"/>
  <c r="Y81" i="106"/>
  <c r="M88" i="106"/>
  <c r="M59" i="106"/>
  <c r="M27" i="106"/>
  <c r="M32" i="106" s="1"/>
  <c r="M46" i="106" s="1"/>
  <c r="M48" i="106" s="1"/>
  <c r="W81" i="106"/>
  <c r="E199" i="3"/>
  <c r="AN91" i="106"/>
  <c r="AM98" i="106"/>
  <c r="X68" i="106"/>
  <c r="X71" i="106"/>
  <c r="X32" i="106"/>
  <c r="X46" i="106" s="1"/>
  <c r="X48" i="106" s="1"/>
  <c r="X70" i="106"/>
  <c r="X69" i="106"/>
  <c r="BG24" i="3"/>
  <c r="BG26" i="3" s="1"/>
  <c r="BG43" i="3"/>
  <c r="BG21" i="3"/>
  <c r="BC111" i="106"/>
  <c r="P81" i="106"/>
  <c r="AQ39" i="3"/>
  <c r="AQ88" i="106"/>
  <c r="W125" i="106"/>
  <c r="AC80" i="106"/>
  <c r="AI199" i="3"/>
  <c r="AE27" i="106"/>
  <c r="AE68" i="106" s="1"/>
  <c r="AE88" i="106"/>
  <c r="AE59" i="106"/>
  <c r="AQ69" i="106"/>
  <c r="AQ70" i="106"/>
  <c r="V125" i="106"/>
  <c r="V124" i="106"/>
  <c r="Q81" i="106"/>
  <c r="K62" i="106"/>
  <c r="K56" i="3"/>
  <c r="Q56" i="3"/>
  <c r="K40" i="3"/>
  <c r="K64" i="106"/>
  <c r="AY98" i="106"/>
  <c r="E133" i="106"/>
  <c r="AZ82" i="106"/>
  <c r="AK46" i="106"/>
  <c r="AK48" i="106" s="1"/>
  <c r="R125" i="106"/>
  <c r="E81" i="106"/>
  <c r="X104" i="106"/>
  <c r="Y103" i="106"/>
  <c r="Y104" i="106" s="1"/>
  <c r="AD138" i="106"/>
  <c r="J81" i="106"/>
  <c r="BC138" i="106"/>
  <c r="I83" i="106"/>
  <c r="BR77" i="106"/>
  <c r="AT32" i="106"/>
  <c r="AT46" i="106" s="1"/>
  <c r="AT48" i="106" s="1"/>
  <c r="AT69" i="106"/>
  <c r="AT70" i="106"/>
  <c r="AT71" i="106"/>
  <c r="AW111" i="106"/>
  <c r="O98" i="106"/>
  <c r="P91" i="106"/>
  <c r="AG40" i="3"/>
  <c r="AG62" i="106"/>
  <c r="AG56" i="3"/>
  <c r="BR34" i="106"/>
  <c r="BK56" i="106"/>
  <c r="BQ131" i="106"/>
  <c r="BQ134" i="106" s="1"/>
  <c r="BF199" i="3"/>
  <c r="J57" i="106"/>
  <c r="J56" i="106"/>
  <c r="BO34" i="106"/>
  <c r="AQ53" i="106"/>
  <c r="BL32" i="106"/>
  <c r="BL46" i="106" s="1"/>
  <c r="BL48" i="106" s="1"/>
  <c r="BL71" i="106"/>
  <c r="BL68" i="106"/>
  <c r="BL70" i="106"/>
  <c r="BL69" i="106"/>
  <c r="AI32" i="106"/>
  <c r="AI46" i="106" s="1"/>
  <c r="AI48" i="106" s="1"/>
  <c r="AI70" i="106"/>
  <c r="AI69" i="106"/>
  <c r="AI68" i="106"/>
  <c r="AA46" i="106"/>
  <c r="AA48" i="106" s="1"/>
  <c r="AN110" i="106"/>
  <c r="L70" i="106"/>
  <c r="L32" i="106"/>
  <c r="L46" i="106" s="1"/>
  <c r="L48" i="106" s="1"/>
  <c r="L69" i="106"/>
  <c r="L71" i="106"/>
  <c r="L68" i="106"/>
  <c r="AK88" i="106"/>
  <c r="AK59" i="106"/>
  <c r="BF64" i="106"/>
  <c r="BF53" i="106"/>
  <c r="BW77" i="106"/>
  <c r="BQ77" i="106"/>
  <c r="S37" i="3"/>
  <c r="S14" i="3"/>
  <c r="S156" i="106" s="1"/>
  <c r="BE69" i="106"/>
  <c r="BE32" i="106"/>
  <c r="BE46" i="106" s="1"/>
  <c r="BE48" i="106" s="1"/>
  <c r="BE71" i="106"/>
  <c r="BE68" i="106"/>
  <c r="BE70" i="106"/>
  <c r="Y27" i="106"/>
  <c r="Y71" i="106" s="1"/>
  <c r="Y88" i="106"/>
  <c r="BG81" i="106"/>
  <c r="AI81" i="106"/>
  <c r="BI81" i="106"/>
  <c r="AN81" i="106"/>
  <c r="AN62" i="106"/>
  <c r="AN64" i="106"/>
  <c r="BC39" i="3"/>
  <c r="BC88" i="106"/>
  <c r="G37" i="3"/>
  <c r="G104" i="3"/>
  <c r="G14" i="3"/>
  <c r="G156" i="106" s="1"/>
  <c r="BC69" i="106"/>
  <c r="BC70" i="106"/>
  <c r="E40" i="3"/>
  <c r="E62" i="106"/>
  <c r="E64" i="106"/>
  <c r="AJ91" i="106"/>
  <c r="AI98" i="106"/>
  <c r="U64" i="106"/>
  <c r="O114" i="106"/>
  <c r="P102" i="106"/>
  <c r="BE133" i="106"/>
  <c r="S103" i="106"/>
  <c r="S104" i="106" s="1"/>
  <c r="BF69" i="106"/>
  <c r="BF70" i="106"/>
  <c r="BF32" i="106"/>
  <c r="BF46" i="106" s="1"/>
  <c r="BF48" i="106" s="1"/>
  <c r="BF71" i="106"/>
  <c r="BU122" i="106"/>
  <c r="BU140" i="106" s="1"/>
  <c r="BU106" i="106"/>
  <c r="BU141" i="106" s="1"/>
  <c r="W98" i="106"/>
  <c r="AU81" i="106"/>
  <c r="BA81" i="106"/>
  <c r="S157" i="3"/>
  <c r="Y136" i="3"/>
  <c r="AH40" i="3"/>
  <c r="AH62" i="106"/>
  <c r="AH64" i="106"/>
  <c r="I199" i="3"/>
  <c r="AI40" i="3"/>
  <c r="AI62" i="106"/>
  <c r="BF40" i="3"/>
  <c r="BF62" i="106"/>
  <c r="V83" i="106"/>
  <c r="R53" i="106"/>
  <c r="AK81" i="3"/>
  <c r="AS53" i="106"/>
  <c r="AS64" i="106"/>
  <c r="AV71" i="106"/>
  <c r="AV32" i="106"/>
  <c r="AV46" i="106" s="1"/>
  <c r="AV48" i="106" s="1"/>
  <c r="AV69" i="106"/>
  <c r="AV68" i="106"/>
  <c r="AV70" i="106"/>
  <c r="AI53" i="106"/>
  <c r="AI64" i="106"/>
  <c r="BH98" i="106"/>
  <c r="BK91" i="106"/>
  <c r="AG69" i="106"/>
  <c r="AG32" i="106"/>
  <c r="AG46" i="106" s="1"/>
  <c r="AG48" i="106" s="1"/>
  <c r="AG70" i="106"/>
  <c r="AG71" i="106"/>
  <c r="AG68" i="106"/>
  <c r="C69" i="106"/>
  <c r="C32" i="106"/>
  <c r="C46" i="106" s="1"/>
  <c r="C48" i="106" s="1"/>
  <c r="C70" i="106"/>
  <c r="C71" i="106"/>
  <c r="C68" i="106"/>
  <c r="BS40" i="106"/>
  <c r="BR95" i="106"/>
  <c r="AO81" i="106"/>
  <c r="L81" i="106"/>
  <c r="F138" i="106"/>
  <c r="AA26" i="3"/>
  <c r="AA27" i="3"/>
  <c r="BL93" i="106"/>
  <c r="BL96" i="106" s="1"/>
  <c r="P69" i="106"/>
  <c r="P68" i="106"/>
  <c r="D53" i="106"/>
  <c r="D64" i="106"/>
  <c r="AB83" i="106"/>
  <c r="M134" i="3"/>
  <c r="S134" i="3"/>
  <c r="BF82" i="106"/>
  <c r="BE64" i="106"/>
  <c r="O46" i="106"/>
  <c r="O48" i="106" s="1"/>
  <c r="BR12" i="3"/>
  <c r="BH26" i="3"/>
  <c r="BH27" i="3"/>
  <c r="M14" i="3"/>
  <c r="M53" i="3"/>
  <c r="M37" i="3"/>
  <c r="S53" i="3"/>
  <c r="M104" i="3"/>
  <c r="L20" i="3"/>
  <c r="L42" i="3"/>
  <c r="L55" i="3"/>
  <c r="I178" i="119" s="1"/>
  <c r="L41" i="3"/>
  <c r="L13" i="3"/>
  <c r="L159" i="3"/>
  <c r="L186" i="3"/>
  <c r="AS56" i="3"/>
  <c r="AS40" i="3"/>
  <c r="AY56" i="3"/>
  <c r="M172" i="3"/>
  <c r="M173" i="3" s="1"/>
  <c r="BC136" i="3"/>
  <c r="BI136" i="3"/>
  <c r="AJ13" i="3"/>
  <c r="AJ41" i="3"/>
  <c r="AJ42" i="3"/>
  <c r="AJ55" i="3"/>
  <c r="Y178" i="119" s="1"/>
  <c r="AJ20" i="3"/>
  <c r="AJ159" i="3"/>
  <c r="AJ186" i="3"/>
  <c r="AS24" i="3"/>
  <c r="AS43" i="3"/>
  <c r="AS21" i="3"/>
  <c r="AS157" i="106" s="1"/>
  <c r="AS158" i="106" s="1"/>
  <c r="AS159" i="106" s="1"/>
  <c r="AS160" i="106" s="1"/>
  <c r="AC26" i="3"/>
  <c r="AC27" i="3"/>
  <c r="U43" i="3"/>
  <c r="U24" i="3"/>
  <c r="U21" i="3"/>
  <c r="U157" i="106" s="1"/>
  <c r="U158" i="106" s="1"/>
  <c r="U159" i="106" s="1"/>
  <c r="U160" i="106" s="1"/>
  <c r="AN24" i="3"/>
  <c r="AN43" i="3"/>
  <c r="AN21" i="3"/>
  <c r="AN157" i="106" s="1"/>
  <c r="AN158" i="106" s="1"/>
  <c r="AN159" i="106" s="1"/>
  <c r="AN160" i="106" s="1"/>
  <c r="AP42" i="3"/>
  <c r="AK14" i="3"/>
  <c r="AK37" i="3"/>
  <c r="AK53" i="3"/>
  <c r="AK104" i="3"/>
  <c r="C44" i="3"/>
  <c r="C33" i="3"/>
  <c r="C67" i="3"/>
  <c r="C93" i="106" s="1"/>
  <c r="C96" i="106" s="1"/>
  <c r="BB13" i="3"/>
  <c r="BB55" i="3"/>
  <c r="AK178" i="119" s="1"/>
  <c r="BB20" i="3"/>
  <c r="BB42" i="3"/>
  <c r="BH42" i="3"/>
  <c r="BH55" i="3"/>
  <c r="AO178" i="119" s="1"/>
  <c r="BB41" i="3"/>
  <c r="BB159" i="3"/>
  <c r="BB186" i="3"/>
  <c r="M126" i="3"/>
  <c r="S126" i="3"/>
  <c r="AQ138" i="3"/>
  <c r="AW138" i="3"/>
  <c r="S163" i="3"/>
  <c r="BC157" i="3"/>
  <c r="AN40" i="3"/>
  <c r="AN56" i="3"/>
  <c r="AP159" i="3"/>
  <c r="AK126" i="3"/>
  <c r="AQ126" i="3"/>
  <c r="AU21" i="3"/>
  <c r="AU157" i="106" s="1"/>
  <c r="AU158" i="106" s="1"/>
  <c r="AU159" i="106" s="1"/>
  <c r="AU160" i="106" s="1"/>
  <c r="AU24" i="3"/>
  <c r="AU43" i="3"/>
  <c r="AO27" i="3"/>
  <c r="AO26" i="3"/>
  <c r="AE138" i="3"/>
  <c r="AQ136" i="3"/>
  <c r="Q26" i="3"/>
  <c r="BI13" i="3"/>
  <c r="BI62" i="106" s="1"/>
  <c r="BI20" i="3"/>
  <c r="BI41" i="3"/>
  <c r="BI187" i="3" s="1"/>
  <c r="BI186" i="3"/>
  <c r="S104" i="3"/>
  <c r="G172" i="3"/>
  <c r="G173" i="3" s="1"/>
  <c r="G174" i="3" s="1"/>
  <c r="AQ163" i="3"/>
  <c r="U199" i="3"/>
  <c r="AA56" i="3"/>
  <c r="U40" i="3"/>
  <c r="U56" i="3"/>
  <c r="W33" i="3"/>
  <c r="W44" i="3"/>
  <c r="W67" i="3"/>
  <c r="W93" i="106" s="1"/>
  <c r="W96" i="106" s="1"/>
  <c r="BY7" i="3"/>
  <c r="BZ6" i="3"/>
  <c r="AP55" i="3"/>
  <c r="AC178" i="119" s="1"/>
  <c r="BI104" i="3"/>
  <c r="AD24" i="3"/>
  <c r="AD43" i="3"/>
  <c r="AK157" i="3"/>
  <c r="F159" i="3"/>
  <c r="BK33" i="3"/>
  <c r="BK44" i="3"/>
  <c r="BK67" i="3"/>
  <c r="BK93" i="106" s="1"/>
  <c r="AQ14" i="3"/>
  <c r="AQ156" i="106" s="1"/>
  <c r="AQ37" i="3"/>
  <c r="AQ104" i="3"/>
  <c r="AQ53" i="3"/>
  <c r="AW53" i="3"/>
  <c r="P26" i="3"/>
  <c r="P27" i="3"/>
  <c r="AE14" i="3"/>
  <c r="AE156" i="106" s="1"/>
  <c r="AE37" i="3"/>
  <c r="AE104" i="3"/>
  <c r="AE53" i="3"/>
  <c r="AK163" i="3"/>
  <c r="BA56" i="3"/>
  <c r="AU40" i="3"/>
  <c r="AU56" i="3"/>
  <c r="K27" i="3"/>
  <c r="K26" i="3"/>
  <c r="AN199" i="3"/>
  <c r="D26" i="3"/>
  <c r="D27" i="3"/>
  <c r="AD21" i="3"/>
  <c r="AD157" i="106" s="1"/>
  <c r="R159" i="3"/>
  <c r="AD40" i="3"/>
  <c r="CD7" i="3"/>
  <c r="CE6" i="3"/>
  <c r="AB27" i="3"/>
  <c r="AB26" i="3"/>
  <c r="X81" i="106"/>
  <c r="AU80" i="106"/>
  <c r="AK81" i="106"/>
  <c r="W80" i="106"/>
  <c r="P80" i="106"/>
  <c r="BH80" i="106"/>
  <c r="X80" i="106"/>
  <c r="BA80" i="106"/>
  <c r="Q80" i="106"/>
  <c r="BG80" i="106"/>
  <c r="AJ80" i="106"/>
  <c r="AN80" i="106"/>
  <c r="G20" i="106"/>
  <c r="G68" i="106"/>
  <c r="G71" i="106"/>
  <c r="BL111" i="106"/>
  <c r="Q32" i="106"/>
  <c r="Q46" i="106" s="1"/>
  <c r="Q48" i="106" s="1"/>
  <c r="Q68" i="106"/>
  <c r="Q70" i="106"/>
  <c r="Q71" i="106"/>
  <c r="Q69" i="106"/>
  <c r="U32" i="106"/>
  <c r="U46" i="106" s="1"/>
  <c r="U48" i="106" s="1"/>
  <c r="U68" i="106"/>
  <c r="U69" i="106"/>
  <c r="U70" i="106"/>
  <c r="U71" i="106"/>
  <c r="BO37" i="106"/>
  <c r="BQ37" i="106"/>
  <c r="AS108" i="106"/>
  <c r="AW106" i="106"/>
  <c r="AW141" i="106" s="1"/>
  <c r="AO125" i="106"/>
  <c r="Y20" i="106"/>
  <c r="BU132" i="106"/>
  <c r="BU139" i="106" s="1"/>
  <c r="BU142" i="106" s="1"/>
  <c r="S59" i="106"/>
  <c r="G70" i="106"/>
  <c r="G69" i="106"/>
  <c r="J64" i="106"/>
  <c r="J53" i="106"/>
  <c r="AZ110" i="106"/>
  <c r="AY113" i="106"/>
  <c r="U124" i="106"/>
  <c r="U125" i="106"/>
  <c r="L133" i="106"/>
  <c r="BX6" i="106"/>
  <c r="BY6" i="106" s="1"/>
  <c r="BZ6" i="106" s="1"/>
  <c r="CC6" i="106"/>
  <c r="CD6" i="106" s="1"/>
  <c r="CE6" i="106" s="1"/>
  <c r="CF6" i="106" s="1"/>
  <c r="BH32" i="106"/>
  <c r="BH46" i="106" s="1"/>
  <c r="BH48" i="106" s="1"/>
  <c r="BH70" i="106"/>
  <c r="BH69" i="106"/>
  <c r="BH71" i="106"/>
  <c r="BH68" i="106"/>
  <c r="S20" i="106"/>
  <c r="AQ65" i="106"/>
  <c r="BC52" i="106"/>
  <c r="BC65" i="106"/>
  <c r="AN112" i="106"/>
  <c r="L125" i="106"/>
  <c r="M125" i="106" s="1"/>
  <c r="R32" i="106"/>
  <c r="R46" i="106" s="1"/>
  <c r="R48" i="106" s="1"/>
  <c r="R70" i="106"/>
  <c r="R71" i="106"/>
  <c r="R68" i="106"/>
  <c r="R69" i="106"/>
  <c r="BI88" i="106"/>
  <c r="BI59" i="106"/>
  <c r="BK53" i="106"/>
  <c r="BK64" i="106"/>
  <c r="Y65" i="106"/>
  <c r="BL53" i="106"/>
  <c r="BL64" i="106"/>
  <c r="BE125" i="106"/>
  <c r="J133" i="106"/>
  <c r="M132" i="106"/>
  <c r="M139" i="106" s="1"/>
  <c r="BQ147" i="106"/>
  <c r="M52" i="106"/>
  <c r="M65" i="106"/>
  <c r="AG114" i="106"/>
  <c r="AG117" i="106" s="1"/>
  <c r="AH102" i="106"/>
  <c r="G52" i="106"/>
  <c r="BI52" i="106"/>
  <c r="BI65" i="106"/>
  <c r="G59" i="106"/>
  <c r="G87" i="106"/>
  <c r="AW70" i="106"/>
  <c r="AW69" i="106"/>
  <c r="BC20" i="106"/>
  <c r="BC68" i="106"/>
  <c r="BC71" i="106"/>
  <c r="AG98" i="106"/>
  <c r="AH91" i="106"/>
  <c r="L91" i="106"/>
  <c r="K98" i="106"/>
  <c r="BA64" i="106"/>
  <c r="BA53" i="106"/>
  <c r="G32" i="106"/>
  <c r="G46" i="106" s="1"/>
  <c r="G48" i="106" s="1"/>
  <c r="AW52" i="106"/>
  <c r="AW65" i="106"/>
  <c r="S53" i="106"/>
  <c r="BI69" i="106"/>
  <c r="BI70" i="106"/>
  <c r="BI68" i="106"/>
  <c r="BI71" i="106"/>
  <c r="J102" i="106"/>
  <c r="I114" i="106"/>
  <c r="AQ20" i="106"/>
  <c r="AQ68" i="106"/>
  <c r="AQ71" i="106"/>
  <c r="AW20" i="106"/>
  <c r="AW71" i="106"/>
  <c r="AW68" i="106"/>
  <c r="AK70" i="106"/>
  <c r="AK71" i="106"/>
  <c r="AK69" i="106"/>
  <c r="AK68" i="106"/>
  <c r="S27" i="106"/>
  <c r="AG65" i="106"/>
  <c r="BE114" i="106"/>
  <c r="BE117" i="106" s="1"/>
  <c r="BF102" i="106"/>
  <c r="I32" i="106"/>
  <c r="I46" i="106" s="1"/>
  <c r="I48" i="106" s="1"/>
  <c r="I70" i="106"/>
  <c r="I71" i="106"/>
  <c r="I68" i="106"/>
  <c r="I69" i="106"/>
  <c r="K65" i="106"/>
  <c r="P125" i="106"/>
  <c r="AM125" i="106"/>
  <c r="AW32" i="106"/>
  <c r="AW46" i="106" s="1"/>
  <c r="AW48" i="106" s="1"/>
  <c r="BL171" i="3" l="1"/>
  <c r="BG170" i="3"/>
  <c r="BE27" i="3"/>
  <c r="BK57" i="3" s="1"/>
  <c r="BN57" i="106"/>
  <c r="BN56" i="106"/>
  <c r="BK57" i="106"/>
  <c r="U179" i="119"/>
  <c r="AD187" i="3"/>
  <c r="BN77" i="106"/>
  <c r="BT74" i="106"/>
  <c r="BZ74" i="106" s="1"/>
  <c r="CF74" i="106" s="1"/>
  <c r="V27" i="3"/>
  <c r="BN107" i="106"/>
  <c r="BO107" i="106" s="1"/>
  <c r="BN112" i="106"/>
  <c r="BL114" i="106"/>
  <c r="BC125" i="106"/>
  <c r="BO133" i="106"/>
  <c r="BO111" i="106"/>
  <c r="AK133" i="106"/>
  <c r="BQ165" i="106"/>
  <c r="V180" i="119"/>
  <c r="W180" i="119"/>
  <c r="AM27" i="3"/>
  <c r="AM33" i="3" s="1"/>
  <c r="P201" i="3"/>
  <c r="K181" i="119" s="1"/>
  <c r="BC186" i="3"/>
  <c r="AT27" i="3"/>
  <c r="AT33" i="3" s="1"/>
  <c r="BL68" i="3"/>
  <c r="Y20" i="3"/>
  <c r="Y21" i="3" s="1"/>
  <c r="Y157" i="106" s="1"/>
  <c r="Y159" i="3"/>
  <c r="AZ190" i="3"/>
  <c r="AL180" i="119"/>
  <c r="S133" i="106"/>
  <c r="AM113" i="106"/>
  <c r="BH180" i="106"/>
  <c r="BH58" i="106" s="1"/>
  <c r="M71" i="106"/>
  <c r="BC139" i="106"/>
  <c r="BH179" i="106"/>
  <c r="C200" i="3"/>
  <c r="AM179" i="106"/>
  <c r="AA200" i="3"/>
  <c r="N180" i="119"/>
  <c r="AF180" i="119"/>
  <c r="AA180" i="119"/>
  <c r="AA188" i="3"/>
  <c r="J180" i="119"/>
  <c r="AI180" i="119"/>
  <c r="BE190" i="3"/>
  <c r="BE199" i="3"/>
  <c r="O27" i="3"/>
  <c r="AH179" i="106"/>
  <c r="V180" i="106"/>
  <c r="V58" i="106" s="1"/>
  <c r="Z180" i="119"/>
  <c r="AB180" i="119"/>
  <c r="AZ199" i="3"/>
  <c r="BA199" i="3"/>
  <c r="BA190" i="3"/>
  <c r="V201" i="3"/>
  <c r="AM180" i="106"/>
  <c r="AM58" i="106" s="1"/>
  <c r="AK179" i="119"/>
  <c r="Y55" i="3"/>
  <c r="AM180" i="119"/>
  <c r="AD200" i="3"/>
  <c r="G181" i="119"/>
  <c r="BA26" i="3"/>
  <c r="AB180" i="106"/>
  <c r="AB58" i="106" s="1"/>
  <c r="V188" i="3"/>
  <c r="X180" i="119"/>
  <c r="R180" i="119"/>
  <c r="M179" i="119"/>
  <c r="AC179" i="119"/>
  <c r="AJ180" i="119"/>
  <c r="Y179" i="119"/>
  <c r="AV62" i="106"/>
  <c r="AG179" i="119"/>
  <c r="Q179" i="119"/>
  <c r="I179" i="119"/>
  <c r="BG188" i="3"/>
  <c r="AP180" i="119"/>
  <c r="AE180" i="119"/>
  <c r="AD180" i="119"/>
  <c r="AH180" i="119"/>
  <c r="F180" i="119"/>
  <c r="S180" i="119"/>
  <c r="E26" i="3"/>
  <c r="E27" i="3"/>
  <c r="K57" i="3" s="1"/>
  <c r="L181" i="119"/>
  <c r="F187" i="3"/>
  <c r="E179" i="119"/>
  <c r="AZ27" i="3"/>
  <c r="BK200" i="3"/>
  <c r="V179" i="106"/>
  <c r="AN180" i="119"/>
  <c r="AR180" i="119"/>
  <c r="AQ180" i="119"/>
  <c r="CF21" i="3"/>
  <c r="CF157" i="106" s="1"/>
  <c r="CE157" i="106"/>
  <c r="AY190" i="3"/>
  <c r="AY188" i="3"/>
  <c r="AW125" i="106"/>
  <c r="AY199" i="3"/>
  <c r="AY200" i="3" s="1"/>
  <c r="AV64" i="106"/>
  <c r="BM114" i="106"/>
  <c r="BN110" i="106" s="1"/>
  <c r="BN113" i="106" s="1"/>
  <c r="BL200" i="3"/>
  <c r="BL117" i="106"/>
  <c r="BM110" i="106"/>
  <c r="BZ72" i="107"/>
  <c r="CC68" i="107" s="1"/>
  <c r="CC78" i="107" s="1"/>
  <c r="O160" i="106"/>
  <c r="O180" i="106"/>
  <c r="O58" i="106" s="1"/>
  <c r="O179" i="106"/>
  <c r="C160" i="106"/>
  <c r="C180" i="106"/>
  <c r="C58" i="106" s="1"/>
  <c r="C179" i="106"/>
  <c r="AO160" i="106"/>
  <c r="AO180" i="106"/>
  <c r="AO58" i="106" s="1"/>
  <c r="AO179" i="106"/>
  <c r="AA160" i="106"/>
  <c r="AA179" i="106"/>
  <c r="AA180" i="106"/>
  <c r="AA58" i="106" s="1"/>
  <c r="AK63" i="106"/>
  <c r="AK156" i="106"/>
  <c r="M63" i="106"/>
  <c r="M156" i="106"/>
  <c r="BG157" i="106"/>
  <c r="BG158" i="106" s="1"/>
  <c r="BG159" i="106" s="1"/>
  <c r="BG160" i="106" s="1"/>
  <c r="AU180" i="106"/>
  <c r="AU58" i="106" s="1"/>
  <c r="AI179" i="106"/>
  <c r="AG179" i="106"/>
  <c r="AC179" i="106"/>
  <c r="Q179" i="106"/>
  <c r="BF180" i="106"/>
  <c r="BF58" i="106" s="1"/>
  <c r="AZ179" i="106"/>
  <c r="AT180" i="106"/>
  <c r="AT58" i="106" s="1"/>
  <c r="AN179" i="106"/>
  <c r="AH180" i="106"/>
  <c r="AH58" i="106" s="1"/>
  <c r="AB179" i="106"/>
  <c r="AG180" i="106"/>
  <c r="AG58" i="106" s="1"/>
  <c r="BA179" i="106"/>
  <c r="AD158" i="106"/>
  <c r="AD159" i="106" s="1"/>
  <c r="AD160" i="106" s="1"/>
  <c r="X158" i="106"/>
  <c r="X159" i="106" s="1"/>
  <c r="X160" i="106" s="1"/>
  <c r="BA180" i="106"/>
  <c r="BA58" i="106" s="1"/>
  <c r="F158" i="106"/>
  <c r="F159" i="106" s="1"/>
  <c r="F160" i="106" s="1"/>
  <c r="Y63" i="106"/>
  <c r="Y156" i="106"/>
  <c r="AW63" i="106"/>
  <c r="AW156" i="106"/>
  <c r="BC63" i="106"/>
  <c r="BC156" i="106"/>
  <c r="AU179" i="106"/>
  <c r="AI180" i="106"/>
  <c r="AI58" i="106" s="1"/>
  <c r="AC180" i="106"/>
  <c r="AC58" i="106" s="1"/>
  <c r="Q180" i="106"/>
  <c r="Q58" i="106" s="1"/>
  <c r="BF179" i="106"/>
  <c r="AZ180" i="106"/>
  <c r="AZ58" i="106" s="1"/>
  <c r="AT179" i="106"/>
  <c r="AN180" i="106"/>
  <c r="AN58" i="106" s="1"/>
  <c r="E179" i="106"/>
  <c r="E180" i="106"/>
  <c r="E58" i="106" s="1"/>
  <c r="BM175" i="106"/>
  <c r="BQ42" i="107"/>
  <c r="BE180" i="106"/>
  <c r="BE58" i="106" s="1"/>
  <c r="AY180" i="106"/>
  <c r="AY58" i="106" s="1"/>
  <c r="AS179" i="106"/>
  <c r="U180" i="106"/>
  <c r="U58" i="106" s="1"/>
  <c r="I180" i="106"/>
  <c r="I58" i="106" s="1"/>
  <c r="BR30" i="106"/>
  <c r="BQ164" i="106"/>
  <c r="BC177" i="106"/>
  <c r="AW176" i="106"/>
  <c r="AQ176" i="106"/>
  <c r="AK177" i="106"/>
  <c r="AE177" i="106"/>
  <c r="Y176" i="106"/>
  <c r="S176" i="106"/>
  <c r="M177" i="106"/>
  <c r="G177" i="106"/>
  <c r="BR42" i="107"/>
  <c r="BE179" i="106"/>
  <c r="AY179" i="106"/>
  <c r="AS180" i="106"/>
  <c r="AS58" i="106" s="1"/>
  <c r="U179" i="106"/>
  <c r="I179" i="106"/>
  <c r="BC176" i="106"/>
  <c r="AW177" i="106"/>
  <c r="AQ177" i="106"/>
  <c r="AK176" i="106"/>
  <c r="AE176" i="106"/>
  <c r="Y177" i="106"/>
  <c r="S177" i="106"/>
  <c r="M176" i="106"/>
  <c r="G176" i="106"/>
  <c r="BS31" i="106"/>
  <c r="BR165" i="106"/>
  <c r="BQ13" i="107"/>
  <c r="U113" i="106"/>
  <c r="V110" i="106"/>
  <c r="AO102" i="106"/>
  <c r="M126" i="106"/>
  <c r="S121" i="106" s="1"/>
  <c r="S142" i="106"/>
  <c r="BH125" i="106"/>
  <c r="BI125" i="106" s="1"/>
  <c r="D112" i="106"/>
  <c r="AB114" i="106"/>
  <c r="AC110" i="106" s="1"/>
  <c r="Y133" i="106"/>
  <c r="BZ82" i="107"/>
  <c r="CA70" i="107"/>
  <c r="R200" i="3"/>
  <c r="BI55" i="3"/>
  <c r="X199" i="3"/>
  <c r="Y199" i="3" s="1"/>
  <c r="AW41" i="3"/>
  <c r="AW187" i="3" s="1"/>
  <c r="R24" i="3"/>
  <c r="R27" i="3" s="1"/>
  <c r="BC55" i="3"/>
  <c r="S159" i="3"/>
  <c r="F62" i="106"/>
  <c r="BC20" i="3"/>
  <c r="BC24" i="3" s="1"/>
  <c r="AC200" i="3"/>
  <c r="AC201" i="3" s="1"/>
  <c r="T181" i="119" s="1"/>
  <c r="AH200" i="3"/>
  <c r="AH201" i="3" s="1"/>
  <c r="W181" i="119" s="1"/>
  <c r="AW20" i="3"/>
  <c r="AW21" i="3" s="1"/>
  <c r="AW157" i="106" s="1"/>
  <c r="BI42" i="3"/>
  <c r="AH27" i="3"/>
  <c r="AH57" i="106" s="1"/>
  <c r="BC42" i="3"/>
  <c r="F40" i="3"/>
  <c r="AW159" i="3"/>
  <c r="AW13" i="3"/>
  <c r="AW62" i="106" s="1"/>
  <c r="I26" i="3"/>
  <c r="BC13" i="3"/>
  <c r="BC62" i="106" s="1"/>
  <c r="AY27" i="3"/>
  <c r="AY33" i="3" s="1"/>
  <c r="AW186" i="3"/>
  <c r="R187" i="3"/>
  <c r="X43" i="3"/>
  <c r="O188" i="3"/>
  <c r="Y186" i="3"/>
  <c r="AT188" i="3"/>
  <c r="X24" i="3"/>
  <c r="X27" i="3" s="1"/>
  <c r="I188" i="3"/>
  <c r="AG200" i="3"/>
  <c r="AG201" i="3" s="1"/>
  <c r="Y13" i="3"/>
  <c r="Y62" i="106" s="1"/>
  <c r="W201" i="3"/>
  <c r="P181" i="119" s="1"/>
  <c r="R64" i="106"/>
  <c r="BA188" i="3"/>
  <c r="AC188" i="3"/>
  <c r="BF188" i="3"/>
  <c r="AU200" i="3"/>
  <c r="AU201" i="3" s="1"/>
  <c r="R21" i="3"/>
  <c r="R157" i="106" s="1"/>
  <c r="R158" i="106" s="1"/>
  <c r="R159" i="106" s="1"/>
  <c r="J80" i="3"/>
  <c r="F24" i="3"/>
  <c r="Y138" i="3"/>
  <c r="J68" i="3"/>
  <c r="J96" i="106"/>
  <c r="BT7" i="3"/>
  <c r="BU7" i="3" s="1"/>
  <c r="BW7" i="3"/>
  <c r="AS200" i="3"/>
  <c r="AS201" i="3" s="1"/>
  <c r="AD181" i="119" s="1"/>
  <c r="R56" i="3"/>
  <c r="F43" i="3"/>
  <c r="AM201" i="3"/>
  <c r="R40" i="3"/>
  <c r="BI138" i="3"/>
  <c r="L199" i="3"/>
  <c r="BG189" i="3"/>
  <c r="AP199" i="3"/>
  <c r="AQ199" i="3" s="1"/>
  <c r="AZ188" i="3"/>
  <c r="AB188" i="3"/>
  <c r="F200" i="3"/>
  <c r="AT200" i="3"/>
  <c r="O200" i="3"/>
  <c r="U188" i="3"/>
  <c r="AU188" i="3"/>
  <c r="AE199" i="3"/>
  <c r="S199" i="3"/>
  <c r="AS188" i="3"/>
  <c r="AJ199" i="3"/>
  <c r="BL188" i="3"/>
  <c r="AB200" i="3"/>
  <c r="K201" i="3"/>
  <c r="H181" i="119" s="1"/>
  <c r="BH133" i="106"/>
  <c r="BI133" i="106" s="1"/>
  <c r="C117" i="106"/>
  <c r="M69" i="106"/>
  <c r="S125" i="106"/>
  <c r="BK113" i="106"/>
  <c r="BL110" i="106"/>
  <c r="BL113" i="106" s="1"/>
  <c r="X62" i="106"/>
  <c r="AW142" i="106"/>
  <c r="BB187" i="3"/>
  <c r="AV187" i="3"/>
  <c r="BE188" i="3"/>
  <c r="BK188" i="3"/>
  <c r="X187" i="3"/>
  <c r="AG188" i="3"/>
  <c r="AM188" i="3"/>
  <c r="X40" i="3"/>
  <c r="AD56" i="3"/>
  <c r="X56" i="3"/>
  <c r="BI188" i="3"/>
  <c r="L187" i="3"/>
  <c r="AO201" i="3"/>
  <c r="AB181" i="119" s="1"/>
  <c r="AI188" i="3"/>
  <c r="AV21" i="3"/>
  <c r="AV43" i="3"/>
  <c r="AV24" i="3"/>
  <c r="AN188" i="3"/>
  <c r="AJ187" i="3"/>
  <c r="BG27" i="3"/>
  <c r="BG56" i="106" s="1"/>
  <c r="AO188" i="3"/>
  <c r="AP187" i="3"/>
  <c r="AH188" i="3"/>
  <c r="AZ112" i="106"/>
  <c r="M133" i="106"/>
  <c r="AK142" i="106"/>
  <c r="BS87" i="106"/>
  <c r="Y142" i="106"/>
  <c r="C113" i="106"/>
  <c r="R81" i="106"/>
  <c r="R80" i="106"/>
  <c r="BT40" i="106"/>
  <c r="BS95" i="106"/>
  <c r="CD77" i="106"/>
  <c r="AP122" i="106"/>
  <c r="AP106" i="106"/>
  <c r="AQ106" i="106" s="1"/>
  <c r="AP132" i="106"/>
  <c r="BH82" i="106"/>
  <c r="AC56" i="106"/>
  <c r="AC57" i="106"/>
  <c r="AI82" i="106"/>
  <c r="AD82" i="106"/>
  <c r="AP62" i="106"/>
  <c r="AP64" i="106"/>
  <c r="M68" i="106"/>
  <c r="AB110" i="106"/>
  <c r="AP21" i="3"/>
  <c r="AP157" i="106" s="1"/>
  <c r="AP158" i="106" s="1"/>
  <c r="AP159" i="106" s="1"/>
  <c r="AP160" i="106" s="1"/>
  <c r="BF26" i="3"/>
  <c r="BF27" i="3"/>
  <c r="Y68" i="106"/>
  <c r="BG82" i="106"/>
  <c r="S81" i="106"/>
  <c r="AW80" i="106"/>
  <c r="AE80" i="106"/>
  <c r="AE138" i="106"/>
  <c r="AB57" i="106"/>
  <c r="AB56" i="106"/>
  <c r="AE63" i="106"/>
  <c r="I56" i="106"/>
  <c r="I57" i="106"/>
  <c r="AD106" i="106"/>
  <c r="AE106" i="106" s="1"/>
  <c r="AD132" i="106"/>
  <c r="AD122" i="106"/>
  <c r="Q82" i="106"/>
  <c r="E200" i="3"/>
  <c r="G199" i="3"/>
  <c r="CA167" i="3"/>
  <c r="BH104" i="106"/>
  <c r="BI103" i="106"/>
  <c r="BI104" i="106" s="1"/>
  <c r="M81" i="106"/>
  <c r="AZ83" i="106"/>
  <c r="AO57" i="106"/>
  <c r="AO56" i="106"/>
  <c r="S63" i="106"/>
  <c r="S13" i="3"/>
  <c r="S41" i="3"/>
  <c r="S187" i="3" s="1"/>
  <c r="S20" i="3"/>
  <c r="S186" i="3"/>
  <c r="BX77" i="106"/>
  <c r="BC81" i="106"/>
  <c r="BB81" i="106"/>
  <c r="G138" i="106"/>
  <c r="G63" i="106"/>
  <c r="G159" i="3"/>
  <c r="G186" i="3"/>
  <c r="G41" i="3"/>
  <c r="G187" i="3" s="1"/>
  <c r="G20" i="3"/>
  <c r="G13" i="3"/>
  <c r="G64" i="106" s="1"/>
  <c r="Y125" i="106"/>
  <c r="D57" i="106"/>
  <c r="D56" i="106"/>
  <c r="Y42" i="3"/>
  <c r="Q57" i="106"/>
  <c r="Q56" i="106"/>
  <c r="BB62" i="106"/>
  <c r="BB64" i="106"/>
  <c r="AM56" i="106"/>
  <c r="AV56" i="3"/>
  <c r="BH56" i="106"/>
  <c r="BH57" i="106"/>
  <c r="AO82" i="106"/>
  <c r="BK96" i="106"/>
  <c r="AU82" i="106"/>
  <c r="BC141" i="106"/>
  <c r="P82" i="106"/>
  <c r="D80" i="106"/>
  <c r="W102" i="106"/>
  <c r="V114" i="106"/>
  <c r="V117" i="106" s="1"/>
  <c r="BC140" i="106"/>
  <c r="BM174" i="106"/>
  <c r="BA57" i="106"/>
  <c r="BA56" i="106"/>
  <c r="BF200" i="3"/>
  <c r="AI200" i="3"/>
  <c r="M142" i="106"/>
  <c r="AJ82" i="106"/>
  <c r="AJ62" i="106"/>
  <c r="AJ64" i="106"/>
  <c r="F106" i="106"/>
  <c r="G106" i="106" s="1"/>
  <c r="F122" i="106"/>
  <c r="F132" i="106"/>
  <c r="AV82" i="106"/>
  <c r="BA82" i="106"/>
  <c r="Y70" i="106"/>
  <c r="Y32" i="106"/>
  <c r="Y46" i="106" s="1"/>
  <c r="Y48" i="106" s="1"/>
  <c r="Y69" i="106"/>
  <c r="E82" i="106"/>
  <c r="AA113" i="106"/>
  <c r="AP43" i="3"/>
  <c r="AQ138" i="106"/>
  <c r="G81" i="106"/>
  <c r="Y82" i="106"/>
  <c r="K81" i="106"/>
  <c r="AE81" i="106"/>
  <c r="P57" i="106"/>
  <c r="P56" i="106"/>
  <c r="AW42" i="3"/>
  <c r="AQ63" i="106"/>
  <c r="AP40" i="3"/>
  <c r="P108" i="106"/>
  <c r="P112" i="106"/>
  <c r="AN82" i="106"/>
  <c r="AE70" i="106"/>
  <c r="AE32" i="106"/>
  <c r="AE46" i="106" s="1"/>
  <c r="AE48" i="106" s="1"/>
  <c r="AE69" i="106"/>
  <c r="W82" i="106"/>
  <c r="AI26" i="3"/>
  <c r="AI27" i="3"/>
  <c r="AC82" i="106"/>
  <c r="AE71" i="106"/>
  <c r="AQ81" i="106"/>
  <c r="J82" i="106"/>
  <c r="BI142" i="106"/>
  <c r="BR12" i="106"/>
  <c r="BR13" i="107" s="1"/>
  <c r="AP81" i="106"/>
  <c r="X82" i="106"/>
  <c r="AY56" i="106"/>
  <c r="M70" i="106"/>
  <c r="F81" i="106"/>
  <c r="K57" i="106"/>
  <c r="K56" i="106"/>
  <c r="AW55" i="3"/>
  <c r="L62" i="106"/>
  <c r="L64" i="106"/>
  <c r="BF83" i="106"/>
  <c r="AA33" i="3"/>
  <c r="AA44" i="3"/>
  <c r="AA57" i="106"/>
  <c r="AA67" i="3"/>
  <c r="AA56" i="106"/>
  <c r="V44" i="3"/>
  <c r="V33" i="3"/>
  <c r="V67" i="3"/>
  <c r="V57" i="106"/>
  <c r="V56" i="106"/>
  <c r="I200" i="3"/>
  <c r="O113" i="106"/>
  <c r="O117" i="106"/>
  <c r="P110" i="106"/>
  <c r="BS34" i="106"/>
  <c r="AG26" i="3"/>
  <c r="AG27" i="3"/>
  <c r="AM57" i="3" s="1"/>
  <c r="BM75" i="3"/>
  <c r="D82" i="106"/>
  <c r="BZ7" i="3"/>
  <c r="CC7" i="3"/>
  <c r="U200" i="3"/>
  <c r="BI40" i="3"/>
  <c r="AU27" i="3"/>
  <c r="AU26" i="3"/>
  <c r="S172" i="3"/>
  <c r="S173" i="3" s="1"/>
  <c r="S174" i="3" s="1"/>
  <c r="AJ24" i="3"/>
  <c r="AJ43" i="3"/>
  <c r="AJ21" i="3"/>
  <c r="AJ157" i="106" s="1"/>
  <c r="AJ158" i="106" s="1"/>
  <c r="AJ159" i="106" s="1"/>
  <c r="D44" i="3"/>
  <c r="D33" i="3"/>
  <c r="J58" i="3" s="1"/>
  <c r="D67" i="3"/>
  <c r="D93" i="106" s="1"/>
  <c r="D96" i="106" s="1"/>
  <c r="J57" i="3"/>
  <c r="AK13" i="3"/>
  <c r="AK20" i="3"/>
  <c r="AK42" i="3"/>
  <c r="AK159" i="3"/>
  <c r="AK186" i="3"/>
  <c r="AK41" i="3"/>
  <c r="AK187" i="3" s="1"/>
  <c r="AK55" i="3"/>
  <c r="AN27" i="3"/>
  <c r="AN26" i="3"/>
  <c r="L43" i="3"/>
  <c r="L24" i="3"/>
  <c r="L21" i="3"/>
  <c r="L157" i="106" s="1"/>
  <c r="L158" i="106" s="1"/>
  <c r="L159" i="106" s="1"/>
  <c r="L160" i="106" s="1"/>
  <c r="BC159" i="3"/>
  <c r="BA33" i="3"/>
  <c r="BA44" i="3"/>
  <c r="BA67" i="3"/>
  <c r="BA93" i="106" s="1"/>
  <c r="BA96" i="106" s="1"/>
  <c r="AN200" i="3"/>
  <c r="AE20" i="3"/>
  <c r="AE13" i="3"/>
  <c r="AE41" i="3"/>
  <c r="AE187" i="3" s="1"/>
  <c r="AE55" i="3"/>
  <c r="AE42" i="3"/>
  <c r="AE186" i="3"/>
  <c r="AE159" i="3"/>
  <c r="AD27" i="3"/>
  <c r="AD26" i="3"/>
  <c r="Q33" i="3"/>
  <c r="W58" i="3" s="1"/>
  <c r="Q67" i="3"/>
  <c r="Q93" i="106" s="1"/>
  <c r="Q96" i="106" s="1"/>
  <c r="Q44" i="3"/>
  <c r="Q57" i="3"/>
  <c r="I33" i="3"/>
  <c r="I58" i="3" s="1"/>
  <c r="I44" i="3"/>
  <c r="I57" i="3"/>
  <c r="I67" i="3"/>
  <c r="I93" i="106" s="1"/>
  <c r="I96" i="106" s="1"/>
  <c r="BB24" i="3"/>
  <c r="BB43" i="3"/>
  <c r="BB21" i="3"/>
  <c r="AC33" i="3"/>
  <c r="AC67" i="3"/>
  <c r="AC93" i="106" s="1"/>
  <c r="AC96" i="106" s="1"/>
  <c r="AC57" i="3"/>
  <c r="AC44" i="3"/>
  <c r="M13" i="3"/>
  <c r="M62" i="106" s="1"/>
  <c r="M20" i="3"/>
  <c r="M42" i="3"/>
  <c r="M159" i="3"/>
  <c r="M41" i="3"/>
  <c r="M187" i="3" s="1"/>
  <c r="M186" i="3"/>
  <c r="M55" i="3"/>
  <c r="S55" i="3"/>
  <c r="S42" i="3"/>
  <c r="U26" i="3"/>
  <c r="U27" i="3"/>
  <c r="AQ13" i="3"/>
  <c r="AQ20" i="3"/>
  <c r="AQ55" i="3"/>
  <c r="AQ42" i="3"/>
  <c r="AQ159" i="3"/>
  <c r="AQ41" i="3"/>
  <c r="AQ187" i="3" s="1"/>
  <c r="AQ186" i="3"/>
  <c r="W68" i="3"/>
  <c r="W80" i="3"/>
  <c r="C68" i="3"/>
  <c r="C80" i="3"/>
  <c r="L40" i="3"/>
  <c r="L56" i="3"/>
  <c r="AH57" i="3"/>
  <c r="AP27" i="3"/>
  <c r="AP26" i="3"/>
  <c r="K33" i="3"/>
  <c r="K44" i="3"/>
  <c r="K67" i="3"/>
  <c r="K93" i="106" s="1"/>
  <c r="K96" i="106" s="1"/>
  <c r="AJ56" i="3"/>
  <c r="AJ40" i="3"/>
  <c r="AB44" i="3"/>
  <c r="AB57" i="3"/>
  <c r="AB67" i="3"/>
  <c r="AB93" i="106" s="1"/>
  <c r="AB96" i="106" s="1"/>
  <c r="AB33" i="3"/>
  <c r="AO44" i="3"/>
  <c r="AO33" i="3"/>
  <c r="AO67" i="3"/>
  <c r="AO93" i="106" s="1"/>
  <c r="AO96" i="106" s="1"/>
  <c r="AS27" i="3"/>
  <c r="AS26" i="3"/>
  <c r="P57" i="3"/>
  <c r="P33" i="3"/>
  <c r="P44" i="3"/>
  <c r="P67" i="3"/>
  <c r="P93" i="106" s="1"/>
  <c r="P96" i="106" s="1"/>
  <c r="V57" i="3"/>
  <c r="CJ126" i="3"/>
  <c r="BB40" i="3"/>
  <c r="BB56" i="3"/>
  <c r="BH56" i="3"/>
  <c r="BS12" i="3"/>
  <c r="AP56" i="3"/>
  <c r="CE7" i="3"/>
  <c r="CF6" i="3"/>
  <c r="CF7" i="3" s="1"/>
  <c r="BK80" i="3"/>
  <c r="BK68" i="3"/>
  <c r="BI24" i="3"/>
  <c r="BI43" i="3"/>
  <c r="BI21" i="3"/>
  <c r="BI157" i="106" s="1"/>
  <c r="BI158" i="106" s="1"/>
  <c r="BI159" i="106" s="1"/>
  <c r="M174" i="3"/>
  <c r="BH33" i="3"/>
  <c r="BH44" i="3"/>
  <c r="BH67" i="3"/>
  <c r="BH93" i="106" s="1"/>
  <c r="BH96" i="106" s="1"/>
  <c r="Y80" i="106"/>
  <c r="K80" i="106"/>
  <c r="F80" i="106"/>
  <c r="S80" i="106"/>
  <c r="AP80" i="106"/>
  <c r="BC80" i="106"/>
  <c r="M80" i="106"/>
  <c r="BI80" i="106"/>
  <c r="L80" i="106"/>
  <c r="AQ80" i="106"/>
  <c r="BB80" i="106"/>
  <c r="J108" i="106"/>
  <c r="J112" i="106"/>
  <c r="AO108" i="106"/>
  <c r="AO112" i="106"/>
  <c r="AW53" i="106"/>
  <c r="BR131" i="106"/>
  <c r="BR134" i="106" s="1"/>
  <c r="BQ17" i="106"/>
  <c r="AC108" i="106"/>
  <c r="AC112" i="106"/>
  <c r="BR37" i="106"/>
  <c r="BS77" i="106"/>
  <c r="M53" i="106"/>
  <c r="BR88" i="106"/>
  <c r="BC53" i="106"/>
  <c r="BI53" i="106"/>
  <c r="BI64" i="106"/>
  <c r="E102" i="106"/>
  <c r="D114" i="106"/>
  <c r="D117" i="106" s="1"/>
  <c r="AQ48" i="106"/>
  <c r="AS114" i="106"/>
  <c r="AS117" i="106" s="1"/>
  <c r="AT102" i="106"/>
  <c r="BC48" i="106"/>
  <c r="S69" i="106"/>
  <c r="S70" i="106"/>
  <c r="S32" i="106"/>
  <c r="S46" i="106" s="1"/>
  <c r="S48" i="106" s="1"/>
  <c r="AH108" i="106"/>
  <c r="AH112" i="106"/>
  <c r="S71" i="106"/>
  <c r="BF110" i="106"/>
  <c r="BE113" i="106"/>
  <c r="AN113" i="106"/>
  <c r="AO110" i="106"/>
  <c r="AZ114" i="106"/>
  <c r="AZ117" i="106" s="1"/>
  <c r="BA102" i="106"/>
  <c r="AG113" i="106"/>
  <c r="AH110" i="106"/>
  <c r="S68" i="106"/>
  <c r="G53" i="106"/>
  <c r="AN117" i="106"/>
  <c r="BF108" i="106"/>
  <c r="BF112" i="106"/>
  <c r="I113" i="106"/>
  <c r="J110" i="106"/>
  <c r="I117" i="106"/>
  <c r="BR147" i="106"/>
  <c r="BL112" i="106"/>
  <c r="BM171" i="3" l="1"/>
  <c r="BH170" i="3"/>
  <c r="BN171" i="3" s="1"/>
  <c r="BE56" i="106"/>
  <c r="AM57" i="106"/>
  <c r="U180" i="119"/>
  <c r="AM67" i="3"/>
  <c r="AM93" i="106" s="1"/>
  <c r="AM96" i="106" s="1"/>
  <c r="BE33" i="3"/>
  <c r="BK58" i="3" s="1"/>
  <c r="AM44" i="3"/>
  <c r="BE44" i="3"/>
  <c r="Y180" i="119"/>
  <c r="BE67" i="3"/>
  <c r="BE93" i="106" s="1"/>
  <c r="BE96" i="106" s="1"/>
  <c r="BE57" i="106"/>
  <c r="CC70" i="107"/>
  <c r="CC71" i="107"/>
  <c r="CG68" i="107"/>
  <c r="BE57" i="3"/>
  <c r="AT57" i="106"/>
  <c r="BT77" i="106"/>
  <c r="AT67" i="3"/>
  <c r="AT93" i="106" s="1"/>
  <c r="AT96" i="106" s="1"/>
  <c r="M127" i="106"/>
  <c r="P202" i="3"/>
  <c r="W202" i="3"/>
  <c r="Y24" i="3"/>
  <c r="AY44" i="3"/>
  <c r="BE200" i="3"/>
  <c r="Y43" i="3"/>
  <c r="AT44" i="3"/>
  <c r="AT56" i="106"/>
  <c r="AZ57" i="3"/>
  <c r="AW24" i="3"/>
  <c r="AZ67" i="3"/>
  <c r="AZ93" i="106" s="1"/>
  <c r="AZ96" i="106" s="1"/>
  <c r="AZ33" i="3"/>
  <c r="AZ58" i="3" s="1"/>
  <c r="BF57" i="3"/>
  <c r="AZ200" i="3"/>
  <c r="BM113" i="106"/>
  <c r="BO113" i="106" s="1"/>
  <c r="BM117" i="106"/>
  <c r="BA200" i="3"/>
  <c r="Y158" i="106"/>
  <c r="Y159" i="106" s="1"/>
  <c r="Y160" i="106" s="1"/>
  <c r="BI56" i="3"/>
  <c r="AA201" i="3"/>
  <c r="AH44" i="3"/>
  <c r="AH56" i="106"/>
  <c r="AH33" i="3"/>
  <c r="AH58" i="3" s="1"/>
  <c r="AZ56" i="106"/>
  <c r="O181" i="119"/>
  <c r="O57" i="106"/>
  <c r="O44" i="3"/>
  <c r="O33" i="3"/>
  <c r="O58" i="3" s="1"/>
  <c r="O56" i="106"/>
  <c r="O67" i="3"/>
  <c r="AH67" i="3"/>
  <c r="AH93" i="106" s="1"/>
  <c r="AH96" i="106" s="1"/>
  <c r="AZ57" i="106"/>
  <c r="V202" i="3"/>
  <c r="AG180" i="119"/>
  <c r="BG44" i="3"/>
  <c r="AZ44" i="3"/>
  <c r="F180" i="106"/>
  <c r="F58" i="106" s="1"/>
  <c r="F179" i="106"/>
  <c r="O57" i="3"/>
  <c r="X179" i="106"/>
  <c r="M180" i="119"/>
  <c r="AW43" i="3"/>
  <c r="AD201" i="3"/>
  <c r="U181" i="119" s="1"/>
  <c r="BG180" i="106"/>
  <c r="BG58" i="106" s="1"/>
  <c r="I180" i="119"/>
  <c r="AF181" i="119"/>
  <c r="V181" i="119"/>
  <c r="X180" i="106"/>
  <c r="X58" i="106" s="1"/>
  <c r="L180" i="106"/>
  <c r="L58" i="106" s="1"/>
  <c r="BC188" i="3"/>
  <c r="BK201" i="3"/>
  <c r="Z181" i="119"/>
  <c r="Q180" i="119"/>
  <c r="AC180" i="119"/>
  <c r="E57" i="106"/>
  <c r="E67" i="3"/>
  <c r="E33" i="3"/>
  <c r="K58" i="3" s="1"/>
  <c r="E44" i="3"/>
  <c r="E56" i="106"/>
  <c r="AK180" i="119"/>
  <c r="AO180" i="119"/>
  <c r="AE200" i="3"/>
  <c r="AE201" i="3" s="1"/>
  <c r="BC40" i="3"/>
  <c r="BL201" i="3"/>
  <c r="BC64" i="106"/>
  <c r="AD180" i="106"/>
  <c r="AD58" i="106" s="1"/>
  <c r="AP180" i="106"/>
  <c r="AP58" i="106" s="1"/>
  <c r="AK199" i="3"/>
  <c r="BG179" i="106"/>
  <c r="CC72" i="107"/>
  <c r="CD68" i="107" s="1"/>
  <c r="CD71" i="107" s="1"/>
  <c r="BI160" i="106"/>
  <c r="BI180" i="106"/>
  <c r="BI58" i="106" s="1"/>
  <c r="BI179" i="106"/>
  <c r="R160" i="106"/>
  <c r="R179" i="106"/>
  <c r="R180" i="106"/>
  <c r="R58" i="106" s="1"/>
  <c r="AJ160" i="106"/>
  <c r="AJ180" i="106"/>
  <c r="AJ58" i="106" s="1"/>
  <c r="AJ179" i="106"/>
  <c r="BB189" i="3"/>
  <c r="BB190" i="3" s="1"/>
  <c r="BB157" i="106"/>
  <c r="BB158" i="106" s="1"/>
  <c r="BB159" i="106" s="1"/>
  <c r="BG67" i="3"/>
  <c r="BG93" i="106" s="1"/>
  <c r="BG96" i="106" s="1"/>
  <c r="BG57" i="3"/>
  <c r="BH201" i="3"/>
  <c r="AY57" i="106"/>
  <c r="AY67" i="3"/>
  <c r="AY93" i="106" s="1"/>
  <c r="AY96" i="106" s="1"/>
  <c r="BG57" i="106"/>
  <c r="AV189" i="3"/>
  <c r="AV157" i="106"/>
  <c r="AV158" i="106" s="1"/>
  <c r="AV159" i="106" s="1"/>
  <c r="L179" i="106"/>
  <c r="AD179" i="106"/>
  <c r="AP179" i="106"/>
  <c r="AW158" i="106"/>
  <c r="AW159" i="106" s="1"/>
  <c r="BO17" i="106"/>
  <c r="BN175" i="106"/>
  <c r="BS30" i="106"/>
  <c r="BR164" i="106"/>
  <c r="BQ135" i="106"/>
  <c r="BQ175" i="106"/>
  <c r="BS42" i="107"/>
  <c r="BT31" i="106"/>
  <c r="BS165" i="106"/>
  <c r="AB113" i="106"/>
  <c r="AB117" i="106"/>
  <c r="BZ38" i="107"/>
  <c r="CA82" i="107"/>
  <c r="CG78" i="107"/>
  <c r="CA76" i="107"/>
  <c r="CA72" i="107"/>
  <c r="CC82" i="107"/>
  <c r="BM13" i="3"/>
  <c r="R26" i="3"/>
  <c r="BG199" i="3"/>
  <c r="BC21" i="3"/>
  <c r="BC157" i="106" s="1"/>
  <c r="BC158" i="106" s="1"/>
  <c r="BC159" i="106" s="1"/>
  <c r="M199" i="3"/>
  <c r="X200" i="3"/>
  <c r="BC43" i="3"/>
  <c r="L200" i="3"/>
  <c r="L201" i="3" s="1"/>
  <c r="AW64" i="106"/>
  <c r="AW40" i="3"/>
  <c r="BC56" i="3"/>
  <c r="Y56" i="3"/>
  <c r="Y40" i="3"/>
  <c r="X26" i="3"/>
  <c r="Y64" i="106"/>
  <c r="BG190" i="3"/>
  <c r="AD188" i="3"/>
  <c r="BM57" i="3"/>
  <c r="AS202" i="3"/>
  <c r="BH188" i="3"/>
  <c r="BI189" i="3"/>
  <c r="AY201" i="3"/>
  <c r="AH181" i="119" s="1"/>
  <c r="BG33" i="3"/>
  <c r="CA7" i="3"/>
  <c r="AM202" i="3"/>
  <c r="F27" i="3"/>
  <c r="F26" i="3"/>
  <c r="BB188" i="3"/>
  <c r="AE188" i="3"/>
  <c r="I201" i="3"/>
  <c r="F181" i="119" s="1"/>
  <c r="AI201" i="3"/>
  <c r="Y188" i="3"/>
  <c r="AV188" i="3"/>
  <c r="AJ188" i="3"/>
  <c r="AU202" i="3"/>
  <c r="L188" i="3"/>
  <c r="X188" i="3"/>
  <c r="Q202" i="3"/>
  <c r="R188" i="3"/>
  <c r="AJ200" i="3"/>
  <c r="S200" i="3"/>
  <c r="AW188" i="3"/>
  <c r="AN201" i="3"/>
  <c r="U201" i="3"/>
  <c r="N181" i="119" s="1"/>
  <c r="R201" i="3"/>
  <c r="M181" i="119" s="1"/>
  <c r="G200" i="3"/>
  <c r="AB201" i="3"/>
  <c r="O201" i="3"/>
  <c r="AT201" i="3"/>
  <c r="AP200" i="3"/>
  <c r="AC202" i="3"/>
  <c r="G141" i="106"/>
  <c r="BF201" i="3"/>
  <c r="AV27" i="3"/>
  <c r="AV57" i="3" s="1"/>
  <c r="AV26" i="3"/>
  <c r="AP188" i="3"/>
  <c r="BT87" i="106"/>
  <c r="AQ141" i="106"/>
  <c r="AB58" i="3"/>
  <c r="BO18" i="106"/>
  <c r="BC142" i="106"/>
  <c r="AI33" i="3"/>
  <c r="AO58" i="3" s="1"/>
  <c r="AI67" i="3"/>
  <c r="AI44" i="3"/>
  <c r="AI57" i="106"/>
  <c r="AI56" i="106"/>
  <c r="AW56" i="3"/>
  <c r="AQ62" i="106"/>
  <c r="AQ64" i="106"/>
  <c r="AU57" i="106"/>
  <c r="AU56" i="106"/>
  <c r="D83" i="106"/>
  <c r="BB82" i="106"/>
  <c r="S43" i="3"/>
  <c r="S24" i="3"/>
  <c r="S21" i="3"/>
  <c r="S157" i="106" s="1"/>
  <c r="S158" i="106" s="1"/>
  <c r="S159" i="106" s="1"/>
  <c r="Q83" i="106"/>
  <c r="AT57" i="3"/>
  <c r="AN57" i="106"/>
  <c r="AN56" i="106"/>
  <c r="V93" i="106"/>
  <c r="V96" i="106" s="1"/>
  <c r="V80" i="3"/>
  <c r="V68" i="3"/>
  <c r="W83" i="106"/>
  <c r="AE82" i="106"/>
  <c r="E83" i="106"/>
  <c r="BC82" i="106"/>
  <c r="AD125" i="106"/>
  <c r="AE125" i="106" s="1"/>
  <c r="AE122" i="106"/>
  <c r="AE140" i="106" s="1"/>
  <c r="R82" i="106"/>
  <c r="U57" i="106"/>
  <c r="U56" i="106"/>
  <c r="BE58" i="3"/>
  <c r="AG57" i="106"/>
  <c r="AG56" i="106"/>
  <c r="AG67" i="3"/>
  <c r="AG44" i="3"/>
  <c r="AG57" i="3"/>
  <c r="AG33" i="3"/>
  <c r="AG58" i="3" s="1"/>
  <c r="L82" i="106"/>
  <c r="AQ82" i="106"/>
  <c r="AV83" i="106"/>
  <c r="CC77" i="106"/>
  <c r="S62" i="106"/>
  <c r="S64" i="106"/>
  <c r="S40" i="3"/>
  <c r="CG167" i="3"/>
  <c r="AD133" i="106"/>
  <c r="AE133" i="106" s="1"/>
  <c r="AE132" i="106"/>
  <c r="AE139" i="106" s="1"/>
  <c r="BF57" i="106"/>
  <c r="BF56" i="106"/>
  <c r="BF33" i="3"/>
  <c r="BF44" i="3"/>
  <c r="BL57" i="3"/>
  <c r="BF67" i="3"/>
  <c r="AI83" i="106"/>
  <c r="BH83" i="106"/>
  <c r="BU40" i="106"/>
  <c r="BT95" i="106"/>
  <c r="BU95" i="106" s="1"/>
  <c r="BW40" i="106"/>
  <c r="Q102" i="106"/>
  <c r="P114" i="106"/>
  <c r="AS57" i="106"/>
  <c r="AS56" i="106"/>
  <c r="AI57" i="3"/>
  <c r="AK62" i="106"/>
  <c r="AK64" i="106"/>
  <c r="AO83" i="106"/>
  <c r="M64" i="106"/>
  <c r="BI82" i="106"/>
  <c r="AO57" i="3"/>
  <c r="AP57" i="106"/>
  <c r="AP56" i="106"/>
  <c r="AD57" i="106"/>
  <c r="AD56" i="106"/>
  <c r="AE62" i="106"/>
  <c r="AE64" i="106"/>
  <c r="BA57" i="3"/>
  <c r="AP82" i="106"/>
  <c r="K82" i="106"/>
  <c r="AJ83" i="106"/>
  <c r="G40" i="3"/>
  <c r="G62" i="106"/>
  <c r="AE141" i="106"/>
  <c r="S82" i="106"/>
  <c r="AP133" i="106"/>
  <c r="AQ133" i="106" s="1"/>
  <c r="AQ132" i="106"/>
  <c r="AQ139" i="106" s="1"/>
  <c r="G80" i="106"/>
  <c r="BG83" i="106"/>
  <c r="F82" i="106"/>
  <c r="G21" i="3"/>
  <c r="G157" i="106" s="1"/>
  <c r="G158" i="106" s="1"/>
  <c r="G159" i="106" s="1"/>
  <c r="G24" i="3"/>
  <c r="G43" i="3"/>
  <c r="AD83" i="106"/>
  <c r="F125" i="106"/>
  <c r="G125" i="106" s="1"/>
  <c r="G122" i="106"/>
  <c r="G140" i="106" s="1"/>
  <c r="P83" i="106"/>
  <c r="AN83" i="106"/>
  <c r="G82" i="106"/>
  <c r="W110" i="106"/>
  <c r="V113" i="106"/>
  <c r="R57" i="106"/>
  <c r="R56" i="106"/>
  <c r="BT34" i="106"/>
  <c r="J83" i="106"/>
  <c r="BA83" i="106"/>
  <c r="W108" i="106"/>
  <c r="W112" i="106"/>
  <c r="X83" i="106"/>
  <c r="AW82" i="106"/>
  <c r="AK82" i="106"/>
  <c r="X57" i="106"/>
  <c r="X56" i="106"/>
  <c r="CG7" i="3"/>
  <c r="AA93" i="106"/>
  <c r="AA96" i="106" s="1"/>
  <c r="AA68" i="3"/>
  <c r="AA80" i="3"/>
  <c r="BS12" i="106"/>
  <c r="AC83" i="106"/>
  <c r="Y83" i="106"/>
  <c r="F133" i="106"/>
  <c r="G133" i="106" s="1"/>
  <c r="G132" i="106"/>
  <c r="AU83" i="106"/>
  <c r="M82" i="106"/>
  <c r="AP125" i="106"/>
  <c r="AQ125" i="106" s="1"/>
  <c r="AQ122" i="106"/>
  <c r="AQ140" i="106" s="1"/>
  <c r="AC58" i="3"/>
  <c r="Q80" i="3"/>
  <c r="Q68" i="3"/>
  <c r="D80" i="3"/>
  <c r="D68" i="3"/>
  <c r="Y200" i="3"/>
  <c r="Y27" i="3"/>
  <c r="Y26" i="3"/>
  <c r="R33" i="3"/>
  <c r="R67" i="3"/>
  <c r="R93" i="106" s="1"/>
  <c r="R96" i="106" s="1"/>
  <c r="R44" i="3"/>
  <c r="M188" i="3"/>
  <c r="S188" i="3"/>
  <c r="I68" i="3"/>
  <c r="I80" i="3"/>
  <c r="Q58" i="3"/>
  <c r="AK24" i="3"/>
  <c r="AK43" i="3"/>
  <c r="AK21" i="3"/>
  <c r="AK157" i="106" s="1"/>
  <c r="AK158" i="106" s="1"/>
  <c r="AK159" i="106" s="1"/>
  <c r="BC27" i="3"/>
  <c r="BC26" i="3"/>
  <c r="AB80" i="3"/>
  <c r="AB68" i="3"/>
  <c r="BE68" i="3"/>
  <c r="AK40" i="3"/>
  <c r="AK56" i="3"/>
  <c r="P68" i="3"/>
  <c r="P80" i="3"/>
  <c r="BT12" i="3"/>
  <c r="BU12" i="3" s="1"/>
  <c r="K68" i="3"/>
  <c r="K80" i="3"/>
  <c r="BI26" i="3"/>
  <c r="BI27" i="3"/>
  <c r="AQ24" i="3"/>
  <c r="AQ43" i="3"/>
  <c r="AQ21" i="3"/>
  <c r="AQ157" i="106" s="1"/>
  <c r="AQ158" i="106" s="1"/>
  <c r="AQ159" i="106" s="1"/>
  <c r="AE40" i="3"/>
  <c r="AE56" i="3"/>
  <c r="BA80" i="3"/>
  <c r="BA68" i="3"/>
  <c r="X33" i="3"/>
  <c r="X57" i="3"/>
  <c r="X44" i="3"/>
  <c r="X67" i="3"/>
  <c r="X93" i="106" s="1"/>
  <c r="X96" i="106" s="1"/>
  <c r="M40" i="3"/>
  <c r="M56" i="3"/>
  <c r="S56" i="3"/>
  <c r="BH68" i="3"/>
  <c r="BH80" i="3"/>
  <c r="P58" i="3"/>
  <c r="V58" i="3"/>
  <c r="AC68" i="3"/>
  <c r="AC80" i="3"/>
  <c r="L27" i="3"/>
  <c r="L26" i="3"/>
  <c r="AS33" i="3"/>
  <c r="AS67" i="3"/>
  <c r="AS93" i="106" s="1"/>
  <c r="AS96" i="106" s="1"/>
  <c r="AS44" i="3"/>
  <c r="AS57" i="3"/>
  <c r="AY57" i="3"/>
  <c r="AW27" i="3"/>
  <c r="AW26" i="3"/>
  <c r="AQ200" i="3"/>
  <c r="AN33" i="3"/>
  <c r="AN57" i="3"/>
  <c r="AN67" i="3"/>
  <c r="AN93" i="106" s="1"/>
  <c r="AN96" i="106" s="1"/>
  <c r="AN44" i="3"/>
  <c r="AJ27" i="3"/>
  <c r="AJ26" i="3"/>
  <c r="AQ56" i="3"/>
  <c r="AQ40" i="3"/>
  <c r="M24" i="3"/>
  <c r="M43" i="3"/>
  <c r="M21" i="3"/>
  <c r="M157" i="106" s="1"/>
  <c r="M158" i="106" s="1"/>
  <c r="M159" i="106" s="1"/>
  <c r="AD44" i="3"/>
  <c r="AD57" i="3"/>
  <c r="AD33" i="3"/>
  <c r="AD67" i="3"/>
  <c r="AD93" i="106" s="1"/>
  <c r="AD96" i="106" s="1"/>
  <c r="AO68" i="3"/>
  <c r="AO80" i="3"/>
  <c r="AP44" i="3"/>
  <c r="AP33" i="3"/>
  <c r="AP67" i="3"/>
  <c r="AP93" i="106" s="1"/>
  <c r="AP96" i="106" s="1"/>
  <c r="AE24" i="3"/>
  <c r="AE43" i="3"/>
  <c r="AE21" i="3"/>
  <c r="AE157" i="106" s="1"/>
  <c r="AE158" i="106" s="1"/>
  <c r="AE159" i="106" s="1"/>
  <c r="AK188" i="3"/>
  <c r="AU33" i="3"/>
  <c r="AU58" i="3" s="1"/>
  <c r="AU57" i="3"/>
  <c r="AU67" i="3"/>
  <c r="AU93" i="106" s="1"/>
  <c r="AU96" i="106" s="1"/>
  <c r="AU44" i="3"/>
  <c r="AQ188" i="3"/>
  <c r="U33" i="3"/>
  <c r="U57" i="3"/>
  <c r="U44" i="3"/>
  <c r="AA57" i="3"/>
  <c r="U67" i="3"/>
  <c r="U93" i="106" s="1"/>
  <c r="U96" i="106" s="1"/>
  <c r="BB27" i="3"/>
  <c r="BB26" i="3"/>
  <c r="AZ68" i="3"/>
  <c r="BS131" i="106"/>
  <c r="BS134" i="106" s="1"/>
  <c r="BR17" i="106"/>
  <c r="BG102" i="106"/>
  <c r="BF114" i="106"/>
  <c r="BF117" i="106" s="1"/>
  <c r="BZ77" i="106"/>
  <c r="BS88" i="106"/>
  <c r="K102" i="106"/>
  <c r="J114" i="106"/>
  <c r="J117" i="106" s="1"/>
  <c r="AT108" i="106"/>
  <c r="AT112" i="106"/>
  <c r="AC114" i="106"/>
  <c r="AD102" i="106"/>
  <c r="BS147" i="106"/>
  <c r="BA108" i="106"/>
  <c r="BA112" i="106"/>
  <c r="AT110" i="106"/>
  <c r="AS113" i="106"/>
  <c r="BS37" i="106"/>
  <c r="AZ113" i="106"/>
  <c r="BA110" i="106"/>
  <c r="E110" i="106"/>
  <c r="D113" i="106"/>
  <c r="AO114" i="106"/>
  <c r="AP102" i="106"/>
  <c r="S126" i="106"/>
  <c r="S124" i="106"/>
  <c r="BY77" i="106"/>
  <c r="AI102" i="106"/>
  <c r="AH114" i="106"/>
  <c r="E112" i="106"/>
  <c r="E108" i="106"/>
  <c r="G4" i="29"/>
  <c r="M4" i="29"/>
  <c r="S4" i="29"/>
  <c r="Y4" i="29"/>
  <c r="AE4" i="29"/>
  <c r="AK4" i="29"/>
  <c r="AQ4" i="29"/>
  <c r="AW4" i="29"/>
  <c r="BC4" i="29"/>
  <c r="BI4" i="29"/>
  <c r="BO4" i="29"/>
  <c r="BU4" i="29"/>
  <c r="CA4" i="29"/>
  <c r="CG4" i="29"/>
  <c r="G5" i="29"/>
  <c r="M5" i="29"/>
  <c r="S5" i="29"/>
  <c r="Y5" i="29"/>
  <c r="AE5" i="29"/>
  <c r="AK5" i="29"/>
  <c r="AQ5" i="29"/>
  <c r="AW5" i="29"/>
  <c r="BC5" i="29"/>
  <c r="BI5" i="29"/>
  <c r="BL5" i="29"/>
  <c r="BM5" i="29" s="1"/>
  <c r="BQ5" i="29"/>
  <c r="BW5" i="29" s="1"/>
  <c r="BX5" i="29" s="1"/>
  <c r="BY5" i="29" s="1"/>
  <c r="BZ5" i="29" s="1"/>
  <c r="BR5" i="29"/>
  <c r="BS5" i="29" s="1"/>
  <c r="BT5" i="29" s="1"/>
  <c r="AW6" i="29"/>
  <c r="AW40" i="29" s="1"/>
  <c r="BC6" i="29"/>
  <c r="BE40" i="29" s="1"/>
  <c r="BI6" i="29"/>
  <c r="BK40" i="29" s="1"/>
  <c r="BM36" i="29"/>
  <c r="AW8" i="29"/>
  <c r="BC8" i="29"/>
  <c r="BC37" i="29" s="1"/>
  <c r="BC22" i="29"/>
  <c r="BE56" i="29" s="1"/>
  <c r="BF56" i="29"/>
  <c r="BG56" i="29"/>
  <c r="BH56" i="29"/>
  <c r="BM37" i="29"/>
  <c r="BI22" i="29"/>
  <c r="BK56" i="29" s="1"/>
  <c r="BL56" i="29"/>
  <c r="BU56" i="29"/>
  <c r="CA56" i="29"/>
  <c r="CG56" i="29"/>
  <c r="Y11" i="29"/>
  <c r="Y27" i="29" s="1"/>
  <c r="Y29" i="29" s="1"/>
  <c r="Y31" i="29" s="1"/>
  <c r="AE11" i="29"/>
  <c r="AE27" i="29" s="1"/>
  <c r="AE29" i="29" s="1"/>
  <c r="AE31" i="29" s="1"/>
  <c r="AK11" i="29"/>
  <c r="AQ11" i="29"/>
  <c r="AS11" i="29"/>
  <c r="AS26" i="29" s="1"/>
  <c r="AS60" i="29" s="1"/>
  <c r="AT11" i="29"/>
  <c r="AU11" i="29"/>
  <c r="AU27" i="29" s="1"/>
  <c r="AU29" i="29" s="1"/>
  <c r="AU31" i="29" s="1"/>
  <c r="AV11" i="29"/>
  <c r="AV27" i="29" s="1"/>
  <c r="AV29" i="29" s="1"/>
  <c r="AV31" i="29" s="1"/>
  <c r="AW12" i="29"/>
  <c r="AY46" i="29" s="1"/>
  <c r="AW13" i="29"/>
  <c r="AW47" i="29" s="1"/>
  <c r="AW14" i="29"/>
  <c r="AW48" i="29" s="1"/>
  <c r="AW15" i="29"/>
  <c r="AW49" i="29" s="1"/>
  <c r="AW16" i="29"/>
  <c r="AY50" i="29" s="1"/>
  <c r="AY11" i="29"/>
  <c r="AY27" i="29" s="1"/>
  <c r="AY29" i="29" s="1"/>
  <c r="AY31" i="29" s="1"/>
  <c r="AZ11" i="29"/>
  <c r="AZ27" i="29" s="1"/>
  <c r="AZ29" i="29" s="1"/>
  <c r="AZ31" i="29" s="1"/>
  <c r="AZ35" i="29" s="1"/>
  <c r="BA11" i="29"/>
  <c r="BA27" i="29" s="1"/>
  <c r="BA29" i="29" s="1"/>
  <c r="BA31" i="29" s="1"/>
  <c r="BB11" i="29"/>
  <c r="BB27" i="29" s="1"/>
  <c r="BB29" i="29" s="1"/>
  <c r="BB31" i="29" s="1"/>
  <c r="BC12" i="29"/>
  <c r="BE46" i="29" s="1"/>
  <c r="BC13" i="29"/>
  <c r="BC14" i="29"/>
  <c r="BE48" i="29" s="1"/>
  <c r="BC15" i="29"/>
  <c r="BE49" i="29" s="1"/>
  <c r="BC16" i="29"/>
  <c r="BE50" i="29" s="1"/>
  <c r="BE11" i="29"/>
  <c r="BE27" i="29" s="1"/>
  <c r="BE29" i="29" s="1"/>
  <c r="BE31" i="29" s="1"/>
  <c r="BF11" i="29"/>
  <c r="BF27" i="29" s="1"/>
  <c r="BF29" i="29" s="1"/>
  <c r="BF31" i="29" s="1"/>
  <c r="BG11" i="29"/>
  <c r="BG27" i="29" s="1"/>
  <c r="BG29" i="29" s="1"/>
  <c r="BG31" i="29" s="1"/>
  <c r="BH11" i="29"/>
  <c r="BI11" i="29" s="1"/>
  <c r="BK11" i="29"/>
  <c r="BK27" i="29" s="1"/>
  <c r="BK29" i="29" s="1"/>
  <c r="BL11" i="29"/>
  <c r="BL27" i="29" s="1"/>
  <c r="BL29" i="29" s="1"/>
  <c r="BL31" i="29" s="1"/>
  <c r="BI12" i="29"/>
  <c r="BK46" i="29" s="1"/>
  <c r="BI13" i="29"/>
  <c r="BK47" i="29" s="1"/>
  <c r="BI14" i="29"/>
  <c r="BK48" i="29" s="1"/>
  <c r="BI15" i="29"/>
  <c r="BK49" i="29" s="1"/>
  <c r="BI16" i="29"/>
  <c r="BK50" i="29" s="1"/>
  <c r="BI17" i="29"/>
  <c r="BK51" i="29" s="1"/>
  <c r="AW20" i="29"/>
  <c r="AW54" i="29" s="1"/>
  <c r="BC20" i="29"/>
  <c r="BE54" i="29" s="1"/>
  <c r="BI20" i="29"/>
  <c r="BK54" i="29" s="1"/>
  <c r="AW21" i="29"/>
  <c r="AW55" i="29" s="1"/>
  <c r="BC21" i="29"/>
  <c r="BE55" i="29" s="1"/>
  <c r="BI21" i="29"/>
  <c r="BK55" i="29" s="1"/>
  <c r="BN112" i="29"/>
  <c r="AW22" i="29"/>
  <c r="AY56" i="29" s="1"/>
  <c r="BQ22" i="29"/>
  <c r="BR22" i="29" s="1"/>
  <c r="AW23" i="29"/>
  <c r="AY57" i="29" s="1"/>
  <c r="BC23" i="29"/>
  <c r="BE57" i="29" s="1"/>
  <c r="BI23" i="29"/>
  <c r="AW24" i="29"/>
  <c r="BC24" i="29"/>
  <c r="BE58" i="29" s="1"/>
  <c r="BI24" i="29"/>
  <c r="BK58" i="29" s="1"/>
  <c r="BM115" i="29"/>
  <c r="AW25" i="29"/>
  <c r="BC25" i="29"/>
  <c r="BI25" i="29"/>
  <c r="BK59" i="29" s="1"/>
  <c r="AW26" i="29"/>
  <c r="AW60" i="29" s="1"/>
  <c r="BC26" i="29"/>
  <c r="BE60" i="29" s="1"/>
  <c r="BI26" i="29"/>
  <c r="BK60" i="29" s="1"/>
  <c r="G27" i="29"/>
  <c r="G29" i="29" s="1"/>
  <c r="G31" i="29" s="1"/>
  <c r="M27" i="29"/>
  <c r="M29" i="29" s="1"/>
  <c r="M31" i="29" s="1"/>
  <c r="S27" i="29"/>
  <c r="S29" i="29" s="1"/>
  <c r="S31" i="29" s="1"/>
  <c r="AK27" i="29"/>
  <c r="AK29" i="29" s="1"/>
  <c r="AK31" i="29" s="1"/>
  <c r="AK35" i="29" s="1"/>
  <c r="AQ27" i="29"/>
  <c r="AQ29" i="29" s="1"/>
  <c r="AQ31" i="29" s="1"/>
  <c r="AS27" i="29"/>
  <c r="AS29" i="29" s="1"/>
  <c r="AS31" i="29" s="1"/>
  <c r="BH27" i="29"/>
  <c r="BH29" i="29" s="1"/>
  <c r="BH31" i="29" s="1"/>
  <c r="AW28" i="29"/>
  <c r="AY62" i="29" s="1"/>
  <c r="BC28" i="29"/>
  <c r="BE62" i="29" s="1"/>
  <c r="BI28" i="29"/>
  <c r="BK62" i="29" s="1"/>
  <c r="BK31" i="29"/>
  <c r="G33" i="29"/>
  <c r="M33" i="29"/>
  <c r="S33" i="29"/>
  <c r="Y33" i="29"/>
  <c r="AE33" i="29"/>
  <c r="AK33" i="29"/>
  <c r="AQ33" i="29"/>
  <c r="AS33" i="29"/>
  <c r="AT33" i="29"/>
  <c r="AU33" i="29"/>
  <c r="AV33" i="29"/>
  <c r="AY33" i="29"/>
  <c r="AZ33" i="29"/>
  <c r="BA33" i="29"/>
  <c r="BB33" i="29"/>
  <c r="BE33" i="29"/>
  <c r="BF33" i="29"/>
  <c r="BG33" i="29"/>
  <c r="BH33" i="29"/>
  <c r="BK33" i="29"/>
  <c r="BL33" i="29"/>
  <c r="G36" i="29"/>
  <c r="M36" i="29"/>
  <c r="S36" i="29"/>
  <c r="Y36" i="29"/>
  <c r="AE36" i="29"/>
  <c r="AK36" i="29"/>
  <c r="AQ36" i="29"/>
  <c r="AS36" i="29"/>
  <c r="AT36" i="29"/>
  <c r="AU36" i="29"/>
  <c r="AV36" i="29"/>
  <c r="AY36" i="29"/>
  <c r="AZ36" i="29"/>
  <c r="BA36" i="29"/>
  <c r="BB36" i="29"/>
  <c r="BE36" i="29"/>
  <c r="BF36" i="29"/>
  <c r="BG36" i="29"/>
  <c r="BH36" i="29"/>
  <c r="BK36" i="29"/>
  <c r="BL36" i="29"/>
  <c r="G37" i="29"/>
  <c r="M37" i="29"/>
  <c r="S37" i="29"/>
  <c r="Y37" i="29"/>
  <c r="AE37" i="29"/>
  <c r="AK37" i="29"/>
  <c r="AQ37" i="29"/>
  <c r="AS37" i="29"/>
  <c r="AT37" i="29"/>
  <c r="AU37" i="29"/>
  <c r="AV37" i="29"/>
  <c r="AW37" i="29"/>
  <c r="AY37" i="29"/>
  <c r="AZ37" i="29"/>
  <c r="BA37" i="29"/>
  <c r="BB37" i="29"/>
  <c r="BE37" i="29"/>
  <c r="BF37" i="29"/>
  <c r="BG37" i="29"/>
  <c r="BH37" i="29"/>
  <c r="BK37" i="29"/>
  <c r="BL37" i="29"/>
  <c r="M40" i="29"/>
  <c r="S40" i="29"/>
  <c r="Y40" i="29"/>
  <c r="AE40" i="29"/>
  <c r="AK40" i="29"/>
  <c r="AQ40" i="29"/>
  <c r="AS40" i="29"/>
  <c r="AT40" i="29"/>
  <c r="AU40" i="29"/>
  <c r="AV40" i="29"/>
  <c r="AZ40" i="29"/>
  <c r="BA40" i="29"/>
  <c r="BB40" i="29"/>
  <c r="BF40" i="29"/>
  <c r="BG40" i="29"/>
  <c r="BH40" i="29"/>
  <c r="BL40" i="29"/>
  <c r="BU40" i="29"/>
  <c r="CA40" i="29"/>
  <c r="CG40" i="29"/>
  <c r="M42" i="29"/>
  <c r="S42" i="29"/>
  <c r="Y42" i="29"/>
  <c r="AE42" i="29"/>
  <c r="AK42" i="29"/>
  <c r="AQ42" i="29"/>
  <c r="AS42" i="29"/>
  <c r="AT42" i="29"/>
  <c r="AU42" i="29"/>
  <c r="AV42" i="29"/>
  <c r="AZ42" i="29"/>
  <c r="BA42" i="29"/>
  <c r="BB42" i="29"/>
  <c r="BF42" i="29"/>
  <c r="BG42" i="29"/>
  <c r="BH42" i="29"/>
  <c r="BL42" i="29"/>
  <c r="BU42" i="29"/>
  <c r="CA42" i="29"/>
  <c r="CG42" i="29"/>
  <c r="M46" i="29"/>
  <c r="M47" i="29"/>
  <c r="M48" i="29"/>
  <c r="M49" i="29"/>
  <c r="M50" i="29"/>
  <c r="S46" i="29"/>
  <c r="S47" i="29"/>
  <c r="S48" i="29"/>
  <c r="S49" i="29"/>
  <c r="S50" i="29"/>
  <c r="Y46" i="29"/>
  <c r="Y47" i="29"/>
  <c r="Y48" i="29"/>
  <c r="Y49" i="29"/>
  <c r="Y50" i="29"/>
  <c r="AE46" i="29"/>
  <c r="AE47" i="29"/>
  <c r="AE48" i="29"/>
  <c r="AE49" i="29"/>
  <c r="AE50" i="29"/>
  <c r="AK46" i="29"/>
  <c r="AK47" i="29"/>
  <c r="AK48" i="29"/>
  <c r="AK49" i="29"/>
  <c r="AK50" i="29"/>
  <c r="AQ46" i="29"/>
  <c r="AQ47" i="29"/>
  <c r="AQ48" i="29"/>
  <c r="AQ49" i="29"/>
  <c r="AQ50" i="29"/>
  <c r="AS46" i="29"/>
  <c r="AS47" i="29"/>
  <c r="AS48" i="29"/>
  <c r="AS49" i="29"/>
  <c r="AS50" i="29"/>
  <c r="AT46" i="29"/>
  <c r="AT47" i="29"/>
  <c r="AT48" i="29"/>
  <c r="AT49" i="29"/>
  <c r="AT50" i="29"/>
  <c r="AU46" i="29"/>
  <c r="AU47" i="29"/>
  <c r="AU48" i="29"/>
  <c r="AU49" i="29"/>
  <c r="AU50" i="29"/>
  <c r="AV46" i="29"/>
  <c r="AV47" i="29"/>
  <c r="AV48" i="29"/>
  <c r="AV49" i="29"/>
  <c r="AV50" i="29"/>
  <c r="AY49" i="29"/>
  <c r="AZ46" i="29"/>
  <c r="AZ47" i="29"/>
  <c r="AZ48" i="29"/>
  <c r="AZ49" i="29"/>
  <c r="AZ50" i="29"/>
  <c r="BA46" i="29"/>
  <c r="BA47" i="29"/>
  <c r="BA48" i="29"/>
  <c r="BA49" i="29"/>
  <c r="BA50" i="29"/>
  <c r="BB46" i="29"/>
  <c r="BB47" i="29"/>
  <c r="BB48" i="29"/>
  <c r="BB49" i="29"/>
  <c r="BB50" i="29"/>
  <c r="BE47" i="29"/>
  <c r="BF46" i="29"/>
  <c r="BF47" i="29"/>
  <c r="BF48" i="29"/>
  <c r="BF49" i="29"/>
  <c r="BF50" i="29"/>
  <c r="BG46" i="29"/>
  <c r="BG47" i="29"/>
  <c r="BG48" i="29"/>
  <c r="BG49" i="29"/>
  <c r="BG50" i="29"/>
  <c r="BH46" i="29"/>
  <c r="BH47" i="29"/>
  <c r="BH48" i="29"/>
  <c r="BH49" i="29"/>
  <c r="BH50" i="29"/>
  <c r="BL46" i="29"/>
  <c r="BL47" i="29"/>
  <c r="BL48" i="29"/>
  <c r="BL49" i="29"/>
  <c r="BL50" i="29"/>
  <c r="BQ61" i="29"/>
  <c r="BR61" i="29"/>
  <c r="BS61" i="29"/>
  <c r="BT61" i="29"/>
  <c r="BU46" i="29"/>
  <c r="BU47" i="29"/>
  <c r="BU48" i="29"/>
  <c r="BU49" i="29"/>
  <c r="BU50" i="29"/>
  <c r="BW61" i="29"/>
  <c r="BX61" i="29"/>
  <c r="BY61" i="29"/>
  <c r="BZ61" i="29"/>
  <c r="CA46" i="29"/>
  <c r="CA47" i="29"/>
  <c r="CA48" i="29"/>
  <c r="CA49" i="29"/>
  <c r="CA50" i="29"/>
  <c r="CC61" i="29"/>
  <c r="CD61" i="29"/>
  <c r="CE61" i="29"/>
  <c r="CF61" i="29"/>
  <c r="CG46" i="29"/>
  <c r="CG47" i="29"/>
  <c r="CG48" i="29"/>
  <c r="CG49" i="29"/>
  <c r="CG50" i="29"/>
  <c r="AS51" i="29"/>
  <c r="AT51" i="29"/>
  <c r="AU51" i="29"/>
  <c r="AV51" i="29"/>
  <c r="AW51" i="29"/>
  <c r="AY51" i="29"/>
  <c r="AZ51" i="29"/>
  <c r="BA51" i="29"/>
  <c r="BB51" i="29"/>
  <c r="BE51" i="29"/>
  <c r="BF51" i="29"/>
  <c r="BG51" i="29"/>
  <c r="BH51" i="29"/>
  <c r="BL51" i="29"/>
  <c r="BU51" i="29"/>
  <c r="CA51" i="29"/>
  <c r="CG51" i="29"/>
  <c r="M54" i="29"/>
  <c r="S54" i="29"/>
  <c r="Y54" i="29"/>
  <c r="AE54" i="29"/>
  <c r="AK54" i="29"/>
  <c r="AQ54" i="29"/>
  <c r="AS54" i="29"/>
  <c r="AT54" i="29"/>
  <c r="AU54" i="29"/>
  <c r="AV54" i="29"/>
  <c r="AZ54" i="29"/>
  <c r="BA54" i="29"/>
  <c r="BB54" i="29"/>
  <c r="BF54" i="29"/>
  <c r="BG54" i="29"/>
  <c r="BH54" i="29"/>
  <c r="BL54" i="29"/>
  <c r="BU54" i="29"/>
  <c r="CA54" i="29"/>
  <c r="CG54" i="29"/>
  <c r="M55" i="29"/>
  <c r="S55" i="29"/>
  <c r="Y55" i="29"/>
  <c r="AE55" i="29"/>
  <c r="AK55" i="29"/>
  <c r="AQ55" i="29"/>
  <c r="AS55" i="29"/>
  <c r="AT55" i="29"/>
  <c r="AU55" i="29"/>
  <c r="AV55" i="29"/>
  <c r="AZ55" i="29"/>
  <c r="BA55" i="29"/>
  <c r="BB55" i="29"/>
  <c r="BF55" i="29"/>
  <c r="BG55" i="29"/>
  <c r="BH55" i="29"/>
  <c r="BL55" i="29"/>
  <c r="BU55" i="29"/>
  <c r="CA55" i="29"/>
  <c r="CG55" i="29"/>
  <c r="M56" i="29"/>
  <c r="S56" i="29"/>
  <c r="Y56" i="29"/>
  <c r="AE56" i="29"/>
  <c r="AK56" i="29"/>
  <c r="AQ56" i="29"/>
  <c r="AS56" i="29"/>
  <c r="AT56" i="29"/>
  <c r="AU56" i="29"/>
  <c r="AV56" i="29"/>
  <c r="AZ56" i="29"/>
  <c r="BA56" i="29"/>
  <c r="BB56" i="29"/>
  <c r="M57" i="29"/>
  <c r="S57" i="29"/>
  <c r="Y57" i="29"/>
  <c r="AE57" i="29"/>
  <c r="AK57" i="29"/>
  <c r="AQ57" i="29"/>
  <c r="AS57" i="29"/>
  <c r="AT57" i="29"/>
  <c r="AU57" i="29"/>
  <c r="AV57" i="29"/>
  <c r="AZ57" i="29"/>
  <c r="BA57" i="29"/>
  <c r="BB57" i="29"/>
  <c r="BF57" i="29"/>
  <c r="BG57" i="29"/>
  <c r="BH57" i="29"/>
  <c r="BK57" i="29"/>
  <c r="BL57" i="29"/>
  <c r="BU57" i="29"/>
  <c r="CA57" i="29"/>
  <c r="CG57" i="29"/>
  <c r="M58" i="29"/>
  <c r="S58" i="29"/>
  <c r="Y58" i="29"/>
  <c r="AE58" i="29"/>
  <c r="AK58" i="29"/>
  <c r="AQ58" i="29"/>
  <c r="AS58" i="29"/>
  <c r="AT58" i="29"/>
  <c r="AU58" i="29"/>
  <c r="AV58" i="29"/>
  <c r="AZ58" i="29"/>
  <c r="BA58" i="29"/>
  <c r="BB58" i="29"/>
  <c r="BF58" i="29"/>
  <c r="BG58" i="29"/>
  <c r="BH58" i="29"/>
  <c r="BL58" i="29"/>
  <c r="BU58" i="29"/>
  <c r="CA58" i="29"/>
  <c r="CG58" i="29"/>
  <c r="M59" i="29"/>
  <c r="S59" i="29"/>
  <c r="Y59" i="29"/>
  <c r="AE59" i="29"/>
  <c r="AK59" i="29"/>
  <c r="AQ59" i="29"/>
  <c r="AS59" i="29"/>
  <c r="AT59" i="29"/>
  <c r="AU59" i="29"/>
  <c r="AV59" i="29"/>
  <c r="AZ59" i="29"/>
  <c r="BA59" i="29"/>
  <c r="BB59" i="29"/>
  <c r="BE59" i="29"/>
  <c r="BF59" i="29"/>
  <c r="BG59" i="29"/>
  <c r="BH59" i="29"/>
  <c r="BL59" i="29"/>
  <c r="BU59" i="29"/>
  <c r="CA59" i="29"/>
  <c r="CG59" i="29"/>
  <c r="M60" i="29"/>
  <c r="S60" i="29"/>
  <c r="Y60" i="29"/>
  <c r="AE60" i="29"/>
  <c r="AK60" i="29"/>
  <c r="AQ60" i="29"/>
  <c r="AV60" i="29"/>
  <c r="AY60" i="29"/>
  <c r="AZ60" i="29"/>
  <c r="BC60" i="29" s="1"/>
  <c r="BA60" i="29"/>
  <c r="BB60" i="29"/>
  <c r="BF60" i="29"/>
  <c r="BG60" i="29"/>
  <c r="BH60" i="29"/>
  <c r="BL60" i="29"/>
  <c r="BU60" i="29"/>
  <c r="CA60" i="29"/>
  <c r="CG60" i="29"/>
  <c r="M62" i="29"/>
  <c r="S62" i="29"/>
  <c r="Y62" i="29"/>
  <c r="AE62" i="29"/>
  <c r="AK62" i="29"/>
  <c r="AQ62" i="29"/>
  <c r="AS62" i="29"/>
  <c r="AT62" i="29"/>
  <c r="AU62" i="29"/>
  <c r="AV62" i="29"/>
  <c r="AZ62" i="29"/>
  <c r="BA62" i="29"/>
  <c r="BB62" i="29"/>
  <c r="BF62" i="29"/>
  <c r="BG62" i="29"/>
  <c r="BH62" i="29"/>
  <c r="BL62" i="29"/>
  <c r="BQ62" i="29"/>
  <c r="BR62" i="29"/>
  <c r="BS62" i="29"/>
  <c r="BT62" i="29"/>
  <c r="BW62" i="29"/>
  <c r="BX62" i="29"/>
  <c r="BY62" i="29"/>
  <c r="BZ62" i="29"/>
  <c r="CC62" i="29"/>
  <c r="CD62" i="29"/>
  <c r="CE62" i="29"/>
  <c r="CF62" i="29"/>
  <c r="C65" i="29"/>
  <c r="D65" i="29"/>
  <c r="E65" i="29"/>
  <c r="F65" i="29"/>
  <c r="G65" i="29"/>
  <c r="I65" i="29"/>
  <c r="J65" i="29"/>
  <c r="K65" i="29"/>
  <c r="L65" i="29"/>
  <c r="O65" i="29"/>
  <c r="P65" i="29"/>
  <c r="Q65" i="29"/>
  <c r="R65" i="29"/>
  <c r="U65" i="29"/>
  <c r="V65" i="29"/>
  <c r="W65" i="29"/>
  <c r="X65" i="29"/>
  <c r="AA65" i="29"/>
  <c r="AB65" i="29"/>
  <c r="AC65" i="29"/>
  <c r="AD65" i="29"/>
  <c r="AG65" i="29"/>
  <c r="AH65" i="29"/>
  <c r="AI65" i="29"/>
  <c r="AJ65" i="29"/>
  <c r="AM65" i="29"/>
  <c r="AN65" i="29"/>
  <c r="AO65" i="29"/>
  <c r="AP65" i="29"/>
  <c r="S67" i="29"/>
  <c r="BQ67" i="29"/>
  <c r="BQ34" i="107" s="1"/>
  <c r="BR67" i="29"/>
  <c r="BR34" i="107" s="1"/>
  <c r="BS67" i="29"/>
  <c r="BS34" i="107" s="1"/>
  <c r="BT67" i="29"/>
  <c r="BT34" i="107" s="1"/>
  <c r="BW67" i="29"/>
  <c r="BW34" i="107" s="1"/>
  <c r="BX67" i="29"/>
  <c r="BX34" i="107" s="1"/>
  <c r="BY67" i="29"/>
  <c r="BY34" i="107" s="1"/>
  <c r="BZ67" i="29"/>
  <c r="BZ34" i="107" s="1"/>
  <c r="CC67" i="29"/>
  <c r="CC34" i="107" s="1"/>
  <c r="CD67" i="29"/>
  <c r="CD34" i="107" s="1"/>
  <c r="CE67" i="29"/>
  <c r="CE34" i="107" s="1"/>
  <c r="CF67" i="29"/>
  <c r="CF34" i="107" s="1"/>
  <c r="BL71" i="29"/>
  <c r="BM71" i="29" s="1"/>
  <c r="BN71" i="29" s="1"/>
  <c r="BQ71" i="29" s="1"/>
  <c r="BR71" i="29" s="1"/>
  <c r="BS71" i="29" s="1"/>
  <c r="BT71" i="29" s="1"/>
  <c r="BW71" i="29" s="1"/>
  <c r="BX71" i="29" s="1"/>
  <c r="BY71" i="29" s="1"/>
  <c r="BZ71" i="29" s="1"/>
  <c r="CC71" i="29" s="1"/>
  <c r="CD71" i="29" s="1"/>
  <c r="CE71" i="29" s="1"/>
  <c r="CF71" i="29" s="1"/>
  <c r="M103" i="29"/>
  <c r="M104" i="29"/>
  <c r="M105" i="29"/>
  <c r="M106" i="29"/>
  <c r="M107" i="29"/>
  <c r="M111" i="29"/>
  <c r="M112" i="29"/>
  <c r="M113" i="29"/>
  <c r="M114" i="29"/>
  <c r="M115" i="29"/>
  <c r="M116" i="29"/>
  <c r="M91" i="29"/>
  <c r="M117" i="29" s="1"/>
  <c r="M124" i="29"/>
  <c r="M97" i="29"/>
  <c r="S103" i="29"/>
  <c r="S104" i="29"/>
  <c r="S105" i="29"/>
  <c r="S106" i="29"/>
  <c r="S107" i="29"/>
  <c r="S111" i="29"/>
  <c r="S112" i="29"/>
  <c r="S113" i="29"/>
  <c r="S114" i="29"/>
  <c r="S115" i="29"/>
  <c r="S116" i="29"/>
  <c r="S91" i="29"/>
  <c r="S117" i="29" s="1"/>
  <c r="S124" i="29"/>
  <c r="S97" i="29"/>
  <c r="Y103" i="29"/>
  <c r="Y104" i="29"/>
  <c r="Y105" i="29"/>
  <c r="Y106" i="29"/>
  <c r="Y107" i="29"/>
  <c r="Y111" i="29"/>
  <c r="Y112" i="29"/>
  <c r="Y113" i="29"/>
  <c r="Y114" i="29"/>
  <c r="Y115" i="29"/>
  <c r="Y90" i="29"/>
  <c r="Y116" i="29"/>
  <c r="Y91" i="29"/>
  <c r="Y117" i="29" s="1"/>
  <c r="Y124" i="29"/>
  <c r="Y97" i="29"/>
  <c r="AE103" i="29"/>
  <c r="AE104" i="29"/>
  <c r="AE105" i="29"/>
  <c r="AE106" i="29"/>
  <c r="AE107" i="29"/>
  <c r="AE111" i="29"/>
  <c r="AE112" i="29"/>
  <c r="AE113" i="29"/>
  <c r="AE114" i="29"/>
  <c r="AE115" i="29"/>
  <c r="AE90" i="29"/>
  <c r="AE116" i="29" s="1"/>
  <c r="AE91" i="29"/>
  <c r="AE117" i="29" s="1"/>
  <c r="AE124" i="29"/>
  <c r="AE97" i="29"/>
  <c r="AK103" i="29"/>
  <c r="AK104" i="29"/>
  <c r="AK105" i="29"/>
  <c r="AK106" i="29"/>
  <c r="AK107" i="29"/>
  <c r="AK111" i="29"/>
  <c r="AK112" i="29"/>
  <c r="AK113" i="29"/>
  <c r="AK114" i="29"/>
  <c r="AK115" i="29"/>
  <c r="AK90" i="29"/>
  <c r="AK116" i="29" s="1"/>
  <c r="AK91" i="29"/>
  <c r="AK117" i="29" s="1"/>
  <c r="AK124" i="29"/>
  <c r="AK97" i="29"/>
  <c r="AQ103" i="29"/>
  <c r="AQ104" i="29"/>
  <c r="AQ105" i="29"/>
  <c r="AQ106" i="29"/>
  <c r="AQ107" i="29"/>
  <c r="AQ111" i="29"/>
  <c r="AQ112" i="29"/>
  <c r="AQ113" i="29"/>
  <c r="AQ114" i="29"/>
  <c r="AQ115" i="29"/>
  <c r="AQ90" i="29"/>
  <c r="AQ116" i="29"/>
  <c r="AQ91" i="29"/>
  <c r="AQ117" i="29" s="1"/>
  <c r="AQ124" i="29"/>
  <c r="AQ97" i="29"/>
  <c r="AS103" i="29"/>
  <c r="AS104" i="29"/>
  <c r="AS105" i="29"/>
  <c r="AS106" i="29"/>
  <c r="AS107" i="29"/>
  <c r="AS111" i="29"/>
  <c r="AS112" i="29"/>
  <c r="AS113" i="29"/>
  <c r="AT88" i="29"/>
  <c r="AS88" i="29" s="1"/>
  <c r="AS114" i="29" s="1"/>
  <c r="AS115" i="29"/>
  <c r="AS90" i="29"/>
  <c r="AS116" i="29" s="1"/>
  <c r="AU91" i="29"/>
  <c r="AT91" i="29"/>
  <c r="AS91" i="29" s="1"/>
  <c r="AS124" i="29"/>
  <c r="AS97" i="29"/>
  <c r="AT103" i="29"/>
  <c r="AT104" i="29"/>
  <c r="AT105" i="29"/>
  <c r="AT106" i="29"/>
  <c r="AT107" i="29"/>
  <c r="AT111" i="29"/>
  <c r="AT112" i="29"/>
  <c r="AT113" i="29"/>
  <c r="AT115" i="29"/>
  <c r="AT90" i="29"/>
  <c r="AT116" i="29"/>
  <c r="AT124" i="29"/>
  <c r="AT97" i="29"/>
  <c r="AU103" i="29"/>
  <c r="AU104" i="29"/>
  <c r="AU105" i="29"/>
  <c r="AU106" i="29"/>
  <c r="AU107" i="29"/>
  <c r="AU111" i="29"/>
  <c r="AU112" i="29"/>
  <c r="AU113" i="29"/>
  <c r="AU114" i="29"/>
  <c r="AU115" i="29"/>
  <c r="AU90" i="29"/>
  <c r="AU116" i="29" s="1"/>
  <c r="AU124" i="29"/>
  <c r="AU97" i="29"/>
  <c r="AV103" i="29"/>
  <c r="AV104" i="29"/>
  <c r="AV105" i="29"/>
  <c r="AV106" i="29"/>
  <c r="AV107" i="29"/>
  <c r="AV111" i="29"/>
  <c r="AV112" i="29"/>
  <c r="AV113" i="29"/>
  <c r="AV114" i="29"/>
  <c r="AV115" i="29"/>
  <c r="AV90" i="29"/>
  <c r="AV116" i="29" s="1"/>
  <c r="AV91" i="29"/>
  <c r="AV117" i="29" s="1"/>
  <c r="AV124" i="29"/>
  <c r="AV97" i="29"/>
  <c r="AY103" i="29"/>
  <c r="AY104" i="29"/>
  <c r="AY105" i="29"/>
  <c r="AY106" i="29"/>
  <c r="AY107" i="29"/>
  <c r="AY111" i="29"/>
  <c r="AY112" i="29"/>
  <c r="AY113" i="29"/>
  <c r="AY114" i="29"/>
  <c r="AY115" i="29"/>
  <c r="AY90" i="29"/>
  <c r="AY116" i="29" s="1"/>
  <c r="AY91" i="29"/>
  <c r="AY117" i="29" s="1"/>
  <c r="AY124" i="29"/>
  <c r="AY97" i="29"/>
  <c r="AZ103" i="29"/>
  <c r="AZ104" i="29"/>
  <c r="AZ105" i="29"/>
  <c r="AZ106" i="29"/>
  <c r="AZ107" i="29"/>
  <c r="AZ111" i="29"/>
  <c r="AZ112" i="29"/>
  <c r="AZ113" i="29"/>
  <c r="AZ114" i="29"/>
  <c r="AZ115" i="29"/>
  <c r="AZ90" i="29"/>
  <c r="AZ116" i="29" s="1"/>
  <c r="AZ91" i="29"/>
  <c r="AZ117" i="29" s="1"/>
  <c r="AZ124" i="29"/>
  <c r="AZ97" i="29"/>
  <c r="BA103" i="29"/>
  <c r="BA104" i="29"/>
  <c r="BA105" i="29"/>
  <c r="BA106" i="29"/>
  <c r="BA107" i="29"/>
  <c r="BA111" i="29"/>
  <c r="BA112" i="29"/>
  <c r="BA113" i="29"/>
  <c r="BA114" i="29"/>
  <c r="BA115" i="29"/>
  <c r="BA90" i="29"/>
  <c r="BA116" i="29" s="1"/>
  <c r="BA91" i="29"/>
  <c r="BA117" i="29" s="1"/>
  <c r="BA124" i="29"/>
  <c r="BA97" i="29"/>
  <c r="BB103" i="29"/>
  <c r="BB104" i="29"/>
  <c r="BB105" i="29"/>
  <c r="BB106" i="29"/>
  <c r="BB107" i="29"/>
  <c r="BB111" i="29"/>
  <c r="BB112" i="29"/>
  <c r="BB113" i="29"/>
  <c r="BB114" i="29"/>
  <c r="BB115" i="29"/>
  <c r="BB90" i="29"/>
  <c r="BB116" i="29" s="1"/>
  <c r="BB91" i="29"/>
  <c r="BB117" i="29" s="1"/>
  <c r="BB124" i="29"/>
  <c r="BB97" i="29"/>
  <c r="BE103" i="29"/>
  <c r="BE104" i="29"/>
  <c r="BE105" i="29"/>
  <c r="BE106" i="29"/>
  <c r="BE107" i="29"/>
  <c r="BE111" i="29"/>
  <c r="BE112" i="29"/>
  <c r="BE113" i="29"/>
  <c r="BE114" i="29"/>
  <c r="BE115" i="29"/>
  <c r="BE90" i="29"/>
  <c r="BE116" i="29" s="1"/>
  <c r="BI116" i="29" s="1"/>
  <c r="BE91" i="29"/>
  <c r="BE117" i="29" s="1"/>
  <c r="BE124" i="29"/>
  <c r="BE97" i="29"/>
  <c r="BF103" i="29"/>
  <c r="BF104" i="29"/>
  <c r="BF105" i="29"/>
  <c r="BF106" i="29"/>
  <c r="BF107" i="29"/>
  <c r="BF111" i="29"/>
  <c r="BF112" i="29"/>
  <c r="BF113" i="29"/>
  <c r="BF114" i="29"/>
  <c r="BF115" i="29"/>
  <c r="BF90" i="29"/>
  <c r="BF116" i="29" s="1"/>
  <c r="BF91" i="29"/>
  <c r="BF117" i="29" s="1"/>
  <c r="BF124" i="29"/>
  <c r="BF97" i="29"/>
  <c r="BG103" i="29"/>
  <c r="BG104" i="29"/>
  <c r="BG105" i="29"/>
  <c r="BG106" i="29"/>
  <c r="BG107" i="29"/>
  <c r="BG111" i="29"/>
  <c r="BG112" i="29"/>
  <c r="BG113" i="29"/>
  <c r="BG114" i="29"/>
  <c r="BG115" i="29"/>
  <c r="BG90" i="29"/>
  <c r="BG116" i="29" s="1"/>
  <c r="BG91" i="29"/>
  <c r="BG117" i="29"/>
  <c r="BG124" i="29"/>
  <c r="BG97" i="29"/>
  <c r="BH103" i="29"/>
  <c r="BH104" i="29"/>
  <c r="BH105" i="29"/>
  <c r="BH106" i="29"/>
  <c r="BH107" i="29"/>
  <c r="BH111" i="29"/>
  <c r="BH112" i="29"/>
  <c r="BH113" i="29"/>
  <c r="BH88" i="29"/>
  <c r="BH114" i="29" s="1"/>
  <c r="BH115" i="29"/>
  <c r="BH90" i="29"/>
  <c r="BH116" i="29" s="1"/>
  <c r="BH91" i="29"/>
  <c r="BH117" i="29" s="1"/>
  <c r="BH124" i="29"/>
  <c r="BH97" i="29"/>
  <c r="BK103" i="29"/>
  <c r="BK104" i="29"/>
  <c r="BK105" i="29"/>
  <c r="BK106" i="29"/>
  <c r="BK107" i="29"/>
  <c r="BK111" i="29"/>
  <c r="BK112" i="29"/>
  <c r="BK113" i="29"/>
  <c r="BK114" i="29"/>
  <c r="BK115" i="29"/>
  <c r="BK90" i="29"/>
  <c r="BK91" i="29"/>
  <c r="BK117" i="29" s="1"/>
  <c r="BK124" i="29"/>
  <c r="BK97" i="29"/>
  <c r="BL77" i="29"/>
  <c r="BL103" i="29" s="1"/>
  <c r="BL78" i="29"/>
  <c r="BM78" i="29" s="1"/>
  <c r="BN78" i="29" s="1"/>
  <c r="BQ78" i="29" s="1"/>
  <c r="BR78" i="29" s="1"/>
  <c r="BS78" i="29" s="1"/>
  <c r="BT78" i="29" s="1"/>
  <c r="BW78" i="29" s="1"/>
  <c r="BX78" i="29" s="1"/>
  <c r="BY78" i="29" s="1"/>
  <c r="BZ78" i="29" s="1"/>
  <c r="CC78" i="29" s="1"/>
  <c r="CD78" i="29" s="1"/>
  <c r="CE78" i="29" s="1"/>
  <c r="CF78" i="29" s="1"/>
  <c r="BL79" i="29"/>
  <c r="BL80" i="29"/>
  <c r="BL81" i="29"/>
  <c r="BM81" i="29" s="1"/>
  <c r="BL85" i="29"/>
  <c r="BL111" i="29" s="1"/>
  <c r="BL112" i="29"/>
  <c r="BL113" i="29"/>
  <c r="BL88" i="29"/>
  <c r="BL114" i="29" s="1"/>
  <c r="BL115" i="29"/>
  <c r="BL91" i="29"/>
  <c r="BL117" i="29" s="1"/>
  <c r="BM113" i="29"/>
  <c r="G91" i="29"/>
  <c r="C124" i="29"/>
  <c r="D124" i="29"/>
  <c r="E124" i="29"/>
  <c r="F124" i="29"/>
  <c r="G124" i="29"/>
  <c r="I124" i="29"/>
  <c r="J124" i="29"/>
  <c r="K124" i="29"/>
  <c r="L124" i="29"/>
  <c r="O124" i="29"/>
  <c r="P124" i="29"/>
  <c r="Q124" i="29"/>
  <c r="R124" i="29"/>
  <c r="U124" i="29"/>
  <c r="V124" i="29"/>
  <c r="W124" i="29"/>
  <c r="X124" i="29"/>
  <c r="AA124" i="29"/>
  <c r="AB124" i="29"/>
  <c r="AC124" i="29"/>
  <c r="AD124" i="29"/>
  <c r="AG124" i="29"/>
  <c r="AH124" i="29"/>
  <c r="AI124" i="29"/>
  <c r="AJ124" i="29"/>
  <c r="AM124" i="29"/>
  <c r="AN124" i="29"/>
  <c r="AO124" i="29"/>
  <c r="AP124" i="29"/>
  <c r="AW124" i="29"/>
  <c r="BC124" i="29"/>
  <c r="BI124" i="29"/>
  <c r="BL124" i="29"/>
  <c r="BL118" i="29" s="1"/>
  <c r="AM68" i="3" l="1"/>
  <c r="AT80" i="3"/>
  <c r="BE80" i="3"/>
  <c r="AM80" i="3"/>
  <c r="BA201" i="3"/>
  <c r="AJ181" i="119" s="1"/>
  <c r="AZ80" i="3"/>
  <c r="AT68" i="3"/>
  <c r="BO175" i="106"/>
  <c r="AZ201" i="3"/>
  <c r="AI181" i="119" s="1"/>
  <c r="Y179" i="106"/>
  <c r="BE201" i="3"/>
  <c r="BI199" i="3"/>
  <c r="R181" i="119"/>
  <c r="AN58" i="3"/>
  <c r="BC189" i="3"/>
  <c r="AG202" i="3"/>
  <c r="Y180" i="106"/>
  <c r="Y58" i="106" s="1"/>
  <c r="BB199" i="3"/>
  <c r="BB200" i="3" s="1"/>
  <c r="BG200" i="3"/>
  <c r="AY68" i="3"/>
  <c r="AY80" i="3"/>
  <c r="BI190" i="3"/>
  <c r="O93" i="106"/>
  <c r="O96" i="106" s="1"/>
  <c r="S96" i="106" s="1"/>
  <c r="O68" i="3"/>
  <c r="O80" i="3"/>
  <c r="AH68" i="3"/>
  <c r="AH80" i="3"/>
  <c r="AK200" i="3"/>
  <c r="AE181" i="119"/>
  <c r="AH202" i="3"/>
  <c r="S181" i="119"/>
  <c r="BG68" i="3"/>
  <c r="J181" i="119"/>
  <c r="AQ181" i="119"/>
  <c r="AP201" i="3"/>
  <c r="AC181" i="119" s="1"/>
  <c r="I181" i="119"/>
  <c r="AO181" i="119"/>
  <c r="AP181" i="119"/>
  <c r="AA181" i="119"/>
  <c r="AM181" i="119"/>
  <c r="BG80" i="3"/>
  <c r="X181" i="119"/>
  <c r="E93" i="106"/>
  <c r="E96" i="106" s="1"/>
  <c r="E80" i="3"/>
  <c r="E68" i="3"/>
  <c r="AY40" i="29"/>
  <c r="AK67" i="29"/>
  <c r="CF63" i="29"/>
  <c r="CF65" i="29" s="1"/>
  <c r="AW62" i="29"/>
  <c r="AE67" i="29"/>
  <c r="BU67" i="29"/>
  <c r="AV67" i="29"/>
  <c r="AV190" i="3"/>
  <c r="AV199" i="3"/>
  <c r="AW199" i="3" s="1"/>
  <c r="BM62" i="106"/>
  <c r="BM64" i="106"/>
  <c r="AW189" i="3"/>
  <c r="BL45" i="29"/>
  <c r="BL61" i="29" s="1"/>
  <c r="BL63" i="29" s="1"/>
  <c r="BL65" i="29" s="1"/>
  <c r="BN108" i="29"/>
  <c r="BO108" i="29" s="1"/>
  <c r="BM97" i="29"/>
  <c r="CG62" i="29"/>
  <c r="BO12" i="29"/>
  <c r="CA45" i="29"/>
  <c r="CA61" i="29" s="1"/>
  <c r="BK45" i="29"/>
  <c r="BK61" i="29" s="1"/>
  <c r="BK63" i="29" s="1"/>
  <c r="CG45" i="29"/>
  <c r="CG61" i="29" s="1"/>
  <c r="CG63" i="29" s="1"/>
  <c r="CG65" i="29" s="1"/>
  <c r="BU45" i="29"/>
  <c r="BO60" i="29"/>
  <c r="BO56" i="29"/>
  <c r="S45" i="29"/>
  <c r="S61" i="29" s="1"/>
  <c r="S63" i="29" s="1"/>
  <c r="S65" i="29" s="1"/>
  <c r="S68" i="29" s="1"/>
  <c r="BL97" i="29"/>
  <c r="BI97" i="29"/>
  <c r="BC111" i="29"/>
  <c r="BC104" i="29"/>
  <c r="AW112" i="29"/>
  <c r="AT114" i="29"/>
  <c r="AW114" i="29" s="1"/>
  <c r="BI115" i="29"/>
  <c r="BB67" i="29"/>
  <c r="Y67" i="29"/>
  <c r="BO50" i="29"/>
  <c r="BI56" i="29"/>
  <c r="BI8" i="29" s="1"/>
  <c r="BI33" i="29" s="1"/>
  <c r="BM85" i="29"/>
  <c r="BN85" i="29" s="1"/>
  <c r="BQ85" i="29" s="1"/>
  <c r="BR85" i="29" s="1"/>
  <c r="BX63" i="29"/>
  <c r="BX65" i="29" s="1"/>
  <c r="BX68" i="29" s="1"/>
  <c r="BQ63" i="29"/>
  <c r="BQ65" i="29" s="1"/>
  <c r="BQ68" i="29" s="1"/>
  <c r="BQ35" i="107" s="1"/>
  <c r="AY47" i="29"/>
  <c r="BG67" i="29"/>
  <c r="BE42" i="29"/>
  <c r="BE67" i="29" s="1"/>
  <c r="BF67" i="29"/>
  <c r="BC36" i="29"/>
  <c r="BC33" i="29"/>
  <c r="BC107" i="29"/>
  <c r="BQ37" i="107"/>
  <c r="BI105" i="29"/>
  <c r="BA102" i="29"/>
  <c r="BA76" i="29" s="1"/>
  <c r="BU34" i="107"/>
  <c r="CF68" i="29"/>
  <c r="BO62" i="29"/>
  <c r="BI59" i="29"/>
  <c r="CE63" i="29"/>
  <c r="CE65" i="29" s="1"/>
  <c r="CE68" i="29" s="1"/>
  <c r="CC63" i="29"/>
  <c r="CC65" i="29" s="1"/>
  <c r="CC68" i="29" s="1"/>
  <c r="BS63" i="29"/>
  <c r="BS65" i="29" s="1"/>
  <c r="BS68" i="29" s="1"/>
  <c r="BH45" i="29"/>
  <c r="BI49" i="29"/>
  <c r="BR113" i="29"/>
  <c r="BN113" i="29"/>
  <c r="BO113" i="29" s="1"/>
  <c r="BM112" i="29"/>
  <c r="BO112" i="29" s="1"/>
  <c r="BL104" i="29"/>
  <c r="BI112" i="29"/>
  <c r="BC114" i="29"/>
  <c r="BC105" i="29"/>
  <c r="AW113" i="29"/>
  <c r="AW97" i="29"/>
  <c r="AS117" i="29"/>
  <c r="AW107" i="29"/>
  <c r="CG34" i="107"/>
  <c r="CA34" i="107"/>
  <c r="BO34" i="107"/>
  <c r="BI60" i="29"/>
  <c r="CD63" i="29"/>
  <c r="CD65" i="29" s="1"/>
  <c r="CD68" i="29" s="1"/>
  <c r="BR63" i="29"/>
  <c r="BR65" i="29" s="1"/>
  <c r="BR68" i="29" s="1"/>
  <c r="BO48" i="29"/>
  <c r="BI47" i="29"/>
  <c r="AY48" i="29"/>
  <c r="BH67" i="29"/>
  <c r="AZ67" i="29"/>
  <c r="AS67" i="29"/>
  <c r="CA67" i="29"/>
  <c r="BQ24" i="29"/>
  <c r="BO58" i="29"/>
  <c r="BO22" i="29"/>
  <c r="BC56" i="29"/>
  <c r="BO55" i="29"/>
  <c r="BO54" i="29"/>
  <c r="BM104" i="29"/>
  <c r="BI50" i="29"/>
  <c r="BQ8" i="29"/>
  <c r="BQ25" i="106" s="1"/>
  <c r="BQ37" i="29" s="1"/>
  <c r="BN97" i="29"/>
  <c r="CD78" i="107"/>
  <c r="CD70" i="107"/>
  <c r="CD82" i="107" s="1"/>
  <c r="CD38" i="107" s="1"/>
  <c r="AK160" i="106"/>
  <c r="AK180" i="106"/>
  <c r="AK58" i="106" s="1"/>
  <c r="AK179" i="106"/>
  <c r="M160" i="106"/>
  <c r="M180" i="106"/>
  <c r="M58" i="106" s="1"/>
  <c r="M179" i="106"/>
  <c r="BC160" i="106"/>
  <c r="BC180" i="106"/>
  <c r="BC58" i="106" s="1"/>
  <c r="BC179" i="106"/>
  <c r="AE160" i="106"/>
  <c r="AE179" i="106"/>
  <c r="AE180" i="106"/>
  <c r="AE58" i="106" s="1"/>
  <c r="AQ160" i="106"/>
  <c r="AQ179" i="106"/>
  <c r="AQ180" i="106"/>
  <c r="AQ58" i="106" s="1"/>
  <c r="G160" i="106"/>
  <c r="G179" i="106"/>
  <c r="G180" i="106"/>
  <c r="G58" i="106" s="1"/>
  <c r="S160" i="106"/>
  <c r="S180" i="106"/>
  <c r="S58" i="106" s="1"/>
  <c r="S179" i="106"/>
  <c r="AV160" i="106"/>
  <c r="AV179" i="106"/>
  <c r="AV180" i="106"/>
  <c r="AV58" i="106" s="1"/>
  <c r="AW160" i="106"/>
  <c r="AW179" i="106"/>
  <c r="AW180" i="106"/>
  <c r="AW58" i="106" s="1"/>
  <c r="BB160" i="106"/>
  <c r="BB179" i="106"/>
  <c r="BB180" i="106"/>
  <c r="BB58" i="106" s="1"/>
  <c r="BR135" i="106"/>
  <c r="BR175" i="106"/>
  <c r="BT42" i="107"/>
  <c r="BT165" i="106"/>
  <c r="BU31" i="106"/>
  <c r="BU165" i="106" s="1"/>
  <c r="BW31" i="106"/>
  <c r="BS13" i="107"/>
  <c r="BT30" i="106"/>
  <c r="BS164" i="106"/>
  <c r="CC38" i="107"/>
  <c r="CA38" i="107"/>
  <c r="BM40" i="3"/>
  <c r="BM56" i="3"/>
  <c r="M200" i="3"/>
  <c r="M201" i="3" s="1"/>
  <c r="X201" i="3"/>
  <c r="AO202" i="3"/>
  <c r="AI202" i="3"/>
  <c r="BM58" i="3"/>
  <c r="AY202" i="3"/>
  <c r="BE202" i="3"/>
  <c r="AT202" i="3"/>
  <c r="BG58" i="3"/>
  <c r="F56" i="106"/>
  <c r="F67" i="3"/>
  <c r="F57" i="106"/>
  <c r="F33" i="3"/>
  <c r="F44" i="3"/>
  <c r="Y201" i="3"/>
  <c r="AE202" i="3" s="1"/>
  <c r="U202" i="3"/>
  <c r="S201" i="3"/>
  <c r="AA202" i="3"/>
  <c r="AQ201" i="3"/>
  <c r="AN202" i="3"/>
  <c r="R202" i="3"/>
  <c r="AB202" i="3"/>
  <c r="AJ201" i="3"/>
  <c r="Y181" i="119" s="1"/>
  <c r="O202" i="3"/>
  <c r="BA202" i="3"/>
  <c r="BL202" i="3"/>
  <c r="AV57" i="106"/>
  <c r="AV33" i="3"/>
  <c r="AV58" i="3" s="1"/>
  <c r="AV56" i="106"/>
  <c r="AV44" i="3"/>
  <c r="AV67" i="3"/>
  <c r="AQ96" i="106"/>
  <c r="BW87" i="106"/>
  <c r="AI58" i="3"/>
  <c r="BC190" i="3"/>
  <c r="AM58" i="3"/>
  <c r="BQ121" i="106"/>
  <c r="BQ123" i="106" s="1"/>
  <c r="BQ126" i="106" s="1"/>
  <c r="BC56" i="106"/>
  <c r="BC57" i="106"/>
  <c r="BQ26" i="29"/>
  <c r="BR26" i="29" s="1"/>
  <c r="BS26" i="29" s="1"/>
  <c r="BO26" i="29"/>
  <c r="AW105" i="29"/>
  <c r="M34" i="29"/>
  <c r="M35" i="29"/>
  <c r="BO47" i="29"/>
  <c r="BC106" i="29"/>
  <c r="AY102" i="29"/>
  <c r="AY76" i="29" s="1"/>
  <c r="AU45" i="29"/>
  <c r="BF45" i="29"/>
  <c r="BF61" i="29" s="1"/>
  <c r="BF63" i="29" s="1"/>
  <c r="BF65" i="29" s="1"/>
  <c r="BI48" i="29"/>
  <c r="BI103" i="29"/>
  <c r="BI111" i="29"/>
  <c r="BS22" i="29"/>
  <c r="BS113" i="29" s="1"/>
  <c r="BI56" i="106"/>
  <c r="BI57" i="106"/>
  <c r="BH34" i="29"/>
  <c r="BH35" i="29"/>
  <c r="AW59" i="29"/>
  <c r="AY59" i="29"/>
  <c r="BC59" i="29" s="1"/>
  <c r="BL58" i="3"/>
  <c r="BF58" i="3"/>
  <c r="AW111" i="29"/>
  <c r="BO23" i="29"/>
  <c r="BQ23" i="29"/>
  <c r="BR23" i="29" s="1"/>
  <c r="BS23" i="29" s="1"/>
  <c r="BT23" i="29" s="1"/>
  <c r="BU23" i="29" s="1"/>
  <c r="BO21" i="29"/>
  <c r="BQ21" i="29"/>
  <c r="BQ112" i="29" s="1"/>
  <c r="AK83" i="106"/>
  <c r="AE45" i="29"/>
  <c r="AE61" i="29" s="1"/>
  <c r="AE63" i="29" s="1"/>
  <c r="AE65" i="29" s="1"/>
  <c r="AE68" i="29" s="1"/>
  <c r="W114" i="106"/>
  <c r="X102" i="106"/>
  <c r="AQ83" i="106"/>
  <c r="BB83" i="106"/>
  <c r="BI55" i="29"/>
  <c r="AW83" i="106"/>
  <c r="S83" i="106"/>
  <c r="BI106" i="29"/>
  <c r="AQ102" i="29"/>
  <c r="AQ76" i="29" s="1"/>
  <c r="Y56" i="106"/>
  <c r="Y57" i="106"/>
  <c r="L83" i="106"/>
  <c r="AE142" i="106"/>
  <c r="BQ113" i="29"/>
  <c r="BB102" i="29"/>
  <c r="BB76" i="29" s="1"/>
  <c r="AW115" i="29"/>
  <c r="AT102" i="29"/>
  <c r="Y102" i="29"/>
  <c r="Y76" i="29" s="1"/>
  <c r="AZ45" i="29"/>
  <c r="AZ61" i="29" s="1"/>
  <c r="AZ63" i="29" s="1"/>
  <c r="AZ65" i="29" s="1"/>
  <c r="AZ68" i="29" s="1"/>
  <c r="AW50" i="29"/>
  <c r="CG67" i="29"/>
  <c r="BI36" i="29"/>
  <c r="AT58" i="3"/>
  <c r="G27" i="3"/>
  <c r="G26" i="3"/>
  <c r="AP83" i="106"/>
  <c r="P117" i="106"/>
  <c r="P113" i="106"/>
  <c r="Q110" i="106"/>
  <c r="S27" i="3"/>
  <c r="Y57" i="3" s="1"/>
  <c r="S26" i="3"/>
  <c r="AI68" i="3"/>
  <c r="AI80" i="3"/>
  <c r="AI93" i="106"/>
  <c r="AI96" i="106" s="1"/>
  <c r="AW56" i="106"/>
  <c r="AW57" i="106"/>
  <c r="BM111" i="29"/>
  <c r="BO49" i="29"/>
  <c r="AP57" i="3"/>
  <c r="AJ57" i="106"/>
  <c r="AJ56" i="106"/>
  <c r="R83" i="106"/>
  <c r="BC113" i="29"/>
  <c r="S102" i="29"/>
  <c r="S118" i="29" s="1"/>
  <c r="S119" i="29" s="1"/>
  <c r="BO59" i="29"/>
  <c r="BM33" i="29"/>
  <c r="R57" i="3"/>
  <c r="L57" i="106"/>
  <c r="L56" i="106"/>
  <c r="BM77" i="29"/>
  <c r="BM103" i="29" s="1"/>
  <c r="BL107" i="29"/>
  <c r="BI107" i="29"/>
  <c r="BI114" i="29"/>
  <c r="BC117" i="29"/>
  <c r="BI57" i="29"/>
  <c r="AY55" i="29"/>
  <c r="BC55" i="29" s="1"/>
  <c r="AY54" i="29"/>
  <c r="BC54" i="29" s="1"/>
  <c r="BG45" i="29"/>
  <c r="BG61" i="29" s="1"/>
  <c r="BG63" i="29" s="1"/>
  <c r="BG65" i="29" s="1"/>
  <c r="BG68" i="29" s="1"/>
  <c r="BB56" i="106"/>
  <c r="BB57" i="106"/>
  <c r="M83" i="106"/>
  <c r="K83" i="106"/>
  <c r="Q112" i="106"/>
  <c r="Q108" i="106"/>
  <c r="BF93" i="106"/>
  <c r="BF96" i="106" s="1"/>
  <c r="BI96" i="106" s="1"/>
  <c r="BF68" i="3"/>
  <c r="BF80" i="3"/>
  <c r="M102" i="29"/>
  <c r="M118" i="29" s="1"/>
  <c r="BI54" i="29"/>
  <c r="AV45" i="29"/>
  <c r="AV61" i="29" s="1"/>
  <c r="AV63" i="29" s="1"/>
  <c r="AV65" i="29" s="1"/>
  <c r="AE83" i="106"/>
  <c r="AK102" i="29"/>
  <c r="AK76" i="29" s="1"/>
  <c r="BI113" i="29"/>
  <c r="BA118" i="29"/>
  <c r="BA119" i="29" s="1"/>
  <c r="BC116" i="29"/>
  <c r="BY63" i="29"/>
  <c r="BY65" i="29" s="1"/>
  <c r="BY68" i="29" s="1"/>
  <c r="AK45" i="29"/>
  <c r="AK61" i="29" s="1"/>
  <c r="AK63" i="29" s="1"/>
  <c r="AK65" i="29" s="1"/>
  <c r="AK68" i="29" s="1"/>
  <c r="AZ34" i="29"/>
  <c r="Y96" i="106"/>
  <c r="AD58" i="3"/>
  <c r="G83" i="106"/>
  <c r="F83" i="106"/>
  <c r="BW95" i="106"/>
  <c r="BX40" i="106"/>
  <c r="BC83" i="106"/>
  <c r="BT12" i="106"/>
  <c r="BO57" i="29"/>
  <c r="G134" i="106"/>
  <c r="G139" i="106"/>
  <c r="G142" i="106" s="1"/>
  <c r="BI83" i="106"/>
  <c r="BQ75" i="3"/>
  <c r="AS102" i="29"/>
  <c r="AS76" i="29" s="1"/>
  <c r="BI62" i="29"/>
  <c r="BW63" i="29"/>
  <c r="BW65" i="29" s="1"/>
  <c r="BW68" i="29" s="1"/>
  <c r="AQ67" i="29"/>
  <c r="BM91" i="29"/>
  <c r="BM117" i="29" s="1"/>
  <c r="AW56" i="29"/>
  <c r="BU61" i="29"/>
  <c r="AE96" i="106"/>
  <c r="BW34" i="106"/>
  <c r="BU34" i="106"/>
  <c r="AQ142" i="106"/>
  <c r="AG93" i="106"/>
  <c r="AG96" i="106" s="1"/>
  <c r="AG80" i="3"/>
  <c r="AG68" i="3"/>
  <c r="AS68" i="3"/>
  <c r="AS80" i="3"/>
  <c r="AQ27" i="3"/>
  <c r="AQ26" i="3"/>
  <c r="AP80" i="3"/>
  <c r="AP68" i="3"/>
  <c r="AS58" i="3"/>
  <c r="AY58" i="3"/>
  <c r="R68" i="3"/>
  <c r="R80" i="3"/>
  <c r="X68" i="3"/>
  <c r="X80" i="3"/>
  <c r="BA58" i="3"/>
  <c r="U58" i="3"/>
  <c r="AA58" i="3"/>
  <c r="AN68" i="3"/>
  <c r="AN80" i="3"/>
  <c r="BI44" i="3"/>
  <c r="BI57" i="3"/>
  <c r="BI33" i="3"/>
  <c r="BI67" i="3"/>
  <c r="BI93" i="106" s="1"/>
  <c r="U80" i="3"/>
  <c r="U68" i="3"/>
  <c r="AU68" i="3"/>
  <c r="AU80" i="3"/>
  <c r="M27" i="3"/>
  <c r="M26" i="3"/>
  <c r="AJ44" i="3"/>
  <c r="AJ67" i="3"/>
  <c r="AJ93" i="106" s="1"/>
  <c r="AJ96" i="106" s="1"/>
  <c r="AJ33" i="3"/>
  <c r="AJ58" i="3" s="1"/>
  <c r="AJ57" i="3"/>
  <c r="L33" i="3"/>
  <c r="L67" i="3"/>
  <c r="L93" i="106" s="1"/>
  <c r="L96" i="106" s="1"/>
  <c r="M96" i="106" s="1"/>
  <c r="L57" i="3"/>
  <c r="L44" i="3"/>
  <c r="AK27" i="3"/>
  <c r="AK26" i="3"/>
  <c r="AW33" i="3"/>
  <c r="AW44" i="3"/>
  <c r="AW67" i="3"/>
  <c r="AW93" i="106" s="1"/>
  <c r="X58" i="3"/>
  <c r="BW12" i="3"/>
  <c r="BC33" i="3"/>
  <c r="BC67" i="3"/>
  <c r="BC93" i="106" s="1"/>
  <c r="BC44" i="3"/>
  <c r="BC57" i="3"/>
  <c r="Y33" i="3"/>
  <c r="Y44" i="3"/>
  <c r="Y67" i="3"/>
  <c r="Y93" i="106" s="1"/>
  <c r="AD68" i="3"/>
  <c r="AD80" i="3"/>
  <c r="BB57" i="3"/>
  <c r="BB67" i="3"/>
  <c r="BB93" i="106" s="1"/>
  <c r="BB96" i="106" s="1"/>
  <c r="BC96" i="106" s="1"/>
  <c r="BB33" i="3"/>
  <c r="BB44" i="3"/>
  <c r="BH57" i="3"/>
  <c r="AE27" i="3"/>
  <c r="AE26" i="3"/>
  <c r="AD110" i="106"/>
  <c r="AD113" i="106" s="1"/>
  <c r="AC113" i="106"/>
  <c r="AH113" i="106"/>
  <c r="AI110" i="106"/>
  <c r="AP110" i="106"/>
  <c r="AP113" i="106" s="1"/>
  <c r="AO113" i="106"/>
  <c r="K110" i="106"/>
  <c r="J113" i="106"/>
  <c r="AH117" i="106"/>
  <c r="CD152" i="106"/>
  <c r="BB102" i="106"/>
  <c r="BA114" i="106"/>
  <c r="BA117" i="106" s="1"/>
  <c r="K108" i="106"/>
  <c r="K112" i="106"/>
  <c r="AI108" i="106"/>
  <c r="AI112" i="106"/>
  <c r="BG110" i="106"/>
  <c r="BF113" i="106"/>
  <c r="AP107" i="106"/>
  <c r="AQ107" i="106" s="1"/>
  <c r="AP112" i="106"/>
  <c r="BT37" i="106"/>
  <c r="BT147" i="106"/>
  <c r="CF77" i="106"/>
  <c r="E114" i="106"/>
  <c r="E117" i="106" s="1"/>
  <c r="F102" i="106"/>
  <c r="Y121" i="106"/>
  <c r="S127" i="106"/>
  <c r="AD107" i="106"/>
  <c r="AE107" i="106" s="1"/>
  <c r="AD112" i="106"/>
  <c r="BT88" i="106"/>
  <c r="CE77" i="106"/>
  <c r="BG108" i="106"/>
  <c r="BG112" i="106"/>
  <c r="AO117" i="106"/>
  <c r="AC117" i="106"/>
  <c r="AU102" i="106"/>
  <c r="AT114" i="106"/>
  <c r="BT131" i="106"/>
  <c r="BT134" i="106" s="1"/>
  <c r="BS17" i="106"/>
  <c r="BF35" i="29"/>
  <c r="BF34" i="29"/>
  <c r="BC103" i="29"/>
  <c r="AZ102" i="29"/>
  <c r="BI104" i="29"/>
  <c r="BE102" i="29"/>
  <c r="AE34" i="29"/>
  <c r="AE35" i="29"/>
  <c r="BM88" i="29"/>
  <c r="AY45" i="29"/>
  <c r="BC46" i="29"/>
  <c r="BI42" i="29"/>
  <c r="BL105" i="29"/>
  <c r="BM79" i="29"/>
  <c r="BN79" i="29" s="1"/>
  <c r="BQ79" i="29" s="1"/>
  <c r="BR79" i="29" s="1"/>
  <c r="BS79" i="29" s="1"/>
  <c r="BT79" i="29" s="1"/>
  <c r="BW79" i="29" s="1"/>
  <c r="BX79" i="29" s="1"/>
  <c r="BY79" i="29" s="1"/>
  <c r="BZ79" i="29" s="1"/>
  <c r="CC79" i="29" s="1"/>
  <c r="CD79" i="29" s="1"/>
  <c r="CE79" i="29" s="1"/>
  <c r="CF79" i="29" s="1"/>
  <c r="BI117" i="29"/>
  <c r="BC115" i="29"/>
  <c r="S35" i="29"/>
  <c r="S34" i="29"/>
  <c r="BQ14" i="29"/>
  <c r="BO14" i="29"/>
  <c r="BA35" i="29"/>
  <c r="BA34" i="29"/>
  <c r="BC97" i="29"/>
  <c r="BL90" i="29"/>
  <c r="BK116" i="29"/>
  <c r="AK118" i="29"/>
  <c r="AK119" i="29" s="1"/>
  <c r="BO46" i="29"/>
  <c r="AE102" i="29"/>
  <c r="M67" i="29"/>
  <c r="AY34" i="29"/>
  <c r="AY35" i="29"/>
  <c r="BG34" i="29"/>
  <c r="BG35" i="29"/>
  <c r="BM27" i="29"/>
  <c r="BM29" i="29" s="1"/>
  <c r="BE34" i="29"/>
  <c r="BE35" i="29"/>
  <c r="BF102" i="29"/>
  <c r="AW106" i="29"/>
  <c r="AW116" i="29"/>
  <c r="BA67" i="29"/>
  <c r="CA62" i="29"/>
  <c r="BC62" i="29"/>
  <c r="G34" i="29"/>
  <c r="G35" i="29"/>
  <c r="CC5" i="29"/>
  <c r="CD5" i="29" s="1"/>
  <c r="CE5" i="29" s="1"/>
  <c r="CF5" i="29" s="1"/>
  <c r="AW104" i="29"/>
  <c r="BK102" i="29"/>
  <c r="AU67" i="29"/>
  <c r="BE45" i="29"/>
  <c r="BE61" i="29" s="1"/>
  <c r="BE63" i="29" s="1"/>
  <c r="BI46" i="29"/>
  <c r="AS34" i="29"/>
  <c r="AS35" i="29"/>
  <c r="BI58" i="29"/>
  <c r="BR118" i="29"/>
  <c r="BS118" i="29" s="1"/>
  <c r="BT118" i="29" s="1"/>
  <c r="BW118" i="29" s="1"/>
  <c r="AT76" i="29"/>
  <c r="BM107" i="29"/>
  <c r="BN81" i="29"/>
  <c r="BC112" i="29"/>
  <c r="AU102" i="29"/>
  <c r="AW103" i="29"/>
  <c r="BT63" i="29"/>
  <c r="BT65" i="29" s="1"/>
  <c r="BT68" i="29" s="1"/>
  <c r="BH61" i="29"/>
  <c r="BH63" i="29" s="1"/>
  <c r="BH65" i="29" s="1"/>
  <c r="BH68" i="29" s="1"/>
  <c r="AT45" i="29"/>
  <c r="AQ35" i="29"/>
  <c r="AQ34" i="29"/>
  <c r="AY58" i="29"/>
  <c r="BC58" i="29" s="1"/>
  <c r="AW58" i="29"/>
  <c r="AS45" i="29"/>
  <c r="AS61" i="29" s="1"/>
  <c r="AS63" i="29" s="1"/>
  <c r="AS65" i="29" s="1"/>
  <c r="Y34" i="29"/>
  <c r="Y35" i="29"/>
  <c r="AV35" i="29"/>
  <c r="AV34" i="29"/>
  <c r="BM80" i="29"/>
  <c r="BL106" i="29"/>
  <c r="AV102" i="29"/>
  <c r="AV118" i="29" s="1"/>
  <c r="BA45" i="29"/>
  <c r="BA61" i="29" s="1"/>
  <c r="BA63" i="29" s="1"/>
  <c r="BA65" i="29" s="1"/>
  <c r="BC47" i="29"/>
  <c r="BL34" i="29"/>
  <c r="BL35" i="29"/>
  <c r="BO51" i="29"/>
  <c r="AW46" i="29"/>
  <c r="AW11" i="29"/>
  <c r="AW27" i="29" s="1"/>
  <c r="AW29" i="29" s="1"/>
  <c r="AW31" i="29" s="1"/>
  <c r="BG102" i="29"/>
  <c r="BG118" i="29" s="1"/>
  <c r="AT67" i="29"/>
  <c r="BI40" i="29"/>
  <c r="BK35" i="29"/>
  <c r="BK34" i="29"/>
  <c r="BC57" i="29"/>
  <c r="BI51" i="29"/>
  <c r="BC49" i="29"/>
  <c r="AQ45" i="29"/>
  <c r="AQ61" i="29" s="1"/>
  <c r="AQ63" i="29" s="1"/>
  <c r="AQ65" i="29" s="1"/>
  <c r="BQ15" i="29"/>
  <c r="BZ63" i="29"/>
  <c r="BZ65" i="29" s="1"/>
  <c r="BZ68" i="29" s="1"/>
  <c r="BC48" i="29"/>
  <c r="AU34" i="29"/>
  <c r="AU35" i="29"/>
  <c r="BQ12" i="29"/>
  <c r="AT26" i="29"/>
  <c r="AT27" i="29" s="1"/>
  <c r="AT29" i="29" s="1"/>
  <c r="AT31" i="29" s="1"/>
  <c r="BH102" i="29"/>
  <c r="BH118" i="29" s="1"/>
  <c r="BU62" i="29"/>
  <c r="Y45" i="29"/>
  <c r="Y61" i="29" s="1"/>
  <c r="Y63" i="29" s="1"/>
  <c r="Y65" i="29" s="1"/>
  <c r="Y68" i="29" s="1"/>
  <c r="M45" i="29"/>
  <c r="M61" i="29" s="1"/>
  <c r="M63" i="29" s="1"/>
  <c r="M65" i="29" s="1"/>
  <c r="BL67" i="29"/>
  <c r="BO15" i="29"/>
  <c r="AW33" i="29"/>
  <c r="AW42" i="29"/>
  <c r="AY42" i="29"/>
  <c r="AW57" i="29"/>
  <c r="BC51" i="29"/>
  <c r="BO40" i="29"/>
  <c r="BC40" i="29"/>
  <c r="BQ17" i="29"/>
  <c r="BO17" i="29"/>
  <c r="AW36" i="29"/>
  <c r="BB45" i="29"/>
  <c r="BB61" i="29" s="1"/>
  <c r="BB63" i="29" s="1"/>
  <c r="BB65" i="29" s="1"/>
  <c r="BC50" i="29"/>
  <c r="AK34" i="29"/>
  <c r="BB34" i="29"/>
  <c r="BB35" i="29"/>
  <c r="BQ16" i="29"/>
  <c r="BO16" i="29"/>
  <c r="BC11" i="29"/>
  <c r="BC27" i="29" s="1"/>
  <c r="BC29" i="29" s="1"/>
  <c r="BC31" i="29" s="1"/>
  <c r="BI27" i="29"/>
  <c r="BI29" i="29" s="1"/>
  <c r="AZ202" i="3" l="1"/>
  <c r="BI200" i="3"/>
  <c r="BF202" i="3"/>
  <c r="BB201" i="3"/>
  <c r="BH202" i="3" s="1"/>
  <c r="AL181" i="119"/>
  <c r="BG201" i="3"/>
  <c r="BK202" i="3"/>
  <c r="BC199" i="3"/>
  <c r="AK201" i="3"/>
  <c r="AW190" i="3"/>
  <c r="X202" i="3"/>
  <c r="Q181" i="119"/>
  <c r="BO24" i="29"/>
  <c r="AT117" i="29"/>
  <c r="AT118" i="29" s="1"/>
  <c r="AT119" i="29" s="1"/>
  <c r="AT92" i="29" s="1"/>
  <c r="AT73" i="29" s="1"/>
  <c r="AT99" i="29" s="1"/>
  <c r="AS68" i="29"/>
  <c r="BI37" i="29"/>
  <c r="BW23" i="29"/>
  <c r="BX23" i="29" s="1"/>
  <c r="AW45" i="29"/>
  <c r="BL102" i="29"/>
  <c r="AV68" i="29"/>
  <c r="BI45" i="29"/>
  <c r="BO28" i="29"/>
  <c r="BN77" i="29"/>
  <c r="BF68" i="29"/>
  <c r="AV200" i="3"/>
  <c r="AV201" i="3" s="1"/>
  <c r="BI31" i="29"/>
  <c r="BR17" i="29"/>
  <c r="BE65" i="29"/>
  <c r="BE68" i="29" s="1"/>
  <c r="BK42" i="29"/>
  <c r="BN115" i="29"/>
  <c r="BO115" i="29" s="1"/>
  <c r="BO97" i="29"/>
  <c r="BQ108" i="29"/>
  <c r="BO8" i="29"/>
  <c r="BO45" i="29"/>
  <c r="BO61" i="29" s="1"/>
  <c r="BO63" i="29" s="1"/>
  <c r="BQ44" i="107"/>
  <c r="BB68" i="29"/>
  <c r="M68" i="29"/>
  <c r="BQ28" i="29"/>
  <c r="AQ68" i="29"/>
  <c r="BO25" i="106"/>
  <c r="BR8" i="29"/>
  <c r="BR25" i="106" s="1"/>
  <c r="BR37" i="29" s="1"/>
  <c r="BB118" i="29"/>
  <c r="BB119" i="29" s="1"/>
  <c r="BB92" i="29" s="1"/>
  <c r="BB73" i="29" s="1"/>
  <c r="BB99" i="29" s="1"/>
  <c r="CG68" i="29"/>
  <c r="BQ6" i="29"/>
  <c r="BQ24" i="106" s="1"/>
  <c r="BQ36" i="29" s="1"/>
  <c r="BN91" i="29"/>
  <c r="BQ91" i="29" s="1"/>
  <c r="AQ118" i="29"/>
  <c r="AQ119" i="29" s="1"/>
  <c r="AQ92" i="29" s="1"/>
  <c r="AQ73" i="29" s="1"/>
  <c r="AQ99" i="29" s="1"/>
  <c r="BC102" i="29"/>
  <c r="AY61" i="29"/>
  <c r="AY63" i="29" s="1"/>
  <c r="AY65" i="29" s="1"/>
  <c r="CA63" i="29"/>
  <c r="CA65" i="29" s="1"/>
  <c r="CA68" i="29" s="1"/>
  <c r="BO37" i="107"/>
  <c r="CD37" i="107"/>
  <c r="CD35" i="107"/>
  <c r="BS37" i="107"/>
  <c r="BS35" i="107"/>
  <c r="CE37" i="107"/>
  <c r="CE35" i="107"/>
  <c r="BT37" i="107"/>
  <c r="BT35" i="107"/>
  <c r="BZ37" i="107"/>
  <c r="BZ35" i="107"/>
  <c r="BU118" i="29"/>
  <c r="BW37" i="107"/>
  <c r="BW35" i="107"/>
  <c r="BY37" i="107"/>
  <c r="BY35" i="107"/>
  <c r="BX37" i="107"/>
  <c r="BX35" i="107"/>
  <c r="BO6" i="29"/>
  <c r="BR37" i="107"/>
  <c r="BR35" i="107"/>
  <c r="CC37" i="107"/>
  <c r="CC35" i="107"/>
  <c r="CF37" i="107"/>
  <c r="CF35" i="107"/>
  <c r="CD72" i="107"/>
  <c r="CE68" i="107" s="1"/>
  <c r="CE71" i="107" s="1"/>
  <c r="BU42" i="107"/>
  <c r="BS135" i="106"/>
  <c r="BS175" i="106"/>
  <c r="BW42" i="107"/>
  <c r="BT164" i="106"/>
  <c r="BU30" i="106"/>
  <c r="BW30" i="106"/>
  <c r="BX31" i="106"/>
  <c r="BW165" i="106"/>
  <c r="BT13" i="107"/>
  <c r="BU13" i="107" s="1"/>
  <c r="AQ113" i="106"/>
  <c r="BO15" i="107"/>
  <c r="BO14" i="107"/>
  <c r="AD202" i="3"/>
  <c r="L58" i="3"/>
  <c r="F93" i="106"/>
  <c r="F96" i="106" s="1"/>
  <c r="G96" i="106" s="1"/>
  <c r="F68" i="3"/>
  <c r="F80" i="3"/>
  <c r="S202" i="3"/>
  <c r="BO61" i="3"/>
  <c r="AW200" i="3"/>
  <c r="AJ202" i="3"/>
  <c r="BO65" i="3"/>
  <c r="AP202" i="3"/>
  <c r="Y202" i="3"/>
  <c r="AV93" i="106"/>
  <c r="AV96" i="106" s="1"/>
  <c r="AW96" i="106" s="1"/>
  <c r="AV68" i="3"/>
  <c r="AV80" i="3"/>
  <c r="BX87" i="106"/>
  <c r="BC58" i="3"/>
  <c r="BI58" i="3"/>
  <c r="BU63" i="29"/>
  <c r="BU65" i="29" s="1"/>
  <c r="BU68" i="29" s="1"/>
  <c r="AK56" i="106"/>
  <c r="AK57" i="106"/>
  <c r="AQ56" i="106"/>
  <c r="AQ57" i="106"/>
  <c r="BO23" i="3"/>
  <c r="BO146" i="106" s="1"/>
  <c r="AS118" i="29"/>
  <c r="AS119" i="29" s="1"/>
  <c r="AS92" i="29" s="1"/>
  <c r="AS73" i="29" s="1"/>
  <c r="AS99" i="29" s="1"/>
  <c r="BI61" i="29"/>
  <c r="BI63" i="29" s="1"/>
  <c r="BI65" i="29" s="1"/>
  <c r="M119" i="29"/>
  <c r="M92" i="29" s="1"/>
  <c r="M73" i="29" s="1"/>
  <c r="M99" i="29" s="1"/>
  <c r="AW57" i="3"/>
  <c r="M56" i="106"/>
  <c r="M57" i="106"/>
  <c r="X107" i="106"/>
  <c r="Y107" i="106" s="1"/>
  <c r="X112" i="106"/>
  <c r="AW61" i="29"/>
  <c r="AW63" i="29" s="1"/>
  <c r="AW65" i="29" s="1"/>
  <c r="BQ105" i="29"/>
  <c r="BI102" i="29"/>
  <c r="AE113" i="106"/>
  <c r="AE56" i="106"/>
  <c r="AE57" i="106"/>
  <c r="BY40" i="106"/>
  <c r="BX95" i="106"/>
  <c r="S56" i="106"/>
  <c r="S57" i="106"/>
  <c r="S44" i="3"/>
  <c r="S67" i="3"/>
  <c r="S33" i="3"/>
  <c r="Y58" i="3" s="1"/>
  <c r="W117" i="106"/>
  <c r="X110" i="106"/>
  <c r="X113" i="106" s="1"/>
  <c r="W113" i="106"/>
  <c r="BI67" i="29"/>
  <c r="BA68" i="29"/>
  <c r="BM31" i="29"/>
  <c r="BM35" i="29" s="1"/>
  <c r="BR75" i="3"/>
  <c r="BQ65" i="3"/>
  <c r="BR21" i="29"/>
  <c r="BR112" i="29" s="1"/>
  <c r="Q114" i="106"/>
  <c r="R102" i="106"/>
  <c r="BN105" i="29"/>
  <c r="BO105" i="29" s="1"/>
  <c r="BX34" i="106"/>
  <c r="AY118" i="29"/>
  <c r="AY119" i="29" s="1"/>
  <c r="AY92" i="29" s="1"/>
  <c r="AY73" i="29" s="1"/>
  <c r="AY99" i="29" s="1"/>
  <c r="AK96" i="106"/>
  <c r="BW12" i="106"/>
  <c r="BU12" i="106"/>
  <c r="Y118" i="29"/>
  <c r="Y119" i="29" s="1"/>
  <c r="Y92" i="29" s="1"/>
  <c r="Y73" i="29" s="1"/>
  <c r="Y99" i="29" s="1"/>
  <c r="BN111" i="29"/>
  <c r="BO111" i="29" s="1"/>
  <c r="BT22" i="29"/>
  <c r="BT113" i="29" s="1"/>
  <c r="BU113" i="29" s="1"/>
  <c r="G135" i="106"/>
  <c r="M131" i="106"/>
  <c r="M134" i="106" s="1"/>
  <c r="BQ33" i="29"/>
  <c r="G44" i="3"/>
  <c r="G67" i="3"/>
  <c r="G33" i="3"/>
  <c r="BO20" i="29"/>
  <c r="BQ20" i="29"/>
  <c r="BX12" i="3"/>
  <c r="L68" i="3"/>
  <c r="L80" i="3"/>
  <c r="M33" i="3"/>
  <c r="M44" i="3"/>
  <c r="M57" i="3"/>
  <c r="M67" i="3"/>
  <c r="M93" i="106" s="1"/>
  <c r="S57" i="3"/>
  <c r="BB68" i="3"/>
  <c r="BB80" i="3"/>
  <c r="R58" i="3"/>
  <c r="AK33" i="3"/>
  <c r="AK44" i="3"/>
  <c r="AK57" i="3"/>
  <c r="AK67" i="3"/>
  <c r="AK93" i="106" s="1"/>
  <c r="AQ57" i="3"/>
  <c r="AQ44" i="3"/>
  <c r="AQ33" i="3"/>
  <c r="AQ67" i="3"/>
  <c r="AQ93" i="106" s="1"/>
  <c r="BI68" i="3"/>
  <c r="BI80" i="3"/>
  <c r="BC80" i="3"/>
  <c r="BC68" i="3"/>
  <c r="AW68" i="3"/>
  <c r="AW80" i="3"/>
  <c r="AJ80" i="3"/>
  <c r="AJ68" i="3"/>
  <c r="AP58" i="3"/>
  <c r="AE33" i="3"/>
  <c r="AE58" i="3" s="1"/>
  <c r="AE57" i="3"/>
  <c r="AE44" i="3"/>
  <c r="AE67" i="3"/>
  <c r="AE93" i="106" s="1"/>
  <c r="Y80" i="3"/>
  <c r="Y68" i="3"/>
  <c r="BB58" i="3"/>
  <c r="BH58" i="3"/>
  <c r="AT113" i="106"/>
  <c r="AU110" i="106"/>
  <c r="BW88" i="106"/>
  <c r="BW147" i="106"/>
  <c r="AI114" i="106"/>
  <c r="AI117" i="106" s="1"/>
  <c r="AJ102" i="106"/>
  <c r="BB107" i="106"/>
  <c r="BC107" i="106" s="1"/>
  <c r="BB112" i="106"/>
  <c r="AT117" i="106"/>
  <c r="BH102" i="106"/>
  <c r="BG114" i="106"/>
  <c r="BG117" i="106" s="1"/>
  <c r="Y126" i="106"/>
  <c r="Y124" i="106"/>
  <c r="BW131" i="106"/>
  <c r="BW134" i="106" s="1"/>
  <c r="BT17" i="106"/>
  <c r="AU108" i="106"/>
  <c r="AU112" i="106"/>
  <c r="BU37" i="106"/>
  <c r="BW37" i="106"/>
  <c r="BQ18" i="106"/>
  <c r="BQ127" i="106" s="1"/>
  <c r="BR121" i="106"/>
  <c r="F107" i="106"/>
  <c r="G107" i="106" s="1"/>
  <c r="G108" i="106" s="1"/>
  <c r="F112" i="106"/>
  <c r="L102" i="106"/>
  <c r="K114" i="106"/>
  <c r="CE152" i="106"/>
  <c r="F110" i="106"/>
  <c r="F113" i="106" s="1"/>
  <c r="E113" i="106"/>
  <c r="BB110" i="106"/>
  <c r="BB113" i="106" s="1"/>
  <c r="BA113" i="106"/>
  <c r="AK92" i="29"/>
  <c r="AK73" i="29" s="1"/>
  <c r="AK99" i="29" s="1"/>
  <c r="AW35" i="29"/>
  <c r="AW34" i="29"/>
  <c r="BR12" i="29"/>
  <c r="BR28" i="29"/>
  <c r="S92" i="29"/>
  <c r="S73" i="29" s="1"/>
  <c r="S99" i="29" s="1"/>
  <c r="BA92" i="29"/>
  <c r="BA73" i="29" s="1"/>
  <c r="BA99" i="29" s="1"/>
  <c r="BQ77" i="29"/>
  <c r="BR77" i="29" s="1"/>
  <c r="BS77" i="29" s="1"/>
  <c r="BT77" i="29" s="1"/>
  <c r="BW77" i="29" s="1"/>
  <c r="BX77" i="29" s="1"/>
  <c r="BY77" i="29" s="1"/>
  <c r="BZ77" i="29" s="1"/>
  <c r="CC77" i="29" s="1"/>
  <c r="CD77" i="29" s="1"/>
  <c r="CE77" i="29" s="1"/>
  <c r="CF77" i="29" s="1"/>
  <c r="BN103" i="29"/>
  <c r="BO11" i="29"/>
  <c r="BO13" i="29"/>
  <c r="BQ13" i="29"/>
  <c r="BQ11" i="29" s="1"/>
  <c r="BN104" i="29"/>
  <c r="BO104" i="29" s="1"/>
  <c r="AY67" i="29"/>
  <c r="BC42" i="29"/>
  <c r="BC67" i="29" s="1"/>
  <c r="BG119" i="29"/>
  <c r="BG76" i="29"/>
  <c r="BT26" i="29"/>
  <c r="BX118" i="29"/>
  <c r="BY118" i="29" s="1"/>
  <c r="BZ118" i="29" s="1"/>
  <c r="CC118" i="29" s="1"/>
  <c r="AE118" i="29"/>
  <c r="AE119" i="29" s="1"/>
  <c r="AE76" i="29"/>
  <c r="BL68" i="29"/>
  <c r="BM105" i="29"/>
  <c r="BC45" i="29"/>
  <c r="BC61" i="29" s="1"/>
  <c r="BC63" i="29" s="1"/>
  <c r="BN88" i="29"/>
  <c r="BM114" i="29"/>
  <c r="AZ118" i="29"/>
  <c r="AZ76" i="29"/>
  <c r="AW67" i="29"/>
  <c r="BR15" i="29"/>
  <c r="BQ81" i="29"/>
  <c r="BR81" i="29" s="1"/>
  <c r="BS81" i="29" s="1"/>
  <c r="BT81" i="29" s="1"/>
  <c r="BW81" i="29" s="1"/>
  <c r="BX81" i="29" s="1"/>
  <c r="BY81" i="29" s="1"/>
  <c r="BZ81" i="29" s="1"/>
  <c r="CC81" i="29" s="1"/>
  <c r="CD81" i="29" s="1"/>
  <c r="CE81" i="29" s="1"/>
  <c r="CF81" i="29" s="1"/>
  <c r="BN107" i="29"/>
  <c r="BO107" i="29" s="1"/>
  <c r="BC34" i="29"/>
  <c r="BC35" i="29"/>
  <c r="BF118" i="29"/>
  <c r="BF119" i="29" s="1"/>
  <c r="BF76" i="29"/>
  <c r="BS85" i="29"/>
  <c r="AT34" i="29"/>
  <c r="AT35" i="29"/>
  <c r="BM106" i="29"/>
  <c r="BN80" i="29"/>
  <c r="AW102" i="29"/>
  <c r="BM90" i="29"/>
  <c r="BL116" i="29"/>
  <c r="BE76" i="29"/>
  <c r="BE118" i="29"/>
  <c r="BE119" i="29" s="1"/>
  <c r="BR24" i="29"/>
  <c r="BR115" i="29" s="1"/>
  <c r="BQ115" i="29"/>
  <c r="BI35" i="29"/>
  <c r="BI34" i="29"/>
  <c r="AV119" i="29"/>
  <c r="AV76" i="29"/>
  <c r="BQ97" i="29"/>
  <c r="BO42" i="29"/>
  <c r="BO67" i="29" s="1"/>
  <c r="BK65" i="29"/>
  <c r="BK67" i="29"/>
  <c r="BR14" i="29"/>
  <c r="BR105" i="29" s="1"/>
  <c r="BH119" i="29"/>
  <c r="BH76" i="29"/>
  <c r="BR16" i="29"/>
  <c r="AT60" i="29"/>
  <c r="AT61" i="29" s="1"/>
  <c r="AT63" i="29" s="1"/>
  <c r="AT65" i="29" s="1"/>
  <c r="AT68" i="29" s="1"/>
  <c r="AU60" i="29"/>
  <c r="AU61" i="29" s="1"/>
  <c r="AU63" i="29" s="1"/>
  <c r="AU65" i="29" s="1"/>
  <c r="AU68" i="29" s="1"/>
  <c r="AU117" i="29"/>
  <c r="AW117" i="29" s="1"/>
  <c r="AU76" i="29"/>
  <c r="BO25" i="29"/>
  <c r="BQ25" i="29"/>
  <c r="BK76" i="29"/>
  <c r="BK118" i="29"/>
  <c r="BI201" i="3" l="1"/>
  <c r="AK181" i="119"/>
  <c r="BS8" i="29"/>
  <c r="BS25" i="106" s="1"/>
  <c r="BS37" i="29" s="1"/>
  <c r="BC200" i="3"/>
  <c r="AQ202" i="3"/>
  <c r="AN181" i="119"/>
  <c r="BG202" i="3"/>
  <c r="AK202" i="3"/>
  <c r="BB202" i="3"/>
  <c r="AG181" i="119"/>
  <c r="BM102" i="29"/>
  <c r="BN117" i="29"/>
  <c r="BO117" i="29" s="1"/>
  <c r="BN37" i="29"/>
  <c r="BO103" i="29"/>
  <c r="BS17" i="29"/>
  <c r="BS108" i="29"/>
  <c r="BO33" i="29"/>
  <c r="BR108" i="29"/>
  <c r="BO37" i="29"/>
  <c r="BI68" i="29"/>
  <c r="AY68" i="29"/>
  <c r="BM34" i="29"/>
  <c r="BR6" i="29"/>
  <c r="BR24" i="106" s="1"/>
  <c r="BU35" i="107"/>
  <c r="BT44" i="107"/>
  <c r="BU37" i="107"/>
  <c r="BS44" i="107"/>
  <c r="BR44" i="107"/>
  <c r="AW68" i="29"/>
  <c r="CA118" i="29"/>
  <c r="CG35" i="107"/>
  <c r="BN36" i="29"/>
  <c r="BO24" i="106"/>
  <c r="BO36" i="29" s="1"/>
  <c r="CA37" i="107"/>
  <c r="CG37" i="107"/>
  <c r="CA35" i="107"/>
  <c r="BO35" i="107"/>
  <c r="BO44" i="107" s="1"/>
  <c r="CE70" i="107"/>
  <c r="CE82" i="107" s="1"/>
  <c r="CE38" i="107" s="1"/>
  <c r="CE78" i="107"/>
  <c r="BY31" i="106"/>
  <c r="BX165" i="106"/>
  <c r="BU164" i="106"/>
  <c r="BW13" i="107"/>
  <c r="BU17" i="106"/>
  <c r="BU175" i="106" s="1"/>
  <c r="BT175" i="106"/>
  <c r="BX42" i="107"/>
  <c r="BX44" i="107" s="1"/>
  <c r="BW164" i="106"/>
  <c r="BX30" i="106"/>
  <c r="BW44" i="107"/>
  <c r="BC201" i="3"/>
  <c r="AV202" i="3"/>
  <c r="AW201" i="3"/>
  <c r="BC113" i="106"/>
  <c r="BI118" i="29"/>
  <c r="BI119" i="29" s="1"/>
  <c r="BC118" i="29"/>
  <c r="BC119" i="29" s="1"/>
  <c r="BY87" i="106"/>
  <c r="BU22" i="29"/>
  <c r="BW22" i="29"/>
  <c r="BW113" i="29" s="1"/>
  <c r="BX12" i="106"/>
  <c r="BQ61" i="3"/>
  <c r="G93" i="106"/>
  <c r="G97" i="106" s="1"/>
  <c r="G68" i="3"/>
  <c r="G80" i="3"/>
  <c r="BY34" i="106"/>
  <c r="BR65" i="3"/>
  <c r="BR61" i="3" s="1"/>
  <c r="BS75" i="3"/>
  <c r="S93" i="106"/>
  <c r="S68" i="3"/>
  <c r="S80" i="3"/>
  <c r="BZ40" i="106"/>
  <c r="BY95" i="106"/>
  <c r="BK119" i="29"/>
  <c r="BK92" i="29" s="1"/>
  <c r="BK73" i="29" s="1"/>
  <c r="BK99" i="29" s="1"/>
  <c r="BR103" i="29"/>
  <c r="Y113" i="106"/>
  <c r="G113" i="106"/>
  <c r="G114" i="106" s="1"/>
  <c r="M110" i="106" s="1"/>
  <c r="BT135" i="106"/>
  <c r="AQ58" i="3"/>
  <c r="S131" i="106"/>
  <c r="S134" i="106" s="1"/>
  <c r="M135" i="106"/>
  <c r="BN174" i="106"/>
  <c r="Q117" i="106"/>
  <c r="Q113" i="106"/>
  <c r="R110" i="106"/>
  <c r="R113" i="106" s="1"/>
  <c r="BS21" i="29"/>
  <c r="BS112" i="29" s="1"/>
  <c r="BN163" i="106"/>
  <c r="BR20" i="29"/>
  <c r="BQ111" i="29"/>
  <c r="AU118" i="29"/>
  <c r="BR97" i="29"/>
  <c r="R107" i="106"/>
  <c r="S107" i="106" s="1"/>
  <c r="R112" i="106"/>
  <c r="AQ68" i="3"/>
  <c r="AQ80" i="3"/>
  <c r="AE80" i="3"/>
  <c r="AE68" i="3"/>
  <c r="AW58" i="3"/>
  <c r="M68" i="3"/>
  <c r="M80" i="3"/>
  <c r="BY12" i="3"/>
  <c r="M58" i="3"/>
  <c r="S58" i="3"/>
  <c r="AK68" i="3"/>
  <c r="AK80" i="3"/>
  <c r="AK58" i="3"/>
  <c r="K113" i="106"/>
  <c r="L110" i="106"/>
  <c r="L113" i="106" s="1"/>
  <c r="AE121" i="106"/>
  <c r="Y127" i="106"/>
  <c r="BX131" i="106"/>
  <c r="BX134" i="106" s="1"/>
  <c r="BW17" i="106"/>
  <c r="AI113" i="106"/>
  <c r="AJ110" i="106"/>
  <c r="AJ113" i="106" s="1"/>
  <c r="CF152" i="106"/>
  <c r="BG113" i="106"/>
  <c r="BH110" i="106"/>
  <c r="BH113" i="106" s="1"/>
  <c r="K117" i="106"/>
  <c r="M102" i="106"/>
  <c r="BX37" i="106"/>
  <c r="BH107" i="106"/>
  <c r="BI107" i="106" s="1"/>
  <c r="BH112" i="106"/>
  <c r="L107" i="106"/>
  <c r="M107" i="106" s="1"/>
  <c r="L112" i="106"/>
  <c r="BR123" i="106"/>
  <c r="BR126" i="106" s="1"/>
  <c r="AV102" i="106"/>
  <c r="AU114" i="106"/>
  <c r="AU117" i="106" s="1"/>
  <c r="BX147" i="106"/>
  <c r="BX88" i="106"/>
  <c r="AJ107" i="106"/>
  <c r="AK107" i="106" s="1"/>
  <c r="AJ112" i="106"/>
  <c r="AE92" i="29"/>
  <c r="AE73" i="29" s="1"/>
  <c r="AE99" i="29" s="1"/>
  <c r="BM76" i="29"/>
  <c r="Y120" i="29"/>
  <c r="Y121" i="29" s="1"/>
  <c r="Y122" i="29" s="1"/>
  <c r="Y94" i="29" s="1"/>
  <c r="BR13" i="29"/>
  <c r="BR104" i="29" s="1"/>
  <c r="BQ117" i="29"/>
  <c r="BR91" i="29"/>
  <c r="BH92" i="29"/>
  <c r="BH73" i="29" s="1"/>
  <c r="BH99" i="29" s="1"/>
  <c r="BE92" i="29"/>
  <c r="BE73" i="29" s="1"/>
  <c r="BE99" i="29" s="1"/>
  <c r="S120" i="29"/>
  <c r="S121" i="29" s="1"/>
  <c r="S122" i="29" s="1"/>
  <c r="S94" i="29" s="1"/>
  <c r="BQ107" i="29"/>
  <c r="BK68" i="29"/>
  <c r="BQ104" i="29"/>
  <c r="BS28" i="29"/>
  <c r="BT8" i="29"/>
  <c r="BT25" i="106" s="1"/>
  <c r="BU25" i="106" s="1"/>
  <c r="AS120" i="29"/>
  <c r="BF92" i="29"/>
  <c r="BF73" i="29" s="1"/>
  <c r="BF99" i="29" s="1"/>
  <c r="BG92" i="29"/>
  <c r="BG73" i="29" s="1"/>
  <c r="BG99" i="29" s="1"/>
  <c r="BS24" i="29"/>
  <c r="BS115" i="29" s="1"/>
  <c r="BO65" i="29"/>
  <c r="BO68" i="29" s="1"/>
  <c r="AZ119" i="29"/>
  <c r="BR25" i="29"/>
  <c r="BT85" i="29"/>
  <c r="M120" i="29"/>
  <c r="M121" i="29" s="1"/>
  <c r="M122" i="29" s="1"/>
  <c r="M94" i="29" s="1"/>
  <c r="BR36" i="29"/>
  <c r="CD118" i="29"/>
  <c r="CE118" i="29" s="1"/>
  <c r="CF118" i="29" s="1"/>
  <c r="BB120" i="29"/>
  <c r="BB121" i="29" s="1"/>
  <c r="BB122" i="29" s="1"/>
  <c r="BB94" i="29" s="1"/>
  <c r="BY23" i="29"/>
  <c r="BS15" i="29"/>
  <c r="AT120" i="29"/>
  <c r="AT121" i="29" s="1"/>
  <c r="AT122" i="29" s="1"/>
  <c r="AT94" i="29" s="1"/>
  <c r="AV92" i="29"/>
  <c r="AV73" i="29" s="1"/>
  <c r="AV99" i="29" s="1"/>
  <c r="BN90" i="29"/>
  <c r="BM116" i="29"/>
  <c r="BC65" i="29"/>
  <c r="BC68" i="29" s="1"/>
  <c r="BQ88" i="29"/>
  <c r="BN114" i="29"/>
  <c r="BO114" i="29" s="1"/>
  <c r="BL119" i="29"/>
  <c r="BL76" i="29"/>
  <c r="BS16" i="29"/>
  <c r="BS107" i="29" s="1"/>
  <c r="BS14" i="29"/>
  <c r="BS105" i="29" s="1"/>
  <c r="BQ80" i="29"/>
  <c r="BN106" i="29"/>
  <c r="BO106" i="29" s="1"/>
  <c r="BQ103" i="29"/>
  <c r="AK120" i="29"/>
  <c r="AK121" i="29" s="1"/>
  <c r="AK122" i="29" s="1"/>
  <c r="AK94" i="29" s="1"/>
  <c r="BA120" i="29"/>
  <c r="BA121" i="29" s="1"/>
  <c r="BA122" i="29" s="1"/>
  <c r="BA94" i="29" s="1"/>
  <c r="BS12" i="29"/>
  <c r="BR107" i="29"/>
  <c r="AQ120" i="29"/>
  <c r="AQ121" i="29" s="1"/>
  <c r="AQ122" i="29" s="1"/>
  <c r="AQ94" i="29" s="1"/>
  <c r="BU26" i="29"/>
  <c r="BW26" i="29"/>
  <c r="BO27" i="29"/>
  <c r="BO29" i="29" s="1"/>
  <c r="BO31" i="29" s="1"/>
  <c r="AY120" i="29"/>
  <c r="BQ27" i="29"/>
  <c r="BQ29" i="29" s="1"/>
  <c r="BU44" i="107" l="1"/>
  <c r="BS103" i="29"/>
  <c r="BN102" i="29"/>
  <c r="BR11" i="29"/>
  <c r="BR27" i="29" s="1"/>
  <c r="BR29" i="29" s="1"/>
  <c r="BT17" i="29"/>
  <c r="BO102" i="29"/>
  <c r="BR33" i="29"/>
  <c r="BS6" i="29"/>
  <c r="BS24" i="106" s="1"/>
  <c r="BS36" i="29" s="1"/>
  <c r="CG118" i="29"/>
  <c r="CE72" i="107"/>
  <c r="CF68" i="107" s="1"/>
  <c r="CF71" i="107" s="1"/>
  <c r="CG71" i="107" s="1"/>
  <c r="CG77" i="107" s="1"/>
  <c r="BZ31" i="106"/>
  <c r="BY165" i="106"/>
  <c r="BW135" i="106"/>
  <c r="BW175" i="106"/>
  <c r="BY42" i="107"/>
  <c r="BY44" i="107" s="1"/>
  <c r="BX164" i="106"/>
  <c r="BY30" i="106"/>
  <c r="BX13" i="107"/>
  <c r="BI202" i="3"/>
  <c r="AW202" i="3"/>
  <c r="BC202" i="3"/>
  <c r="BZ87" i="106"/>
  <c r="BO19" i="106"/>
  <c r="BO145" i="106" s="1"/>
  <c r="BO147" i="106" s="1"/>
  <c r="BQ146" i="106"/>
  <c r="BQ23" i="3" s="1"/>
  <c r="BQ14" i="107" s="1"/>
  <c r="BO29" i="106"/>
  <c r="BZ34" i="106"/>
  <c r="BN35" i="29"/>
  <c r="S135" i="106"/>
  <c r="Y131" i="106"/>
  <c r="Y134" i="106" s="1"/>
  <c r="G98" i="106"/>
  <c r="M91" i="106"/>
  <c r="M97" i="106" s="1"/>
  <c r="G116" i="106"/>
  <c r="G117" i="106" s="1"/>
  <c r="AW118" i="29"/>
  <c r="AW119" i="29" s="1"/>
  <c r="AU119" i="29"/>
  <c r="AU92" i="29" s="1"/>
  <c r="AU73" i="29" s="1"/>
  <c r="AU99" i="29" s="1"/>
  <c r="AW99" i="29" s="1"/>
  <c r="BT21" i="29"/>
  <c r="BT112" i="29" s="1"/>
  <c r="BU112" i="29" s="1"/>
  <c r="BX22" i="29"/>
  <c r="BY22" i="29" s="1"/>
  <c r="BQ31" i="29"/>
  <c r="BQ34" i="29" s="1"/>
  <c r="BQ29" i="106"/>
  <c r="BS20" i="29"/>
  <c r="BR111" i="29"/>
  <c r="BS65" i="3"/>
  <c r="BS61" i="3" s="1"/>
  <c r="BT75" i="3"/>
  <c r="BI113" i="106"/>
  <c r="BY12" i="106"/>
  <c r="CC40" i="106"/>
  <c r="CA40" i="106"/>
  <c r="BZ95" i="106"/>
  <c r="CA95" i="106" s="1"/>
  <c r="S113" i="106"/>
  <c r="BZ12" i="3"/>
  <c r="CA12" i="3" s="1"/>
  <c r="BS121" i="106"/>
  <c r="BR18" i="106"/>
  <c r="BR127" i="106" s="1"/>
  <c r="M108" i="106"/>
  <c r="M112" i="106"/>
  <c r="BY88" i="106"/>
  <c r="AK113" i="106"/>
  <c r="BX17" i="106"/>
  <c r="BY131" i="106"/>
  <c r="BY134" i="106" s="1"/>
  <c r="BY147" i="106"/>
  <c r="AU113" i="106"/>
  <c r="AV110" i="106"/>
  <c r="AV113" i="106" s="1"/>
  <c r="AV107" i="106"/>
  <c r="AW107" i="106" s="1"/>
  <c r="AV112" i="106"/>
  <c r="BY37" i="106"/>
  <c r="AE126" i="106"/>
  <c r="AE124" i="106"/>
  <c r="M113" i="106"/>
  <c r="M114" i="106" s="1"/>
  <c r="S110" i="106" s="1"/>
  <c r="BT15" i="29"/>
  <c r="BQ114" i="29"/>
  <c r="BR88" i="29"/>
  <c r="BK120" i="29"/>
  <c r="BT14" i="29"/>
  <c r="BT105" i="29" s="1"/>
  <c r="BU105" i="29" s="1"/>
  <c r="BZ23" i="29"/>
  <c r="BX26" i="29"/>
  <c r="BT12" i="29"/>
  <c r="BT16" i="29"/>
  <c r="BT107" i="29" s="1"/>
  <c r="BU107" i="29" s="1"/>
  <c r="BU8" i="29"/>
  <c r="BW8" i="29"/>
  <c r="BW25" i="106" s="1"/>
  <c r="BT37" i="29"/>
  <c r="BT28" i="29"/>
  <c r="BU28" i="29" s="1"/>
  <c r="AE120" i="29"/>
  <c r="AE121" i="29" s="1"/>
  <c r="AE122" i="29" s="1"/>
  <c r="AE94" i="29" s="1"/>
  <c r="AY121" i="29"/>
  <c r="AY122" i="29" s="1"/>
  <c r="AY94" i="29" s="1"/>
  <c r="BR80" i="29"/>
  <c r="BQ106" i="29"/>
  <c r="BQ102" i="29" s="1"/>
  <c r="BQ90" i="29"/>
  <c r="BN116" i="29"/>
  <c r="BO116" i="29" s="1"/>
  <c r="BT24" i="29"/>
  <c r="BT115" i="29" s="1"/>
  <c r="BU115" i="29" s="1"/>
  <c r="BS13" i="29"/>
  <c r="BS11" i="29" s="1"/>
  <c r="BO34" i="29"/>
  <c r="AV120" i="29"/>
  <c r="AV121" i="29" s="1"/>
  <c r="AV122" i="29" s="1"/>
  <c r="AV94" i="29" s="1"/>
  <c r="BG120" i="29"/>
  <c r="BG121" i="29" s="1"/>
  <c r="BG122" i="29" s="1"/>
  <c r="BG94" i="29" s="1"/>
  <c r="AS121" i="29"/>
  <c r="AS122" i="29" s="1"/>
  <c r="AS94" i="29" s="1"/>
  <c r="BS25" i="29"/>
  <c r="BF120" i="29"/>
  <c r="BF121" i="29" s="1"/>
  <c r="BF122" i="29" s="1"/>
  <c r="BF94" i="29" s="1"/>
  <c r="BH120" i="29"/>
  <c r="BH121" i="29" s="1"/>
  <c r="BH122" i="29" s="1"/>
  <c r="BH94" i="29" s="1"/>
  <c r="BW85" i="29"/>
  <c r="BI99" i="29"/>
  <c r="BE120" i="29"/>
  <c r="BL92" i="29"/>
  <c r="BL73" i="29" s="1"/>
  <c r="BL99" i="29" s="1"/>
  <c r="AZ92" i="29"/>
  <c r="AZ73" i="29" s="1"/>
  <c r="AZ99" i="29" s="1"/>
  <c r="BS91" i="29"/>
  <c r="BR117" i="29"/>
  <c r="BS97" i="29" l="1"/>
  <c r="BS33" i="29"/>
  <c r="BT6" i="29"/>
  <c r="BT24" i="106" s="1"/>
  <c r="BT36" i="29" s="1"/>
  <c r="BW17" i="29"/>
  <c r="BU17" i="29"/>
  <c r="BT103" i="29"/>
  <c r="BT108" i="29"/>
  <c r="BU108" i="29" s="1"/>
  <c r="BS104" i="29"/>
  <c r="BX113" i="29"/>
  <c r="BS27" i="29"/>
  <c r="BS29" i="29" s="1"/>
  <c r="BS31" i="29" s="1"/>
  <c r="BS34" i="29" s="1"/>
  <c r="BQ35" i="29"/>
  <c r="BQ163" i="106"/>
  <c r="CF78" i="107"/>
  <c r="CF70" i="107"/>
  <c r="BX135" i="106"/>
  <c r="BX175" i="106"/>
  <c r="BY164" i="106"/>
  <c r="BZ30" i="106"/>
  <c r="BZ42" i="107"/>
  <c r="BZ44" i="107" s="1"/>
  <c r="BO35" i="29"/>
  <c r="BO163" i="106"/>
  <c r="BO174" i="106"/>
  <c r="BZ165" i="106"/>
  <c r="CA31" i="106"/>
  <c r="CA165" i="106" s="1"/>
  <c r="CC31" i="106"/>
  <c r="BY13" i="107"/>
  <c r="BQ15" i="107"/>
  <c r="AW113" i="106"/>
  <c r="CC87" i="106"/>
  <c r="S114" i="106"/>
  <c r="Y110" i="106" s="1"/>
  <c r="Y114" i="106" s="1"/>
  <c r="AE110" i="106" s="1"/>
  <c r="AE114" i="106" s="1"/>
  <c r="AK110" i="106" s="1"/>
  <c r="AK114" i="106" s="1"/>
  <c r="AQ110" i="106" s="1"/>
  <c r="AQ114" i="106" s="1"/>
  <c r="AW110" i="106" s="1"/>
  <c r="AE131" i="106"/>
  <c r="AE134" i="106" s="1"/>
  <c r="Y135" i="106"/>
  <c r="BW75" i="3"/>
  <c r="BT65" i="3"/>
  <c r="AU120" i="29"/>
  <c r="BT20" i="29"/>
  <c r="BS111" i="29"/>
  <c r="BU21" i="29"/>
  <c r="BW21" i="29"/>
  <c r="BW112" i="29" s="1"/>
  <c r="S91" i="106"/>
  <c r="S97" i="106" s="1"/>
  <c r="M98" i="106"/>
  <c r="BO51" i="106"/>
  <c r="BZ12" i="106"/>
  <c r="BY113" i="29"/>
  <c r="BZ22" i="29"/>
  <c r="BR31" i="29"/>
  <c r="BR34" i="29" s="1"/>
  <c r="BR29" i="106"/>
  <c r="CC95" i="106"/>
  <c r="CD40" i="106"/>
  <c r="BQ51" i="106"/>
  <c r="CC34" i="106"/>
  <c r="CA34" i="106"/>
  <c r="CC12" i="3"/>
  <c r="BZ88" i="106"/>
  <c r="AK121" i="106"/>
  <c r="AE127" i="106"/>
  <c r="S102" i="106"/>
  <c r="M116" i="106"/>
  <c r="M117" i="106" s="1"/>
  <c r="BZ37" i="106"/>
  <c r="BZ131" i="106"/>
  <c r="BZ134" i="106" s="1"/>
  <c r="BY17" i="106"/>
  <c r="BZ147" i="106"/>
  <c r="BS123" i="106"/>
  <c r="BN76" i="29"/>
  <c r="BS80" i="29"/>
  <c r="BR106" i="29"/>
  <c r="BR102" i="29" s="1"/>
  <c r="BT91" i="29"/>
  <c r="BS117" i="29"/>
  <c r="BI120" i="29"/>
  <c r="BI121" i="29" s="1"/>
  <c r="BI122" i="29" s="1"/>
  <c r="BI94" i="29" s="1"/>
  <c r="BE121" i="29"/>
  <c r="BE122" i="29" s="1"/>
  <c r="BE94" i="29" s="1"/>
  <c r="BR90" i="29"/>
  <c r="BQ116" i="29"/>
  <c r="BW12" i="29"/>
  <c r="BW103" i="29" s="1"/>
  <c r="BU12" i="29"/>
  <c r="BK121" i="29"/>
  <c r="BK122" i="29" s="1"/>
  <c r="BK94" i="29" s="1"/>
  <c r="BX85" i="29"/>
  <c r="BT13" i="29"/>
  <c r="BT11" i="29" s="1"/>
  <c r="BW28" i="29"/>
  <c r="BX8" i="29"/>
  <c r="BX25" i="106" s="1"/>
  <c r="BW37" i="29"/>
  <c r="BY26" i="29"/>
  <c r="BT25" i="29"/>
  <c r="BU37" i="29"/>
  <c r="AZ120" i="29"/>
  <c r="BC99" i="29"/>
  <c r="BU24" i="29"/>
  <c r="BW24" i="29"/>
  <c r="BW115" i="29" s="1"/>
  <c r="CA23" i="29"/>
  <c r="CC23" i="29"/>
  <c r="BU16" i="29"/>
  <c r="BW16" i="29"/>
  <c r="BW107" i="29" s="1"/>
  <c r="BW14" i="29"/>
  <c r="BU14" i="29"/>
  <c r="BR114" i="29"/>
  <c r="BS88" i="29"/>
  <c r="BL120" i="29"/>
  <c r="BL121" i="29" s="1"/>
  <c r="BL122" i="29" s="1"/>
  <c r="BL94" i="29" s="1"/>
  <c r="BT97" i="29"/>
  <c r="BW15" i="29"/>
  <c r="BU15" i="29"/>
  <c r="BT33" i="29" l="1"/>
  <c r="BW6" i="29"/>
  <c r="BW24" i="106" s="1"/>
  <c r="BW36" i="29" s="1"/>
  <c r="BU6" i="29"/>
  <c r="BU33" i="29" s="1"/>
  <c r="BS29" i="106"/>
  <c r="BS51" i="106" s="1"/>
  <c r="BX17" i="29"/>
  <c r="BX108" i="29" s="1"/>
  <c r="BU103" i="29"/>
  <c r="BW108" i="29"/>
  <c r="BT104" i="29"/>
  <c r="BU104" i="29" s="1"/>
  <c r="BR35" i="29"/>
  <c r="BR163" i="106"/>
  <c r="CA42" i="107"/>
  <c r="CA44" i="107" s="1"/>
  <c r="CF82" i="107"/>
  <c r="CG70" i="107"/>
  <c r="CF72" i="107"/>
  <c r="CC42" i="107"/>
  <c r="BZ13" i="107"/>
  <c r="CA13" i="107" s="1"/>
  <c r="BZ164" i="106"/>
  <c r="CC30" i="106"/>
  <c r="CA30" i="106"/>
  <c r="BY135" i="106"/>
  <c r="BY175" i="106"/>
  <c r="CD31" i="106"/>
  <c r="CC165" i="106"/>
  <c r="AW114" i="106"/>
  <c r="BC110" i="106" s="1"/>
  <c r="BC114" i="106" s="1"/>
  <c r="BI110" i="106" s="1"/>
  <c r="BI114" i="106" s="1"/>
  <c r="BO110" i="106" s="1"/>
  <c r="BO114" i="106" s="1"/>
  <c r="CD87" i="106"/>
  <c r="CC12" i="106"/>
  <c r="CA12" i="106"/>
  <c r="BW65" i="3"/>
  <c r="BX75" i="3"/>
  <c r="AE135" i="106"/>
  <c r="AK131" i="106"/>
  <c r="AK134" i="106" s="1"/>
  <c r="CD95" i="106"/>
  <c r="CE40" i="106"/>
  <c r="BR51" i="106"/>
  <c r="S98" i="106"/>
  <c r="Y91" i="106"/>
  <c r="Y97" i="106" s="1"/>
  <c r="AU121" i="29"/>
  <c r="AU122" i="29" s="1"/>
  <c r="AU94" i="29" s="1"/>
  <c r="AW120" i="29"/>
  <c r="AW121" i="29" s="1"/>
  <c r="AW122" i="29" s="1"/>
  <c r="AW94" i="29" s="1"/>
  <c r="BZ113" i="29"/>
  <c r="CA113" i="29" s="1"/>
  <c r="CA22" i="29"/>
  <c r="CC22" i="29"/>
  <c r="CD22" i="29" s="1"/>
  <c r="CD113" i="29" s="1"/>
  <c r="BU24" i="106"/>
  <c r="BX21" i="29"/>
  <c r="BY21" i="29" s="1"/>
  <c r="BT61" i="3"/>
  <c r="BU61" i="3" s="1"/>
  <c r="BU65" i="3"/>
  <c r="BQ19" i="106"/>
  <c r="BQ174" i="106" s="1"/>
  <c r="CD34" i="106"/>
  <c r="BW20" i="29"/>
  <c r="BU20" i="29"/>
  <c r="BT111" i="29"/>
  <c r="BU111" i="29" s="1"/>
  <c r="CD12" i="3"/>
  <c r="CC88" i="106"/>
  <c r="BS126" i="106"/>
  <c r="BZ17" i="106"/>
  <c r="CC131" i="106"/>
  <c r="CC134" i="106" s="1"/>
  <c r="CA37" i="106"/>
  <c r="CC37" i="106"/>
  <c r="AK124" i="106"/>
  <c r="AK126" i="106"/>
  <c r="CC147" i="106"/>
  <c r="S108" i="106"/>
  <c r="S112" i="106"/>
  <c r="BT27" i="29"/>
  <c r="BT29" i="29" s="1"/>
  <c r="BX15" i="29"/>
  <c r="BX37" i="29"/>
  <c r="BX28" i="29"/>
  <c r="BY8" i="29"/>
  <c r="BY25" i="106" s="1"/>
  <c r="BW91" i="29"/>
  <c r="BT117" i="29"/>
  <c r="BU117" i="29" s="1"/>
  <c r="BS90" i="29"/>
  <c r="BR116" i="29"/>
  <c r="BR119" i="29" s="1"/>
  <c r="BX16" i="29"/>
  <c r="BX107" i="29" s="1"/>
  <c r="BQ76" i="29"/>
  <c r="BQ119" i="29"/>
  <c r="BY85" i="29"/>
  <c r="BT88" i="29"/>
  <c r="BS114" i="29"/>
  <c r="BC120" i="29"/>
  <c r="BC121" i="29" s="1"/>
  <c r="BC122" i="29" s="1"/>
  <c r="BC94" i="29" s="1"/>
  <c r="AZ121" i="29"/>
  <c r="AZ122" i="29" s="1"/>
  <c r="AZ94" i="29" s="1"/>
  <c r="BU25" i="29"/>
  <c r="BW25" i="29"/>
  <c r="BX12" i="29"/>
  <c r="BR76" i="29"/>
  <c r="BT80" i="29"/>
  <c r="BS106" i="29"/>
  <c r="BS102" i="29" s="1"/>
  <c r="CD23" i="29"/>
  <c r="BX14" i="29"/>
  <c r="BX105" i="29" s="1"/>
  <c r="BW105" i="29"/>
  <c r="BX24" i="29"/>
  <c r="BX115" i="29" s="1"/>
  <c r="BZ26" i="29"/>
  <c r="BW13" i="29"/>
  <c r="BW11" i="29" s="1"/>
  <c r="BU13" i="29"/>
  <c r="BU11" i="29" s="1"/>
  <c r="BU97" i="29"/>
  <c r="BW33" i="29" l="1"/>
  <c r="BS163" i="106"/>
  <c r="BW104" i="29"/>
  <c r="BS35" i="29"/>
  <c r="BX6" i="29"/>
  <c r="BX24" i="106" s="1"/>
  <c r="BX36" i="29" s="1"/>
  <c r="BW97" i="29"/>
  <c r="BX103" i="29"/>
  <c r="BY17" i="29"/>
  <c r="BY108" i="29" s="1"/>
  <c r="CE22" i="29"/>
  <c r="CF22" i="29" s="1"/>
  <c r="CG22" i="29" s="1"/>
  <c r="BW27" i="29"/>
  <c r="BW29" i="29" s="1"/>
  <c r="BW31" i="29" s="1"/>
  <c r="BW34" i="29" s="1"/>
  <c r="CG76" i="107"/>
  <c r="CG72" i="107"/>
  <c r="CF38" i="107"/>
  <c r="CG38" i="107" s="1"/>
  <c r="CG82" i="107"/>
  <c r="CA17" i="106"/>
  <c r="CA175" i="106" s="1"/>
  <c r="BZ175" i="106"/>
  <c r="CE31" i="106"/>
  <c r="CD165" i="106"/>
  <c r="CA164" i="106"/>
  <c r="CC44" i="107"/>
  <c r="CD42" i="107"/>
  <c r="CD44" i="107" s="1"/>
  <c r="CC164" i="106"/>
  <c r="CD30" i="106"/>
  <c r="CC13" i="107"/>
  <c r="BZ135" i="106"/>
  <c r="CE87" i="106"/>
  <c r="BM124" i="29"/>
  <c r="BM118" i="29" s="1"/>
  <c r="BQ145" i="106"/>
  <c r="BR146" i="106" s="1"/>
  <c r="BR23" i="3" s="1"/>
  <c r="BR14" i="107" s="1"/>
  <c r="BT31" i="29"/>
  <c r="BT34" i="29" s="1"/>
  <c r="BT29" i="106"/>
  <c r="BX20" i="29"/>
  <c r="BW111" i="29"/>
  <c r="CC113" i="29"/>
  <c r="AE91" i="106"/>
  <c r="AE97" i="106" s="1"/>
  <c r="Y98" i="106"/>
  <c r="AQ131" i="106"/>
  <c r="AQ134" i="106" s="1"/>
  <c r="AK135" i="106"/>
  <c r="CD12" i="106"/>
  <c r="BY112" i="29"/>
  <c r="BZ21" i="29"/>
  <c r="BY75" i="3"/>
  <c r="BX65" i="3"/>
  <c r="BX61" i="3" s="1"/>
  <c r="CE34" i="106"/>
  <c r="BX112" i="29"/>
  <c r="CF40" i="106"/>
  <c r="CE95" i="106"/>
  <c r="BW61" i="3"/>
  <c r="BU36" i="29"/>
  <c r="CE12" i="3"/>
  <c r="CC17" i="106"/>
  <c r="CD131" i="106"/>
  <c r="CD134" i="106" s="1"/>
  <c r="BS18" i="106"/>
  <c r="BS127" i="106" s="1"/>
  <c r="BT121" i="106"/>
  <c r="AQ121" i="106"/>
  <c r="AK127" i="106"/>
  <c r="CD88" i="106"/>
  <c r="Y102" i="106"/>
  <c r="S116" i="106"/>
  <c r="S117" i="106" s="1"/>
  <c r="CD37" i="106"/>
  <c r="CD147" i="106"/>
  <c r="CE23" i="29"/>
  <c r="BY15" i="29"/>
  <c r="CC26" i="29"/>
  <c r="CA26" i="29"/>
  <c r="BW88" i="29"/>
  <c r="BT114" i="29"/>
  <c r="BU114" i="29" s="1"/>
  <c r="BY37" i="29"/>
  <c r="BZ8" i="29"/>
  <c r="BZ25" i="106" s="1"/>
  <c r="CA25" i="106" s="1"/>
  <c r="BY28" i="29"/>
  <c r="BY12" i="29"/>
  <c r="BX91" i="29"/>
  <c r="BW117" i="29"/>
  <c r="BY24" i="29"/>
  <c r="BY115" i="29" s="1"/>
  <c r="BR92" i="29"/>
  <c r="BR73" i="29" s="1"/>
  <c r="BR99" i="29" s="1"/>
  <c r="BQ92" i="29"/>
  <c r="BQ73" i="29" s="1"/>
  <c r="BQ99" i="29" s="1"/>
  <c r="BS76" i="29"/>
  <c r="BY14" i="29"/>
  <c r="BW80" i="29"/>
  <c r="BT106" i="29"/>
  <c r="BT102" i="29" s="1"/>
  <c r="BY16" i="29"/>
  <c r="BY107" i="29" s="1"/>
  <c r="BX13" i="29"/>
  <c r="BX104" i="29" s="1"/>
  <c r="BX25" i="29"/>
  <c r="BZ85" i="29"/>
  <c r="BT90" i="29"/>
  <c r="BS116" i="29"/>
  <c r="BU27" i="29"/>
  <c r="BU29" i="29" s="1"/>
  <c r="BU31" i="29" s="1"/>
  <c r="BM119" i="29" l="1"/>
  <c r="BM92" i="29" s="1"/>
  <c r="BM73" i="29" s="1"/>
  <c r="BM99" i="29" s="1"/>
  <c r="BX97" i="29"/>
  <c r="BX33" i="29"/>
  <c r="BY6" i="29"/>
  <c r="BY24" i="106" s="1"/>
  <c r="CE113" i="29"/>
  <c r="BZ17" i="29"/>
  <c r="BX11" i="29"/>
  <c r="BX27" i="29" s="1"/>
  <c r="BX29" i="29" s="1"/>
  <c r="BW29" i="106"/>
  <c r="BW35" i="29" s="1"/>
  <c r="BT35" i="29"/>
  <c r="BT163" i="106"/>
  <c r="CC135" i="106"/>
  <c r="CC175" i="106"/>
  <c r="CE42" i="107"/>
  <c r="CF31" i="106"/>
  <c r="CE165" i="106"/>
  <c r="CD164" i="106"/>
  <c r="CE30" i="106"/>
  <c r="CD13" i="107"/>
  <c r="BR15" i="107"/>
  <c r="CF87" i="106"/>
  <c r="CA21" i="29"/>
  <c r="CC21" i="29"/>
  <c r="CC112" i="29" s="1"/>
  <c r="AW131" i="106"/>
  <c r="AW134" i="106" s="1"/>
  <c r="AQ135" i="106"/>
  <c r="BZ112" i="29"/>
  <c r="CA112" i="29" s="1"/>
  <c r="CF113" i="29"/>
  <c r="CG40" i="106"/>
  <c r="CF95" i="106"/>
  <c r="CG95" i="106" s="1"/>
  <c r="AE98" i="106"/>
  <c r="AK91" i="106"/>
  <c r="AK97" i="106" s="1"/>
  <c r="BU29" i="106"/>
  <c r="BU163" i="106" s="1"/>
  <c r="BT51" i="106"/>
  <c r="BZ75" i="3"/>
  <c r="BY65" i="3"/>
  <c r="BY20" i="29"/>
  <c r="BX111" i="29"/>
  <c r="BY33" i="29"/>
  <c r="CF34" i="106"/>
  <c r="CE12" i="106"/>
  <c r="CF12" i="3"/>
  <c r="CE37" i="106"/>
  <c r="CD17" i="106"/>
  <c r="CE131" i="106"/>
  <c r="CE134" i="106" s="1"/>
  <c r="CE147" i="106"/>
  <c r="Y108" i="106"/>
  <c r="Y112" i="106"/>
  <c r="BT123" i="106"/>
  <c r="BU123" i="106" s="1"/>
  <c r="CE88" i="106"/>
  <c r="AQ126" i="106"/>
  <c r="AQ124" i="106"/>
  <c r="BZ14" i="29"/>
  <c r="BZ105" i="29" s="1"/>
  <c r="BY13" i="29"/>
  <c r="BY11" i="29" s="1"/>
  <c r="CC85" i="29"/>
  <c r="CC8" i="29"/>
  <c r="CC25" i="106" s="1"/>
  <c r="BZ28" i="29"/>
  <c r="CA28" i="29" s="1"/>
  <c r="BZ37" i="29"/>
  <c r="CA8" i="29"/>
  <c r="CD26" i="29"/>
  <c r="CF23" i="29"/>
  <c r="CG23" i="29" s="1"/>
  <c r="BS119" i="29"/>
  <c r="BQ120" i="29"/>
  <c r="BZ12" i="29"/>
  <c r="BZ16" i="29"/>
  <c r="BZ107" i="29" s="1"/>
  <c r="CA107" i="29" s="1"/>
  <c r="BY103" i="29"/>
  <c r="BZ15" i="29"/>
  <c r="BX88" i="29"/>
  <c r="BW114" i="29"/>
  <c r="BW90" i="29"/>
  <c r="BT116" i="29"/>
  <c r="BU116" i="29" s="1"/>
  <c r="BU106" i="29"/>
  <c r="BU102" i="29" s="1"/>
  <c r="BZ24" i="29"/>
  <c r="BZ115" i="29" s="1"/>
  <c r="CA115" i="29" s="1"/>
  <c r="BY25" i="29"/>
  <c r="BX80" i="29"/>
  <c r="BW106" i="29"/>
  <c r="BW102" i="29" s="1"/>
  <c r="BU34" i="29"/>
  <c r="BY105" i="29"/>
  <c r="BR120" i="29"/>
  <c r="BR121" i="29" s="1"/>
  <c r="BR122" i="29" s="1"/>
  <c r="BY91" i="29"/>
  <c r="BX117" i="29"/>
  <c r="BZ6" i="29"/>
  <c r="BZ24" i="106" s="1"/>
  <c r="BY36" i="29"/>
  <c r="BM120" i="29" l="1"/>
  <c r="CG113" i="29"/>
  <c r="BY97" i="29"/>
  <c r="CC17" i="29"/>
  <c r="CA17" i="29"/>
  <c r="BZ103" i="29"/>
  <c r="BZ108" i="29"/>
  <c r="CA108" i="29" s="1"/>
  <c r="BW51" i="106"/>
  <c r="BY104" i="29"/>
  <c r="BW163" i="106"/>
  <c r="BY27" i="29"/>
  <c r="BY29" i="29" s="1"/>
  <c r="BY29" i="106" s="1"/>
  <c r="CE13" i="107"/>
  <c r="CD135" i="106"/>
  <c r="CD175" i="106"/>
  <c r="CF42" i="107"/>
  <c r="CF44" i="107" s="1"/>
  <c r="CE164" i="106"/>
  <c r="CF30" i="106"/>
  <c r="CG31" i="106"/>
  <c r="CG165" i="106" s="1"/>
  <c r="CF165" i="106"/>
  <c r="CE44" i="107"/>
  <c r="BT126" i="106"/>
  <c r="BT18" i="106" s="1"/>
  <c r="BU18" i="106" s="1"/>
  <c r="CA24" i="106"/>
  <c r="BZ20" i="29"/>
  <c r="BZ111" i="29" s="1"/>
  <c r="BY111" i="29"/>
  <c r="AK98" i="106"/>
  <c r="AQ91" i="106"/>
  <c r="AQ97" i="106" s="1"/>
  <c r="BR94" i="29"/>
  <c r="BR18" i="3"/>
  <c r="BY61" i="3"/>
  <c r="CC75" i="3"/>
  <c r="BZ65" i="3"/>
  <c r="BZ61" i="3" s="1"/>
  <c r="BC131" i="106"/>
  <c r="BC134" i="106" s="1"/>
  <c r="AW135" i="106"/>
  <c r="CG34" i="106"/>
  <c r="CD21" i="29"/>
  <c r="CD112" i="29" s="1"/>
  <c r="CF12" i="106"/>
  <c r="CG12" i="106" s="1"/>
  <c r="BU51" i="106"/>
  <c r="BU35" i="29"/>
  <c r="BR19" i="106"/>
  <c r="BR174" i="106" s="1"/>
  <c r="BX31" i="29"/>
  <c r="BX34" i="29" s="1"/>
  <c r="BX29" i="106"/>
  <c r="BZ97" i="29"/>
  <c r="CA97" i="29" s="1"/>
  <c r="CG12" i="3"/>
  <c r="CF37" i="106"/>
  <c r="AE102" i="106"/>
  <c r="Y116" i="106"/>
  <c r="Y117" i="106" s="1"/>
  <c r="AW121" i="106"/>
  <c r="AQ127" i="106"/>
  <c r="CF147" i="106"/>
  <c r="CE17" i="106"/>
  <c r="CF131" i="106"/>
  <c r="CF134" i="106" s="1"/>
  <c r="CF88" i="106"/>
  <c r="BU119" i="29"/>
  <c r="CC15" i="29"/>
  <c r="CA15" i="29"/>
  <c r="CE26" i="29"/>
  <c r="BY88" i="29"/>
  <c r="BX114" i="29"/>
  <c r="BS92" i="29"/>
  <c r="BS73" i="29" s="1"/>
  <c r="BS99" i="29" s="1"/>
  <c r="CA24" i="29"/>
  <c r="CC24" i="29"/>
  <c r="CC115" i="29" s="1"/>
  <c r="CC12" i="29"/>
  <c r="CA12" i="29"/>
  <c r="BZ13" i="29"/>
  <c r="BZ104" i="29" s="1"/>
  <c r="BZ36" i="29"/>
  <c r="CC6" i="29"/>
  <c r="CC24" i="106" s="1"/>
  <c r="CA6" i="29"/>
  <c r="BZ33" i="29"/>
  <c r="BT119" i="29"/>
  <c r="BT76" i="29"/>
  <c r="CD8" i="29"/>
  <c r="CD25" i="106" s="1"/>
  <c r="CC28" i="29"/>
  <c r="CC37" i="29"/>
  <c r="CC14" i="29"/>
  <c r="CC105" i="29" s="1"/>
  <c r="CA14" i="29"/>
  <c r="BZ91" i="29"/>
  <c r="BY117" i="29"/>
  <c r="BY80" i="29"/>
  <c r="BX106" i="29"/>
  <c r="BX102" i="29" s="1"/>
  <c r="BX90" i="29"/>
  <c r="BW116" i="29"/>
  <c r="CA103" i="29"/>
  <c r="BZ25" i="29"/>
  <c r="CD85" i="29"/>
  <c r="CA105" i="29"/>
  <c r="CC16" i="29"/>
  <c r="CC107" i="29" s="1"/>
  <c r="CA16" i="29"/>
  <c r="BQ121" i="29"/>
  <c r="BQ122" i="29" s="1"/>
  <c r="CA37" i="29"/>
  <c r="BM121" i="29" l="1"/>
  <c r="BM122" i="29" s="1"/>
  <c r="BM94" i="29" s="1"/>
  <c r="CG42" i="107"/>
  <c r="CG44" i="107" s="1"/>
  <c r="BY31" i="29"/>
  <c r="BY34" i="29" s="1"/>
  <c r="CC103" i="29"/>
  <c r="BZ11" i="29"/>
  <c r="CD17" i="29"/>
  <c r="CD108" i="29"/>
  <c r="CC108" i="29"/>
  <c r="CA111" i="29"/>
  <c r="CC97" i="29"/>
  <c r="BY163" i="106"/>
  <c r="BX35" i="29"/>
  <c r="BX163" i="106"/>
  <c r="CF13" i="107"/>
  <c r="CG13" i="107" s="1"/>
  <c r="CE135" i="106"/>
  <c r="CE175" i="106"/>
  <c r="CF164" i="106"/>
  <c r="CG30" i="106"/>
  <c r="CG164" i="106" s="1"/>
  <c r="BW121" i="106"/>
  <c r="BW123" i="106" s="1"/>
  <c r="BW126" i="106" s="1"/>
  <c r="CA61" i="3"/>
  <c r="BT127" i="106"/>
  <c r="BR145" i="106"/>
  <c r="BS146" i="106" s="1"/>
  <c r="BS23" i="3" s="1"/>
  <c r="BS14" i="107" s="1"/>
  <c r="BY51" i="106"/>
  <c r="AQ98" i="106"/>
  <c r="AW91" i="106"/>
  <c r="AW97" i="106" s="1"/>
  <c r="BX51" i="106"/>
  <c r="CA65" i="3"/>
  <c r="BN124" i="29"/>
  <c r="BN118" i="29" s="1"/>
  <c r="BO18" i="3"/>
  <c r="CC65" i="3"/>
  <c r="CD75" i="3"/>
  <c r="CC20" i="29"/>
  <c r="CA20" i="29"/>
  <c r="BQ94" i="29"/>
  <c r="BQ18" i="3"/>
  <c r="BI131" i="106"/>
  <c r="BI134" i="106" s="1"/>
  <c r="BO131" i="106" s="1"/>
  <c r="BO134" i="106" s="1"/>
  <c r="BO135" i="106" s="1"/>
  <c r="BC135" i="106"/>
  <c r="CC33" i="29"/>
  <c r="CE21" i="29"/>
  <c r="BR124" i="29"/>
  <c r="AE108" i="106"/>
  <c r="AE112" i="106"/>
  <c r="AW126" i="106"/>
  <c r="AW124" i="106"/>
  <c r="CF17" i="106"/>
  <c r="CG37" i="106"/>
  <c r="BT92" i="29"/>
  <c r="BT73" i="29" s="1"/>
  <c r="BT99" i="29" s="1"/>
  <c r="BU99" i="29" s="1"/>
  <c r="CA13" i="29"/>
  <c r="CA11" i="29" s="1"/>
  <c r="CC13" i="29"/>
  <c r="CC11" i="29" s="1"/>
  <c r="CF26" i="29"/>
  <c r="CG26" i="29" s="1"/>
  <c r="CA36" i="29"/>
  <c r="CA104" i="29"/>
  <c r="CC91" i="29"/>
  <c r="BZ117" i="29"/>
  <c r="CA117" i="29" s="1"/>
  <c r="CE8" i="29"/>
  <c r="CE25" i="106" s="1"/>
  <c r="CD37" i="29"/>
  <c r="CD28" i="29"/>
  <c r="CD16" i="29"/>
  <c r="CD107" i="29" s="1"/>
  <c r="BS120" i="29"/>
  <c r="CD14" i="29"/>
  <c r="CD105" i="29" s="1"/>
  <c r="BY90" i="29"/>
  <c r="BX116" i="29"/>
  <c r="BX119" i="29" s="1"/>
  <c r="CA33" i="29"/>
  <c r="CE85" i="29"/>
  <c r="BX76" i="29"/>
  <c r="BZ88" i="29"/>
  <c r="BY114" i="29"/>
  <c r="CD15" i="29"/>
  <c r="BZ80" i="29"/>
  <c r="BY106" i="29"/>
  <c r="BY102" i="29" s="1"/>
  <c r="CD6" i="29"/>
  <c r="CC36" i="29"/>
  <c r="CD12" i="29"/>
  <c r="BW76" i="29"/>
  <c r="BW119" i="29"/>
  <c r="CC25" i="29"/>
  <c r="CA25" i="29"/>
  <c r="CD24" i="29"/>
  <c r="CD115" i="29" s="1"/>
  <c r="BN119" i="29" l="1"/>
  <c r="BO118" i="29"/>
  <c r="BO119" i="29" s="1"/>
  <c r="BY35" i="29"/>
  <c r="CD103" i="29"/>
  <c r="CE17" i="29"/>
  <c r="CG17" i="106"/>
  <c r="CG175" i="106" s="1"/>
  <c r="CF175" i="106"/>
  <c r="BS15" i="107"/>
  <c r="CD33" i="29"/>
  <c r="CD24" i="106"/>
  <c r="AW98" i="106"/>
  <c r="BC91" i="106"/>
  <c r="BC97" i="106" s="1"/>
  <c r="CD65" i="3"/>
  <c r="CD61" i="3" s="1"/>
  <c r="CE75" i="3"/>
  <c r="CF21" i="29"/>
  <c r="CG21" i="29" s="1"/>
  <c r="CD20" i="29"/>
  <c r="CC111" i="29"/>
  <c r="BI135" i="106"/>
  <c r="CC61" i="3"/>
  <c r="BO124" i="29"/>
  <c r="CF135" i="106"/>
  <c r="CE112" i="29"/>
  <c r="BQ124" i="29"/>
  <c r="BW18" i="106"/>
  <c r="BW127" i="106" s="1"/>
  <c r="BX121" i="106"/>
  <c r="BC121" i="106"/>
  <c r="AW127" i="106"/>
  <c r="AK102" i="106"/>
  <c r="AE116" i="106"/>
  <c r="AE117" i="106" s="1"/>
  <c r="BX92" i="29"/>
  <c r="BX73" i="29" s="1"/>
  <c r="BX99" i="29" s="1"/>
  <c r="CD25" i="29"/>
  <c r="BW92" i="29"/>
  <c r="BW73" i="29" s="1"/>
  <c r="BW99" i="29" s="1"/>
  <c r="BZ90" i="29"/>
  <c r="BY116" i="29"/>
  <c r="BY119" i="29" s="1"/>
  <c r="CA27" i="29"/>
  <c r="CA29" i="29" s="1"/>
  <c r="CA31" i="29" s="1"/>
  <c r="BZ27" i="29"/>
  <c r="BZ29" i="29" s="1"/>
  <c r="CC80" i="29"/>
  <c r="BZ106" i="29"/>
  <c r="BZ102" i="29" s="1"/>
  <c r="BS121" i="29"/>
  <c r="BS122" i="29" s="1"/>
  <c r="CC88" i="29"/>
  <c r="BZ114" i="29"/>
  <c r="CA114" i="29" s="1"/>
  <c r="CD13" i="29"/>
  <c r="CD104" i="29" s="1"/>
  <c r="CE6" i="29"/>
  <c r="CE24" i="106" s="1"/>
  <c r="BY76" i="29"/>
  <c r="BT120" i="29"/>
  <c r="BT121" i="29" s="1"/>
  <c r="BT122" i="29" s="1"/>
  <c r="CC27" i="29"/>
  <c r="CC29" i="29" s="1"/>
  <c r="CE28" i="29"/>
  <c r="CF8" i="29"/>
  <c r="CF25" i="106" s="1"/>
  <c r="CG25" i="106" s="1"/>
  <c r="CE37" i="29"/>
  <c r="CE24" i="29"/>
  <c r="CE115" i="29" s="1"/>
  <c r="CE12" i="29"/>
  <c r="CE15" i="29"/>
  <c r="CE16" i="29"/>
  <c r="CE107" i="29" s="1"/>
  <c r="CD97" i="29"/>
  <c r="CF85" i="29"/>
  <c r="CE14" i="29"/>
  <c r="CE105" i="29" s="1"/>
  <c r="CD91" i="29"/>
  <c r="CC117" i="29"/>
  <c r="CC104" i="29"/>
  <c r="BN92" i="29" l="1"/>
  <c r="BN73" i="29" s="1"/>
  <c r="BN99" i="29" s="1"/>
  <c r="CE103" i="29"/>
  <c r="CF17" i="29"/>
  <c r="CG17" i="29" s="1"/>
  <c r="CE108" i="29"/>
  <c r="CD11" i="29"/>
  <c r="CE33" i="29"/>
  <c r="CE97" i="29"/>
  <c r="BU120" i="29"/>
  <c r="BU121" i="29" s="1"/>
  <c r="BU122" i="29" s="1"/>
  <c r="BU94" i="29" s="1"/>
  <c r="CE20" i="29"/>
  <c r="CD111" i="29"/>
  <c r="BS94" i="29"/>
  <c r="BS18" i="3"/>
  <c r="CD36" i="29"/>
  <c r="BS19" i="106"/>
  <c r="BS174" i="106" s="1"/>
  <c r="BU131" i="106"/>
  <c r="BU134" i="106" s="1"/>
  <c r="CF112" i="29"/>
  <c r="CG112" i="29" s="1"/>
  <c r="CC31" i="29"/>
  <c r="CC34" i="29" s="1"/>
  <c r="CC29" i="106"/>
  <c r="BI91" i="106"/>
  <c r="BI97" i="106" s="1"/>
  <c r="BC98" i="106"/>
  <c r="CA106" i="29"/>
  <c r="CA102" i="29" s="1"/>
  <c r="CF75" i="3"/>
  <c r="CF65" i="3" s="1"/>
  <c r="CF61" i="3" s="1"/>
  <c r="CE65" i="3"/>
  <c r="BT94" i="29"/>
  <c r="BT18" i="3"/>
  <c r="BZ31" i="29"/>
  <c r="BZ34" i="29" s="1"/>
  <c r="BZ29" i="106"/>
  <c r="AK108" i="106"/>
  <c r="AK112" i="106"/>
  <c r="BC126" i="106"/>
  <c r="BC124" i="106"/>
  <c r="BX123" i="106"/>
  <c r="BX126" i="106" s="1"/>
  <c r="CE91" i="29"/>
  <c r="CD117" i="29"/>
  <c r="CF15" i="29"/>
  <c r="CG15" i="29" s="1"/>
  <c r="BY92" i="29"/>
  <c r="BY73" i="29" s="1"/>
  <c r="BY99" i="29" s="1"/>
  <c r="CE25" i="29"/>
  <c r="CD27" i="29"/>
  <c r="CD29" i="29" s="1"/>
  <c r="CF28" i="29"/>
  <c r="CG28" i="29" s="1"/>
  <c r="CG8" i="29"/>
  <c r="CF37" i="29"/>
  <c r="CA34" i="29"/>
  <c r="BX120" i="29"/>
  <c r="BX121" i="29" s="1"/>
  <c r="BX122" i="29" s="1"/>
  <c r="CF12" i="29"/>
  <c r="CC90" i="29"/>
  <c r="BZ116" i="29"/>
  <c r="CA116" i="29" s="1"/>
  <c r="CF6" i="29"/>
  <c r="CF24" i="106" s="1"/>
  <c r="CE36" i="29"/>
  <c r="BZ76" i="29"/>
  <c r="CF24" i="29"/>
  <c r="CG24" i="29" s="1"/>
  <c r="CD80" i="29"/>
  <c r="CC106" i="29"/>
  <c r="CC102" i="29" s="1"/>
  <c r="BW120" i="29"/>
  <c r="CF16" i="29"/>
  <c r="CG16" i="29" s="1"/>
  <c r="CE13" i="29"/>
  <c r="CE11" i="29" s="1"/>
  <c r="CF14" i="29"/>
  <c r="CG14" i="29" s="1"/>
  <c r="CD88" i="29"/>
  <c r="CC114" i="29"/>
  <c r="BN120" i="29" l="1"/>
  <c r="BO99" i="29"/>
  <c r="CA119" i="29"/>
  <c r="CF103" i="29"/>
  <c r="CG103" i="29" s="1"/>
  <c r="CF108" i="29"/>
  <c r="CG108" i="29" s="1"/>
  <c r="CE27" i="29"/>
  <c r="CE29" i="29" s="1"/>
  <c r="CE31" i="29" s="1"/>
  <c r="CE34" i="29" s="1"/>
  <c r="BZ35" i="29"/>
  <c r="BZ163" i="106"/>
  <c r="CF105" i="29"/>
  <c r="CG105" i="29" s="1"/>
  <c r="CE104" i="29"/>
  <c r="CF115" i="29"/>
  <c r="CG115" i="29" s="1"/>
  <c r="CF33" i="29"/>
  <c r="CC35" i="29"/>
  <c r="CC163" i="106"/>
  <c r="BX94" i="29"/>
  <c r="BX18" i="3"/>
  <c r="CE61" i="3"/>
  <c r="CG61" i="3" s="1"/>
  <c r="CG65" i="3"/>
  <c r="CG24" i="106"/>
  <c r="CD31" i="29"/>
  <c r="CD34" i="29" s="1"/>
  <c r="CD29" i="106"/>
  <c r="CD163" i="106" s="1"/>
  <c r="CA29" i="106"/>
  <c r="CA163" i="106" s="1"/>
  <c r="BZ51" i="106"/>
  <c r="CA131" i="106"/>
  <c r="CA134" i="106" s="1"/>
  <c r="BU135" i="106"/>
  <c r="BS145" i="106"/>
  <c r="BT146" i="106" s="1"/>
  <c r="BT124" i="29"/>
  <c r="CC51" i="106"/>
  <c r="CF20" i="29"/>
  <c r="CE111" i="29"/>
  <c r="BS124" i="29"/>
  <c r="BU18" i="3"/>
  <c r="BO91" i="106"/>
  <c r="BI98" i="106"/>
  <c r="BI121" i="106"/>
  <c r="BC127" i="106"/>
  <c r="BX18" i="106"/>
  <c r="BX127" i="106" s="1"/>
  <c r="BY121" i="106"/>
  <c r="AQ102" i="106"/>
  <c r="AK116" i="106"/>
  <c r="AK117" i="106" s="1"/>
  <c r="CC76" i="29"/>
  <c r="CE80" i="29"/>
  <c r="CD106" i="29"/>
  <c r="CD102" i="29" s="1"/>
  <c r="BY120" i="29"/>
  <c r="BY121" i="29" s="1"/>
  <c r="BY122" i="29" s="1"/>
  <c r="CF13" i="29"/>
  <c r="CG13" i="29" s="1"/>
  <c r="CF36" i="29"/>
  <c r="CG6" i="29"/>
  <c r="CG33" i="29" s="1"/>
  <c r="CF107" i="29"/>
  <c r="CG107" i="29" s="1"/>
  <c r="CG12" i="29"/>
  <c r="CF91" i="29"/>
  <c r="CF117" i="29" s="1"/>
  <c r="CE117" i="29"/>
  <c r="CE88" i="29"/>
  <c r="CD114" i="29"/>
  <c r="BZ119" i="29"/>
  <c r="CD90" i="29"/>
  <c r="CC116" i="29"/>
  <c r="CC119" i="29" s="1"/>
  <c r="BW121" i="29"/>
  <c r="BW122" i="29" s="1"/>
  <c r="CF97" i="29"/>
  <c r="CF25" i="29"/>
  <c r="CG25" i="29" s="1"/>
  <c r="CG37" i="29"/>
  <c r="BO120" i="29" l="1"/>
  <c r="BO121" i="29" s="1"/>
  <c r="BO122" i="29" s="1"/>
  <c r="BO94" i="29" s="1"/>
  <c r="BN121" i="29"/>
  <c r="BN122" i="29" s="1"/>
  <c r="BN94" i="29" s="1"/>
  <c r="CF11" i="29"/>
  <c r="CF27" i="29" s="1"/>
  <c r="CF29" i="29" s="1"/>
  <c r="CG11" i="29"/>
  <c r="CE29" i="106"/>
  <c r="CE163" i="106" s="1"/>
  <c r="CF104" i="29"/>
  <c r="CG104" i="29" s="1"/>
  <c r="BY94" i="29"/>
  <c r="BY18" i="3"/>
  <c r="CD51" i="106"/>
  <c r="CA135" i="106"/>
  <c r="CG131" i="106"/>
  <c r="CG134" i="106" s="1"/>
  <c r="CG135" i="106" s="1"/>
  <c r="CG20" i="29"/>
  <c r="CF111" i="29"/>
  <c r="CG111" i="29" s="1"/>
  <c r="CA51" i="106"/>
  <c r="CA35" i="29"/>
  <c r="BU124" i="29"/>
  <c r="BX124" i="29"/>
  <c r="CD35" i="29"/>
  <c r="BU146" i="106"/>
  <c r="BT23" i="3"/>
  <c r="BT14" i="107" s="1"/>
  <c r="BW94" i="29"/>
  <c r="BW18" i="3"/>
  <c r="BY123" i="106"/>
  <c r="BY126" i="106" s="1"/>
  <c r="AQ108" i="106"/>
  <c r="AQ112" i="106"/>
  <c r="BI124" i="106"/>
  <c r="BI126" i="106"/>
  <c r="BO121" i="106" s="1"/>
  <c r="CC92" i="29"/>
  <c r="CC73" i="29" s="1"/>
  <c r="CC99" i="29" s="1"/>
  <c r="CG97" i="29"/>
  <c r="CF88" i="29"/>
  <c r="CF114" i="29" s="1"/>
  <c r="CE114" i="29"/>
  <c r="CG117" i="29"/>
  <c r="CD76" i="29"/>
  <c r="CF80" i="29"/>
  <c r="CF106" i="29" s="1"/>
  <c r="CE106" i="29"/>
  <c r="CE102" i="29" s="1"/>
  <c r="CE90" i="29"/>
  <c r="CD116" i="29"/>
  <c r="CD119" i="29" s="1"/>
  <c r="CG36" i="29"/>
  <c r="BZ92" i="29"/>
  <c r="BZ73" i="29" s="1"/>
  <c r="BZ99" i="29" s="1"/>
  <c r="CG27" i="29" l="1"/>
  <c r="CG29" i="29" s="1"/>
  <c r="CG31" i="29" s="1"/>
  <c r="BO124" i="106"/>
  <c r="BO126" i="106"/>
  <c r="BO127" i="106" s="1"/>
  <c r="CE51" i="106"/>
  <c r="CF102" i="29"/>
  <c r="CF76" i="29" s="1"/>
  <c r="CE35" i="29"/>
  <c r="CG114" i="29"/>
  <c r="BT15" i="107"/>
  <c r="BU15" i="107" s="1"/>
  <c r="BU14" i="107"/>
  <c r="BY124" i="29"/>
  <c r="CF31" i="29"/>
  <c r="CF34" i="29" s="1"/>
  <c r="CF29" i="106"/>
  <c r="CF163" i="106" s="1"/>
  <c r="BW124" i="29"/>
  <c r="BU23" i="3"/>
  <c r="BI127" i="106"/>
  <c r="AW102" i="106"/>
  <c r="AQ116" i="106"/>
  <c r="AQ117" i="106" s="1"/>
  <c r="BY18" i="106"/>
  <c r="BY127" i="106" s="1"/>
  <c r="BZ121" i="106"/>
  <c r="CD92" i="29"/>
  <c r="CD73" i="29" s="1"/>
  <c r="CD99" i="29" s="1"/>
  <c r="CG34" i="29"/>
  <c r="CC120" i="29"/>
  <c r="CG106" i="29"/>
  <c r="CG102" i="29" s="1"/>
  <c r="BZ120" i="29"/>
  <c r="CA99" i="29"/>
  <c r="CF90" i="29"/>
  <c r="CF116" i="29" s="1"/>
  <c r="CE116" i="29"/>
  <c r="CF119" i="29" l="1"/>
  <c r="CF92" i="29" s="1"/>
  <c r="CF73" i="29" s="1"/>
  <c r="CF99" i="29" s="1"/>
  <c r="CG116" i="29"/>
  <c r="CG119" i="29" s="1"/>
  <c r="BT19" i="106"/>
  <c r="BT174" i="106" s="1"/>
  <c r="CF35" i="29"/>
  <c r="CG29" i="106"/>
  <c r="CG163" i="106" s="1"/>
  <c r="CF51" i="106"/>
  <c r="BZ123" i="106"/>
  <c r="CA123" i="106" s="1"/>
  <c r="AW108" i="106"/>
  <c r="AW112" i="106"/>
  <c r="CD120" i="29"/>
  <c r="CD121" i="29" s="1"/>
  <c r="CD122" i="29" s="1"/>
  <c r="CC121" i="29"/>
  <c r="CC122" i="29" s="1"/>
  <c r="CA120" i="29"/>
  <c r="CA121" i="29" s="1"/>
  <c r="CA122" i="29" s="1"/>
  <c r="CA94" i="29" s="1"/>
  <c r="BZ121" i="29"/>
  <c r="BZ122" i="29" s="1"/>
  <c r="CE119" i="29"/>
  <c r="CE76" i="29"/>
  <c r="CD94" i="29" l="1"/>
  <c r="CD18" i="3"/>
  <c r="BZ94" i="29"/>
  <c r="BZ18" i="3"/>
  <c r="BT145" i="106"/>
  <c r="BW146" i="106" s="1"/>
  <c r="BU19" i="106"/>
  <c r="CG51" i="106"/>
  <c r="CG35" i="29"/>
  <c r="CC94" i="29"/>
  <c r="CC18" i="3"/>
  <c r="BZ126" i="106"/>
  <c r="BC102" i="106"/>
  <c r="AW116" i="106"/>
  <c r="AW117" i="106" s="1"/>
  <c r="BU121" i="106"/>
  <c r="CE92" i="29"/>
  <c r="CE73" i="29" s="1"/>
  <c r="CE99" i="29" s="1"/>
  <c r="CF120" i="29"/>
  <c r="CF121" i="29" s="1"/>
  <c r="CF122" i="29" s="1"/>
  <c r="BU145" i="106" l="1"/>
  <c r="BU147" i="106" s="1"/>
  <c r="BU174" i="106"/>
  <c r="BW23" i="3"/>
  <c r="BW14" i="107" s="1"/>
  <c r="CC124" i="29"/>
  <c r="BZ124" i="29"/>
  <c r="CA18" i="3"/>
  <c r="CF94" i="29"/>
  <c r="CF18" i="3"/>
  <c r="CD124" i="29"/>
  <c r="BC108" i="106"/>
  <c r="BC112" i="106"/>
  <c r="BU126" i="106"/>
  <c r="BU124" i="106"/>
  <c r="BZ18" i="106"/>
  <c r="CA18" i="106" s="1"/>
  <c r="CC121" i="106"/>
  <c r="CE120" i="29"/>
  <c r="CG99" i="29"/>
  <c r="BZ127" i="106" l="1"/>
  <c r="BW15" i="107"/>
  <c r="CF124" i="29"/>
  <c r="CA124" i="29"/>
  <c r="BU127" i="106"/>
  <c r="CA121" i="106"/>
  <c r="BI102" i="106"/>
  <c r="BC116" i="106"/>
  <c r="BC117" i="106" s="1"/>
  <c r="CC123" i="106"/>
  <c r="CC126" i="106" s="1"/>
  <c r="CG120" i="29"/>
  <c r="CG121" i="29" s="1"/>
  <c r="CG122" i="29" s="1"/>
  <c r="CG94" i="29" s="1"/>
  <c r="CE121" i="29"/>
  <c r="CE122" i="29" s="1"/>
  <c r="CE94" i="29" l="1"/>
  <c r="CE18" i="3"/>
  <c r="BW19" i="106"/>
  <c r="BW174" i="106" s="1"/>
  <c r="BI108" i="106"/>
  <c r="BO102" i="106" s="1"/>
  <c r="BI112" i="106"/>
  <c r="CD121" i="106"/>
  <c r="CC18" i="106"/>
  <c r="CC127" i="106" s="1"/>
  <c r="CA126" i="106"/>
  <c r="CA124" i="106"/>
  <c r="BO108" i="106" l="1"/>
  <c r="BO116" i="106" s="1"/>
  <c r="BO112" i="106"/>
  <c r="BW145" i="106"/>
  <c r="BX146" i="106" s="1"/>
  <c r="CE124" i="29"/>
  <c r="CG18" i="3"/>
  <c r="CA127" i="106"/>
  <c r="CG121" i="106"/>
  <c r="CD123" i="106"/>
  <c r="CD126" i="106" s="1"/>
  <c r="BI116" i="106"/>
  <c r="BI117" i="106" s="1"/>
  <c r="BX23" i="3" l="1"/>
  <c r="BX14" i="107" s="1"/>
  <c r="CG124" i="29"/>
  <c r="CD18" i="106"/>
  <c r="CD127" i="106" s="1"/>
  <c r="CE121" i="106"/>
  <c r="BX15" i="107" l="1"/>
  <c r="CE123" i="106"/>
  <c r="CE126" i="106" s="1"/>
  <c r="BX19" i="106" l="1"/>
  <c r="BX174" i="106" s="1"/>
  <c r="CF121" i="106"/>
  <c r="CE18" i="106"/>
  <c r="CE127" i="106" s="1"/>
  <c r="BX145" i="106" l="1"/>
  <c r="BY146" i="106" s="1"/>
  <c r="CF123" i="106"/>
  <c r="CG123" i="106" s="1"/>
  <c r="CG124" i="106" s="1"/>
  <c r="BY23" i="3" l="1"/>
  <c r="BY14" i="107" s="1"/>
  <c r="CF126" i="106"/>
  <c r="CG126" i="106"/>
  <c r="G4" i="51"/>
  <c r="M4" i="51"/>
  <c r="S4" i="51"/>
  <c r="Y4" i="51"/>
  <c r="AE4" i="51"/>
  <c r="AK4" i="51"/>
  <c r="AQ4" i="51"/>
  <c r="AW4" i="51"/>
  <c r="BC4" i="51"/>
  <c r="BI4" i="51"/>
  <c r="BU4" i="51"/>
  <c r="CA4" i="51"/>
  <c r="CG4" i="51"/>
  <c r="G5" i="51"/>
  <c r="M5" i="51"/>
  <c r="S5" i="51"/>
  <c r="Y5" i="51"/>
  <c r="AE5" i="51"/>
  <c r="AK5" i="51"/>
  <c r="AQ5" i="51"/>
  <c r="AW5" i="51"/>
  <c r="BC5" i="51"/>
  <c r="BI5" i="51"/>
  <c r="BQ5" i="51"/>
  <c r="BR5" i="51" s="1"/>
  <c r="BS5" i="51" s="1"/>
  <c r="BT5" i="51" s="1"/>
  <c r="F8" i="51"/>
  <c r="L8" i="51"/>
  <c r="R8" i="51"/>
  <c r="X8" i="51"/>
  <c r="AA8" i="51"/>
  <c r="AA210" i="51" s="1"/>
  <c r="AB8" i="51"/>
  <c r="AB67" i="51" s="1"/>
  <c r="AK8" i="51"/>
  <c r="AQ8" i="51"/>
  <c r="AW8" i="51"/>
  <c r="BC8" i="51"/>
  <c r="BI8" i="51"/>
  <c r="BI271" i="51" s="1"/>
  <c r="BI274" i="51" s="1"/>
  <c r="BL9" i="51"/>
  <c r="BL11" i="51" s="1"/>
  <c r="BQ9" i="51"/>
  <c r="BR11" i="51"/>
  <c r="BX10" i="51"/>
  <c r="BY10" i="51" s="1"/>
  <c r="I9" i="51"/>
  <c r="J9" i="51"/>
  <c r="K9" i="51"/>
  <c r="O9" i="51"/>
  <c r="O11" i="51" s="1"/>
  <c r="P9" i="51"/>
  <c r="P11" i="51" s="1"/>
  <c r="Q9" i="51"/>
  <c r="Q11" i="51" s="1"/>
  <c r="U9" i="51"/>
  <c r="U11" i="51" s="1"/>
  <c r="V9" i="51"/>
  <c r="V333" i="51" s="1"/>
  <c r="W9" i="51"/>
  <c r="AC9" i="51"/>
  <c r="AC11" i="51" s="1"/>
  <c r="AI9" i="51"/>
  <c r="AI11" i="51" s="1"/>
  <c r="AJ9" i="51"/>
  <c r="AJ11" i="51" s="1"/>
  <c r="AM9" i="51"/>
  <c r="AM11" i="51" s="1"/>
  <c r="AN9" i="51"/>
  <c r="AN11" i="51" s="1"/>
  <c r="AO9" i="51"/>
  <c r="AO11" i="51" s="1"/>
  <c r="AP9" i="51"/>
  <c r="AP11" i="51" s="1"/>
  <c r="AS9" i="51"/>
  <c r="AS11" i="51" s="1"/>
  <c r="AT9" i="51"/>
  <c r="AT11" i="51" s="1"/>
  <c r="AU9" i="51"/>
  <c r="AU11" i="51" s="1"/>
  <c r="AV9" i="51"/>
  <c r="AV11" i="51" s="1"/>
  <c r="AY9" i="51"/>
  <c r="AY11" i="51" s="1"/>
  <c r="AZ9" i="51"/>
  <c r="AZ11" i="51" s="1"/>
  <c r="BA9" i="51"/>
  <c r="BA11" i="51" s="1"/>
  <c r="BB9" i="51"/>
  <c r="BB11" i="51" s="1"/>
  <c r="BE9" i="51"/>
  <c r="BE11" i="51" s="1"/>
  <c r="BF9" i="51"/>
  <c r="BF11" i="51" s="1"/>
  <c r="BG9" i="51"/>
  <c r="BG11" i="51" s="1"/>
  <c r="BH9" i="51"/>
  <c r="BH11" i="51" s="1"/>
  <c r="BK9" i="51"/>
  <c r="BK11" i="51" s="1"/>
  <c r="C11" i="51"/>
  <c r="D11" i="51"/>
  <c r="E11" i="51"/>
  <c r="F11" i="51"/>
  <c r="G11" i="51"/>
  <c r="AG11" i="51"/>
  <c r="AH11" i="51"/>
  <c r="AJ12" i="51"/>
  <c r="BH12" i="51"/>
  <c r="BS12" i="51"/>
  <c r="C13" i="51"/>
  <c r="B9" i="119" s="1"/>
  <c r="D13" i="51"/>
  <c r="C9" i="119" s="1"/>
  <c r="C114" i="119" s="1"/>
  <c r="E13" i="51"/>
  <c r="D9" i="119" s="1"/>
  <c r="F13" i="51"/>
  <c r="E9" i="119" s="1"/>
  <c r="E114" i="119" s="1"/>
  <c r="G13" i="51"/>
  <c r="I13" i="51"/>
  <c r="F9" i="119" s="1"/>
  <c r="F114" i="119" s="1"/>
  <c r="J13" i="51"/>
  <c r="G9" i="119" s="1"/>
  <c r="K13" i="51"/>
  <c r="H9" i="119" s="1"/>
  <c r="H114" i="119" s="1"/>
  <c r="L13" i="51"/>
  <c r="I9" i="119" s="1"/>
  <c r="I114" i="119" s="1"/>
  <c r="O13" i="51"/>
  <c r="J9" i="119" s="1"/>
  <c r="J114" i="119" s="1"/>
  <c r="P13" i="51"/>
  <c r="K9" i="119" s="1"/>
  <c r="K114" i="119" s="1"/>
  <c r="Q13" i="51"/>
  <c r="L9" i="119" s="1"/>
  <c r="R13" i="51"/>
  <c r="M9" i="119" s="1"/>
  <c r="M114" i="119" s="1"/>
  <c r="U13" i="51"/>
  <c r="V13" i="51"/>
  <c r="O9" i="119" s="1"/>
  <c r="W13" i="51"/>
  <c r="P9" i="119" s="1"/>
  <c r="P114" i="119" s="1"/>
  <c r="X13" i="51"/>
  <c r="Q9" i="119" s="1"/>
  <c r="AA13" i="51"/>
  <c r="R9" i="119" s="1"/>
  <c r="R114" i="119" s="1"/>
  <c r="AB13" i="51"/>
  <c r="S9" i="119" s="1"/>
  <c r="AC13" i="51"/>
  <c r="T9" i="119" s="1"/>
  <c r="AD13" i="51"/>
  <c r="U9" i="119" s="1"/>
  <c r="U114" i="119" s="1"/>
  <c r="AG13" i="51"/>
  <c r="V9" i="119" s="1"/>
  <c r="V114" i="119" s="1"/>
  <c r="AH13" i="51"/>
  <c r="W9" i="119" s="1"/>
  <c r="W114" i="119" s="1"/>
  <c r="AI13" i="51"/>
  <c r="X9" i="119" s="1"/>
  <c r="X114" i="119" s="1"/>
  <c r="AM13" i="51"/>
  <c r="Z9" i="119" s="1"/>
  <c r="Z114" i="119" s="1"/>
  <c r="AN13" i="51"/>
  <c r="AA9" i="119" s="1"/>
  <c r="AO13" i="51"/>
  <c r="AB9" i="119" s="1"/>
  <c r="AP13" i="51"/>
  <c r="AC9" i="119" s="1"/>
  <c r="AC114" i="119" s="1"/>
  <c r="AS13" i="51"/>
  <c r="AD9" i="119" s="1"/>
  <c r="AD114" i="119" s="1"/>
  <c r="AT13" i="51"/>
  <c r="AE9" i="119" s="1"/>
  <c r="AE114" i="119" s="1"/>
  <c r="AU13" i="51"/>
  <c r="AF9" i="119" s="1"/>
  <c r="AF114" i="119" s="1"/>
  <c r="AV13" i="51"/>
  <c r="AG9" i="119" s="1"/>
  <c r="AG114" i="119" s="1"/>
  <c r="AY13" i="51"/>
  <c r="AH9" i="119" s="1"/>
  <c r="AH114" i="119" s="1"/>
  <c r="AZ13" i="51"/>
  <c r="AI9" i="119" s="1"/>
  <c r="AI114" i="119" s="1"/>
  <c r="BA13" i="51"/>
  <c r="AJ9" i="119" s="1"/>
  <c r="BB13" i="51"/>
  <c r="AK9" i="119" s="1"/>
  <c r="AK114" i="119" s="1"/>
  <c r="BE13" i="51"/>
  <c r="AL9" i="119" s="1"/>
  <c r="AL114" i="119" s="1"/>
  <c r="BF13" i="51"/>
  <c r="AM9" i="119" s="1"/>
  <c r="BG13" i="51"/>
  <c r="AN9" i="119" s="1"/>
  <c r="AN114" i="119" s="1"/>
  <c r="BK13" i="51"/>
  <c r="BL13" i="51"/>
  <c r="AQ9" i="119" s="1"/>
  <c r="BR13" i="51"/>
  <c r="AS20" i="51"/>
  <c r="BK20" i="51"/>
  <c r="R28" i="51"/>
  <c r="X28" i="51"/>
  <c r="Y28" i="51" s="1"/>
  <c r="Y169" i="3" s="1"/>
  <c r="AA28" i="51"/>
  <c r="AA29" i="51" s="1"/>
  <c r="AA31" i="51" s="1"/>
  <c r="AB28" i="51"/>
  <c r="AB87" i="51" s="1"/>
  <c r="AK28" i="51"/>
  <c r="AQ32" i="51" s="1"/>
  <c r="AQ28" i="51"/>
  <c r="AW32" i="51" s="1"/>
  <c r="AW28" i="51"/>
  <c r="BC32" i="51" s="1"/>
  <c r="BC28" i="51"/>
  <c r="BI28" i="51"/>
  <c r="BL29" i="51"/>
  <c r="BL31" i="51" s="1"/>
  <c r="U29" i="51"/>
  <c r="U31" i="51" s="1"/>
  <c r="V29" i="51"/>
  <c r="V31" i="51" s="1"/>
  <c r="W29" i="51"/>
  <c r="W31" i="51" s="1"/>
  <c r="AC29" i="51"/>
  <c r="AC31" i="51" s="1"/>
  <c r="AI29" i="51"/>
  <c r="AI31" i="51" s="1"/>
  <c r="AJ29" i="51"/>
  <c r="AJ31" i="51" s="1"/>
  <c r="AM29" i="51"/>
  <c r="AM31" i="51" s="1"/>
  <c r="AN29" i="51"/>
  <c r="AN31" i="51" s="1"/>
  <c r="AO29" i="51"/>
  <c r="AO31" i="51" s="1"/>
  <c r="AP29" i="51"/>
  <c r="AP31" i="51" s="1"/>
  <c r="AS29" i="51"/>
  <c r="AS31" i="51" s="1"/>
  <c r="AT29" i="51"/>
  <c r="AT31" i="51" s="1"/>
  <c r="AU29" i="51"/>
  <c r="AU31" i="51" s="1"/>
  <c r="AV29" i="51"/>
  <c r="AV31" i="51" s="1"/>
  <c r="AY29" i="51"/>
  <c r="AY31" i="51" s="1"/>
  <c r="AZ29" i="51"/>
  <c r="AZ31" i="51" s="1"/>
  <c r="BA29" i="51"/>
  <c r="BA31" i="51" s="1"/>
  <c r="BB29" i="51"/>
  <c r="BB31" i="51" s="1"/>
  <c r="BE29" i="51"/>
  <c r="BE31" i="51" s="1"/>
  <c r="BF29" i="51"/>
  <c r="BF31" i="51" s="1"/>
  <c r="BG29" i="51"/>
  <c r="BG31" i="51" s="1"/>
  <c r="BH29" i="51"/>
  <c r="BH31" i="51" s="1"/>
  <c r="BK29" i="51"/>
  <c r="BK31" i="51" s="1"/>
  <c r="AG31" i="51"/>
  <c r="AH31" i="51"/>
  <c r="AD32" i="51"/>
  <c r="AD33" i="51" s="1"/>
  <c r="U16" i="119" s="1"/>
  <c r="U138" i="119" s="1"/>
  <c r="BH32" i="51"/>
  <c r="BQ32" i="51"/>
  <c r="BR32" i="51"/>
  <c r="BW32" i="51"/>
  <c r="BW33" i="51" s="1"/>
  <c r="U33" i="51"/>
  <c r="N16" i="119" s="1"/>
  <c r="N138" i="119" s="1"/>
  <c r="V33" i="51"/>
  <c r="O16" i="119" s="1"/>
  <c r="O138" i="119" s="1"/>
  <c r="W33" i="51"/>
  <c r="P16" i="119" s="1"/>
  <c r="X33" i="51"/>
  <c r="Q16" i="119" s="1"/>
  <c r="Q138" i="119" s="1"/>
  <c r="AA33" i="51"/>
  <c r="R16" i="119" s="1"/>
  <c r="R138" i="119" s="1"/>
  <c r="AB33" i="51"/>
  <c r="S16" i="119" s="1"/>
  <c r="S138" i="119" s="1"/>
  <c r="AC33" i="51"/>
  <c r="T16" i="119" s="1"/>
  <c r="T138" i="119" s="1"/>
  <c r="AG33" i="51"/>
  <c r="V16" i="119" s="1"/>
  <c r="V138" i="119" s="1"/>
  <c r="AH33" i="51"/>
  <c r="W16" i="119" s="1"/>
  <c r="W138" i="119" s="1"/>
  <c r="AI33" i="51"/>
  <c r="X16" i="119" s="1"/>
  <c r="AJ33" i="51"/>
  <c r="Y16" i="119" s="1"/>
  <c r="AM33" i="51"/>
  <c r="Z16" i="119" s="1"/>
  <c r="Z138" i="119" s="1"/>
  <c r="AN33" i="51"/>
  <c r="AA16" i="119" s="1"/>
  <c r="AA138" i="119" s="1"/>
  <c r="AO33" i="51"/>
  <c r="AB16" i="119" s="1"/>
  <c r="AB138" i="119" s="1"/>
  <c r="AP33" i="51"/>
  <c r="AC16" i="119" s="1"/>
  <c r="AC138" i="119" s="1"/>
  <c r="AS33" i="51"/>
  <c r="AD16" i="119" s="1"/>
  <c r="AD138" i="119" s="1"/>
  <c r="AT33" i="51"/>
  <c r="AE16" i="119" s="1"/>
  <c r="AU33" i="51"/>
  <c r="AF16" i="119" s="1"/>
  <c r="AV33" i="51"/>
  <c r="AG16" i="119" s="1"/>
  <c r="AG138" i="119" s="1"/>
  <c r="AY33" i="51"/>
  <c r="AH16" i="119" s="1"/>
  <c r="AH138" i="119" s="1"/>
  <c r="AZ33" i="51"/>
  <c r="AI16" i="119" s="1"/>
  <c r="AI138" i="119" s="1"/>
  <c r="BA33" i="51"/>
  <c r="AJ16" i="119" s="1"/>
  <c r="AJ138" i="119" s="1"/>
  <c r="BB33" i="51"/>
  <c r="AK16" i="119" s="1"/>
  <c r="AK138" i="119" s="1"/>
  <c r="BE33" i="51"/>
  <c r="AL16" i="119" s="1"/>
  <c r="AL138" i="119" s="1"/>
  <c r="BF33" i="51"/>
  <c r="AM16" i="119" s="1"/>
  <c r="AM138" i="119" s="1"/>
  <c r="BG33" i="51"/>
  <c r="AN16" i="119" s="1"/>
  <c r="BK33" i="51"/>
  <c r="AP16" i="119" s="1"/>
  <c r="AP138" i="119" s="1"/>
  <c r="BL33" i="51"/>
  <c r="AQ16" i="119" s="1"/>
  <c r="AQ138" i="119" s="1"/>
  <c r="BT33" i="51"/>
  <c r="AW16" i="119" s="1"/>
  <c r="AW138" i="119" s="1"/>
  <c r="F35" i="51"/>
  <c r="L35" i="51"/>
  <c r="R35" i="51"/>
  <c r="X35" i="51"/>
  <c r="AA35" i="51"/>
  <c r="AB35" i="51"/>
  <c r="AK35" i="51"/>
  <c r="AQ35" i="51"/>
  <c r="AW35" i="51"/>
  <c r="BC35" i="51"/>
  <c r="BI35" i="51"/>
  <c r="BL36" i="51"/>
  <c r="BT37" i="51"/>
  <c r="BX37" i="51"/>
  <c r="CD37" i="51"/>
  <c r="J36" i="51"/>
  <c r="K36" i="51"/>
  <c r="O36" i="51"/>
  <c r="P36" i="51"/>
  <c r="Q36" i="51"/>
  <c r="U36" i="51"/>
  <c r="V36" i="51"/>
  <c r="W36" i="51"/>
  <c r="AC36" i="51"/>
  <c r="AI36" i="51"/>
  <c r="AJ36" i="51"/>
  <c r="AM36" i="51"/>
  <c r="AN36" i="51"/>
  <c r="AO36" i="51"/>
  <c r="AP36" i="51"/>
  <c r="AS36" i="51"/>
  <c r="AT36" i="51"/>
  <c r="AU36" i="51"/>
  <c r="AV36" i="51"/>
  <c r="AY36" i="51"/>
  <c r="AZ36" i="51"/>
  <c r="BA36" i="51"/>
  <c r="BB36" i="51"/>
  <c r="BE36" i="51"/>
  <c r="BF36" i="51"/>
  <c r="BG36" i="51"/>
  <c r="BH36" i="51"/>
  <c r="BK36" i="51"/>
  <c r="C38" i="51"/>
  <c r="D38" i="51"/>
  <c r="E38" i="51"/>
  <c r="F38" i="51"/>
  <c r="G38" i="51"/>
  <c r="I38" i="51"/>
  <c r="AG38" i="51"/>
  <c r="AH38" i="51"/>
  <c r="AJ39" i="51"/>
  <c r="BS39" i="51"/>
  <c r="C40" i="51"/>
  <c r="D40" i="51"/>
  <c r="E40" i="51"/>
  <c r="F40" i="51"/>
  <c r="G40" i="51"/>
  <c r="I40" i="51"/>
  <c r="J40" i="51"/>
  <c r="K40" i="51"/>
  <c r="L40" i="51"/>
  <c r="O40" i="51"/>
  <c r="P40" i="51"/>
  <c r="Q40" i="51"/>
  <c r="R40" i="51"/>
  <c r="U40" i="51"/>
  <c r="V40" i="51"/>
  <c r="W40" i="51"/>
  <c r="X40" i="51"/>
  <c r="AA40" i="51"/>
  <c r="AB40" i="51"/>
  <c r="AC40" i="51"/>
  <c r="AD40" i="51"/>
  <c r="AG40" i="51"/>
  <c r="AH40" i="51"/>
  <c r="AI40" i="51"/>
  <c r="AM40" i="51"/>
  <c r="AN40" i="51"/>
  <c r="AO40" i="51"/>
  <c r="AP40" i="51"/>
  <c r="AS40" i="51"/>
  <c r="AT40" i="51"/>
  <c r="AU40" i="51"/>
  <c r="AV40" i="51"/>
  <c r="AY40" i="51"/>
  <c r="AZ40" i="51"/>
  <c r="BA40" i="51"/>
  <c r="BB40" i="51"/>
  <c r="BE40" i="51"/>
  <c r="BF40" i="51"/>
  <c r="BG40" i="51"/>
  <c r="BH40" i="51"/>
  <c r="BK40" i="51"/>
  <c r="BL40" i="51"/>
  <c r="BR40" i="51"/>
  <c r="C42" i="51"/>
  <c r="D42" i="51"/>
  <c r="D160" i="51" s="1"/>
  <c r="E42" i="51"/>
  <c r="E160" i="51" s="1"/>
  <c r="I42" i="51"/>
  <c r="J42" i="51"/>
  <c r="J160" i="51" s="1"/>
  <c r="K42" i="51"/>
  <c r="Q44" i="51" s="1"/>
  <c r="O42" i="51"/>
  <c r="P42" i="51"/>
  <c r="Q42" i="51"/>
  <c r="Q160" i="51" s="1"/>
  <c r="U42" i="51"/>
  <c r="V42" i="51"/>
  <c r="V160" i="51" s="1"/>
  <c r="W42" i="51"/>
  <c r="AC42" i="51"/>
  <c r="AD42" i="51"/>
  <c r="AJ44" i="51" s="1"/>
  <c r="AG42" i="51"/>
  <c r="AH42" i="51"/>
  <c r="AI42" i="51"/>
  <c r="AO44" i="51" s="1"/>
  <c r="AJ42" i="51"/>
  <c r="AJ56" i="51" s="1"/>
  <c r="AM42" i="51"/>
  <c r="AN42" i="51"/>
  <c r="AO42" i="51"/>
  <c r="AP42" i="51"/>
  <c r="AS42" i="51"/>
  <c r="AT42" i="51"/>
  <c r="AT56" i="51" s="1"/>
  <c r="AT186" i="51" s="1"/>
  <c r="AU42" i="51"/>
  <c r="AU56" i="51" s="1"/>
  <c r="AV42" i="51"/>
  <c r="AV56" i="51" s="1"/>
  <c r="AV185" i="51" s="1"/>
  <c r="AY42" i="51"/>
  <c r="AY56" i="51" s="1"/>
  <c r="AY187" i="51" s="1"/>
  <c r="AZ42" i="51"/>
  <c r="BA42" i="51"/>
  <c r="BB42" i="51"/>
  <c r="BB56" i="51" s="1"/>
  <c r="BB187" i="51" s="1"/>
  <c r="BE42" i="51"/>
  <c r="BE56" i="51" s="1"/>
  <c r="BF42" i="51"/>
  <c r="BF56" i="51" s="1"/>
  <c r="BF188" i="51" s="1"/>
  <c r="BG42" i="51"/>
  <c r="BH42" i="51"/>
  <c r="BK42" i="51"/>
  <c r="BL42" i="51"/>
  <c r="BH46" i="51"/>
  <c r="BH47" i="51" s="1"/>
  <c r="AS47" i="51"/>
  <c r="AT47" i="51"/>
  <c r="AU47" i="51"/>
  <c r="AV47" i="51"/>
  <c r="AY47" i="51"/>
  <c r="AZ47" i="51"/>
  <c r="BA47" i="51"/>
  <c r="BB47" i="51"/>
  <c r="BE47" i="51"/>
  <c r="BF47" i="51"/>
  <c r="BG47" i="51"/>
  <c r="BK47" i="51"/>
  <c r="BL47" i="51"/>
  <c r="AA49" i="51"/>
  <c r="AB49" i="51"/>
  <c r="AB108" i="51" s="1"/>
  <c r="AK49" i="51"/>
  <c r="AQ49" i="51"/>
  <c r="AW49" i="51"/>
  <c r="BC49" i="51"/>
  <c r="BI49" i="51"/>
  <c r="BO51" i="51" s="1"/>
  <c r="BL50" i="51"/>
  <c r="BL52" i="51" s="1"/>
  <c r="BQ50" i="51"/>
  <c r="BQ49" i="51" s="1"/>
  <c r="BR52" i="51"/>
  <c r="BY51" i="51"/>
  <c r="BZ51" i="51" s="1"/>
  <c r="AI50" i="51"/>
  <c r="AI52" i="51" s="1"/>
  <c r="AJ50" i="51"/>
  <c r="AJ52" i="51" s="1"/>
  <c r="AM50" i="51"/>
  <c r="AM52" i="51" s="1"/>
  <c r="AN50" i="51"/>
  <c r="AN52" i="51" s="1"/>
  <c r="AO50" i="51"/>
  <c r="AO52" i="51" s="1"/>
  <c r="AP50" i="51"/>
  <c r="AP52" i="51" s="1"/>
  <c r="AS50" i="51"/>
  <c r="AS52" i="51" s="1"/>
  <c r="AT50" i="51"/>
  <c r="AT52" i="51" s="1"/>
  <c r="AU50" i="51"/>
  <c r="AU52" i="51" s="1"/>
  <c r="AV50" i="51"/>
  <c r="AV52" i="51" s="1"/>
  <c r="AY50" i="51"/>
  <c r="AY52" i="51" s="1"/>
  <c r="AZ50" i="51"/>
  <c r="AZ52" i="51" s="1"/>
  <c r="BA50" i="51"/>
  <c r="BA52" i="51" s="1"/>
  <c r="BB50" i="51"/>
  <c r="BB52" i="51" s="1"/>
  <c r="BE50" i="51"/>
  <c r="BE52" i="51" s="1"/>
  <c r="BF50" i="51"/>
  <c r="BF52" i="51" s="1"/>
  <c r="BG50" i="51"/>
  <c r="BG52" i="51" s="1"/>
  <c r="BH50" i="51"/>
  <c r="BH52" i="51" s="1"/>
  <c r="BK50" i="51"/>
  <c r="BK52" i="51" s="1"/>
  <c r="AG52" i="51"/>
  <c r="AH52" i="51"/>
  <c r="AJ53" i="51"/>
  <c r="BH53" i="51"/>
  <c r="AG54" i="51"/>
  <c r="V22" i="119" s="1"/>
  <c r="V166" i="119" s="1"/>
  <c r="AH54" i="51"/>
  <c r="W22" i="119" s="1"/>
  <c r="AI54" i="51"/>
  <c r="X22" i="119" s="1"/>
  <c r="AM54" i="51"/>
  <c r="Z22" i="119" s="1"/>
  <c r="Z166" i="119" s="1"/>
  <c r="AN54" i="51"/>
  <c r="AA22" i="119" s="1"/>
  <c r="AA166" i="119" s="1"/>
  <c r="AO54" i="51"/>
  <c r="AB22" i="119" s="1"/>
  <c r="AB166" i="119" s="1"/>
  <c r="AP54" i="51"/>
  <c r="AC22" i="119" s="1"/>
  <c r="AC166" i="119" s="1"/>
  <c r="AS54" i="51"/>
  <c r="AD22" i="119" s="1"/>
  <c r="AD166" i="119" s="1"/>
  <c r="AT54" i="51"/>
  <c r="AE22" i="119" s="1"/>
  <c r="AU54" i="51"/>
  <c r="AV54" i="51"/>
  <c r="AG22" i="119" s="1"/>
  <c r="AG166" i="119" s="1"/>
  <c r="AY54" i="51"/>
  <c r="AH22" i="119" s="1"/>
  <c r="AH166" i="119" s="1"/>
  <c r="AZ54" i="51"/>
  <c r="AI22" i="119" s="1"/>
  <c r="BA54" i="51"/>
  <c r="AJ22" i="119" s="1"/>
  <c r="AJ166" i="119" s="1"/>
  <c r="BB54" i="51"/>
  <c r="AK22" i="119" s="1"/>
  <c r="BE54" i="51"/>
  <c r="AL22" i="119" s="1"/>
  <c r="AL166" i="119" s="1"/>
  <c r="BF54" i="51"/>
  <c r="AM22" i="119" s="1"/>
  <c r="BG54" i="51"/>
  <c r="BK54" i="51"/>
  <c r="AP22" i="119" s="1"/>
  <c r="AP166" i="119" s="1"/>
  <c r="BL54" i="51"/>
  <c r="AQ22" i="119" s="1"/>
  <c r="AQ166" i="119" s="1"/>
  <c r="AJ60" i="51"/>
  <c r="AJ61" i="51" s="1"/>
  <c r="Y25" i="119" s="1"/>
  <c r="Y50" i="119" s="1"/>
  <c r="BH60" i="51"/>
  <c r="BH61" i="51" s="1"/>
  <c r="AO25" i="119" s="1"/>
  <c r="AG61" i="51"/>
  <c r="V25" i="119" s="1"/>
  <c r="AH61" i="51"/>
  <c r="W25" i="119" s="1"/>
  <c r="W50" i="119" s="1"/>
  <c r="AI61" i="51"/>
  <c r="X25" i="119" s="1"/>
  <c r="AM61" i="51"/>
  <c r="Z25" i="119" s="1"/>
  <c r="AN61" i="51"/>
  <c r="AA25" i="119" s="1"/>
  <c r="AO61" i="51"/>
  <c r="AB25" i="119" s="1"/>
  <c r="AP61" i="51"/>
  <c r="AC25" i="119" s="1"/>
  <c r="AS61" i="51"/>
  <c r="AD25" i="119" s="1"/>
  <c r="AT61" i="51"/>
  <c r="AE25" i="119" s="1"/>
  <c r="AU61" i="51"/>
  <c r="AF25" i="119" s="1"/>
  <c r="AV61" i="51"/>
  <c r="AG25" i="119" s="1"/>
  <c r="AY61" i="51"/>
  <c r="AH25" i="119" s="1"/>
  <c r="AZ61" i="51"/>
  <c r="AI25" i="119" s="1"/>
  <c r="BA61" i="51"/>
  <c r="AJ25" i="119" s="1"/>
  <c r="BB61" i="51"/>
  <c r="AK25" i="119" s="1"/>
  <c r="BE61" i="51"/>
  <c r="AL25" i="119" s="1"/>
  <c r="BF61" i="51"/>
  <c r="AM25" i="119" s="1"/>
  <c r="BG61" i="51"/>
  <c r="AN25" i="119" s="1"/>
  <c r="AK67" i="51"/>
  <c r="AQ71" i="51" s="1"/>
  <c r="AQ67" i="51"/>
  <c r="AW71" i="51" s="1"/>
  <c r="AW67" i="51"/>
  <c r="AW79" i="51" s="1"/>
  <c r="BC67" i="51"/>
  <c r="BI67" i="51"/>
  <c r="BL68" i="51"/>
  <c r="BL70" i="51" s="1"/>
  <c r="BQ68" i="51"/>
  <c r="BQ67" i="51" s="1"/>
  <c r="AI68" i="51"/>
  <c r="AI70" i="51" s="1"/>
  <c r="AJ68" i="51"/>
  <c r="AJ70" i="51" s="1"/>
  <c r="AM68" i="51"/>
  <c r="AM70" i="51" s="1"/>
  <c r="AN68" i="51"/>
  <c r="AN70" i="51" s="1"/>
  <c r="AO68" i="51"/>
  <c r="AO70" i="51" s="1"/>
  <c r="AP68" i="51"/>
  <c r="AP70" i="51" s="1"/>
  <c r="AS68" i="51"/>
  <c r="AS70" i="51" s="1"/>
  <c r="AT68" i="51"/>
  <c r="AT70" i="51" s="1"/>
  <c r="AU68" i="51"/>
  <c r="AU70" i="51" s="1"/>
  <c r="AV68" i="51"/>
  <c r="AV70" i="51" s="1"/>
  <c r="AY68" i="51"/>
  <c r="AY70" i="51" s="1"/>
  <c r="AZ68" i="51"/>
  <c r="AZ70" i="51" s="1"/>
  <c r="BA68" i="51"/>
  <c r="BA70" i="51" s="1"/>
  <c r="BB68" i="51"/>
  <c r="BB70" i="51" s="1"/>
  <c r="BE68" i="51"/>
  <c r="BE70" i="51" s="1"/>
  <c r="BF68" i="51"/>
  <c r="BF70" i="51" s="1"/>
  <c r="BG68" i="51"/>
  <c r="BG70" i="51" s="1"/>
  <c r="BH68" i="51"/>
  <c r="BH69" i="51" s="1"/>
  <c r="BK68" i="51"/>
  <c r="BK70" i="51" s="1"/>
  <c r="AJ71" i="51"/>
  <c r="AJ72" i="51" s="1"/>
  <c r="Y12" i="119" s="1"/>
  <c r="BH71" i="51"/>
  <c r="BR71" i="51"/>
  <c r="AG72" i="51"/>
  <c r="V12" i="119" s="1"/>
  <c r="V37" i="119" s="1"/>
  <c r="V129" i="119" s="1"/>
  <c r="AH72" i="51"/>
  <c r="W12" i="119" s="1"/>
  <c r="AI72" i="51"/>
  <c r="X12" i="119" s="1"/>
  <c r="AM72" i="51"/>
  <c r="AN72" i="51"/>
  <c r="AA12" i="119" s="1"/>
  <c r="AO72" i="51"/>
  <c r="AB12" i="119" s="1"/>
  <c r="AP72" i="51"/>
  <c r="AC12" i="119" s="1"/>
  <c r="AC117" i="119" s="1"/>
  <c r="AS72" i="51"/>
  <c r="AD12" i="119" s="1"/>
  <c r="AD117" i="119" s="1"/>
  <c r="AT72" i="51"/>
  <c r="AE12" i="119" s="1"/>
  <c r="AU72" i="51"/>
  <c r="AF12" i="119" s="1"/>
  <c r="AF117" i="119" s="1"/>
  <c r="AV72" i="51"/>
  <c r="AG12" i="119" s="1"/>
  <c r="AY72" i="51"/>
  <c r="AZ72" i="51"/>
  <c r="AI12" i="119" s="1"/>
  <c r="AI117" i="119" s="1"/>
  <c r="BA72" i="51"/>
  <c r="AJ12" i="119" s="1"/>
  <c r="BB72" i="51"/>
  <c r="AK12" i="119" s="1"/>
  <c r="AK117" i="119" s="1"/>
  <c r="BE72" i="51"/>
  <c r="AL12" i="119" s="1"/>
  <c r="AL117" i="119" s="1"/>
  <c r="BF72" i="51"/>
  <c r="AM12" i="119" s="1"/>
  <c r="BG72" i="51"/>
  <c r="AN12" i="119" s="1"/>
  <c r="AN117" i="119" s="1"/>
  <c r="BK72" i="51"/>
  <c r="AP12" i="119" s="1"/>
  <c r="AP117" i="119" s="1"/>
  <c r="BL72" i="51"/>
  <c r="AQ12" i="119" s="1"/>
  <c r="BQ72" i="51"/>
  <c r="Y79" i="51"/>
  <c r="AD79" i="51"/>
  <c r="Y85" i="51"/>
  <c r="AK87" i="51"/>
  <c r="AQ87" i="51"/>
  <c r="AW91" i="51" s="1"/>
  <c r="AW87" i="51"/>
  <c r="BC87" i="51"/>
  <c r="BI87" i="51"/>
  <c r="BL88" i="51"/>
  <c r="BL90" i="51" s="1"/>
  <c r="BQ88" i="51"/>
  <c r="BQ87" i="51" s="1"/>
  <c r="AI88" i="51"/>
  <c r="AI90" i="51" s="1"/>
  <c r="AJ88" i="51"/>
  <c r="AJ90" i="51" s="1"/>
  <c r="AM88" i="51"/>
  <c r="AM90" i="51" s="1"/>
  <c r="AN88" i="51"/>
  <c r="AN90" i="51" s="1"/>
  <c r="AO88" i="51"/>
  <c r="AO90" i="51" s="1"/>
  <c r="AP88" i="51"/>
  <c r="AP90" i="51" s="1"/>
  <c r="AS88" i="51"/>
  <c r="AS90" i="51" s="1"/>
  <c r="AT88" i="51"/>
  <c r="AT90" i="51" s="1"/>
  <c r="AU88" i="51"/>
  <c r="AU90" i="51" s="1"/>
  <c r="AV88" i="51"/>
  <c r="AV90" i="51" s="1"/>
  <c r="AY88" i="51"/>
  <c r="AY90" i="51" s="1"/>
  <c r="AZ88" i="51"/>
  <c r="AZ90" i="51" s="1"/>
  <c r="BA88" i="51"/>
  <c r="BA90" i="51" s="1"/>
  <c r="BB88" i="51"/>
  <c r="BB90" i="51" s="1"/>
  <c r="BE88" i="51"/>
  <c r="BE90" i="51" s="1"/>
  <c r="BF88" i="51"/>
  <c r="BF90" i="51" s="1"/>
  <c r="BG88" i="51"/>
  <c r="BG90" i="51" s="1"/>
  <c r="BH88" i="51"/>
  <c r="BH89" i="51" s="1"/>
  <c r="BK88" i="51"/>
  <c r="BK90" i="51" s="1"/>
  <c r="AJ91" i="51"/>
  <c r="BH91" i="51"/>
  <c r="BS91" i="51"/>
  <c r="BT91" i="51" s="1"/>
  <c r="BW91" i="51" s="1"/>
  <c r="BX91" i="51" s="1"/>
  <c r="BY91" i="51" s="1"/>
  <c r="BZ91" i="51" s="1"/>
  <c r="CC91" i="51" s="1"/>
  <c r="AG92" i="51"/>
  <c r="V17" i="119" s="1"/>
  <c r="V42" i="119" s="1"/>
  <c r="V145" i="119" s="1"/>
  <c r="AH92" i="51"/>
  <c r="W17" i="119" s="1"/>
  <c r="AI92" i="51"/>
  <c r="X17" i="119" s="1"/>
  <c r="X42" i="119" s="1"/>
  <c r="X145" i="119" s="1"/>
  <c r="AM92" i="51"/>
  <c r="AN92" i="51"/>
  <c r="AA17" i="119" s="1"/>
  <c r="AO92" i="51"/>
  <c r="AB17" i="119" s="1"/>
  <c r="AB139" i="119" s="1"/>
  <c r="AP92" i="51"/>
  <c r="AC17" i="119" s="1"/>
  <c r="AC139" i="119" s="1"/>
  <c r="AS92" i="51"/>
  <c r="AD17" i="119" s="1"/>
  <c r="AD139" i="119" s="1"/>
  <c r="AT92" i="51"/>
  <c r="AE17" i="119" s="1"/>
  <c r="AE139" i="119" s="1"/>
  <c r="AU92" i="51"/>
  <c r="AF17" i="119" s="1"/>
  <c r="AF139" i="119" s="1"/>
  <c r="AV92" i="51"/>
  <c r="AG17" i="119" s="1"/>
  <c r="AY92" i="51"/>
  <c r="AH17" i="119" s="1"/>
  <c r="AH139" i="119" s="1"/>
  <c r="AZ92" i="51"/>
  <c r="AI17" i="119" s="1"/>
  <c r="AI139" i="119" s="1"/>
  <c r="BA92" i="51"/>
  <c r="AJ17" i="119" s="1"/>
  <c r="BB92" i="51"/>
  <c r="BE92" i="51"/>
  <c r="AL17" i="119" s="1"/>
  <c r="AL139" i="119" s="1"/>
  <c r="BF92" i="51"/>
  <c r="AM17" i="119" s="1"/>
  <c r="AM139" i="119" s="1"/>
  <c r="BG92" i="51"/>
  <c r="AN17" i="119" s="1"/>
  <c r="AN139" i="119" s="1"/>
  <c r="BK92" i="51"/>
  <c r="AP17" i="119" s="1"/>
  <c r="AP139" i="119" s="1"/>
  <c r="BL92" i="51"/>
  <c r="AQ17" i="119" s="1"/>
  <c r="BQ92" i="51"/>
  <c r="AT17" i="119" s="1"/>
  <c r="AT139" i="119" s="1"/>
  <c r="AK94" i="51"/>
  <c r="AQ94" i="51"/>
  <c r="AW94" i="51"/>
  <c r="BC94" i="51"/>
  <c r="BI94" i="51"/>
  <c r="BL95" i="51"/>
  <c r="BQ95" i="51"/>
  <c r="AI95" i="51"/>
  <c r="AJ95" i="51"/>
  <c r="AM95" i="51"/>
  <c r="AN95" i="51"/>
  <c r="AO95" i="51"/>
  <c r="AP95" i="51"/>
  <c r="AS95" i="51"/>
  <c r="AT95" i="51"/>
  <c r="AU95" i="51"/>
  <c r="AV95" i="51"/>
  <c r="AY95" i="51"/>
  <c r="AZ95" i="51"/>
  <c r="BA95" i="51"/>
  <c r="BB95" i="51"/>
  <c r="BE95" i="51"/>
  <c r="BF95" i="51"/>
  <c r="BG95" i="51"/>
  <c r="BH95" i="51"/>
  <c r="BK95" i="51"/>
  <c r="AG99" i="51"/>
  <c r="AH99" i="51"/>
  <c r="AI99" i="51"/>
  <c r="AJ99" i="51"/>
  <c r="AM99" i="51"/>
  <c r="AN99" i="51"/>
  <c r="AO99" i="51"/>
  <c r="AP99" i="51"/>
  <c r="AS99" i="51"/>
  <c r="AT99" i="51"/>
  <c r="AU99" i="51"/>
  <c r="AV99" i="51"/>
  <c r="AY99" i="51"/>
  <c r="AZ99" i="51"/>
  <c r="BA99" i="51"/>
  <c r="BB99" i="51"/>
  <c r="BE99" i="51"/>
  <c r="BF99" i="51"/>
  <c r="BG99" i="51"/>
  <c r="BK99" i="51"/>
  <c r="BL99" i="51"/>
  <c r="F101" i="51"/>
  <c r="G101" i="51" s="1"/>
  <c r="M105" i="51" s="1"/>
  <c r="L101" i="51"/>
  <c r="M101" i="51" s="1"/>
  <c r="S105" i="51" s="1"/>
  <c r="R101" i="51"/>
  <c r="S101" i="51" s="1"/>
  <c r="X101" i="51"/>
  <c r="AC101" i="51"/>
  <c r="AD101" i="51"/>
  <c r="AG101" i="51"/>
  <c r="AM103" i="51" s="1"/>
  <c r="AH101" i="51"/>
  <c r="AN103" i="51" s="1"/>
  <c r="AI101" i="51"/>
  <c r="AJ101" i="51"/>
  <c r="AP103" i="51" s="1"/>
  <c r="AM101" i="51"/>
  <c r="AN101" i="51"/>
  <c r="AO101" i="51"/>
  <c r="AP101" i="51"/>
  <c r="AP115" i="51" s="1"/>
  <c r="AS101" i="51"/>
  <c r="AS115" i="51" s="1"/>
  <c r="AT101" i="51"/>
  <c r="AT115" i="51" s="1"/>
  <c r="AU101" i="51"/>
  <c r="AV101" i="51"/>
  <c r="AY101" i="51"/>
  <c r="AZ101" i="51"/>
  <c r="BA101" i="51"/>
  <c r="BA115" i="51" s="1"/>
  <c r="BB101" i="51"/>
  <c r="BB115" i="51" s="1"/>
  <c r="BB193" i="51" s="1"/>
  <c r="BE101" i="51"/>
  <c r="BF101" i="51"/>
  <c r="BG101" i="51"/>
  <c r="BH101" i="51"/>
  <c r="BK101" i="51"/>
  <c r="BK115" i="51" s="1"/>
  <c r="BL101" i="51"/>
  <c r="BL115" i="51" s="1"/>
  <c r="BL195" i="51" s="1"/>
  <c r="I102" i="51"/>
  <c r="I104" i="51" s="1"/>
  <c r="J102" i="51"/>
  <c r="J104" i="51" s="1"/>
  <c r="K102" i="51"/>
  <c r="K104" i="51" s="1"/>
  <c r="O102" i="51"/>
  <c r="O104" i="51" s="1"/>
  <c r="P102" i="51"/>
  <c r="P104" i="51" s="1"/>
  <c r="Q102" i="51"/>
  <c r="Q104" i="51" s="1"/>
  <c r="U102" i="51"/>
  <c r="U104" i="51" s="1"/>
  <c r="V102" i="51"/>
  <c r="V104" i="51" s="1"/>
  <c r="W102" i="51"/>
  <c r="W104" i="51" s="1"/>
  <c r="C104" i="51"/>
  <c r="D104" i="51"/>
  <c r="E104" i="51"/>
  <c r="F104" i="51"/>
  <c r="G104" i="51"/>
  <c r="AD105" i="51"/>
  <c r="BH105" i="51"/>
  <c r="C106" i="51"/>
  <c r="D106" i="51"/>
  <c r="E106" i="51"/>
  <c r="F106" i="51"/>
  <c r="G106" i="51"/>
  <c r="I106" i="51"/>
  <c r="J106" i="51"/>
  <c r="K106" i="51"/>
  <c r="L106" i="51"/>
  <c r="O106" i="51"/>
  <c r="P106" i="51"/>
  <c r="Q106" i="51"/>
  <c r="R106" i="51"/>
  <c r="U106" i="51"/>
  <c r="V106" i="51"/>
  <c r="W106" i="51"/>
  <c r="X106" i="51"/>
  <c r="AA106" i="51"/>
  <c r="AB106" i="51"/>
  <c r="AC106" i="51"/>
  <c r="AS106" i="51"/>
  <c r="AT106" i="51"/>
  <c r="AU106" i="51"/>
  <c r="AV106" i="51"/>
  <c r="AY106" i="51"/>
  <c r="AZ106" i="51"/>
  <c r="BA106" i="51"/>
  <c r="BB106" i="51"/>
  <c r="BE106" i="51"/>
  <c r="BF106" i="51"/>
  <c r="BG106" i="51"/>
  <c r="BL106" i="51"/>
  <c r="AK108" i="51"/>
  <c r="AQ110" i="51" s="1"/>
  <c r="AQ108" i="51"/>
  <c r="AW108" i="51"/>
  <c r="BC108" i="51"/>
  <c r="BI108" i="51"/>
  <c r="BL109" i="51"/>
  <c r="BL111" i="51" s="1"/>
  <c r="BQ110" i="51"/>
  <c r="BQ109" i="51" s="1"/>
  <c r="BQ108" i="51" s="1"/>
  <c r="BX111" i="51"/>
  <c r="BY111" i="51" s="1"/>
  <c r="BZ111" i="51" s="1"/>
  <c r="CC111" i="51" s="1"/>
  <c r="CD111" i="51" s="1"/>
  <c r="CE111" i="51" s="1"/>
  <c r="CF111" i="51" s="1"/>
  <c r="AI109" i="51"/>
  <c r="AI111" i="51" s="1"/>
  <c r="AJ109" i="51"/>
  <c r="AJ111" i="51" s="1"/>
  <c r="AM109" i="51"/>
  <c r="AM111" i="51" s="1"/>
  <c r="AN109" i="51"/>
  <c r="AN111" i="51" s="1"/>
  <c r="AO109" i="51"/>
  <c r="AO111" i="51" s="1"/>
  <c r="AP109" i="51"/>
  <c r="AP111" i="51" s="1"/>
  <c r="AS109" i="51"/>
  <c r="AS111" i="51" s="1"/>
  <c r="AT109" i="51"/>
  <c r="AT111" i="51" s="1"/>
  <c r="AU109" i="51"/>
  <c r="AU111" i="51" s="1"/>
  <c r="AV109" i="51"/>
  <c r="AV111" i="51" s="1"/>
  <c r="AY109" i="51"/>
  <c r="AY111" i="51" s="1"/>
  <c r="AZ109" i="51"/>
  <c r="AZ111" i="51" s="1"/>
  <c r="BA109" i="51"/>
  <c r="BA111" i="51" s="1"/>
  <c r="BB109" i="51"/>
  <c r="BB111" i="51" s="1"/>
  <c r="BE109" i="51"/>
  <c r="BE111" i="51" s="1"/>
  <c r="BF109" i="51"/>
  <c r="BF111" i="51" s="1"/>
  <c r="BG109" i="51"/>
  <c r="BG111" i="51" s="1"/>
  <c r="BH109" i="51"/>
  <c r="BH110" i="51" s="1"/>
  <c r="BK109" i="51"/>
  <c r="BK111" i="51" s="1"/>
  <c r="AJ112" i="51"/>
  <c r="AJ113" i="51" s="1"/>
  <c r="Y23" i="119" s="1"/>
  <c r="Y167" i="119" s="1"/>
  <c r="BH112" i="51"/>
  <c r="AG113" i="51"/>
  <c r="V23" i="119" s="1"/>
  <c r="AH113" i="51"/>
  <c r="W23" i="119" s="1"/>
  <c r="AI113" i="51"/>
  <c r="X23" i="119" s="1"/>
  <c r="AM113" i="51"/>
  <c r="Z23" i="119" s="1"/>
  <c r="Z167" i="119" s="1"/>
  <c r="AN113" i="51"/>
  <c r="AA23" i="119" s="1"/>
  <c r="AA167" i="119" s="1"/>
  <c r="AO113" i="51"/>
  <c r="AB23" i="119" s="1"/>
  <c r="AB167" i="119" s="1"/>
  <c r="AP113" i="51"/>
  <c r="AC23" i="119" s="1"/>
  <c r="AC167" i="119" s="1"/>
  <c r="AS113" i="51"/>
  <c r="AD23" i="119" s="1"/>
  <c r="AD167" i="119" s="1"/>
  <c r="AT113" i="51"/>
  <c r="AE23" i="119" s="1"/>
  <c r="AE167" i="119" s="1"/>
  <c r="AU113" i="51"/>
  <c r="AF23" i="119" s="1"/>
  <c r="AF167" i="119" s="1"/>
  <c r="AV113" i="51"/>
  <c r="AG23" i="119" s="1"/>
  <c r="AY113" i="51"/>
  <c r="AH23" i="119" s="1"/>
  <c r="AH167" i="119" s="1"/>
  <c r="AZ113" i="51"/>
  <c r="AI23" i="119" s="1"/>
  <c r="BA113" i="51"/>
  <c r="AJ23" i="119" s="1"/>
  <c r="AJ167" i="119" s="1"/>
  <c r="BB113" i="51"/>
  <c r="AK23" i="119" s="1"/>
  <c r="AK167" i="119" s="1"/>
  <c r="BE113" i="51"/>
  <c r="AL23" i="119" s="1"/>
  <c r="AL167" i="119" s="1"/>
  <c r="BF113" i="51"/>
  <c r="AM23" i="119" s="1"/>
  <c r="AM167" i="119" s="1"/>
  <c r="BG113" i="51"/>
  <c r="AN23" i="119" s="1"/>
  <c r="AN167" i="119" s="1"/>
  <c r="BK113" i="51"/>
  <c r="AP23" i="119" s="1"/>
  <c r="BL113" i="51"/>
  <c r="AQ23" i="119" s="1"/>
  <c r="AJ119" i="51"/>
  <c r="AJ120" i="51" s="1"/>
  <c r="Y26" i="119" s="1"/>
  <c r="Y51" i="119" s="1"/>
  <c r="BH119" i="51"/>
  <c r="AG120" i="51"/>
  <c r="V26" i="119" s="1"/>
  <c r="V51" i="119" s="1"/>
  <c r="AH120" i="51"/>
  <c r="W26" i="119" s="1"/>
  <c r="W51" i="119" s="1"/>
  <c r="AI120" i="51"/>
  <c r="X26" i="119" s="1"/>
  <c r="X51" i="119" s="1"/>
  <c r="AM120" i="51"/>
  <c r="Z26" i="119" s="1"/>
  <c r="AN120" i="51"/>
  <c r="AA26" i="119" s="1"/>
  <c r="AO120" i="51"/>
  <c r="AB26" i="119" s="1"/>
  <c r="AP120" i="51"/>
  <c r="AC26" i="119" s="1"/>
  <c r="AS120" i="51"/>
  <c r="AD26" i="119" s="1"/>
  <c r="AT120" i="51"/>
  <c r="AE26" i="119" s="1"/>
  <c r="AU120" i="51"/>
  <c r="AF26" i="119" s="1"/>
  <c r="AV120" i="51"/>
  <c r="AG26" i="119" s="1"/>
  <c r="AY120" i="51"/>
  <c r="AH26" i="119" s="1"/>
  <c r="AZ120" i="51"/>
  <c r="AI26" i="119" s="1"/>
  <c r="BA120" i="51"/>
  <c r="AJ26" i="119" s="1"/>
  <c r="BB120" i="51"/>
  <c r="AK26" i="119" s="1"/>
  <c r="BE120" i="51"/>
  <c r="AL26" i="119" s="1"/>
  <c r="BF120" i="51"/>
  <c r="AM26" i="119" s="1"/>
  <c r="BG120" i="51"/>
  <c r="AN26" i="119" s="1"/>
  <c r="AC126" i="51"/>
  <c r="AC211" i="51" s="1"/>
  <c r="AD126" i="51"/>
  <c r="AD210" i="51" s="1"/>
  <c r="AG126" i="51"/>
  <c r="AH126" i="51"/>
  <c r="AI126" i="51"/>
  <c r="AI210" i="51" s="1"/>
  <c r="AJ126" i="51"/>
  <c r="Y65" i="119" s="1"/>
  <c r="AM126" i="51"/>
  <c r="AM211" i="51" s="1"/>
  <c r="AN126" i="51"/>
  <c r="AT144" i="51" s="1"/>
  <c r="AO126" i="51"/>
  <c r="AP126" i="51"/>
  <c r="AS126" i="51"/>
  <c r="AY144" i="51" s="1"/>
  <c r="AT126" i="51"/>
  <c r="AU126" i="51"/>
  <c r="AU210" i="51" s="1"/>
  <c r="AV126" i="51"/>
  <c r="BB144" i="51" s="1"/>
  <c r="BB323" i="51" s="1"/>
  <c r="AK8" i="119" s="1"/>
  <c r="AY126" i="51"/>
  <c r="AY210" i="51" s="1"/>
  <c r="AZ126" i="51"/>
  <c r="AZ211" i="51" s="1"/>
  <c r="BA126" i="51"/>
  <c r="BA211" i="51" s="1"/>
  <c r="BB126" i="51"/>
  <c r="AK65" i="119" s="1"/>
  <c r="BE126" i="51"/>
  <c r="BF126" i="51"/>
  <c r="BF166" i="3" s="1"/>
  <c r="BG126" i="51"/>
  <c r="BG166" i="3" s="1"/>
  <c r="BH126" i="51"/>
  <c r="BK126" i="51"/>
  <c r="BK166" i="3" s="1"/>
  <c r="BL126" i="51"/>
  <c r="BL166" i="3" s="1"/>
  <c r="AJ130" i="51"/>
  <c r="AJ131" i="51" s="1"/>
  <c r="BH130" i="51"/>
  <c r="AG131" i="51"/>
  <c r="V6" i="119" s="1"/>
  <c r="V111" i="119" s="1"/>
  <c r="AH131" i="51"/>
  <c r="W6" i="119" s="1"/>
  <c r="W111" i="119" s="1"/>
  <c r="AI131" i="51"/>
  <c r="X6" i="119" s="1"/>
  <c r="AM131" i="51"/>
  <c r="Z6" i="119" s="1"/>
  <c r="Z111" i="119" s="1"/>
  <c r="AN131" i="51"/>
  <c r="AA6" i="119" s="1"/>
  <c r="AA111" i="119" s="1"/>
  <c r="AO131" i="51"/>
  <c r="AB6" i="119" s="1"/>
  <c r="AB111" i="119" s="1"/>
  <c r="AP131" i="51"/>
  <c r="AC6" i="119" s="1"/>
  <c r="AS131" i="51"/>
  <c r="AD6" i="119" s="1"/>
  <c r="AD111" i="119" s="1"/>
  <c r="AT131" i="51"/>
  <c r="AE6" i="119" s="1"/>
  <c r="AU131" i="51"/>
  <c r="AF6" i="119" s="1"/>
  <c r="AV131" i="51"/>
  <c r="AY131" i="51"/>
  <c r="AH6" i="119" s="1"/>
  <c r="AH111" i="119" s="1"/>
  <c r="AZ131" i="51"/>
  <c r="AI6" i="119" s="1"/>
  <c r="AI111" i="119" s="1"/>
  <c r="BA131" i="51"/>
  <c r="AJ6" i="119" s="1"/>
  <c r="AJ111" i="119" s="1"/>
  <c r="BB131" i="51"/>
  <c r="AK6" i="119" s="1"/>
  <c r="BE131" i="51"/>
  <c r="AL6" i="119" s="1"/>
  <c r="AL111" i="119" s="1"/>
  <c r="BF131" i="51"/>
  <c r="AM6" i="119" s="1"/>
  <c r="BG131" i="51"/>
  <c r="AN6" i="119" s="1"/>
  <c r="BK131" i="51"/>
  <c r="AC146" i="51"/>
  <c r="AC219" i="51" s="1"/>
  <c r="AD146" i="51"/>
  <c r="AG146" i="51"/>
  <c r="V66" i="119" s="1"/>
  <c r="AH146" i="51"/>
  <c r="AI146" i="51"/>
  <c r="AJ146" i="51"/>
  <c r="AJ219" i="51" s="1"/>
  <c r="AM146" i="51"/>
  <c r="AM219" i="51" s="1"/>
  <c r="AN146" i="51"/>
  <c r="AN219" i="51" s="1"/>
  <c r="AO146" i="51"/>
  <c r="AO219" i="51" s="1"/>
  <c r="AP146" i="51"/>
  <c r="AS146" i="51"/>
  <c r="AD66" i="119" s="1"/>
  <c r="AT146" i="51"/>
  <c r="AT219" i="51" s="1"/>
  <c r="AU146" i="51"/>
  <c r="AF66" i="119" s="1"/>
  <c r="AV146" i="51"/>
  <c r="AG66" i="119" s="1"/>
  <c r="AY146" i="51"/>
  <c r="AY219" i="51" s="1"/>
  <c r="AZ146" i="51"/>
  <c r="AZ219" i="51" s="1"/>
  <c r="BA146" i="51"/>
  <c r="AJ66" i="119" s="1"/>
  <c r="BB146" i="51"/>
  <c r="BB216" i="51" s="1"/>
  <c r="BE146" i="51"/>
  <c r="BF146" i="51"/>
  <c r="BG146" i="51"/>
  <c r="BG169" i="3" s="1"/>
  <c r="BH146" i="51"/>
  <c r="BK146" i="51"/>
  <c r="BK169" i="3" s="1"/>
  <c r="BL146" i="51"/>
  <c r="AJ150" i="51"/>
  <c r="AJ151" i="51" s="1"/>
  <c r="Y15" i="119" s="1"/>
  <c r="BH150" i="51"/>
  <c r="AG151" i="51"/>
  <c r="V15" i="119" s="1"/>
  <c r="V40" i="119" s="1"/>
  <c r="V143" i="119" s="1"/>
  <c r="AH151" i="51"/>
  <c r="W15" i="119" s="1"/>
  <c r="W40" i="119" s="1"/>
  <c r="W143" i="119" s="1"/>
  <c r="AI151" i="51"/>
  <c r="X15" i="119" s="1"/>
  <c r="X40" i="119" s="1"/>
  <c r="X143" i="119" s="1"/>
  <c r="AM151" i="51"/>
  <c r="Z15" i="119" s="1"/>
  <c r="AN151" i="51"/>
  <c r="AA15" i="119" s="1"/>
  <c r="AA137" i="119" s="1"/>
  <c r="AO151" i="51"/>
  <c r="AB15" i="119" s="1"/>
  <c r="AB137" i="119" s="1"/>
  <c r="AP151" i="51"/>
  <c r="AC15" i="119" s="1"/>
  <c r="AC137" i="119" s="1"/>
  <c r="AS151" i="51"/>
  <c r="AT151" i="51"/>
  <c r="AU151" i="51"/>
  <c r="AF15" i="119" s="1"/>
  <c r="AF137" i="119" s="1"/>
  <c r="AV151" i="51"/>
  <c r="AG15" i="119" s="1"/>
  <c r="AG137" i="119" s="1"/>
  <c r="AY151" i="51"/>
  <c r="AH15" i="119" s="1"/>
  <c r="AH137" i="119" s="1"/>
  <c r="AZ151" i="51"/>
  <c r="AI15" i="119" s="1"/>
  <c r="AI137" i="119" s="1"/>
  <c r="BA151" i="51"/>
  <c r="AJ15" i="119" s="1"/>
  <c r="AJ137" i="119" s="1"/>
  <c r="BB151" i="51"/>
  <c r="AK15" i="119" s="1"/>
  <c r="AK137" i="119" s="1"/>
  <c r="BE151" i="51"/>
  <c r="AL15" i="119" s="1"/>
  <c r="AL137" i="119" s="1"/>
  <c r="BF151" i="51"/>
  <c r="AM15" i="119" s="1"/>
  <c r="AM137" i="119" s="1"/>
  <c r="BG151" i="51"/>
  <c r="AN15" i="119" s="1"/>
  <c r="AN137" i="119" s="1"/>
  <c r="AC153" i="51"/>
  <c r="AD153" i="51"/>
  <c r="AG153" i="51"/>
  <c r="AH153" i="51"/>
  <c r="AI153" i="51"/>
  <c r="AJ153" i="51"/>
  <c r="AM153" i="51"/>
  <c r="AN153" i="51"/>
  <c r="AO153" i="51"/>
  <c r="AP153" i="51"/>
  <c r="AS153" i="51"/>
  <c r="AT153" i="51"/>
  <c r="AU153" i="51"/>
  <c r="AV153" i="51"/>
  <c r="AY153" i="51"/>
  <c r="AZ153" i="51"/>
  <c r="BA153" i="51"/>
  <c r="BB153" i="51"/>
  <c r="BE153" i="51"/>
  <c r="BF153" i="51"/>
  <c r="BG153" i="51"/>
  <c r="BH153" i="51"/>
  <c r="BK153" i="51"/>
  <c r="BL153" i="51"/>
  <c r="AJ157" i="51"/>
  <c r="AG158" i="51"/>
  <c r="AH158" i="51"/>
  <c r="AI158" i="51"/>
  <c r="AM158" i="51"/>
  <c r="AN158" i="51"/>
  <c r="AO158" i="51"/>
  <c r="AP158" i="51"/>
  <c r="AS158" i="51"/>
  <c r="AT158" i="51"/>
  <c r="AU158" i="51"/>
  <c r="AV158" i="51"/>
  <c r="AY158" i="51"/>
  <c r="AZ158" i="51"/>
  <c r="BA158" i="51"/>
  <c r="BB158" i="51"/>
  <c r="BE158" i="51"/>
  <c r="BF158" i="51"/>
  <c r="BG158" i="51"/>
  <c r="AA160" i="51"/>
  <c r="AA174" i="51" s="1"/>
  <c r="AB160" i="51"/>
  <c r="AS165" i="51"/>
  <c r="AD5" i="119" s="1"/>
  <c r="AT165" i="51"/>
  <c r="AE5" i="119" s="1"/>
  <c r="AU165" i="51"/>
  <c r="AF5" i="119" s="1"/>
  <c r="AV165" i="51"/>
  <c r="AG5" i="119" s="1"/>
  <c r="AY165" i="51"/>
  <c r="AH5" i="119" s="1"/>
  <c r="AZ165" i="51"/>
  <c r="AI5" i="119" s="1"/>
  <c r="BA165" i="51"/>
  <c r="AJ5" i="119" s="1"/>
  <c r="BB165" i="51"/>
  <c r="AK5" i="119" s="1"/>
  <c r="BE165" i="51"/>
  <c r="AL5" i="119" s="1"/>
  <c r="BF165" i="51"/>
  <c r="AM5" i="119" s="1"/>
  <c r="BG165" i="51"/>
  <c r="AN5" i="119" s="1"/>
  <c r="BK165" i="51"/>
  <c r="AP5" i="119" s="1"/>
  <c r="F167" i="51"/>
  <c r="L167" i="51"/>
  <c r="R167" i="51"/>
  <c r="X167" i="51"/>
  <c r="Q68" i="119" s="1"/>
  <c r="AC167" i="51"/>
  <c r="AD167" i="51"/>
  <c r="U68" i="119" s="1"/>
  <c r="AG167" i="51"/>
  <c r="AG168" i="51" s="1"/>
  <c r="AG170" i="51" s="1"/>
  <c r="AH167" i="51"/>
  <c r="AH231" i="51" s="1"/>
  <c r="AI167" i="51"/>
  <c r="AJ167" i="51"/>
  <c r="AM167" i="51"/>
  <c r="AM230" i="51" s="1"/>
  <c r="AN167" i="51"/>
  <c r="AA68" i="119" s="1"/>
  <c r="AO167" i="51"/>
  <c r="AO230" i="51" s="1"/>
  <c r="AP167" i="51"/>
  <c r="AS167" i="51"/>
  <c r="AS231" i="51" s="1"/>
  <c r="AT167" i="51"/>
  <c r="AE68" i="119" s="1"/>
  <c r="AU167" i="51"/>
  <c r="AV167" i="51"/>
  <c r="AG68" i="119" s="1"/>
  <c r="AY167" i="51"/>
  <c r="AY231" i="51" s="1"/>
  <c r="AZ167" i="51"/>
  <c r="AZ231" i="51" s="1"/>
  <c r="BA167" i="51"/>
  <c r="BB167" i="51"/>
  <c r="BB231" i="51" s="1"/>
  <c r="BE167" i="51"/>
  <c r="BF167" i="51"/>
  <c r="BG167" i="51"/>
  <c r="BH167" i="51"/>
  <c r="BL167" i="51"/>
  <c r="BL230" i="51" s="1"/>
  <c r="I168" i="51"/>
  <c r="I170" i="51" s="1"/>
  <c r="J168" i="51"/>
  <c r="J170" i="51" s="1"/>
  <c r="K168" i="51"/>
  <c r="K170" i="51" s="1"/>
  <c r="O168" i="51"/>
  <c r="O170" i="51" s="1"/>
  <c r="P168" i="51"/>
  <c r="P170" i="51" s="1"/>
  <c r="Q168" i="51"/>
  <c r="Q170" i="51" s="1"/>
  <c r="U168" i="51"/>
  <c r="U170" i="51" s="1"/>
  <c r="V168" i="51"/>
  <c r="V170" i="51" s="1"/>
  <c r="W168" i="51"/>
  <c r="W170" i="51" s="1"/>
  <c r="AA168" i="51"/>
  <c r="AA170" i="51" s="1"/>
  <c r="AB168" i="51"/>
  <c r="AB170" i="51" s="1"/>
  <c r="C170" i="51"/>
  <c r="D170" i="51"/>
  <c r="E170" i="51"/>
  <c r="F170" i="51"/>
  <c r="G170" i="51"/>
  <c r="AD171" i="51"/>
  <c r="AJ171" i="51"/>
  <c r="C172" i="51"/>
  <c r="B21" i="119" s="1"/>
  <c r="B165" i="119" s="1"/>
  <c r="D172" i="51"/>
  <c r="C21" i="119" s="1"/>
  <c r="E172" i="51"/>
  <c r="D21" i="119" s="1"/>
  <c r="F172" i="51"/>
  <c r="E21" i="119" s="1"/>
  <c r="E165" i="119" s="1"/>
  <c r="G172" i="51"/>
  <c r="I172" i="51"/>
  <c r="F86" i="119" s="1"/>
  <c r="J172" i="51"/>
  <c r="G21" i="119" s="1"/>
  <c r="G165" i="119" s="1"/>
  <c r="K172" i="51"/>
  <c r="H86" i="119" s="1"/>
  <c r="L172" i="51"/>
  <c r="I21" i="119" s="1"/>
  <c r="I165" i="119" s="1"/>
  <c r="O172" i="51"/>
  <c r="J21" i="119" s="1"/>
  <c r="J165" i="119" s="1"/>
  <c r="P172" i="51"/>
  <c r="Q172" i="51"/>
  <c r="L86" i="119" s="1"/>
  <c r="R172" i="51"/>
  <c r="M21" i="119" s="1"/>
  <c r="M165" i="119" s="1"/>
  <c r="U172" i="51"/>
  <c r="N21" i="119" s="1"/>
  <c r="N165" i="119" s="1"/>
  <c r="V172" i="51"/>
  <c r="O86" i="119" s="1"/>
  <c r="W172" i="51"/>
  <c r="P21" i="119" s="1"/>
  <c r="P165" i="119" s="1"/>
  <c r="X172" i="51"/>
  <c r="Q21" i="119" s="1"/>
  <c r="AA172" i="51"/>
  <c r="AB172" i="51"/>
  <c r="AC172" i="51"/>
  <c r="T21" i="119" s="1"/>
  <c r="T165" i="119" s="1"/>
  <c r="AG172" i="51"/>
  <c r="V21" i="119" s="1"/>
  <c r="V165" i="119" s="1"/>
  <c r="AH172" i="51"/>
  <c r="W21" i="119" s="1"/>
  <c r="W165" i="119" s="1"/>
  <c r="AI172" i="51"/>
  <c r="X21" i="119" s="1"/>
  <c r="X165" i="119" s="1"/>
  <c r="AJ172" i="51"/>
  <c r="Y21" i="119" s="1"/>
  <c r="Y165" i="119" s="1"/>
  <c r="AM172" i="51"/>
  <c r="Z21" i="119" s="1"/>
  <c r="Z165" i="119" s="1"/>
  <c r="AN172" i="51"/>
  <c r="AA21" i="119" s="1"/>
  <c r="AA165" i="119" s="1"/>
  <c r="AO172" i="51"/>
  <c r="AB21" i="119" s="1"/>
  <c r="AB165" i="119" s="1"/>
  <c r="AP172" i="51"/>
  <c r="AC21" i="119" s="1"/>
  <c r="AS172" i="51"/>
  <c r="AD21" i="119" s="1"/>
  <c r="AD165" i="119" s="1"/>
  <c r="AT172" i="51"/>
  <c r="AE21" i="119" s="1"/>
  <c r="AE165" i="119" s="1"/>
  <c r="AU172" i="51"/>
  <c r="AF21" i="119" s="1"/>
  <c r="AF165" i="119" s="1"/>
  <c r="AV172" i="51"/>
  <c r="AY172" i="51"/>
  <c r="AH21" i="119" s="1"/>
  <c r="AH165" i="119" s="1"/>
  <c r="AZ172" i="51"/>
  <c r="AI21" i="119" s="1"/>
  <c r="AI165" i="119" s="1"/>
  <c r="BA172" i="51"/>
  <c r="AJ21" i="119" s="1"/>
  <c r="AJ165" i="119" s="1"/>
  <c r="BB172" i="51"/>
  <c r="AK21" i="119" s="1"/>
  <c r="AK165" i="119" s="1"/>
  <c r="BE172" i="51"/>
  <c r="AL21" i="119" s="1"/>
  <c r="AL165" i="119" s="1"/>
  <c r="BF172" i="51"/>
  <c r="AM21" i="119" s="1"/>
  <c r="BG172" i="51"/>
  <c r="AN21" i="119" s="1"/>
  <c r="AN165" i="119" s="1"/>
  <c r="BL172" i="51"/>
  <c r="AQ21" i="119" s="1"/>
  <c r="C177" i="51"/>
  <c r="D177" i="51"/>
  <c r="E177" i="51"/>
  <c r="F177" i="51"/>
  <c r="G177" i="51"/>
  <c r="AD178" i="51"/>
  <c r="AJ178" i="51"/>
  <c r="BH178" i="51"/>
  <c r="C179" i="51"/>
  <c r="D179" i="51"/>
  <c r="E179" i="51"/>
  <c r="F179" i="51"/>
  <c r="G179" i="51"/>
  <c r="I179" i="51"/>
  <c r="J179" i="51"/>
  <c r="K179" i="51"/>
  <c r="L179" i="51"/>
  <c r="O179" i="51"/>
  <c r="P179" i="51"/>
  <c r="Q179" i="51"/>
  <c r="R179" i="51"/>
  <c r="U179" i="51"/>
  <c r="V179" i="51"/>
  <c r="W179" i="51"/>
  <c r="X179" i="51"/>
  <c r="AA179" i="51"/>
  <c r="AB179" i="51"/>
  <c r="S24" i="119" s="1"/>
  <c r="AC179" i="51"/>
  <c r="AG179" i="51"/>
  <c r="AH179" i="51"/>
  <c r="AI179" i="51"/>
  <c r="AM179" i="51"/>
  <c r="AN179" i="51"/>
  <c r="AO179" i="51"/>
  <c r="AP179" i="51"/>
  <c r="AS179" i="51"/>
  <c r="AT179" i="51"/>
  <c r="AU179" i="51"/>
  <c r="AV179" i="51"/>
  <c r="AY179" i="51"/>
  <c r="AZ179" i="51"/>
  <c r="BA179" i="51"/>
  <c r="BB179" i="51"/>
  <c r="BE179" i="51"/>
  <c r="BF179" i="51"/>
  <c r="BG179" i="51"/>
  <c r="C207" i="51"/>
  <c r="D207" i="51"/>
  <c r="E207" i="51"/>
  <c r="F207" i="51"/>
  <c r="C337" i="51"/>
  <c r="C338" i="51"/>
  <c r="I332" i="51"/>
  <c r="D337" i="51"/>
  <c r="D338" i="51"/>
  <c r="J332" i="51"/>
  <c r="E337" i="51"/>
  <c r="E338" i="51"/>
  <c r="K332" i="51"/>
  <c r="F337" i="51"/>
  <c r="F338" i="51"/>
  <c r="O332" i="51"/>
  <c r="P332" i="51"/>
  <c r="Q332" i="51"/>
  <c r="U332" i="51"/>
  <c r="V332" i="51"/>
  <c r="W332" i="51"/>
  <c r="AA354" i="51"/>
  <c r="AA337" i="51" s="1"/>
  <c r="AA207" i="51" s="1"/>
  <c r="AB354" i="51"/>
  <c r="AB337" i="51" s="1"/>
  <c r="AC354" i="51"/>
  <c r="AC337" i="51" s="1"/>
  <c r="AE355" i="51"/>
  <c r="AA338" i="51"/>
  <c r="AB338" i="51"/>
  <c r="AC338" i="51"/>
  <c r="C208" i="51"/>
  <c r="D208" i="51"/>
  <c r="E208" i="51"/>
  <c r="F208" i="51"/>
  <c r="AV211" i="51"/>
  <c r="AM212" i="51"/>
  <c r="AN212" i="51"/>
  <c r="AO212" i="51"/>
  <c r="AP212" i="51"/>
  <c r="AS212" i="51"/>
  <c r="AT212" i="51"/>
  <c r="AU212" i="51"/>
  <c r="AV212" i="51"/>
  <c r="AY212" i="51"/>
  <c r="AZ212" i="51"/>
  <c r="BA212" i="51"/>
  <c r="BB212" i="51"/>
  <c r="BE212" i="51"/>
  <c r="BF212" i="51"/>
  <c r="BG212" i="51"/>
  <c r="BH212" i="51"/>
  <c r="AS217" i="51"/>
  <c r="AT217" i="51"/>
  <c r="AU217" i="51"/>
  <c r="AV217" i="51"/>
  <c r="AY217" i="51"/>
  <c r="AZ217" i="51"/>
  <c r="BA217" i="51"/>
  <c r="BB217" i="51"/>
  <c r="BE217" i="51"/>
  <c r="BF217" i="51"/>
  <c r="BG217" i="51"/>
  <c r="BH217" i="51"/>
  <c r="AW218" i="51"/>
  <c r="AV218" i="51" s="1"/>
  <c r="BC218" i="51"/>
  <c r="AY218" i="51" s="1"/>
  <c r="BI218" i="51"/>
  <c r="BE218" i="51" s="1"/>
  <c r="AS220" i="51"/>
  <c r="AT220" i="51"/>
  <c r="AU220" i="51"/>
  <c r="AV220" i="51"/>
  <c r="AY220" i="51"/>
  <c r="AZ220" i="51"/>
  <c r="BA220" i="51"/>
  <c r="BB220" i="51"/>
  <c r="BE220" i="51"/>
  <c r="BF220" i="51"/>
  <c r="BG220" i="51"/>
  <c r="BH220" i="51"/>
  <c r="AW221" i="51"/>
  <c r="AS221" i="51" s="1"/>
  <c r="BC221" i="51"/>
  <c r="BI221" i="51"/>
  <c r="BF221" i="51" s="1"/>
  <c r="AM222" i="51"/>
  <c r="AN222" i="51"/>
  <c r="AO222" i="51"/>
  <c r="AP222" i="51"/>
  <c r="AS222" i="51"/>
  <c r="AT222" i="51"/>
  <c r="AU222" i="51"/>
  <c r="AV222" i="51"/>
  <c r="AY222" i="51"/>
  <c r="AZ222" i="51"/>
  <c r="BA222" i="51"/>
  <c r="BB222" i="51"/>
  <c r="BE222" i="51"/>
  <c r="BF222" i="51"/>
  <c r="BG222" i="51"/>
  <c r="BH222" i="51"/>
  <c r="BK230" i="51"/>
  <c r="AM232" i="51"/>
  <c r="AN232" i="51"/>
  <c r="AO232" i="51"/>
  <c r="AP232" i="51"/>
  <c r="AS232" i="51"/>
  <c r="AT232" i="51"/>
  <c r="AU232" i="51"/>
  <c r="AV232" i="51"/>
  <c r="AY232" i="51"/>
  <c r="AZ232" i="51"/>
  <c r="BA232" i="51"/>
  <c r="BB232" i="51"/>
  <c r="BE232" i="51"/>
  <c r="BF232" i="51"/>
  <c r="BG232" i="51"/>
  <c r="BH232" i="51"/>
  <c r="G238" i="51"/>
  <c r="M238" i="51"/>
  <c r="S238" i="51"/>
  <c r="S239" i="51" s="1"/>
  <c r="Y239" i="51"/>
  <c r="Y244" i="51" s="1"/>
  <c r="X244" i="51" s="1"/>
  <c r="W244" i="51" s="1"/>
  <c r="AE239" i="51"/>
  <c r="AE244" i="51" s="1"/>
  <c r="AD244" i="51" s="1"/>
  <c r="AK239" i="51"/>
  <c r="AK243" i="51" s="1"/>
  <c r="AJ243" i="51" s="1"/>
  <c r="AQ239" i="51"/>
  <c r="AQ243" i="51" s="1"/>
  <c r="AP243" i="51" s="1"/>
  <c r="AO243" i="51" s="1"/>
  <c r="AN243" i="51" s="1"/>
  <c r="AW239" i="51"/>
  <c r="AW244" i="51" s="1"/>
  <c r="AV244" i="51" s="1"/>
  <c r="AV238" i="51" s="1"/>
  <c r="BC239" i="51"/>
  <c r="BC245" i="51" s="1"/>
  <c r="BB245" i="51" s="1"/>
  <c r="BA245" i="51" s="1"/>
  <c r="AZ245" i="51" s="1"/>
  <c r="AY245" i="51" s="1"/>
  <c r="BI239" i="51"/>
  <c r="BI244" i="51" s="1"/>
  <c r="AJ256" i="51"/>
  <c r="AI256" i="51" s="1"/>
  <c r="AI249" i="51" s="1"/>
  <c r="AP256" i="51"/>
  <c r="AP249" i="51" s="1"/>
  <c r="AV256" i="51"/>
  <c r="AU256" i="51" s="1"/>
  <c r="BB256" i="51"/>
  <c r="BA256" i="51" s="1"/>
  <c r="AZ256" i="51" s="1"/>
  <c r="BH256" i="51"/>
  <c r="BK256" i="51"/>
  <c r="BL256" i="51" s="1"/>
  <c r="BL249" i="51" s="1"/>
  <c r="AJ257" i="51"/>
  <c r="AP257" i="51"/>
  <c r="AO257" i="51" s="1"/>
  <c r="AO250" i="51" s="1"/>
  <c r="AV257" i="51"/>
  <c r="AU257" i="51" s="1"/>
  <c r="BB257" i="51"/>
  <c r="BB250" i="51" s="1"/>
  <c r="BH257" i="51"/>
  <c r="BH250" i="51" s="1"/>
  <c r="BK257" i="51"/>
  <c r="BL257" i="51" s="1"/>
  <c r="BL250" i="51" s="1"/>
  <c r="AJ258" i="51"/>
  <c r="AJ251" i="51" s="1"/>
  <c r="AP258" i="51"/>
  <c r="AP251" i="51" s="1"/>
  <c r="AV258" i="51"/>
  <c r="BB258" i="51"/>
  <c r="BB251" i="51" s="1"/>
  <c r="BH258" i="51"/>
  <c r="BH251" i="51" s="1"/>
  <c r="BK258" i="51"/>
  <c r="BK251" i="51" s="1"/>
  <c r="AK259" i="51"/>
  <c r="AQ259" i="51"/>
  <c r="AW259" i="51"/>
  <c r="BC259" i="51"/>
  <c r="BI259" i="51"/>
  <c r="BK259" i="51" s="1"/>
  <c r="BL259" i="51" s="1"/>
  <c r="BM259" i="51" s="1"/>
  <c r="BN259" i="51" s="1"/>
  <c r="M279" i="51"/>
  <c r="S279" i="51"/>
  <c r="Y279" i="51"/>
  <c r="AE279" i="51"/>
  <c r="AK279" i="51"/>
  <c r="AQ279" i="51"/>
  <c r="AW279" i="51"/>
  <c r="BC279" i="51"/>
  <c r="BI279" i="51"/>
  <c r="M284" i="51"/>
  <c r="S284" i="51"/>
  <c r="Y284" i="51"/>
  <c r="AE284" i="51"/>
  <c r="AK284" i="51"/>
  <c r="AQ284" i="51"/>
  <c r="AW284" i="51"/>
  <c r="BC284" i="51"/>
  <c r="BI284" i="51"/>
  <c r="G284" i="51"/>
  <c r="M289" i="51"/>
  <c r="S289" i="51"/>
  <c r="Y289" i="51"/>
  <c r="AE289" i="51"/>
  <c r="AK289" i="51"/>
  <c r="AQ289" i="51"/>
  <c r="AW289" i="51"/>
  <c r="BC289" i="51"/>
  <c r="BI289" i="51"/>
  <c r="G296" i="51"/>
  <c r="M296" i="51"/>
  <c r="V299" i="51"/>
  <c r="Y299" i="51"/>
  <c r="AE299" i="51"/>
  <c r="AK299" i="51"/>
  <c r="AQ299" i="51"/>
  <c r="M300" i="51"/>
  <c r="S300" i="51"/>
  <c r="AW313" i="51"/>
  <c r="BC313" i="51"/>
  <c r="BI313" i="51"/>
  <c r="AJ328" i="51"/>
  <c r="AP328" i="51"/>
  <c r="AV328" i="51"/>
  <c r="BB328" i="51"/>
  <c r="G339" i="51"/>
  <c r="N346" i="51"/>
  <c r="AA350" i="51"/>
  <c r="AB350" i="51"/>
  <c r="AC350" i="51"/>
  <c r="AE350" i="51"/>
  <c r="BK350" i="51"/>
  <c r="AA351" i="51"/>
  <c r="AB351" i="51"/>
  <c r="AC351" i="51"/>
  <c r="AE351" i="51"/>
  <c r="BK351" i="51"/>
  <c r="BK354" i="51"/>
  <c r="AA358" i="51"/>
  <c r="AB358" i="51"/>
  <c r="AC358" i="51"/>
  <c r="AE358" i="51"/>
  <c r="BK358" i="51"/>
  <c r="B7" i="119"/>
  <c r="B112" i="119" s="1"/>
  <c r="C7" i="119"/>
  <c r="C112" i="119" s="1"/>
  <c r="D7" i="119"/>
  <c r="D112" i="119" s="1"/>
  <c r="E7" i="119"/>
  <c r="F7" i="119"/>
  <c r="F112" i="119" s="1"/>
  <c r="G7" i="119"/>
  <c r="H7" i="119"/>
  <c r="I7" i="119"/>
  <c r="I112" i="119" s="1"/>
  <c r="J7" i="119"/>
  <c r="J112" i="119" s="1"/>
  <c r="K7" i="119"/>
  <c r="K112" i="119" s="1"/>
  <c r="L7" i="119"/>
  <c r="L112" i="119" s="1"/>
  <c r="M7" i="119"/>
  <c r="N7" i="119"/>
  <c r="O7" i="119"/>
  <c r="P7" i="119"/>
  <c r="Q7" i="119"/>
  <c r="R7" i="119"/>
  <c r="R112" i="119" s="1"/>
  <c r="S7" i="119"/>
  <c r="S112" i="119" s="1"/>
  <c r="T7" i="119"/>
  <c r="T112" i="119" s="1"/>
  <c r="U7" i="119"/>
  <c r="U112" i="119" s="1"/>
  <c r="V7" i="119"/>
  <c r="W7" i="119"/>
  <c r="X7" i="119"/>
  <c r="Z7" i="119"/>
  <c r="AA7" i="119"/>
  <c r="AB7" i="119"/>
  <c r="AB112" i="119" s="1"/>
  <c r="AD7" i="119"/>
  <c r="AE7" i="119"/>
  <c r="AF7" i="119"/>
  <c r="AH7" i="119"/>
  <c r="AH112" i="119" s="1"/>
  <c r="AI7" i="119"/>
  <c r="AI112" i="119" s="1"/>
  <c r="AJ7" i="119"/>
  <c r="AJ112" i="119" s="1"/>
  <c r="AL7" i="119"/>
  <c r="AL112" i="119" s="1"/>
  <c r="AM7" i="119"/>
  <c r="AN7" i="119"/>
  <c r="AP7" i="119"/>
  <c r="AP112" i="119" s="1"/>
  <c r="AQ7" i="119"/>
  <c r="AQ112" i="119" s="1"/>
  <c r="B8" i="119"/>
  <c r="B113" i="119" s="1"/>
  <c r="C8" i="119"/>
  <c r="C113" i="119" s="1"/>
  <c r="D8" i="119"/>
  <c r="E8" i="119"/>
  <c r="E113" i="119" s="1"/>
  <c r="F8" i="119"/>
  <c r="G8" i="119"/>
  <c r="G113" i="119" s="1"/>
  <c r="H8" i="119"/>
  <c r="H113" i="119" s="1"/>
  <c r="I8" i="119"/>
  <c r="I113" i="119" s="1"/>
  <c r="J8" i="119"/>
  <c r="J113" i="119" s="1"/>
  <c r="K8" i="119"/>
  <c r="L8" i="119"/>
  <c r="M8" i="119"/>
  <c r="N8" i="119"/>
  <c r="O8" i="119"/>
  <c r="O113" i="119" s="1"/>
  <c r="P8" i="119"/>
  <c r="P113" i="119" s="1"/>
  <c r="Q8" i="119"/>
  <c r="Q113" i="119" s="1"/>
  <c r="R8" i="119"/>
  <c r="R113" i="119" s="1"/>
  <c r="S8" i="119"/>
  <c r="T8" i="119"/>
  <c r="T113" i="119" s="1"/>
  <c r="U8" i="119"/>
  <c r="V8" i="119"/>
  <c r="W8" i="119"/>
  <c r="W113" i="119" s="1"/>
  <c r="X8" i="119"/>
  <c r="X113" i="119" s="1"/>
  <c r="Z8" i="119"/>
  <c r="Z113" i="119" s="1"/>
  <c r="AA8" i="119"/>
  <c r="AB8" i="119"/>
  <c r="AB113" i="119" s="1"/>
  <c r="AD8" i="119"/>
  <c r="AE8" i="119"/>
  <c r="AE113" i="119" s="1"/>
  <c r="AF8" i="119"/>
  <c r="AF113" i="119" s="1"/>
  <c r="AH8" i="119"/>
  <c r="AH113" i="119" s="1"/>
  <c r="AI8" i="119"/>
  <c r="AI113" i="119" s="1"/>
  <c r="AJ8" i="119"/>
  <c r="AJ113" i="119" s="1"/>
  <c r="AL8" i="119"/>
  <c r="AM8" i="119"/>
  <c r="AM113" i="119" s="1"/>
  <c r="AN8" i="119"/>
  <c r="AR33" i="119" s="1"/>
  <c r="AR125" i="119" s="1"/>
  <c r="AP8" i="119"/>
  <c r="AT33" i="119" s="1"/>
  <c r="AQ8" i="119"/>
  <c r="AQ113" i="119" s="1"/>
  <c r="V10" i="119"/>
  <c r="V115" i="119" s="1"/>
  <c r="W10" i="119"/>
  <c r="X10" i="119"/>
  <c r="Y10" i="119"/>
  <c r="Y115" i="119" s="1"/>
  <c r="Z10" i="119"/>
  <c r="Z115" i="119" s="1"/>
  <c r="AA10" i="119"/>
  <c r="AA115" i="119" s="1"/>
  <c r="AB10" i="119"/>
  <c r="AB115" i="119" s="1"/>
  <c r="AC10" i="119"/>
  <c r="AE10" i="119"/>
  <c r="AE115" i="119" s="1"/>
  <c r="AF10" i="119"/>
  <c r="AG10" i="119"/>
  <c r="AG115" i="119" s="1"/>
  <c r="AH10" i="119"/>
  <c r="AH115" i="119" s="1"/>
  <c r="AI10" i="119"/>
  <c r="AJ10" i="119"/>
  <c r="AJ115" i="119" s="1"/>
  <c r="AK10" i="119"/>
  <c r="AK115" i="119" s="1"/>
  <c r="AL10" i="119"/>
  <c r="AL115" i="119" s="1"/>
  <c r="AM10" i="119"/>
  <c r="AM115" i="119" s="1"/>
  <c r="AN10" i="119"/>
  <c r="AO10" i="119"/>
  <c r="AQ10" i="119"/>
  <c r="V11" i="119"/>
  <c r="V116" i="119" s="1"/>
  <c r="W11" i="119"/>
  <c r="W116" i="119" s="1"/>
  <c r="X11" i="119"/>
  <c r="X116" i="119" s="1"/>
  <c r="Y11" i="119"/>
  <c r="Y116" i="119" s="1"/>
  <c r="Z11" i="119"/>
  <c r="AA11" i="119"/>
  <c r="AA116" i="119" s="1"/>
  <c r="AB11" i="119"/>
  <c r="AB116" i="119" s="1"/>
  <c r="AC11" i="119"/>
  <c r="AC116" i="119" s="1"/>
  <c r="AD11" i="119"/>
  <c r="AD116" i="119" s="1"/>
  <c r="AE11" i="119"/>
  <c r="AF11" i="119"/>
  <c r="AF116" i="119" s="1"/>
  <c r="AG11" i="119"/>
  <c r="AG116" i="119" s="1"/>
  <c r="AH11" i="119"/>
  <c r="AI11" i="119"/>
  <c r="AI116" i="119" s="1"/>
  <c r="AJ11" i="119"/>
  <c r="AJ116" i="119" s="1"/>
  <c r="AK11" i="119"/>
  <c r="AK116" i="119" s="1"/>
  <c r="AL11" i="119"/>
  <c r="AL116" i="119" s="1"/>
  <c r="AM11" i="119"/>
  <c r="AN11" i="119"/>
  <c r="AN116" i="119" s="1"/>
  <c r="AO11" i="119"/>
  <c r="AP11" i="119"/>
  <c r="AQ11" i="119"/>
  <c r="V13" i="119"/>
  <c r="V118" i="119" s="1"/>
  <c r="W13" i="119"/>
  <c r="W118" i="119" s="1"/>
  <c r="X13" i="119"/>
  <c r="Y13" i="119"/>
  <c r="Y118" i="119" s="1"/>
  <c r="Z13" i="119"/>
  <c r="Z118" i="119" s="1"/>
  <c r="AA13" i="119"/>
  <c r="AB13" i="119"/>
  <c r="AB118" i="119" s="1"/>
  <c r="AC13" i="119"/>
  <c r="AC118" i="119" s="1"/>
  <c r="AD13" i="119"/>
  <c r="AD118" i="119" s="1"/>
  <c r="AE13" i="119"/>
  <c r="AE118" i="119" s="1"/>
  <c r="AF13" i="119"/>
  <c r="AG13" i="119"/>
  <c r="AG118" i="119" s="1"/>
  <c r="AH13" i="119"/>
  <c r="AH118" i="119" s="1"/>
  <c r="AI13" i="119"/>
  <c r="AI118" i="119" s="1"/>
  <c r="AJ13" i="119"/>
  <c r="AJ118" i="119" s="1"/>
  <c r="AK13" i="119"/>
  <c r="AK118" i="119" s="1"/>
  <c r="AL13" i="119"/>
  <c r="AL118" i="119" s="1"/>
  <c r="AM13" i="119"/>
  <c r="AN13" i="119"/>
  <c r="AO13" i="119"/>
  <c r="AO118" i="119" s="1"/>
  <c r="AP13" i="119"/>
  <c r="AQ13" i="119"/>
  <c r="V14" i="119"/>
  <c r="V119" i="119" s="1"/>
  <c r="W14" i="119"/>
  <c r="W119" i="119" s="1"/>
  <c r="X14" i="119"/>
  <c r="X119" i="119" s="1"/>
  <c r="Y14" i="119"/>
  <c r="Y119" i="119" s="1"/>
  <c r="Z14" i="119"/>
  <c r="Z119" i="119" s="1"/>
  <c r="AA14" i="119"/>
  <c r="AA119" i="119" s="1"/>
  <c r="AB14" i="119"/>
  <c r="AB119" i="119" s="1"/>
  <c r="AC14" i="119"/>
  <c r="AC119" i="119" s="1"/>
  <c r="AD14" i="119"/>
  <c r="AD119" i="119" s="1"/>
  <c r="AE14" i="119"/>
  <c r="AE119" i="119" s="1"/>
  <c r="AF14" i="119"/>
  <c r="AF119" i="119" s="1"/>
  <c r="AG14" i="119"/>
  <c r="AH14" i="119"/>
  <c r="AI14" i="119"/>
  <c r="AI119" i="119" s="1"/>
  <c r="AJ14" i="119"/>
  <c r="AJ119" i="119" s="1"/>
  <c r="AK14" i="119"/>
  <c r="AK119" i="119" s="1"/>
  <c r="AL14" i="119"/>
  <c r="AL119" i="119" s="1"/>
  <c r="AM14" i="119"/>
  <c r="AM119" i="119" s="1"/>
  <c r="AN14" i="119"/>
  <c r="AN119" i="119" s="1"/>
  <c r="AO14" i="119"/>
  <c r="AO119" i="119" s="1"/>
  <c r="AP14" i="119"/>
  <c r="AQ14" i="119"/>
  <c r="F29" i="119"/>
  <c r="F156" i="119" s="1"/>
  <c r="G29" i="119"/>
  <c r="G156" i="119" s="1"/>
  <c r="H29" i="119"/>
  <c r="H142" i="119" s="1"/>
  <c r="I29" i="119"/>
  <c r="I122" i="119" s="1"/>
  <c r="J29" i="119"/>
  <c r="J122" i="119" s="1"/>
  <c r="K29" i="119"/>
  <c r="K156" i="119" s="1"/>
  <c r="L29" i="119"/>
  <c r="L122" i="119" s="1"/>
  <c r="M29" i="119"/>
  <c r="M170" i="119" s="1"/>
  <c r="N29" i="119"/>
  <c r="N156" i="119" s="1"/>
  <c r="O29" i="119"/>
  <c r="P29" i="119"/>
  <c r="P156" i="119" s="1"/>
  <c r="Q29" i="119"/>
  <c r="Q170" i="119" s="1"/>
  <c r="R29" i="119"/>
  <c r="R122" i="119" s="1"/>
  <c r="S29" i="119"/>
  <c r="S170" i="119" s="1"/>
  <c r="T29" i="119"/>
  <c r="T170" i="119" s="1"/>
  <c r="U29" i="119"/>
  <c r="U170" i="119" s="1"/>
  <c r="V29" i="119"/>
  <c r="V170" i="119" s="1"/>
  <c r="W29" i="119"/>
  <c r="W156" i="119" s="1"/>
  <c r="X29" i="119"/>
  <c r="X170" i="119" s="1"/>
  <c r="Y29" i="119"/>
  <c r="Y156" i="119" s="1"/>
  <c r="Z29" i="119"/>
  <c r="Z156" i="119" s="1"/>
  <c r="AA29" i="119"/>
  <c r="AA122" i="119" s="1"/>
  <c r="AB29" i="119"/>
  <c r="AB122" i="119" s="1"/>
  <c r="AC29" i="119"/>
  <c r="AC122" i="119" s="1"/>
  <c r="AD29" i="119"/>
  <c r="AD122" i="119" s="1"/>
  <c r="AE29" i="119"/>
  <c r="AE122" i="119" s="1"/>
  <c r="AF29" i="119"/>
  <c r="AF142" i="119" s="1"/>
  <c r="AG29" i="119"/>
  <c r="AG142" i="119" s="1"/>
  <c r="AH29" i="119"/>
  <c r="AH156" i="119" s="1"/>
  <c r="AI29" i="119"/>
  <c r="AI122" i="119" s="1"/>
  <c r="AJ29" i="119"/>
  <c r="AJ122" i="119" s="1"/>
  <c r="AK29" i="119"/>
  <c r="AK122" i="119" s="1"/>
  <c r="AL29" i="119"/>
  <c r="AM29" i="119"/>
  <c r="AM170" i="119" s="1"/>
  <c r="AN29" i="119"/>
  <c r="AN142" i="119" s="1"/>
  <c r="AO29" i="119"/>
  <c r="AO156" i="119" s="1"/>
  <c r="AP29" i="119"/>
  <c r="AP170" i="119" s="1"/>
  <c r="AQ29" i="119"/>
  <c r="AQ170" i="119" s="1"/>
  <c r="AR29" i="119"/>
  <c r="AR142" i="119" s="1"/>
  <c r="AS29" i="119"/>
  <c r="AS170" i="119" s="1"/>
  <c r="AT29" i="119"/>
  <c r="AU29" i="119"/>
  <c r="AV29" i="119"/>
  <c r="AV156" i="119" s="1"/>
  <c r="AW29" i="119"/>
  <c r="A30" i="119"/>
  <c r="A31" i="119"/>
  <c r="A123" i="119" s="1"/>
  <c r="F31" i="119"/>
  <c r="F123" i="119" s="1"/>
  <c r="G31" i="119"/>
  <c r="G123" i="119" s="1"/>
  <c r="H31" i="119"/>
  <c r="H123" i="119" s="1"/>
  <c r="I31" i="119"/>
  <c r="I123" i="119" s="1"/>
  <c r="J31" i="119"/>
  <c r="J123" i="119" s="1"/>
  <c r="K31" i="119"/>
  <c r="K123" i="119" s="1"/>
  <c r="L31" i="119"/>
  <c r="L123" i="119" s="1"/>
  <c r="M31" i="119"/>
  <c r="M123" i="119" s="1"/>
  <c r="N31" i="119"/>
  <c r="N123" i="119" s="1"/>
  <c r="O31" i="119"/>
  <c r="O123" i="119" s="1"/>
  <c r="P31" i="119"/>
  <c r="P123" i="119" s="1"/>
  <c r="Q31" i="119"/>
  <c r="Q123" i="119" s="1"/>
  <c r="R31" i="119"/>
  <c r="R123" i="119" s="1"/>
  <c r="S31" i="119"/>
  <c r="S123" i="119" s="1"/>
  <c r="T31" i="119"/>
  <c r="T123" i="119" s="1"/>
  <c r="U31" i="119"/>
  <c r="U123" i="119" s="1"/>
  <c r="A32" i="119"/>
  <c r="A124" i="119" s="1"/>
  <c r="AV32" i="119"/>
  <c r="AV124" i="119" s="1"/>
  <c r="AW32" i="119"/>
  <c r="AW124" i="119" s="1"/>
  <c r="A33" i="119"/>
  <c r="A125" i="119" s="1"/>
  <c r="AV33" i="119"/>
  <c r="AV125" i="119" s="1"/>
  <c r="AW33" i="119"/>
  <c r="AW125" i="119" s="1"/>
  <c r="A34" i="119"/>
  <c r="A126" i="119" s="1"/>
  <c r="A37" i="119"/>
  <c r="A129" i="119" s="1"/>
  <c r="F37" i="119"/>
  <c r="F129" i="119" s="1"/>
  <c r="G37" i="119"/>
  <c r="G129" i="119" s="1"/>
  <c r="H37" i="119"/>
  <c r="H129" i="119" s="1"/>
  <c r="I37" i="119"/>
  <c r="I129" i="119" s="1"/>
  <c r="J37" i="119"/>
  <c r="J129" i="119" s="1"/>
  <c r="K37" i="119"/>
  <c r="K129" i="119" s="1"/>
  <c r="L37" i="119"/>
  <c r="L129" i="119" s="1"/>
  <c r="M37" i="119"/>
  <c r="M129" i="119" s="1"/>
  <c r="N37" i="119"/>
  <c r="N129" i="119" s="1"/>
  <c r="O37" i="119"/>
  <c r="O129" i="119" s="1"/>
  <c r="P37" i="119"/>
  <c r="P129" i="119" s="1"/>
  <c r="Q37" i="119"/>
  <c r="Q129" i="119" s="1"/>
  <c r="R37" i="119"/>
  <c r="R129" i="119" s="1"/>
  <c r="S37" i="119"/>
  <c r="S129" i="119" s="1"/>
  <c r="T37" i="119"/>
  <c r="T129" i="119" s="1"/>
  <c r="U37" i="119"/>
  <c r="U129" i="119" s="1"/>
  <c r="A40" i="119"/>
  <c r="A143" i="119" s="1"/>
  <c r="F40" i="119"/>
  <c r="F143" i="119" s="1"/>
  <c r="G40" i="119"/>
  <c r="G143" i="119" s="1"/>
  <c r="H40" i="119"/>
  <c r="H143" i="119" s="1"/>
  <c r="I40" i="119"/>
  <c r="I143" i="119" s="1"/>
  <c r="J40" i="119"/>
  <c r="J143" i="119" s="1"/>
  <c r="K40" i="119"/>
  <c r="K143" i="119" s="1"/>
  <c r="L40" i="119"/>
  <c r="L143" i="119" s="1"/>
  <c r="M40" i="119"/>
  <c r="N40" i="119"/>
  <c r="N143" i="119" s="1"/>
  <c r="O40" i="119"/>
  <c r="O143" i="119" s="1"/>
  <c r="P40" i="119"/>
  <c r="P143" i="119" s="1"/>
  <c r="Q40" i="119"/>
  <c r="Q143" i="119" s="1"/>
  <c r="R40" i="119"/>
  <c r="R143" i="119" s="1"/>
  <c r="S40" i="119"/>
  <c r="S143" i="119" s="1"/>
  <c r="T40" i="119"/>
  <c r="T143" i="119" s="1"/>
  <c r="U40" i="119"/>
  <c r="U143" i="119" s="1"/>
  <c r="A41" i="119"/>
  <c r="A144" i="119" s="1"/>
  <c r="F41" i="119"/>
  <c r="F144" i="119" s="1"/>
  <c r="G41" i="119"/>
  <c r="G144" i="119" s="1"/>
  <c r="H41" i="119"/>
  <c r="H144" i="119" s="1"/>
  <c r="I41" i="119"/>
  <c r="I144" i="119" s="1"/>
  <c r="J41" i="119"/>
  <c r="J144" i="119" s="1"/>
  <c r="K41" i="119"/>
  <c r="K144" i="119" s="1"/>
  <c r="L41" i="119"/>
  <c r="L144" i="119" s="1"/>
  <c r="M41" i="119"/>
  <c r="M144" i="119" s="1"/>
  <c r="A42" i="119"/>
  <c r="A145" i="119" s="1"/>
  <c r="F42" i="119"/>
  <c r="F145" i="119" s="1"/>
  <c r="G42" i="119"/>
  <c r="G145" i="119" s="1"/>
  <c r="H42" i="119"/>
  <c r="H145" i="119" s="1"/>
  <c r="I42" i="119"/>
  <c r="I145" i="119" s="1"/>
  <c r="J42" i="119"/>
  <c r="J145" i="119" s="1"/>
  <c r="K42" i="119"/>
  <c r="K145" i="119" s="1"/>
  <c r="L42" i="119"/>
  <c r="L145" i="119" s="1"/>
  <c r="M42" i="119"/>
  <c r="M145" i="119" s="1"/>
  <c r="N42" i="119"/>
  <c r="N145" i="119" s="1"/>
  <c r="O42" i="119"/>
  <c r="O145" i="119" s="1"/>
  <c r="P42" i="119"/>
  <c r="P145" i="119" s="1"/>
  <c r="Q42" i="119"/>
  <c r="Q145" i="119" s="1"/>
  <c r="R42" i="119"/>
  <c r="R145" i="119" s="1"/>
  <c r="S42" i="119"/>
  <c r="T42" i="119"/>
  <c r="T145" i="119" s="1"/>
  <c r="U42" i="119"/>
  <c r="U145" i="119" s="1"/>
  <c r="A43" i="119"/>
  <c r="A157" i="119" s="1"/>
  <c r="F43" i="119"/>
  <c r="F157" i="119" s="1"/>
  <c r="G43" i="119"/>
  <c r="G157" i="119" s="1"/>
  <c r="H43" i="119"/>
  <c r="H157" i="119" s="1"/>
  <c r="I43" i="119"/>
  <c r="I157" i="119" s="1"/>
  <c r="J43" i="119"/>
  <c r="J157" i="119" s="1"/>
  <c r="K43" i="119"/>
  <c r="K157" i="119" s="1"/>
  <c r="L43" i="119"/>
  <c r="L157" i="119" s="1"/>
  <c r="M43" i="119"/>
  <c r="M157" i="119" s="1"/>
  <c r="N43" i="119"/>
  <c r="N157" i="119" s="1"/>
  <c r="O43" i="119"/>
  <c r="O157" i="119" s="1"/>
  <c r="P43" i="119"/>
  <c r="P157" i="119" s="1"/>
  <c r="Q43" i="119"/>
  <c r="Q157" i="119" s="1"/>
  <c r="R43" i="119"/>
  <c r="R157" i="119" s="1"/>
  <c r="S43" i="119"/>
  <c r="S157" i="119" s="1"/>
  <c r="T43" i="119"/>
  <c r="T157" i="119" s="1"/>
  <c r="U43" i="119"/>
  <c r="U157" i="119" s="1"/>
  <c r="A44" i="119"/>
  <c r="A158" i="119" s="1"/>
  <c r="A45" i="119"/>
  <c r="A159" i="119" s="1"/>
  <c r="F45" i="119"/>
  <c r="F159" i="119" s="1"/>
  <c r="G45" i="119"/>
  <c r="G159" i="119" s="1"/>
  <c r="H45" i="119"/>
  <c r="H159" i="119" s="1"/>
  <c r="I45" i="119"/>
  <c r="I159" i="119" s="1"/>
  <c r="J45" i="119"/>
  <c r="J159" i="119" s="1"/>
  <c r="K45" i="119"/>
  <c r="K159" i="119" s="1"/>
  <c r="L45" i="119"/>
  <c r="L159" i="119" s="1"/>
  <c r="M45" i="119"/>
  <c r="M159" i="119" s="1"/>
  <c r="N45" i="119"/>
  <c r="N159" i="119" s="1"/>
  <c r="O45" i="119"/>
  <c r="O159" i="119" s="1"/>
  <c r="P45" i="119"/>
  <c r="P159" i="119" s="1"/>
  <c r="Q45" i="119"/>
  <c r="Q159" i="119" s="1"/>
  <c r="R45" i="119"/>
  <c r="R159" i="119" s="1"/>
  <c r="S45" i="119"/>
  <c r="S159" i="119" s="1"/>
  <c r="T45" i="119"/>
  <c r="T159" i="119" s="1"/>
  <c r="U45" i="119"/>
  <c r="U159" i="119" s="1"/>
  <c r="A46" i="119"/>
  <c r="A171" i="119" s="1"/>
  <c r="A47" i="119"/>
  <c r="A172" i="119" s="1"/>
  <c r="F47" i="119"/>
  <c r="F172" i="119" s="1"/>
  <c r="G47" i="119"/>
  <c r="G172" i="119" s="1"/>
  <c r="H47" i="119"/>
  <c r="H172" i="119" s="1"/>
  <c r="I47" i="119"/>
  <c r="I172" i="119" s="1"/>
  <c r="J47" i="119"/>
  <c r="J172" i="119" s="1"/>
  <c r="K47" i="119"/>
  <c r="K172" i="119" s="1"/>
  <c r="L47" i="119"/>
  <c r="L172" i="119" s="1"/>
  <c r="M47" i="119"/>
  <c r="M172" i="119" s="1"/>
  <c r="N47" i="119"/>
  <c r="N172" i="119" s="1"/>
  <c r="O47" i="119"/>
  <c r="O172" i="119" s="1"/>
  <c r="P47" i="119"/>
  <c r="P172" i="119" s="1"/>
  <c r="Q47" i="119"/>
  <c r="Q172" i="119" s="1"/>
  <c r="R47" i="119"/>
  <c r="R172" i="119" s="1"/>
  <c r="S47" i="119"/>
  <c r="S172" i="119" s="1"/>
  <c r="T47" i="119"/>
  <c r="T172" i="119" s="1"/>
  <c r="U47" i="119"/>
  <c r="U172" i="119" s="1"/>
  <c r="A48" i="119"/>
  <c r="A173" i="119" s="1"/>
  <c r="F48" i="119"/>
  <c r="F173" i="119" s="1"/>
  <c r="G48" i="119"/>
  <c r="G173" i="119" s="1"/>
  <c r="H48" i="119"/>
  <c r="H173" i="119" s="1"/>
  <c r="I48" i="119"/>
  <c r="I173" i="119" s="1"/>
  <c r="J48" i="119"/>
  <c r="J173" i="119" s="1"/>
  <c r="K48" i="119"/>
  <c r="K173" i="119" s="1"/>
  <c r="L48" i="119"/>
  <c r="L173" i="119" s="1"/>
  <c r="M48" i="119"/>
  <c r="M173" i="119" s="1"/>
  <c r="N48" i="119"/>
  <c r="N173" i="119" s="1"/>
  <c r="O48" i="119"/>
  <c r="O173" i="119" s="1"/>
  <c r="P48" i="119"/>
  <c r="P173" i="119" s="1"/>
  <c r="Q48" i="119"/>
  <c r="Q173" i="119" s="1"/>
  <c r="R48" i="119"/>
  <c r="R173" i="119" s="1"/>
  <c r="S48" i="119"/>
  <c r="S173" i="119" s="1"/>
  <c r="T48" i="119"/>
  <c r="T173" i="119" s="1"/>
  <c r="U48" i="119"/>
  <c r="U173" i="119" s="1"/>
  <c r="A49" i="119"/>
  <c r="A50" i="119"/>
  <c r="F50" i="119"/>
  <c r="G50" i="119"/>
  <c r="H50" i="119"/>
  <c r="I50" i="119"/>
  <c r="J50" i="119"/>
  <c r="K50" i="119"/>
  <c r="L50" i="119"/>
  <c r="M50" i="119"/>
  <c r="N50" i="119"/>
  <c r="O50" i="119"/>
  <c r="P50" i="119"/>
  <c r="Q50" i="119"/>
  <c r="R50" i="119"/>
  <c r="S50" i="119"/>
  <c r="T50" i="119"/>
  <c r="U50" i="119"/>
  <c r="A51" i="119"/>
  <c r="F51" i="119"/>
  <c r="G51" i="119"/>
  <c r="H51" i="119"/>
  <c r="I51" i="119"/>
  <c r="J51" i="119"/>
  <c r="K51" i="119"/>
  <c r="L51" i="119"/>
  <c r="M51" i="119"/>
  <c r="N51" i="119"/>
  <c r="O51" i="119"/>
  <c r="P51" i="119"/>
  <c r="Q51" i="119"/>
  <c r="R51" i="119"/>
  <c r="S51" i="119"/>
  <c r="T51" i="119"/>
  <c r="U51" i="119"/>
  <c r="B54" i="119"/>
  <c r="C54" i="119"/>
  <c r="D54" i="119"/>
  <c r="E54" i="119"/>
  <c r="F54" i="119"/>
  <c r="G54" i="119"/>
  <c r="H54" i="119"/>
  <c r="I54" i="119"/>
  <c r="J54" i="119"/>
  <c r="K54" i="119"/>
  <c r="L54" i="119"/>
  <c r="M54" i="119"/>
  <c r="N54" i="119"/>
  <c r="O54" i="119"/>
  <c r="P54" i="119"/>
  <c r="Q54" i="119"/>
  <c r="R54" i="119"/>
  <c r="S54" i="119"/>
  <c r="T54" i="119"/>
  <c r="U54" i="119"/>
  <c r="V54" i="119"/>
  <c r="W54" i="119"/>
  <c r="X54" i="119"/>
  <c r="Y54" i="119"/>
  <c r="Z54" i="119"/>
  <c r="AA54" i="119"/>
  <c r="AB54" i="119"/>
  <c r="AC54" i="119"/>
  <c r="AD54" i="119"/>
  <c r="AE54" i="119"/>
  <c r="AF54" i="119"/>
  <c r="AG54" i="119"/>
  <c r="AH54" i="119"/>
  <c r="AI54" i="119"/>
  <c r="AJ54" i="119"/>
  <c r="AK54" i="119"/>
  <c r="AL54" i="119"/>
  <c r="AM54" i="119"/>
  <c r="AN54" i="119"/>
  <c r="AO54" i="119"/>
  <c r="AP54" i="119"/>
  <c r="AQ54" i="119"/>
  <c r="AR54" i="119"/>
  <c r="AS54" i="119"/>
  <c r="AT54" i="119"/>
  <c r="AU54" i="119"/>
  <c r="AV54" i="119"/>
  <c r="AW54" i="119"/>
  <c r="J68" i="119"/>
  <c r="K68" i="119"/>
  <c r="L68" i="119"/>
  <c r="N68" i="119"/>
  <c r="O68" i="119"/>
  <c r="P68" i="119"/>
  <c r="R68" i="119"/>
  <c r="S68" i="119"/>
  <c r="AP68" i="119"/>
  <c r="B63" i="119"/>
  <c r="B72" i="119" s="1"/>
  <c r="C63" i="119"/>
  <c r="C72" i="119" s="1"/>
  <c r="D63" i="119"/>
  <c r="D72" i="119" s="1"/>
  <c r="E63" i="119"/>
  <c r="E72" i="119" s="1"/>
  <c r="F63" i="119"/>
  <c r="F72" i="119" s="1"/>
  <c r="G63" i="119"/>
  <c r="G72" i="119" s="1"/>
  <c r="H63" i="119"/>
  <c r="H72" i="119" s="1"/>
  <c r="I63" i="119"/>
  <c r="I72" i="119" s="1"/>
  <c r="J63" i="119"/>
  <c r="J72" i="119" s="1"/>
  <c r="K63" i="119"/>
  <c r="K72" i="119" s="1"/>
  <c r="L63" i="119"/>
  <c r="L72" i="119" s="1"/>
  <c r="M63" i="119"/>
  <c r="M72" i="119" s="1"/>
  <c r="N63" i="119"/>
  <c r="N72" i="119" s="1"/>
  <c r="O63" i="119"/>
  <c r="O72" i="119" s="1"/>
  <c r="P63" i="119"/>
  <c r="P72" i="119" s="1"/>
  <c r="Q63" i="119"/>
  <c r="Q72" i="119" s="1"/>
  <c r="R63" i="119"/>
  <c r="R72" i="119" s="1"/>
  <c r="S63" i="119"/>
  <c r="S72" i="119" s="1"/>
  <c r="T63" i="119"/>
  <c r="T72" i="119" s="1"/>
  <c r="U63" i="119"/>
  <c r="U72" i="119" s="1"/>
  <c r="V63" i="119"/>
  <c r="V72" i="119" s="1"/>
  <c r="W63" i="119"/>
  <c r="W72" i="119" s="1"/>
  <c r="X63" i="119"/>
  <c r="X72" i="119" s="1"/>
  <c r="Y63" i="119"/>
  <c r="Y72" i="119" s="1"/>
  <c r="Z63" i="119"/>
  <c r="Z72" i="119" s="1"/>
  <c r="AA63" i="119"/>
  <c r="AA72" i="119" s="1"/>
  <c r="AB63" i="119"/>
  <c r="AB72" i="119" s="1"/>
  <c r="AC63" i="119"/>
  <c r="AC72" i="119" s="1"/>
  <c r="AD63" i="119"/>
  <c r="AD72" i="119" s="1"/>
  <c r="AE63" i="119"/>
  <c r="AE72" i="119" s="1"/>
  <c r="AF63" i="119"/>
  <c r="AF72" i="119" s="1"/>
  <c r="AG63" i="119"/>
  <c r="AG72" i="119" s="1"/>
  <c r="AH63" i="119"/>
  <c r="AH72" i="119" s="1"/>
  <c r="AI63" i="119"/>
  <c r="AI72" i="119" s="1"/>
  <c r="AJ63" i="119"/>
  <c r="AJ72" i="119" s="1"/>
  <c r="AK63" i="119"/>
  <c r="AK72" i="119" s="1"/>
  <c r="AL63" i="119"/>
  <c r="AL72" i="119" s="1"/>
  <c r="AM63" i="119"/>
  <c r="AM72" i="119" s="1"/>
  <c r="AN63" i="119"/>
  <c r="AN72" i="119" s="1"/>
  <c r="AO63" i="119"/>
  <c r="AO72" i="119" s="1"/>
  <c r="AP63" i="119"/>
  <c r="AP72" i="119" s="1"/>
  <c r="AQ63" i="119"/>
  <c r="AQ72" i="119" s="1"/>
  <c r="AR63" i="119"/>
  <c r="AR72" i="119" s="1"/>
  <c r="AS63" i="119"/>
  <c r="AS72" i="119" s="1"/>
  <c r="AT63" i="119"/>
  <c r="AT72" i="119" s="1"/>
  <c r="AU63" i="119"/>
  <c r="AU72" i="119" s="1"/>
  <c r="AV63" i="119"/>
  <c r="AV72" i="119" s="1"/>
  <c r="AW63" i="119"/>
  <c r="AW72" i="119" s="1"/>
  <c r="R65" i="119"/>
  <c r="S65" i="119"/>
  <c r="R66" i="119"/>
  <c r="S66" i="119"/>
  <c r="R67" i="119"/>
  <c r="S67" i="119"/>
  <c r="B68" i="119"/>
  <c r="C68" i="119"/>
  <c r="D68" i="119"/>
  <c r="F68" i="119"/>
  <c r="G68" i="119"/>
  <c r="H68" i="119"/>
  <c r="B81" i="119"/>
  <c r="C81" i="119"/>
  <c r="D81" i="119"/>
  <c r="E81" i="119"/>
  <c r="F81" i="119"/>
  <c r="G81" i="119"/>
  <c r="H81" i="119"/>
  <c r="I81" i="119"/>
  <c r="J81" i="119"/>
  <c r="K81" i="119"/>
  <c r="L81" i="119"/>
  <c r="M81" i="119"/>
  <c r="N81" i="119"/>
  <c r="O81" i="119"/>
  <c r="P81" i="119"/>
  <c r="Q81" i="119"/>
  <c r="R81" i="119"/>
  <c r="S81" i="119"/>
  <c r="T81" i="119"/>
  <c r="U81" i="119"/>
  <c r="V81" i="119"/>
  <c r="W81" i="119"/>
  <c r="X81" i="119"/>
  <c r="Y81" i="119"/>
  <c r="Z81" i="119"/>
  <c r="AA81" i="119"/>
  <c r="AB81" i="119"/>
  <c r="AC81" i="119"/>
  <c r="AD81" i="119"/>
  <c r="AE81" i="119"/>
  <c r="AF81" i="119"/>
  <c r="AG81" i="119"/>
  <c r="AH81" i="119"/>
  <c r="AI81" i="119"/>
  <c r="AJ81" i="119"/>
  <c r="AK81" i="119"/>
  <c r="AL81" i="119"/>
  <c r="AM81" i="119"/>
  <c r="AN81" i="119"/>
  <c r="AO81" i="119"/>
  <c r="AP81" i="119"/>
  <c r="AQ81" i="119"/>
  <c r="AR81" i="119"/>
  <c r="AS81" i="119"/>
  <c r="AT81" i="119"/>
  <c r="AU81" i="119"/>
  <c r="AV81" i="119"/>
  <c r="AW81" i="119"/>
  <c r="B90" i="119"/>
  <c r="C90" i="119"/>
  <c r="D90" i="119"/>
  <c r="E90" i="119"/>
  <c r="F90" i="119"/>
  <c r="G90" i="119"/>
  <c r="H90" i="119"/>
  <c r="I90" i="119"/>
  <c r="J90" i="119"/>
  <c r="K90" i="119"/>
  <c r="L90" i="119"/>
  <c r="M90" i="119"/>
  <c r="N90" i="119"/>
  <c r="O90" i="119"/>
  <c r="P90" i="119"/>
  <c r="Q90" i="119"/>
  <c r="R90" i="119"/>
  <c r="S90" i="119"/>
  <c r="T90" i="119"/>
  <c r="U90" i="119"/>
  <c r="V90" i="119"/>
  <c r="W90" i="119"/>
  <c r="X90" i="119"/>
  <c r="Y90" i="119"/>
  <c r="Z90" i="119"/>
  <c r="AA90" i="119"/>
  <c r="AB90" i="119"/>
  <c r="AC90" i="119"/>
  <c r="AD90" i="119"/>
  <c r="AE90" i="119"/>
  <c r="AF90" i="119"/>
  <c r="AG90" i="119"/>
  <c r="AH90" i="119"/>
  <c r="AI90" i="119"/>
  <c r="AJ90" i="119"/>
  <c r="AK90" i="119"/>
  <c r="AL90" i="119"/>
  <c r="AM90" i="119"/>
  <c r="AN90" i="119"/>
  <c r="AO90" i="119"/>
  <c r="AP90" i="119"/>
  <c r="AQ90" i="119"/>
  <c r="AR90" i="119"/>
  <c r="AS90" i="119"/>
  <c r="AT90" i="119"/>
  <c r="AU90" i="119"/>
  <c r="AV90" i="119"/>
  <c r="AW90" i="119"/>
  <c r="A91" i="119"/>
  <c r="A93" i="119"/>
  <c r="A95" i="119"/>
  <c r="A97" i="119"/>
  <c r="A101" i="119"/>
  <c r="A109" i="119"/>
  <c r="B110" i="119"/>
  <c r="C110" i="119"/>
  <c r="D110" i="119"/>
  <c r="E110" i="119"/>
  <c r="F110" i="119"/>
  <c r="G110" i="119"/>
  <c r="H110" i="119"/>
  <c r="I110" i="119"/>
  <c r="J110" i="119"/>
  <c r="K110" i="119"/>
  <c r="L110" i="119"/>
  <c r="M110" i="119"/>
  <c r="N110" i="119"/>
  <c r="O110" i="119"/>
  <c r="P110" i="119"/>
  <c r="Q110" i="119"/>
  <c r="R110" i="119"/>
  <c r="S110" i="119"/>
  <c r="T110" i="119"/>
  <c r="U110" i="119"/>
  <c r="V110" i="119"/>
  <c r="W110" i="119"/>
  <c r="X110" i="119"/>
  <c r="Y110" i="119"/>
  <c r="Z110" i="119"/>
  <c r="AA110" i="119"/>
  <c r="AB110" i="119"/>
  <c r="AC110" i="119"/>
  <c r="AD110" i="119"/>
  <c r="AE110" i="119"/>
  <c r="AF110" i="119"/>
  <c r="AG110" i="119"/>
  <c r="AH110" i="119"/>
  <c r="AI110" i="119"/>
  <c r="AJ110" i="119"/>
  <c r="AK110" i="119"/>
  <c r="AL110" i="119"/>
  <c r="AM110" i="119"/>
  <c r="AN110" i="119"/>
  <c r="AO110" i="119"/>
  <c r="AP110" i="119"/>
  <c r="AQ110" i="119"/>
  <c r="AR110" i="119"/>
  <c r="AS110" i="119"/>
  <c r="AT110" i="119"/>
  <c r="AU110" i="119"/>
  <c r="AV110" i="119"/>
  <c r="AW110" i="119"/>
  <c r="A111" i="119"/>
  <c r="B111" i="119"/>
  <c r="C111" i="119"/>
  <c r="D111" i="119"/>
  <c r="E111" i="119"/>
  <c r="F111" i="119"/>
  <c r="G111" i="119"/>
  <c r="H111" i="119"/>
  <c r="I111" i="119"/>
  <c r="J111" i="119"/>
  <c r="K111" i="119"/>
  <c r="L111" i="119"/>
  <c r="M111" i="119"/>
  <c r="N111" i="119"/>
  <c r="O111" i="119"/>
  <c r="P111" i="119"/>
  <c r="Q111" i="119"/>
  <c r="R111" i="119"/>
  <c r="S111" i="119"/>
  <c r="T111" i="119"/>
  <c r="U111" i="119"/>
  <c r="A112" i="119"/>
  <c r="AR112" i="119"/>
  <c r="AS112" i="119"/>
  <c r="AT112" i="119"/>
  <c r="AU112" i="119"/>
  <c r="AV112" i="119"/>
  <c r="AW112" i="119"/>
  <c r="A113" i="119"/>
  <c r="AR113" i="119"/>
  <c r="AS113" i="119"/>
  <c r="AT113" i="119"/>
  <c r="AU113" i="119"/>
  <c r="AV113" i="119"/>
  <c r="AW113" i="119"/>
  <c r="A114" i="119"/>
  <c r="A115" i="119"/>
  <c r="B115" i="119"/>
  <c r="C115" i="119"/>
  <c r="D115" i="119"/>
  <c r="E115" i="119"/>
  <c r="F115" i="119"/>
  <c r="G115" i="119"/>
  <c r="H115" i="119"/>
  <c r="I115" i="119"/>
  <c r="J115" i="119"/>
  <c r="K115" i="119"/>
  <c r="L115" i="119"/>
  <c r="M115" i="119"/>
  <c r="N115" i="119"/>
  <c r="O115" i="119"/>
  <c r="P115" i="119"/>
  <c r="Q115" i="119"/>
  <c r="R115" i="119"/>
  <c r="S115" i="119"/>
  <c r="T115" i="119"/>
  <c r="U115" i="119"/>
  <c r="AR115" i="119"/>
  <c r="A116" i="119"/>
  <c r="B116" i="119"/>
  <c r="C116" i="119"/>
  <c r="D116" i="119"/>
  <c r="E116" i="119"/>
  <c r="F116" i="119"/>
  <c r="G116" i="119"/>
  <c r="H116" i="119"/>
  <c r="I116" i="119"/>
  <c r="J116" i="119"/>
  <c r="K116" i="119"/>
  <c r="L116" i="119"/>
  <c r="M116" i="119"/>
  <c r="N116" i="119"/>
  <c r="O116" i="119"/>
  <c r="P116" i="119"/>
  <c r="Q116" i="119"/>
  <c r="R116" i="119"/>
  <c r="S116" i="119"/>
  <c r="T116" i="119"/>
  <c r="U116" i="119"/>
  <c r="AR116" i="119"/>
  <c r="A117" i="119"/>
  <c r="B117" i="119"/>
  <c r="C117" i="119"/>
  <c r="D117" i="119"/>
  <c r="E117" i="119"/>
  <c r="F117" i="119"/>
  <c r="G117" i="119"/>
  <c r="H117" i="119"/>
  <c r="I117" i="119"/>
  <c r="J117" i="119"/>
  <c r="K117" i="119"/>
  <c r="L117" i="119"/>
  <c r="M117" i="119"/>
  <c r="N117" i="119"/>
  <c r="O117" i="119"/>
  <c r="P117" i="119"/>
  <c r="Q117" i="119"/>
  <c r="R117" i="119"/>
  <c r="S117" i="119"/>
  <c r="T117" i="119"/>
  <c r="U117" i="119"/>
  <c r="A118" i="119"/>
  <c r="B118" i="119"/>
  <c r="C118" i="119"/>
  <c r="D118" i="119"/>
  <c r="E118" i="119"/>
  <c r="F118" i="119"/>
  <c r="G118" i="119"/>
  <c r="H118" i="119"/>
  <c r="I118" i="119"/>
  <c r="J118" i="119"/>
  <c r="K118" i="119"/>
  <c r="L118" i="119"/>
  <c r="M118" i="119"/>
  <c r="N118" i="119"/>
  <c r="O118" i="119"/>
  <c r="P118" i="119"/>
  <c r="Q118" i="119"/>
  <c r="R118" i="119"/>
  <c r="S118" i="119"/>
  <c r="T118" i="119"/>
  <c r="U118" i="119"/>
  <c r="AR118" i="119"/>
  <c r="A119" i="119"/>
  <c r="B119" i="119"/>
  <c r="C119" i="119"/>
  <c r="D119" i="119"/>
  <c r="E119" i="119"/>
  <c r="F119" i="119"/>
  <c r="G119" i="119"/>
  <c r="H119" i="119"/>
  <c r="I119" i="119"/>
  <c r="J119" i="119"/>
  <c r="K119" i="119"/>
  <c r="L119" i="119"/>
  <c r="M119" i="119"/>
  <c r="N119" i="119"/>
  <c r="O119" i="119"/>
  <c r="P119" i="119"/>
  <c r="Q119" i="119"/>
  <c r="R119" i="119"/>
  <c r="S119" i="119"/>
  <c r="T119" i="119"/>
  <c r="U119" i="119"/>
  <c r="AR119" i="119"/>
  <c r="B122" i="119"/>
  <c r="C122" i="119"/>
  <c r="D122" i="119"/>
  <c r="E122" i="119"/>
  <c r="T122" i="119"/>
  <c r="B123" i="119"/>
  <c r="C123" i="119"/>
  <c r="D123" i="119"/>
  <c r="E123" i="119"/>
  <c r="B124" i="119"/>
  <c r="C124" i="119"/>
  <c r="D124" i="119"/>
  <c r="E124" i="119"/>
  <c r="B125" i="119"/>
  <c r="C125" i="119"/>
  <c r="D125" i="119"/>
  <c r="E125" i="119"/>
  <c r="B126" i="119"/>
  <c r="C126" i="119"/>
  <c r="D126" i="119"/>
  <c r="E126" i="119"/>
  <c r="A127" i="119"/>
  <c r="B127" i="119"/>
  <c r="C127" i="119"/>
  <c r="D127" i="119"/>
  <c r="E127" i="119"/>
  <c r="F127" i="119"/>
  <c r="G127" i="119"/>
  <c r="H127" i="119"/>
  <c r="I127" i="119"/>
  <c r="J127" i="119"/>
  <c r="K127" i="119"/>
  <c r="L127" i="119"/>
  <c r="M127" i="119"/>
  <c r="N127" i="119"/>
  <c r="O127" i="119"/>
  <c r="P127" i="119"/>
  <c r="Q127" i="119"/>
  <c r="R127" i="119"/>
  <c r="S127" i="119"/>
  <c r="T127" i="119"/>
  <c r="U127" i="119"/>
  <c r="V127" i="119"/>
  <c r="W127" i="119"/>
  <c r="X127" i="119"/>
  <c r="Y127" i="119"/>
  <c r="A128" i="119"/>
  <c r="B128" i="119"/>
  <c r="C128" i="119"/>
  <c r="D128" i="119"/>
  <c r="E128" i="119"/>
  <c r="F128" i="119"/>
  <c r="G128" i="119"/>
  <c r="H128" i="119"/>
  <c r="I128" i="119"/>
  <c r="J128" i="119"/>
  <c r="K128" i="119"/>
  <c r="L128" i="119"/>
  <c r="M128" i="119"/>
  <c r="N128" i="119"/>
  <c r="O128" i="119"/>
  <c r="P128" i="119"/>
  <c r="Q128" i="119"/>
  <c r="R128" i="119"/>
  <c r="S128" i="119"/>
  <c r="T128" i="119"/>
  <c r="U128" i="119"/>
  <c r="V128" i="119"/>
  <c r="W128" i="119"/>
  <c r="X128" i="119"/>
  <c r="Y128" i="119"/>
  <c r="B129" i="119"/>
  <c r="C129" i="119"/>
  <c r="D129" i="119"/>
  <c r="E129" i="119"/>
  <c r="A130" i="119"/>
  <c r="B130" i="119"/>
  <c r="C130" i="119"/>
  <c r="D130" i="119"/>
  <c r="E130" i="119"/>
  <c r="F130" i="119"/>
  <c r="G130" i="119"/>
  <c r="H130" i="119"/>
  <c r="I130" i="119"/>
  <c r="J130" i="119"/>
  <c r="K130" i="119"/>
  <c r="L130" i="119"/>
  <c r="M130" i="119"/>
  <c r="N130" i="119"/>
  <c r="O130" i="119"/>
  <c r="P130" i="119"/>
  <c r="Q130" i="119"/>
  <c r="R130" i="119"/>
  <c r="S130" i="119"/>
  <c r="T130" i="119"/>
  <c r="U130" i="119"/>
  <c r="V130" i="119"/>
  <c r="W130" i="119"/>
  <c r="X130" i="119"/>
  <c r="Y130" i="119"/>
  <c r="A131" i="119"/>
  <c r="B131" i="119"/>
  <c r="C131" i="119"/>
  <c r="D131" i="119"/>
  <c r="E131" i="119"/>
  <c r="F131" i="119"/>
  <c r="G131" i="119"/>
  <c r="H131" i="119"/>
  <c r="I131" i="119"/>
  <c r="J131" i="119"/>
  <c r="K131" i="119"/>
  <c r="L131" i="119"/>
  <c r="M131" i="119"/>
  <c r="N131" i="119"/>
  <c r="O131" i="119"/>
  <c r="P131" i="119"/>
  <c r="Q131" i="119"/>
  <c r="R131" i="119"/>
  <c r="S131" i="119"/>
  <c r="T131" i="119"/>
  <c r="U131" i="119"/>
  <c r="V131" i="119"/>
  <c r="W131" i="119"/>
  <c r="X131" i="119"/>
  <c r="Y131" i="119"/>
  <c r="A135" i="119"/>
  <c r="B136" i="119"/>
  <c r="C136" i="119"/>
  <c r="D136" i="119"/>
  <c r="E136" i="119"/>
  <c r="F136" i="119"/>
  <c r="G136" i="119"/>
  <c r="H136" i="119"/>
  <c r="I136" i="119"/>
  <c r="J136" i="119"/>
  <c r="K136" i="119"/>
  <c r="L136" i="119"/>
  <c r="M136" i="119"/>
  <c r="N136" i="119"/>
  <c r="O136" i="119"/>
  <c r="P136" i="119"/>
  <c r="Q136" i="119"/>
  <c r="R136" i="119"/>
  <c r="S136" i="119"/>
  <c r="T136" i="119"/>
  <c r="U136" i="119"/>
  <c r="V136" i="119"/>
  <c r="W136" i="119"/>
  <c r="X136" i="119"/>
  <c r="Y136" i="119"/>
  <c r="Z136" i="119"/>
  <c r="AA136" i="119"/>
  <c r="AB136" i="119"/>
  <c r="AC136" i="119"/>
  <c r="AD136" i="119"/>
  <c r="AE136" i="119"/>
  <c r="AF136" i="119"/>
  <c r="AG136" i="119"/>
  <c r="AH136" i="119"/>
  <c r="AI136" i="119"/>
  <c r="AJ136" i="119"/>
  <c r="AK136" i="119"/>
  <c r="AL136" i="119"/>
  <c r="AM136" i="119"/>
  <c r="AN136" i="119"/>
  <c r="AO136" i="119"/>
  <c r="AP136" i="119"/>
  <c r="AQ136" i="119"/>
  <c r="AR136" i="119"/>
  <c r="AS136" i="119"/>
  <c r="AT136" i="119"/>
  <c r="AU136" i="119"/>
  <c r="AV136" i="119"/>
  <c r="AW136" i="119"/>
  <c r="A137" i="119"/>
  <c r="B137" i="119"/>
  <c r="C137" i="119"/>
  <c r="D137" i="119"/>
  <c r="E137" i="119"/>
  <c r="F137" i="119"/>
  <c r="G137" i="119"/>
  <c r="H137" i="119"/>
  <c r="I137" i="119"/>
  <c r="J137" i="119"/>
  <c r="K137" i="119"/>
  <c r="L137" i="119"/>
  <c r="M137" i="119"/>
  <c r="N137" i="119"/>
  <c r="O137" i="119"/>
  <c r="P137" i="119"/>
  <c r="Q137" i="119"/>
  <c r="R137" i="119"/>
  <c r="S137" i="119"/>
  <c r="T137" i="119"/>
  <c r="U137" i="119"/>
  <c r="A138" i="119"/>
  <c r="B138" i="119"/>
  <c r="C138" i="119"/>
  <c r="D138" i="119"/>
  <c r="E138" i="119"/>
  <c r="F138" i="119"/>
  <c r="G138" i="119"/>
  <c r="H138" i="119"/>
  <c r="I138" i="119"/>
  <c r="J138" i="119"/>
  <c r="K138" i="119"/>
  <c r="L138" i="119"/>
  <c r="M138" i="119"/>
  <c r="A139" i="119"/>
  <c r="B139" i="119"/>
  <c r="C139" i="119"/>
  <c r="D139" i="119"/>
  <c r="E139" i="119"/>
  <c r="F139" i="119"/>
  <c r="G139" i="119"/>
  <c r="H139" i="119"/>
  <c r="I139" i="119"/>
  <c r="J139" i="119"/>
  <c r="K139" i="119"/>
  <c r="L139" i="119"/>
  <c r="M139" i="119"/>
  <c r="N139" i="119"/>
  <c r="O139" i="119"/>
  <c r="P139" i="119"/>
  <c r="Q139" i="119"/>
  <c r="R139" i="119"/>
  <c r="S139" i="119"/>
  <c r="T139" i="119"/>
  <c r="U139" i="119"/>
  <c r="A141" i="119"/>
  <c r="M143" i="119"/>
  <c r="S145" i="119"/>
  <c r="A149" i="119"/>
  <c r="B150" i="119"/>
  <c r="C150" i="119"/>
  <c r="D150" i="119"/>
  <c r="E150" i="119"/>
  <c r="F150" i="119"/>
  <c r="G150" i="119"/>
  <c r="H150" i="119"/>
  <c r="I150" i="119"/>
  <c r="J150" i="119"/>
  <c r="K150" i="119"/>
  <c r="L150" i="119"/>
  <c r="M150" i="119"/>
  <c r="N150" i="119"/>
  <c r="O150" i="119"/>
  <c r="P150" i="119"/>
  <c r="Q150" i="119"/>
  <c r="R150" i="119"/>
  <c r="S150" i="119"/>
  <c r="T150" i="119"/>
  <c r="U150" i="119"/>
  <c r="V150" i="119"/>
  <c r="W150" i="119"/>
  <c r="X150" i="119"/>
  <c r="Y150" i="119"/>
  <c r="Z150" i="119"/>
  <c r="AA150" i="119"/>
  <c r="AB150" i="119"/>
  <c r="AC150" i="119"/>
  <c r="AD150" i="119"/>
  <c r="AE150" i="119"/>
  <c r="AF150" i="119"/>
  <c r="AG150" i="119"/>
  <c r="AH150" i="119"/>
  <c r="AI150" i="119"/>
  <c r="AJ150" i="119"/>
  <c r="AK150" i="119"/>
  <c r="AL150" i="119"/>
  <c r="AM150" i="119"/>
  <c r="AN150" i="119"/>
  <c r="AO150" i="119"/>
  <c r="AP150" i="119"/>
  <c r="AQ150" i="119"/>
  <c r="AR150" i="119"/>
  <c r="AS150" i="119"/>
  <c r="AT150" i="119"/>
  <c r="AU150" i="119"/>
  <c r="AV150" i="119"/>
  <c r="AW150" i="119"/>
  <c r="A151" i="119"/>
  <c r="B151" i="119"/>
  <c r="C151" i="119"/>
  <c r="D151" i="119"/>
  <c r="E151" i="119"/>
  <c r="F151" i="119"/>
  <c r="G151" i="119"/>
  <c r="H151" i="119"/>
  <c r="I151" i="119"/>
  <c r="J151" i="119"/>
  <c r="K151" i="119"/>
  <c r="L151" i="119"/>
  <c r="M151" i="119"/>
  <c r="N151" i="119"/>
  <c r="O151" i="119"/>
  <c r="P151" i="119"/>
  <c r="Q151" i="119"/>
  <c r="R151" i="119"/>
  <c r="S151" i="119"/>
  <c r="T151" i="119"/>
  <c r="U151" i="119"/>
  <c r="A152" i="119"/>
  <c r="A153" i="119"/>
  <c r="B153" i="119"/>
  <c r="C153" i="119"/>
  <c r="D153" i="119"/>
  <c r="E153" i="119"/>
  <c r="F153" i="119"/>
  <c r="G153" i="119"/>
  <c r="H153" i="119"/>
  <c r="I153" i="119"/>
  <c r="J153" i="119"/>
  <c r="K153" i="119"/>
  <c r="L153" i="119"/>
  <c r="M153" i="119"/>
  <c r="N153" i="119"/>
  <c r="O153" i="119"/>
  <c r="P153" i="119"/>
  <c r="Q153" i="119"/>
  <c r="R153" i="119"/>
  <c r="S153" i="119"/>
  <c r="T153" i="119"/>
  <c r="U153" i="119"/>
  <c r="A155" i="119"/>
  <c r="T156" i="119"/>
  <c r="A163" i="119"/>
  <c r="B164" i="119"/>
  <c r="B177" i="119" s="1"/>
  <c r="C164" i="119"/>
  <c r="C177" i="119" s="1"/>
  <c r="D164" i="119"/>
  <c r="D177" i="119" s="1"/>
  <c r="E164" i="119"/>
  <c r="E177" i="119" s="1"/>
  <c r="F164" i="119"/>
  <c r="F177" i="119" s="1"/>
  <c r="G164" i="119"/>
  <c r="G177" i="119" s="1"/>
  <c r="H164" i="119"/>
  <c r="H177" i="119" s="1"/>
  <c r="I164" i="119"/>
  <c r="I177" i="119" s="1"/>
  <c r="J164" i="119"/>
  <c r="J177" i="119" s="1"/>
  <c r="K164" i="119"/>
  <c r="K177" i="119" s="1"/>
  <c r="L164" i="119"/>
  <c r="L177" i="119" s="1"/>
  <c r="M164" i="119"/>
  <c r="M177" i="119" s="1"/>
  <c r="N164" i="119"/>
  <c r="N177" i="119" s="1"/>
  <c r="O164" i="119"/>
  <c r="O177" i="119" s="1"/>
  <c r="P164" i="119"/>
  <c r="P177" i="119" s="1"/>
  <c r="Q164" i="119"/>
  <c r="Q177" i="119" s="1"/>
  <c r="R164" i="119"/>
  <c r="R177" i="119" s="1"/>
  <c r="S164" i="119"/>
  <c r="S177" i="119" s="1"/>
  <c r="T164" i="119"/>
  <c r="T177" i="119" s="1"/>
  <c r="U164" i="119"/>
  <c r="U177" i="119" s="1"/>
  <c r="V164" i="119"/>
  <c r="V177" i="119" s="1"/>
  <c r="W164" i="119"/>
  <c r="W177" i="119" s="1"/>
  <c r="X164" i="119"/>
  <c r="X177" i="119" s="1"/>
  <c r="Y164" i="119"/>
  <c r="Y177" i="119" s="1"/>
  <c r="Z164" i="119"/>
  <c r="Z177" i="119" s="1"/>
  <c r="AA164" i="119"/>
  <c r="AA177" i="119" s="1"/>
  <c r="AB164" i="119"/>
  <c r="AB177" i="119" s="1"/>
  <c r="AC164" i="119"/>
  <c r="AC177" i="119" s="1"/>
  <c r="AD164" i="119"/>
  <c r="AD177" i="119" s="1"/>
  <c r="AE164" i="119"/>
  <c r="AE177" i="119" s="1"/>
  <c r="AF164" i="119"/>
  <c r="AF177" i="119" s="1"/>
  <c r="AG164" i="119"/>
  <c r="AG177" i="119" s="1"/>
  <c r="AH164" i="119"/>
  <c r="AH177" i="119" s="1"/>
  <c r="AI164" i="119"/>
  <c r="AI177" i="119" s="1"/>
  <c r="AJ164" i="119"/>
  <c r="AJ177" i="119" s="1"/>
  <c r="AK164" i="119"/>
  <c r="AK177" i="119" s="1"/>
  <c r="AL164" i="119"/>
  <c r="AL177" i="119" s="1"/>
  <c r="AM164" i="119"/>
  <c r="AM177" i="119" s="1"/>
  <c r="AN164" i="119"/>
  <c r="AN177" i="119" s="1"/>
  <c r="AO164" i="119"/>
  <c r="AO177" i="119" s="1"/>
  <c r="AP164" i="119"/>
  <c r="AP177" i="119" s="1"/>
  <c r="AQ164" i="119"/>
  <c r="AQ177" i="119" s="1"/>
  <c r="AR164" i="119"/>
  <c r="AR177" i="119" s="1"/>
  <c r="AS164" i="119"/>
  <c r="AS177" i="119" s="1"/>
  <c r="AT164" i="119"/>
  <c r="AU164" i="119"/>
  <c r="AV164" i="119"/>
  <c r="AW164" i="119"/>
  <c r="A165" i="119"/>
  <c r="A166" i="119"/>
  <c r="B166" i="119"/>
  <c r="C166" i="119"/>
  <c r="D166" i="119"/>
  <c r="E166" i="119"/>
  <c r="F166" i="119"/>
  <c r="G166" i="119"/>
  <c r="H166" i="119"/>
  <c r="I166" i="119"/>
  <c r="J166" i="119"/>
  <c r="K166" i="119"/>
  <c r="L166" i="119"/>
  <c r="M166" i="119"/>
  <c r="N166" i="119"/>
  <c r="O166" i="119"/>
  <c r="P166" i="119"/>
  <c r="Q166" i="119"/>
  <c r="R166" i="119"/>
  <c r="S166" i="119"/>
  <c r="T166" i="119"/>
  <c r="U166" i="119"/>
  <c r="A167" i="119"/>
  <c r="B167" i="119"/>
  <c r="C167" i="119"/>
  <c r="D167" i="119"/>
  <c r="E167" i="119"/>
  <c r="F167" i="119"/>
  <c r="G167" i="119"/>
  <c r="H167" i="119"/>
  <c r="I167" i="119"/>
  <c r="J167" i="119"/>
  <c r="K167" i="119"/>
  <c r="L167" i="119"/>
  <c r="M167" i="119"/>
  <c r="N167" i="119"/>
  <c r="O167" i="119"/>
  <c r="P167" i="119"/>
  <c r="Q167" i="119"/>
  <c r="R167" i="119"/>
  <c r="S167" i="119"/>
  <c r="T167" i="119"/>
  <c r="U167" i="119"/>
  <c r="A169" i="119"/>
  <c r="AB170" i="119"/>
  <c r="BC20" i="51" l="1"/>
  <c r="BC271" i="51"/>
  <c r="BC274" i="51" s="1"/>
  <c r="BC12" i="51"/>
  <c r="AW271" i="51"/>
  <c r="AW274" i="51" s="1"/>
  <c r="AQ26" i="51"/>
  <c r="AQ271" i="51"/>
  <c r="AQ274" i="51" s="1"/>
  <c r="AQ12" i="51"/>
  <c r="AK271" i="51"/>
  <c r="AK274" i="51" s="1"/>
  <c r="S8" i="51"/>
  <c r="S271" i="51" s="1"/>
  <c r="S274" i="51" s="1"/>
  <c r="M8" i="51"/>
  <c r="Z20" i="119"/>
  <c r="Z153" i="119" s="1"/>
  <c r="BN144" i="51"/>
  <c r="BN323" i="51" s="1"/>
  <c r="BN138" i="51"/>
  <c r="BN322" i="51" s="1"/>
  <c r="BN43" i="51"/>
  <c r="BN45" i="51" s="1"/>
  <c r="BH115" i="51"/>
  <c r="BN119" i="51" s="1"/>
  <c r="BN102" i="51"/>
  <c r="BN104" i="51" s="1"/>
  <c r="AO68" i="119"/>
  <c r="V67" i="119"/>
  <c r="BH169" i="3"/>
  <c r="AS16" i="119"/>
  <c r="AS138" i="119" s="1"/>
  <c r="AQ20" i="51"/>
  <c r="BH56" i="51"/>
  <c r="BN60" i="51" s="1"/>
  <c r="BN61" i="51" s="1"/>
  <c r="J156" i="119"/>
  <c r="S142" i="119"/>
  <c r="J142" i="119"/>
  <c r="S156" i="119"/>
  <c r="J170" i="119"/>
  <c r="AP142" i="119"/>
  <c r="AR156" i="119"/>
  <c r="AJ142" i="119"/>
  <c r="AQ156" i="119"/>
  <c r="AQ122" i="119"/>
  <c r="S122" i="119"/>
  <c r="BI89" i="51"/>
  <c r="BG172" i="3"/>
  <c r="BG173" i="3" s="1"/>
  <c r="BK172" i="3"/>
  <c r="BK173" i="3" s="1"/>
  <c r="T86" i="119"/>
  <c r="BK148" i="51"/>
  <c r="BK151" i="51" s="1"/>
  <c r="AP84" i="119" s="1"/>
  <c r="BE169" i="3"/>
  <c r="BE211" i="51"/>
  <c r="BE213" i="51" s="1"/>
  <c r="BE166" i="3"/>
  <c r="BH179" i="51"/>
  <c r="AO24" i="119" s="1"/>
  <c r="AJ179" i="51"/>
  <c r="BN128" i="51"/>
  <c r="BN328" i="51" s="1"/>
  <c r="BH166" i="3"/>
  <c r="L21" i="119"/>
  <c r="L165" i="119" s="1"/>
  <c r="AD179" i="51"/>
  <c r="U24" i="119" s="1"/>
  <c r="BL219" i="51"/>
  <c r="BL169" i="3"/>
  <c r="BL172" i="3" s="1"/>
  <c r="BL173" i="3" s="1"/>
  <c r="AP10" i="119"/>
  <c r="AP115" i="119" s="1"/>
  <c r="BL148" i="51"/>
  <c r="BF169" i="3"/>
  <c r="BF172" i="3" s="1"/>
  <c r="BF173" i="3" s="1"/>
  <c r="BR84" i="51"/>
  <c r="BR78" i="51"/>
  <c r="BR76" i="51" s="1"/>
  <c r="BS19" i="51"/>
  <c r="BS25" i="51"/>
  <c r="BR24" i="51"/>
  <c r="BR18" i="51"/>
  <c r="BR17" i="51" s="1"/>
  <c r="Z142" i="119"/>
  <c r="AH122" i="119"/>
  <c r="R156" i="119"/>
  <c r="AH142" i="119"/>
  <c r="AO122" i="119"/>
  <c r="Z170" i="119"/>
  <c r="AP156" i="119"/>
  <c r="Z122" i="119"/>
  <c r="AP122" i="119"/>
  <c r="R170" i="119"/>
  <c r="R142" i="119"/>
  <c r="AH170" i="119"/>
  <c r="I142" i="119"/>
  <c r="AB19" i="119"/>
  <c r="AB152" i="119" s="1"/>
  <c r="AK26" i="51"/>
  <c r="BY15" i="107"/>
  <c r="BG219" i="51"/>
  <c r="BG223" i="51" s="1"/>
  <c r="BM148" i="51"/>
  <c r="BM151" i="51" s="1"/>
  <c r="AR15" i="119" s="1"/>
  <c r="BM147" i="51"/>
  <c r="AD68" i="119"/>
  <c r="AH77" i="119" s="1"/>
  <c r="AO97" i="51"/>
  <c r="J86" i="119"/>
  <c r="BM157" i="51"/>
  <c r="BM155" i="51"/>
  <c r="BM154" i="51"/>
  <c r="BM102" i="51"/>
  <c r="BM104" i="51" s="1"/>
  <c r="AJ20" i="119"/>
  <c r="AJ153" i="119" s="1"/>
  <c r="AI35" i="119"/>
  <c r="AI127" i="119" s="1"/>
  <c r="AB230" i="51"/>
  <c r="AM46" i="119"/>
  <c r="AM171" i="119" s="1"/>
  <c r="AN65" i="119"/>
  <c r="BM130" i="51"/>
  <c r="BM131" i="51" s="1"/>
  <c r="BM144" i="51"/>
  <c r="BM138" i="51"/>
  <c r="BM127" i="51"/>
  <c r="AT125" i="119"/>
  <c r="F344" i="51"/>
  <c r="BM43" i="51"/>
  <c r="BM45" i="51" s="1"/>
  <c r="AN68" i="119"/>
  <c r="BM168" i="51"/>
  <c r="BM170" i="51" s="1"/>
  <c r="BC10" i="51"/>
  <c r="U122" i="119"/>
  <c r="V122" i="119"/>
  <c r="C50" i="3"/>
  <c r="AI49" i="3"/>
  <c r="AI51" i="3" s="1"/>
  <c r="BF49" i="3"/>
  <c r="BF51" i="3" s="1"/>
  <c r="AT49" i="3"/>
  <c r="AT51" i="3" s="1"/>
  <c r="AG49" i="3"/>
  <c r="AG51" i="3" s="1"/>
  <c r="R49" i="3"/>
  <c r="R51" i="3" s="1"/>
  <c r="G49" i="3"/>
  <c r="G51" i="3" s="1"/>
  <c r="G50" i="3"/>
  <c r="AB9" i="51"/>
  <c r="AB11" i="51" s="1"/>
  <c r="AB18" i="51" s="1"/>
  <c r="AV49" i="3"/>
  <c r="AV51" i="3" s="1"/>
  <c r="J49" i="3"/>
  <c r="J51" i="3" s="1"/>
  <c r="U49" i="3"/>
  <c r="U51" i="3" s="1"/>
  <c r="BE49" i="3"/>
  <c r="BE51" i="3" s="1"/>
  <c r="AS49" i="3"/>
  <c r="AS51" i="3" s="1"/>
  <c r="AC49" i="3"/>
  <c r="AC51" i="3" s="1"/>
  <c r="Q49" i="3"/>
  <c r="Q51" i="3" s="1"/>
  <c r="F49" i="3"/>
  <c r="F51" i="3" s="1"/>
  <c r="F50" i="3"/>
  <c r="AJ97" i="51"/>
  <c r="AY49" i="3"/>
  <c r="AY51" i="3" s="1"/>
  <c r="K49" i="3"/>
  <c r="K51" i="3" s="1"/>
  <c r="V49" i="3"/>
  <c r="V51" i="3" s="1"/>
  <c r="AU49" i="3"/>
  <c r="AU51" i="3" s="1"/>
  <c r="I49" i="3"/>
  <c r="I51" i="3" s="1"/>
  <c r="X24" i="119"/>
  <c r="P333" i="51"/>
  <c r="BB49" i="3"/>
  <c r="BB51" i="3" s="1"/>
  <c r="AP49" i="3"/>
  <c r="AP51" i="3" s="1"/>
  <c r="AB49" i="3"/>
  <c r="AB51" i="3" s="1"/>
  <c r="E50" i="3"/>
  <c r="AB29" i="51"/>
  <c r="AB31" i="51" s="1"/>
  <c r="AZ49" i="3"/>
  <c r="AZ51" i="3" s="1"/>
  <c r="L49" i="3"/>
  <c r="L51" i="3" s="1"/>
  <c r="AH49" i="3"/>
  <c r="AH51" i="3" s="1"/>
  <c r="AD19" i="119"/>
  <c r="AD152" i="119" s="1"/>
  <c r="AO49" i="3"/>
  <c r="AO51" i="3" s="1"/>
  <c r="AA49" i="3"/>
  <c r="AA51" i="3" s="1"/>
  <c r="O49" i="3"/>
  <c r="O51" i="3" s="1"/>
  <c r="D50" i="3"/>
  <c r="AI47" i="119"/>
  <c r="AI172" i="119" s="1"/>
  <c r="V18" i="119"/>
  <c r="V151" i="119" s="1"/>
  <c r="AO67" i="119"/>
  <c r="AG67" i="119"/>
  <c r="AJ226" i="51"/>
  <c r="AD67" i="119"/>
  <c r="BO71" i="51"/>
  <c r="BK83" i="51"/>
  <c r="BK77" i="51"/>
  <c r="BG83" i="51"/>
  <c r="BG77" i="51"/>
  <c r="BE83" i="51"/>
  <c r="BE77" i="51"/>
  <c r="BA83" i="51"/>
  <c r="BA77" i="51"/>
  <c r="AY83" i="51"/>
  <c r="AY77" i="51"/>
  <c r="AU83" i="51"/>
  <c r="AU77" i="51"/>
  <c r="AS77" i="51"/>
  <c r="AS83" i="51"/>
  <c r="AO83" i="51"/>
  <c r="AO77" i="51"/>
  <c r="AM83" i="51"/>
  <c r="AM77" i="51"/>
  <c r="AI77" i="51"/>
  <c r="AI83" i="51"/>
  <c r="BL83" i="51"/>
  <c r="BL77" i="51"/>
  <c r="AP9" i="119"/>
  <c r="AP114" i="119" s="1"/>
  <c r="BH18" i="51"/>
  <c r="BH24" i="51"/>
  <c r="AG24" i="51"/>
  <c r="AG18" i="51"/>
  <c r="BF24" i="51"/>
  <c r="BF18" i="51"/>
  <c r="BB24" i="51"/>
  <c r="BB18" i="51"/>
  <c r="AZ24" i="51"/>
  <c r="AZ18" i="51"/>
  <c r="AV24" i="51"/>
  <c r="AV18" i="51"/>
  <c r="AT24" i="51"/>
  <c r="AT18" i="51"/>
  <c r="AP24" i="51"/>
  <c r="AP18" i="51"/>
  <c r="AN24" i="51"/>
  <c r="AN18" i="51"/>
  <c r="AJ24" i="51"/>
  <c r="AJ18" i="51"/>
  <c r="AC24" i="51"/>
  <c r="AC18" i="51"/>
  <c r="U331" i="51"/>
  <c r="U24" i="51"/>
  <c r="U18" i="51"/>
  <c r="P331" i="51"/>
  <c r="P24" i="51"/>
  <c r="P18" i="51"/>
  <c r="AT83" i="51"/>
  <c r="AT77" i="51"/>
  <c r="BF83" i="51"/>
  <c r="BF77" i="51"/>
  <c r="BB83" i="51"/>
  <c r="BB77" i="51"/>
  <c r="AZ83" i="51"/>
  <c r="AZ77" i="51"/>
  <c r="AV83" i="51"/>
  <c r="AV77" i="51"/>
  <c r="AP83" i="51"/>
  <c r="AP77" i="51"/>
  <c r="AN77" i="51"/>
  <c r="AN83" i="51"/>
  <c r="AJ83" i="51"/>
  <c r="AJ77" i="51"/>
  <c r="AH24" i="51"/>
  <c r="AH18" i="51"/>
  <c r="BK24" i="51"/>
  <c r="BK18" i="51"/>
  <c r="BG24" i="51"/>
  <c r="BG18" i="51"/>
  <c r="BE18" i="51"/>
  <c r="BE24" i="51"/>
  <c r="BA24" i="51"/>
  <c r="BA18" i="51"/>
  <c r="AY18" i="51"/>
  <c r="AY24" i="51"/>
  <c r="AU24" i="51"/>
  <c r="AU18" i="51"/>
  <c r="AS18" i="51"/>
  <c r="AS24" i="51"/>
  <c r="AO18" i="51"/>
  <c r="AO24" i="51"/>
  <c r="AM24" i="51"/>
  <c r="AM18" i="51"/>
  <c r="AI24" i="51"/>
  <c r="AI18" i="51"/>
  <c r="Q331" i="51"/>
  <c r="Q24" i="51"/>
  <c r="Q18" i="51"/>
  <c r="O331" i="51"/>
  <c r="O24" i="51"/>
  <c r="O18" i="51"/>
  <c r="BL24" i="51"/>
  <c r="BL18" i="51"/>
  <c r="BR68" i="51"/>
  <c r="BR67" i="51" s="1"/>
  <c r="BT12" i="51"/>
  <c r="BT13" i="51" s="1"/>
  <c r="BR9" i="51"/>
  <c r="BR8" i="51" s="1"/>
  <c r="W24" i="119"/>
  <c r="W49" i="119" s="1"/>
  <c r="R24" i="119"/>
  <c r="F21" i="119"/>
  <c r="F165" i="119" s="1"/>
  <c r="AK18" i="119"/>
  <c r="E343" i="51"/>
  <c r="E16" i="51"/>
  <c r="D344" i="51"/>
  <c r="J344" i="51" s="1"/>
  <c r="P344" i="51" s="1"/>
  <c r="D22" i="51"/>
  <c r="C343" i="51"/>
  <c r="C16" i="51"/>
  <c r="F22" i="51"/>
  <c r="F16" i="51"/>
  <c r="E344" i="51"/>
  <c r="K344" i="51" s="1"/>
  <c r="Q344" i="51" s="1"/>
  <c r="W344" i="51" s="1"/>
  <c r="E22" i="51"/>
  <c r="D343" i="51"/>
  <c r="D345" i="51" s="1"/>
  <c r="D16" i="51"/>
  <c r="C344" i="51"/>
  <c r="I344" i="51" s="1"/>
  <c r="O344" i="51" s="1"/>
  <c r="C22" i="51"/>
  <c r="AB20" i="119"/>
  <c r="AB153" i="119" s="1"/>
  <c r="L19" i="119"/>
  <c r="L152" i="119" s="1"/>
  <c r="AD18" i="119"/>
  <c r="AD151" i="119" s="1"/>
  <c r="U333" i="51"/>
  <c r="AA216" i="51"/>
  <c r="AS211" i="51"/>
  <c r="AS213" i="51" s="1"/>
  <c r="F343" i="51"/>
  <c r="X84" i="119"/>
  <c r="AN67" i="119"/>
  <c r="AL65" i="119"/>
  <c r="BG226" i="51"/>
  <c r="AG219" i="51"/>
  <c r="V83" i="119"/>
  <c r="AQ68" i="119"/>
  <c r="AH68" i="119"/>
  <c r="AL77" i="119" s="1"/>
  <c r="V68" i="119"/>
  <c r="Z77" i="119" s="1"/>
  <c r="W86" i="119"/>
  <c r="N86" i="119"/>
  <c r="Z84" i="119"/>
  <c r="J24" i="119"/>
  <c r="AB18" i="119"/>
  <c r="AB151" i="119" s="1"/>
  <c r="AA16" i="51"/>
  <c r="AA22" i="51"/>
  <c r="AC208" i="51"/>
  <c r="AC81" i="51"/>
  <c r="AC22" i="51"/>
  <c r="AC207" i="51"/>
  <c r="AC16" i="51"/>
  <c r="AC75" i="51"/>
  <c r="AB81" i="51"/>
  <c r="AB75" i="51"/>
  <c r="AB210" i="51"/>
  <c r="AB22" i="51"/>
  <c r="AB16" i="51"/>
  <c r="AI31" i="119"/>
  <c r="AI123" i="119" s="1"/>
  <c r="AG231" i="51"/>
  <c r="AG230" i="51"/>
  <c r="BG227" i="51"/>
  <c r="AJ40" i="51"/>
  <c r="AG84" i="119"/>
  <c r="AV231" i="51"/>
  <c r="AV233" i="51" s="1"/>
  <c r="BH230" i="51"/>
  <c r="BH226" i="51"/>
  <c r="BL216" i="51"/>
  <c r="V117" i="119"/>
  <c r="W83" i="119"/>
  <c r="AK86" i="119"/>
  <c r="AE67" i="119"/>
  <c r="AA67" i="119"/>
  <c r="AC83" i="119"/>
  <c r="AT32" i="119"/>
  <c r="O21" i="119"/>
  <c r="O165" i="119" s="1"/>
  <c r="AE20" i="119"/>
  <c r="AE153" i="119" s="1"/>
  <c r="AA20" i="119"/>
  <c r="AA153" i="119" s="1"/>
  <c r="Q333" i="51"/>
  <c r="O333" i="51"/>
  <c r="AW245" i="51"/>
  <c r="AV245" i="51" s="1"/>
  <c r="AU245" i="51" s="1"/>
  <c r="AT245" i="51" s="1"/>
  <c r="AS245" i="51" s="1"/>
  <c r="AL86" i="119"/>
  <c r="AC86" i="119"/>
  <c r="AK77" i="119"/>
  <c r="AI77" i="119"/>
  <c r="AH88" i="51"/>
  <c r="AH90" i="51" s="1"/>
  <c r="AB219" i="51"/>
  <c r="AN113" i="119"/>
  <c r="G86" i="119"/>
  <c r="W75" i="119"/>
  <c r="Z86" i="119"/>
  <c r="V86" i="119"/>
  <c r="AQ66" i="119"/>
  <c r="AH84" i="119"/>
  <c r="AA66" i="119"/>
  <c r="AG65" i="119"/>
  <c r="AK74" i="119" s="1"/>
  <c r="AI24" i="119"/>
  <c r="AM20" i="119"/>
  <c r="AM153" i="119" s="1"/>
  <c r="AI20" i="119"/>
  <c r="AC19" i="119"/>
  <c r="AC152" i="119" s="1"/>
  <c r="M19" i="119"/>
  <c r="M152" i="119" s="1"/>
  <c r="AM18" i="119"/>
  <c r="AM151" i="119" s="1"/>
  <c r="AE18" i="119"/>
  <c r="AE151" i="119" s="1"/>
  <c r="AC18" i="119"/>
  <c r="AC151" i="119" s="1"/>
  <c r="BB249" i="51"/>
  <c r="BB252" i="51" s="1"/>
  <c r="BB253" i="51" s="1"/>
  <c r="X238" i="51"/>
  <c r="AB216" i="51"/>
  <c r="BF186" i="51"/>
  <c r="AG86" i="119"/>
  <c r="L102" i="51"/>
  <c r="L104" i="51" s="1"/>
  <c r="M104" i="51" s="1"/>
  <c r="K46" i="51"/>
  <c r="K164" i="51" s="1"/>
  <c r="AU32" i="119"/>
  <c r="AU124" i="119" s="1"/>
  <c r="C339" i="51"/>
  <c r="AM231" i="51"/>
  <c r="AM233" i="51" s="1"/>
  <c r="BI53" i="51"/>
  <c r="AJ158" i="51"/>
  <c r="X139" i="119"/>
  <c r="AP113" i="119"/>
  <c r="V75" i="119"/>
  <c r="V77" i="119"/>
  <c r="J77" i="119"/>
  <c r="V74" i="119"/>
  <c r="W77" i="119"/>
  <c r="T77" i="119"/>
  <c r="P77" i="119"/>
  <c r="N77" i="119"/>
  <c r="AN75" i="119"/>
  <c r="W74" i="119"/>
  <c r="AH32" i="119"/>
  <c r="AH124" i="119" s="1"/>
  <c r="AA32" i="119"/>
  <c r="AA124" i="119" s="1"/>
  <c r="AM31" i="119"/>
  <c r="AM123" i="119" s="1"/>
  <c r="G77" i="119"/>
  <c r="C77" i="119"/>
  <c r="BG49" i="3"/>
  <c r="BG51" i="3" s="1"/>
  <c r="AJ75" i="119"/>
  <c r="AH75" i="119"/>
  <c r="Z75" i="119"/>
  <c r="BQ128" i="51"/>
  <c r="BK160" i="51"/>
  <c r="AW68" i="51"/>
  <c r="BQ8" i="51"/>
  <c r="D77" i="119"/>
  <c r="B77" i="119"/>
  <c r="AO258" i="51"/>
  <c r="AO251" i="51" s="1"/>
  <c r="AE77" i="119"/>
  <c r="Y77" i="119"/>
  <c r="AK75" i="119"/>
  <c r="AP6" i="119"/>
  <c r="AP111" i="119" s="1"/>
  <c r="BL138" i="51"/>
  <c r="BL130" i="51"/>
  <c r="AC74" i="119"/>
  <c r="AN22" i="119"/>
  <c r="AN47" i="119" s="1"/>
  <c r="AN172" i="119" s="1"/>
  <c r="AU9" i="119"/>
  <c r="AU114" i="119" s="1"/>
  <c r="AP118" i="119"/>
  <c r="AM165" i="119"/>
  <c r="I33" i="119"/>
  <c r="I125" i="119" s="1"/>
  <c r="AM50" i="119"/>
  <c r="AA46" i="119"/>
  <c r="AA171" i="119" s="1"/>
  <c r="L142" i="119"/>
  <c r="AJ170" i="119"/>
  <c r="L170" i="119"/>
  <c r="AI170" i="119"/>
  <c r="AS156" i="119"/>
  <c r="AB156" i="119"/>
  <c r="AQ142" i="119"/>
  <c r="T142" i="119"/>
  <c r="AR122" i="119"/>
  <c r="K122" i="119"/>
  <c r="AB142" i="119"/>
  <c r="AJ156" i="119"/>
  <c r="AA142" i="119"/>
  <c r="K142" i="119"/>
  <c r="AD170" i="119"/>
  <c r="M142" i="119"/>
  <c r="AK170" i="119"/>
  <c r="AI156" i="119"/>
  <c r="AS142" i="119"/>
  <c r="M122" i="119"/>
  <c r="AR170" i="119"/>
  <c r="L156" i="119"/>
  <c r="V142" i="119"/>
  <c r="AS122" i="119"/>
  <c r="AS218" i="51"/>
  <c r="AS216" i="51"/>
  <c r="BR155" i="51"/>
  <c r="AO223" i="51"/>
  <c r="AM105" i="51"/>
  <c r="AM106" i="51" s="1"/>
  <c r="AA87" i="51"/>
  <c r="AE87" i="51" s="1"/>
  <c r="BE219" i="51"/>
  <c r="BE223" i="51" s="1"/>
  <c r="AZ218" i="51"/>
  <c r="I86" i="119"/>
  <c r="AA84" i="119"/>
  <c r="AI83" i="119"/>
  <c r="AA83" i="119"/>
  <c r="W34" i="119"/>
  <c r="W126" i="119" s="1"/>
  <c r="AA33" i="119"/>
  <c r="AA125" i="119" s="1"/>
  <c r="AW243" i="51"/>
  <c r="AV243" i="51" s="1"/>
  <c r="AU243" i="51" s="1"/>
  <c r="AU237" i="51" s="1"/>
  <c r="AT218" i="51"/>
  <c r="BE216" i="51"/>
  <c r="AT97" i="51"/>
  <c r="AQ79" i="51"/>
  <c r="AC170" i="119"/>
  <c r="AA170" i="119"/>
  <c r="K170" i="119"/>
  <c r="AA156" i="119"/>
  <c r="M156" i="119"/>
  <c r="AI142" i="119"/>
  <c r="X167" i="119"/>
  <c r="X48" i="119"/>
  <c r="X173" i="119" s="1"/>
  <c r="AU185" i="51"/>
  <c r="AU188" i="51"/>
  <c r="W167" i="119"/>
  <c r="W48" i="119"/>
  <c r="W173" i="119" s="1"/>
  <c r="AQ46" i="119"/>
  <c r="AQ171" i="119" s="1"/>
  <c r="AQ165" i="119"/>
  <c r="AL85" i="119"/>
  <c r="AM37" i="119"/>
  <c r="AM129" i="119" s="1"/>
  <c r="D19" i="119"/>
  <c r="D152" i="119" s="1"/>
  <c r="AY38" i="51"/>
  <c r="P38" i="51"/>
  <c r="Y48" i="119"/>
  <c r="Y173" i="119" s="1"/>
  <c r="AQ41" i="119"/>
  <c r="AQ144" i="119" s="1"/>
  <c r="H21" i="119"/>
  <c r="H165" i="119" s="1"/>
  <c r="AQ19" i="119"/>
  <c r="AQ152" i="119" s="1"/>
  <c r="BG230" i="51"/>
  <c r="BB189" i="51"/>
  <c r="AH18" i="119"/>
  <c r="AH151" i="119" s="1"/>
  <c r="Z18" i="119"/>
  <c r="Z151" i="119" s="1"/>
  <c r="BH227" i="51"/>
  <c r="AV226" i="51"/>
  <c r="AJ227" i="51"/>
  <c r="AP20" i="119"/>
  <c r="AP153" i="119" s="1"/>
  <c r="AG20" i="119"/>
  <c r="AG153" i="119" s="1"/>
  <c r="Y20" i="119"/>
  <c r="Y45" i="119" s="1"/>
  <c r="Y159" i="119" s="1"/>
  <c r="AS97" i="51"/>
  <c r="BB97" i="51"/>
  <c r="AP97" i="51"/>
  <c r="BQ94" i="51"/>
  <c r="AP19" i="119"/>
  <c r="AP152" i="119" s="1"/>
  <c r="AH19" i="119"/>
  <c r="AH152" i="119" s="1"/>
  <c r="R19" i="119"/>
  <c r="R152" i="119" s="1"/>
  <c r="J19" i="119"/>
  <c r="J152" i="119" s="1"/>
  <c r="C19" i="119"/>
  <c r="C152" i="119" s="1"/>
  <c r="BH38" i="51"/>
  <c r="AV38" i="51"/>
  <c r="AJ38" i="51"/>
  <c r="O38" i="51"/>
  <c r="W85" i="119"/>
  <c r="E68" i="119"/>
  <c r="P86" i="119"/>
  <c r="AM67" i="119"/>
  <c r="Z85" i="119"/>
  <c r="AB66" i="119"/>
  <c r="AF75" i="119" s="1"/>
  <c r="AK83" i="119"/>
  <c r="AI19" i="119"/>
  <c r="AI152" i="119" s="1"/>
  <c r="AN18" i="119"/>
  <c r="AN151" i="119" s="1"/>
  <c r="Z32" i="119"/>
  <c r="Z124" i="119" s="1"/>
  <c r="AV250" i="51"/>
  <c r="Y243" i="51"/>
  <c r="X243" i="51" s="1"/>
  <c r="X237" i="51" s="1"/>
  <c r="AS233" i="51"/>
  <c r="AN231" i="51"/>
  <c r="AN233" i="51" s="1"/>
  <c r="BB226" i="51"/>
  <c r="AG216" i="51"/>
  <c r="AJ211" i="51"/>
  <c r="K160" i="51"/>
  <c r="K142" i="3" s="1"/>
  <c r="AG18" i="119"/>
  <c r="AG151" i="119" s="1"/>
  <c r="X18" i="119"/>
  <c r="X151" i="119" s="1"/>
  <c r="AN105" i="51"/>
  <c r="AN106" i="51" s="1"/>
  <c r="AN20" i="119"/>
  <c r="AN153" i="119" s="1"/>
  <c r="AF20" i="119"/>
  <c r="AF153" i="119" s="1"/>
  <c r="X20" i="119"/>
  <c r="BA97" i="51"/>
  <c r="AB42" i="51"/>
  <c r="AH43" i="51" s="1"/>
  <c r="AO19" i="119"/>
  <c r="AO152" i="119" s="1"/>
  <c r="AG19" i="119"/>
  <c r="AG152" i="119" s="1"/>
  <c r="Q19" i="119"/>
  <c r="Q152" i="119" s="1"/>
  <c r="I19" i="119"/>
  <c r="I152" i="119" s="1"/>
  <c r="B19" i="119"/>
  <c r="B152" i="119" s="1"/>
  <c r="BG38" i="51"/>
  <c r="AU38" i="51"/>
  <c r="AI38" i="51"/>
  <c r="K38" i="51"/>
  <c r="AW13" i="51"/>
  <c r="AI18" i="119"/>
  <c r="AM226" i="51"/>
  <c r="BE97" i="51"/>
  <c r="AI37" i="119"/>
  <c r="AI129" i="119" s="1"/>
  <c r="K19" i="119"/>
  <c r="K152" i="119" s="1"/>
  <c r="AM38" i="51"/>
  <c r="Z67" i="119"/>
  <c r="W66" i="119"/>
  <c r="AA75" i="119" s="1"/>
  <c r="AN84" i="119"/>
  <c r="W20" i="119"/>
  <c r="W45" i="119" s="1"/>
  <c r="W159" i="119" s="1"/>
  <c r="AZ97" i="51"/>
  <c r="AN97" i="51"/>
  <c r="BL97" i="51"/>
  <c r="AL50" i="119"/>
  <c r="AN19" i="119"/>
  <c r="AF19" i="119"/>
  <c r="AF152" i="119" s="1"/>
  <c r="X19" i="119"/>
  <c r="X152" i="119" s="1"/>
  <c r="P19" i="119"/>
  <c r="H19" i="119"/>
  <c r="BT39" i="51"/>
  <c r="BF38" i="51"/>
  <c r="AT38" i="51"/>
  <c r="AC38" i="51"/>
  <c r="J38" i="51"/>
  <c r="W84" i="119"/>
  <c r="AK85" i="119"/>
  <c r="AL66" i="119"/>
  <c r="AD83" i="119"/>
  <c r="AM24" i="119"/>
  <c r="O24" i="119"/>
  <c r="S49" i="119" s="1"/>
  <c r="AG21" i="119"/>
  <c r="AG165" i="119" s="1"/>
  <c r="AH20" i="119"/>
  <c r="AH153" i="119" s="1"/>
  <c r="AL18" i="119"/>
  <c r="W18" i="119"/>
  <c r="W76" i="119" s="1"/>
  <c r="S41" i="119"/>
  <c r="S144" i="119" s="1"/>
  <c r="BL258" i="51"/>
  <c r="BL251" i="51" s="1"/>
  <c r="AZ223" i="51"/>
  <c r="AV210" i="51"/>
  <c r="AT188" i="51"/>
  <c r="V85" i="119"/>
  <c r="AS227" i="51"/>
  <c r="Z83" i="119"/>
  <c r="AL20" i="119"/>
  <c r="AL153" i="119" s="1"/>
  <c r="AD20" i="119"/>
  <c r="AD153" i="119" s="1"/>
  <c r="V20" i="119"/>
  <c r="V153" i="119" s="1"/>
  <c r="BK97" i="51"/>
  <c r="AM97" i="51"/>
  <c r="BH92" i="51"/>
  <c r="AO17" i="119" s="1"/>
  <c r="AO139" i="119" s="1"/>
  <c r="AG42" i="119"/>
  <c r="AG145" i="119" s="1"/>
  <c r="AM19" i="119"/>
  <c r="AM152" i="119" s="1"/>
  <c r="AE19" i="119"/>
  <c r="AE152" i="119" s="1"/>
  <c r="W19" i="119"/>
  <c r="O19" i="119"/>
  <c r="O152" i="119" s="1"/>
  <c r="G19" i="119"/>
  <c r="G152" i="119" s="1"/>
  <c r="BE38" i="51"/>
  <c r="W38" i="51"/>
  <c r="CE37" i="51"/>
  <c r="AQ37" i="51"/>
  <c r="AQ10" i="51"/>
  <c r="AP67" i="119"/>
  <c r="AD29" i="51"/>
  <c r="AD31" i="51" s="1"/>
  <c r="AN24" i="119"/>
  <c r="AM111" i="119"/>
  <c r="R64" i="119"/>
  <c r="G46" i="119"/>
  <c r="G171" i="119" s="1"/>
  <c r="AZ233" i="51"/>
  <c r="AG164" i="51"/>
  <c r="AP227" i="51"/>
  <c r="AM223" i="51"/>
  <c r="AM48" i="119"/>
  <c r="AM173" i="119" s="1"/>
  <c r="AK20" i="119"/>
  <c r="AK153" i="119" s="1"/>
  <c r="AV97" i="51"/>
  <c r="AL19" i="119"/>
  <c r="V19" i="119"/>
  <c r="V152" i="119" s="1"/>
  <c r="AP38" i="51"/>
  <c r="Y67" i="119"/>
  <c r="AE66" i="119"/>
  <c r="AI75" i="119" s="1"/>
  <c r="AF24" i="119"/>
  <c r="G24" i="119"/>
  <c r="AA19" i="119"/>
  <c r="AA152" i="119" s="1"/>
  <c r="AF18" i="119"/>
  <c r="AF151" i="119" s="1"/>
  <c r="AA38" i="119"/>
  <c r="AA130" i="119" s="1"/>
  <c r="AE245" i="51"/>
  <c r="AD245" i="51" s="1"/>
  <c r="AC245" i="51" s="1"/>
  <c r="AB245" i="51" s="1"/>
  <c r="AA245" i="51" s="1"/>
  <c r="AY227" i="51"/>
  <c r="AZ213" i="51"/>
  <c r="AY233" i="51"/>
  <c r="AD86" i="119"/>
  <c r="AG162" i="51"/>
  <c r="AP144" i="51"/>
  <c r="AP323" i="51" s="1"/>
  <c r="AC8" i="119" s="1"/>
  <c r="AC113" i="119" s="1"/>
  <c r="BI98" i="51"/>
  <c r="BG97" i="51"/>
  <c r="AU97" i="51"/>
  <c r="AI97" i="51"/>
  <c r="AE42" i="119"/>
  <c r="AE145" i="119" s="1"/>
  <c r="AK19" i="119"/>
  <c r="AK152" i="119" s="1"/>
  <c r="U19" i="119"/>
  <c r="U152" i="119" s="1"/>
  <c r="BA38" i="51"/>
  <c r="AO38" i="51"/>
  <c r="U38" i="51"/>
  <c r="AA18" i="119"/>
  <c r="AA151" i="119" s="1"/>
  <c r="BK38" i="51"/>
  <c r="R36" i="51"/>
  <c r="AS219" i="51"/>
  <c r="AS223" i="51" s="1"/>
  <c r="AS144" i="51"/>
  <c r="AG115" i="51"/>
  <c r="AG193" i="51" s="1"/>
  <c r="AC20" i="119"/>
  <c r="AC153" i="119" s="1"/>
  <c r="BH96" i="51"/>
  <c r="BG43" i="51"/>
  <c r="BG45" i="51" s="1"/>
  <c r="N19" i="119"/>
  <c r="N152" i="119" s="1"/>
  <c r="F19" i="119"/>
  <c r="F152" i="119" s="1"/>
  <c r="BB38" i="51"/>
  <c r="V38" i="51"/>
  <c r="BY37" i="51"/>
  <c r="W67" i="119"/>
  <c r="AC67" i="119"/>
  <c r="AP83" i="119"/>
  <c r="AE24" i="119"/>
  <c r="E24" i="119"/>
  <c r="AQ20" i="119"/>
  <c r="AQ153" i="119" s="1"/>
  <c r="S19" i="119"/>
  <c r="S152" i="119" s="1"/>
  <c r="BG258" i="51"/>
  <c r="Y240" i="51"/>
  <c r="AV227" i="51"/>
  <c r="AN223" i="51"/>
  <c r="AU218" i="51"/>
  <c r="AY211" i="51"/>
  <c r="AY213" i="51" s="1"/>
  <c r="AJ18" i="119"/>
  <c r="AJ151" i="119" s="1"/>
  <c r="AP138" i="51"/>
  <c r="AP322" i="51" s="1"/>
  <c r="AC7" i="119" s="1"/>
  <c r="AC112" i="119" s="1"/>
  <c r="AY97" i="51"/>
  <c r="BF97" i="51"/>
  <c r="BO89" i="51"/>
  <c r="AU19" i="119"/>
  <c r="AU152" i="119" s="1"/>
  <c r="AJ19" i="119"/>
  <c r="AJ152" i="119" s="1"/>
  <c r="T19" i="119"/>
  <c r="T152" i="119" s="1"/>
  <c r="E19" i="119"/>
  <c r="E152" i="119" s="1"/>
  <c r="AS38" i="51"/>
  <c r="AZ38" i="51"/>
  <c r="AN38" i="51"/>
  <c r="Q38" i="51"/>
  <c r="BL38" i="51"/>
  <c r="AK20" i="51"/>
  <c r="AO115" i="51"/>
  <c r="AO195" i="51" s="1"/>
  <c r="K11" i="51"/>
  <c r="K333" i="51"/>
  <c r="AP192" i="51"/>
  <c r="AP193" i="51"/>
  <c r="AP196" i="51"/>
  <c r="AB68" i="119"/>
  <c r="AF77" i="119" s="1"/>
  <c r="AC227" i="51"/>
  <c r="AE153" i="51"/>
  <c r="T67" i="119"/>
  <c r="X85" i="119"/>
  <c r="AO50" i="119"/>
  <c r="AK50" i="119"/>
  <c r="AE166" i="119"/>
  <c r="AE47" i="119"/>
  <c r="AE172" i="119" s="1"/>
  <c r="AZ227" i="51"/>
  <c r="AI67" i="119"/>
  <c r="AU138" i="51"/>
  <c r="AB65" i="119"/>
  <c r="AF74" i="119" s="1"/>
  <c r="AO211" i="51"/>
  <c r="AO213" i="51" s="1"/>
  <c r="AF83" i="119"/>
  <c r="AC210" i="51"/>
  <c r="T65" i="119"/>
  <c r="X74" i="119" s="1"/>
  <c r="AI144" i="51"/>
  <c r="AC324" i="51"/>
  <c r="BK56" i="51"/>
  <c r="BK189" i="51" s="1"/>
  <c r="BK43" i="51"/>
  <c r="BK45" i="51" s="1"/>
  <c r="O44" i="51"/>
  <c r="I160" i="51"/>
  <c r="F64" i="119" s="1"/>
  <c r="AO210" i="51"/>
  <c r="AI138" i="51"/>
  <c r="BL210" i="51"/>
  <c r="BL211" i="51"/>
  <c r="AQ65" i="119"/>
  <c r="AZ210" i="51"/>
  <c r="AM83" i="119"/>
  <c r="BF138" i="51"/>
  <c r="AI65" i="119"/>
  <c r="AM74" i="119" s="1"/>
  <c r="AT138" i="51"/>
  <c r="AN211" i="51"/>
  <c r="AN213" i="51" s="1"/>
  <c r="AE83" i="119"/>
  <c r="AA65" i="119"/>
  <c r="AE74" i="119" s="1"/>
  <c r="AN210" i="51"/>
  <c r="AV187" i="51"/>
  <c r="AV189" i="51"/>
  <c r="AJ186" i="51"/>
  <c r="AJ189" i="51"/>
  <c r="AJ187" i="51"/>
  <c r="AJ185" i="51"/>
  <c r="AJ188" i="51"/>
  <c r="AC231" i="51"/>
  <c r="X86" i="119"/>
  <c r="AC230" i="51"/>
  <c r="T68" i="119"/>
  <c r="X77" i="119" s="1"/>
  <c r="BA192" i="51"/>
  <c r="BA193" i="51"/>
  <c r="BA196" i="51"/>
  <c r="BA194" i="51"/>
  <c r="AM147" i="51"/>
  <c r="AM149" i="51" s="1"/>
  <c r="AM216" i="51"/>
  <c r="Z66" i="119"/>
  <c r="AO231" i="51"/>
  <c r="AO233" i="51" s="1"/>
  <c r="AF86" i="119"/>
  <c r="BL226" i="51"/>
  <c r="AQ67" i="119"/>
  <c r="BL227" i="51"/>
  <c r="AN226" i="51"/>
  <c r="AN227" i="51"/>
  <c r="BG144" i="51"/>
  <c r="AJ65" i="119"/>
  <c r="AN74" i="119" s="1"/>
  <c r="BA210" i="51"/>
  <c r="W42" i="119"/>
  <c r="W145" i="119" s="1"/>
  <c r="W139" i="119"/>
  <c r="AC43" i="51"/>
  <c r="W160" i="51"/>
  <c r="W174" i="51" s="1"/>
  <c r="V174" i="51"/>
  <c r="O64" i="119"/>
  <c r="AH109" i="51"/>
  <c r="AH111" i="51" s="1"/>
  <c r="AB231" i="51"/>
  <c r="AB36" i="51"/>
  <c r="AB94" i="51"/>
  <c r="AB226" i="51"/>
  <c r="BA195" i="51"/>
  <c r="U67" i="119"/>
  <c r="AO226" i="51"/>
  <c r="AF85" i="119"/>
  <c r="AO227" i="51"/>
  <c r="AB67" i="119"/>
  <c r="BH216" i="51"/>
  <c r="AO66" i="119"/>
  <c r="BK195" i="51"/>
  <c r="BK194" i="51"/>
  <c r="AC46" i="51"/>
  <c r="AA94" i="51"/>
  <c r="AA226" i="51"/>
  <c r="AJ68" i="119"/>
  <c r="AN77" i="119" s="1"/>
  <c r="BA230" i="51"/>
  <c r="BA231" i="51"/>
  <c r="BA233" i="51" s="1"/>
  <c r="AQ115" i="119"/>
  <c r="BI68" i="51"/>
  <c r="BC85" i="51"/>
  <c r="AN86" i="119"/>
  <c r="AJ67" i="119"/>
  <c r="BA226" i="51"/>
  <c r="AN85" i="119"/>
  <c r="AI115" i="119"/>
  <c r="Y66" i="119"/>
  <c r="AC75" i="119" s="1"/>
  <c r="AH66" i="119"/>
  <c r="AL75" i="119" s="1"/>
  <c r="BA227" i="51"/>
  <c r="AC226" i="51"/>
  <c r="AJ216" i="51"/>
  <c r="AK68" i="119"/>
  <c r="BB230" i="51"/>
  <c r="AP231" i="51"/>
  <c r="AP233" i="51" s="1"/>
  <c r="AC68" i="119"/>
  <c r="AP230" i="51"/>
  <c r="Y86" i="119"/>
  <c r="AD230" i="51"/>
  <c r="AD231" i="51"/>
  <c r="V167" i="119"/>
  <c r="V48" i="119"/>
  <c r="V173" i="119" s="1"/>
  <c r="AJ103" i="51"/>
  <c r="AD102" i="51"/>
  <c r="AD104" i="51" s="1"/>
  <c r="AD115" i="51"/>
  <c r="AD192" i="51" s="1"/>
  <c r="BI91" i="51"/>
  <c r="O46" i="51"/>
  <c r="AM117" i="119"/>
  <c r="AE86" i="119"/>
  <c r="AI84" i="119"/>
  <c r="BH210" i="51"/>
  <c r="AJ210" i="51"/>
  <c r="BH160" i="51"/>
  <c r="AO64" i="119" s="1"/>
  <c r="AN83" i="119"/>
  <c r="AG51" i="119"/>
  <c r="AI56" i="51"/>
  <c r="AI189" i="51" s="1"/>
  <c r="AM210" i="51"/>
  <c r="BR88" i="51"/>
  <c r="BR87" i="51" s="1"/>
  <c r="AE41" i="119"/>
  <c r="AE144" i="119" s="1"/>
  <c r="Z68" i="119"/>
  <c r="AD77" i="119" s="1"/>
  <c r="AC85" i="119"/>
  <c r="AB36" i="119"/>
  <c r="AB128" i="119" s="1"/>
  <c r="BB233" i="51"/>
  <c r="AM227" i="51"/>
  <c r="AY226" i="51"/>
  <c r="AT216" i="51"/>
  <c r="BB138" i="51"/>
  <c r="BB322" i="51" s="1"/>
  <c r="AK7" i="119" s="1"/>
  <c r="AK112" i="119" s="1"/>
  <c r="AR139" i="119"/>
  <c r="BG56" i="51"/>
  <c r="AQ33" i="51"/>
  <c r="AC344" i="51"/>
  <c r="AM34" i="119"/>
  <c r="AM126" i="119" s="1"/>
  <c r="AO115" i="119"/>
  <c r="AH67" i="119"/>
  <c r="AP65" i="119"/>
  <c r="AH65" i="119"/>
  <c r="AL74" i="119" s="1"/>
  <c r="AI41" i="119"/>
  <c r="AI144" i="119" s="1"/>
  <c r="BK211" i="51"/>
  <c r="AM154" i="51"/>
  <c r="AA51" i="119"/>
  <c r="AQ42" i="119"/>
  <c r="AQ145" i="119" s="1"/>
  <c r="AS17" i="119"/>
  <c r="AS139" i="119" s="1"/>
  <c r="AP46" i="51"/>
  <c r="AD85" i="119"/>
  <c r="BK210" i="51"/>
  <c r="AM114" i="119"/>
  <c r="AO65" i="119"/>
  <c r="AL83" i="119"/>
  <c r="Z65" i="119"/>
  <c r="AD74" i="119" s="1"/>
  <c r="BH211" i="51"/>
  <c r="BH213" i="51" s="1"/>
  <c r="BB154" i="51"/>
  <c r="AE126" i="51"/>
  <c r="AE166" i="3" s="1"/>
  <c r="AO46" i="51"/>
  <c r="AO47" i="51" s="1"/>
  <c r="AU43" i="51"/>
  <c r="AU45" i="51" s="1"/>
  <c r="AE34" i="119"/>
  <c r="AE126" i="119" s="1"/>
  <c r="AA114" i="119"/>
  <c r="AA34" i="119"/>
  <c r="AA126" i="119" s="1"/>
  <c r="AA117" i="119"/>
  <c r="AA37" i="119"/>
  <c r="AA129" i="119" s="1"/>
  <c r="AM49" i="3"/>
  <c r="AM51" i="3" s="1"/>
  <c r="Z24" i="119"/>
  <c r="C49" i="3"/>
  <c r="C51" i="3" s="1"/>
  <c r="B24" i="119"/>
  <c r="AI216" i="51"/>
  <c r="AI219" i="51"/>
  <c r="AH216" i="51"/>
  <c r="AH219" i="51"/>
  <c r="BL192" i="51"/>
  <c r="AF65" i="119"/>
  <c r="AJ74" i="119" s="1"/>
  <c r="BF219" i="51"/>
  <c r="BF223" i="51" s="1"/>
  <c r="AZ144" i="3"/>
  <c r="AZ101" i="3"/>
  <c r="AZ155" i="3"/>
  <c r="AZ230" i="51"/>
  <c r="Y167" i="51"/>
  <c r="AE171" i="51" s="1"/>
  <c r="X101" i="3"/>
  <c r="X144" i="3"/>
  <c r="X155" i="3"/>
  <c r="AS154" i="51"/>
  <c r="BG127" i="51"/>
  <c r="BG129" i="51" s="1"/>
  <c r="AP210" i="51"/>
  <c r="AP211" i="51"/>
  <c r="AP213" i="51" s="1"/>
  <c r="V139" i="119"/>
  <c r="X137" i="119"/>
  <c r="AA118" i="119"/>
  <c r="AC84" i="119"/>
  <c r="AJ83" i="119"/>
  <c r="AM38" i="119"/>
  <c r="AM130" i="119" s="1"/>
  <c r="H24" i="119"/>
  <c r="F339" i="51"/>
  <c r="AI243" i="51"/>
  <c r="AJ237" i="51"/>
  <c r="BK144" i="3"/>
  <c r="BK101" i="3"/>
  <c r="BK155" i="3"/>
  <c r="BK231" i="51"/>
  <c r="AY101" i="3"/>
  <c r="AY144" i="3"/>
  <c r="AY155" i="3"/>
  <c r="AY230" i="51"/>
  <c r="BC167" i="51"/>
  <c r="BC231" i="51" s="1"/>
  <c r="BC233" i="51" s="1"/>
  <c r="AM144" i="3"/>
  <c r="AM101" i="3"/>
  <c r="AM155" i="3"/>
  <c r="R144" i="3"/>
  <c r="R101" i="3"/>
  <c r="R155" i="3"/>
  <c r="J99" i="3"/>
  <c r="J142" i="3"/>
  <c r="J152" i="3"/>
  <c r="J164" i="3"/>
  <c r="AA40" i="119"/>
  <c r="AA143" i="119" s="1"/>
  <c r="AE111" i="119"/>
  <c r="AE31" i="119"/>
  <c r="AE123" i="119" s="1"/>
  <c r="AJ127" i="51"/>
  <c r="M102" i="51"/>
  <c r="AE117" i="119"/>
  <c r="AE37" i="119"/>
  <c r="AE129" i="119" s="1"/>
  <c r="P46" i="51"/>
  <c r="P164" i="51" s="1"/>
  <c r="P44" i="51"/>
  <c r="AA41" i="119"/>
  <c r="AA144" i="119" s="1"/>
  <c r="BC30" i="51"/>
  <c r="AQ29" i="51"/>
  <c r="W31" i="119"/>
  <c r="W123" i="119" s="1"/>
  <c r="AA31" i="119"/>
  <c r="AA123" i="119" s="1"/>
  <c r="W49" i="3"/>
  <c r="W51" i="3" s="1"/>
  <c r="P24" i="119"/>
  <c r="AY43" i="51"/>
  <c r="AY45" i="51" s="1"/>
  <c r="AS56" i="51"/>
  <c r="AS187" i="51" s="1"/>
  <c r="BS40" i="51"/>
  <c r="AM41" i="119"/>
  <c r="AM144" i="119" s="1"/>
  <c r="BL127" i="51"/>
  <c r="BH144" i="51"/>
  <c r="BH323" i="51" s="1"/>
  <c r="AO8" i="119" s="1"/>
  <c r="AO33" i="119" s="1"/>
  <c r="AO125" i="119" s="1"/>
  <c r="BB211" i="51"/>
  <c r="BB213" i="51" s="1"/>
  <c r="AW112" i="51"/>
  <c r="AW110" i="51"/>
  <c r="AQ109" i="51"/>
  <c r="AQ70" i="51"/>
  <c r="C165" i="119"/>
  <c r="W137" i="119"/>
  <c r="AA112" i="119"/>
  <c r="X83" i="119"/>
  <c r="AI68" i="119"/>
  <c r="AM77" i="119" s="1"/>
  <c r="AG85" i="119"/>
  <c r="AK84" i="119"/>
  <c r="AE51" i="119"/>
  <c r="E339" i="51"/>
  <c r="BA221" i="51"/>
  <c r="BB221" i="51"/>
  <c r="AD211" i="51"/>
  <c r="BB188" i="51"/>
  <c r="BH155" i="3"/>
  <c r="BH101" i="3"/>
  <c r="BH144" i="3"/>
  <c r="BH231" i="51"/>
  <c r="BH233" i="51" s="1"/>
  <c r="AV144" i="3"/>
  <c r="AV101" i="3"/>
  <c r="AV155" i="3"/>
  <c r="AV230" i="51"/>
  <c r="AJ101" i="3"/>
  <c r="AJ144" i="3"/>
  <c r="AJ155" i="3"/>
  <c r="L101" i="3"/>
  <c r="L144" i="3"/>
  <c r="L155" i="3"/>
  <c r="AH115" i="51"/>
  <c r="AH194" i="51" s="1"/>
  <c r="AU187" i="51"/>
  <c r="AU186" i="51"/>
  <c r="AU189" i="51"/>
  <c r="AA67" i="51"/>
  <c r="Y138" i="119"/>
  <c r="Y41" i="119"/>
  <c r="Y144" i="119" s="1"/>
  <c r="X49" i="3"/>
  <c r="X51" i="3" s="1"/>
  <c r="Q24" i="119"/>
  <c r="AQ92" i="51"/>
  <c r="Z17" i="119"/>
  <c r="Z139" i="119" s="1"/>
  <c r="AQ69" i="51"/>
  <c r="AK85" i="51"/>
  <c r="AH24" i="119"/>
  <c r="AA103" i="3"/>
  <c r="AA146" i="3"/>
  <c r="AA158" i="3"/>
  <c r="AG203" i="3"/>
  <c r="AG24" i="119"/>
  <c r="I24" i="119"/>
  <c r="AW240" i="51"/>
  <c r="AA343" i="51"/>
  <c r="AN101" i="3"/>
  <c r="AN144" i="3"/>
  <c r="AN155" i="3"/>
  <c r="X117" i="119"/>
  <c r="X37" i="119"/>
  <c r="X129" i="119" s="1"/>
  <c r="AI46" i="51"/>
  <c r="AC56" i="51"/>
  <c r="AC186" i="51" s="1"/>
  <c r="AI44" i="51"/>
  <c r="Z112" i="119"/>
  <c r="V65" i="119"/>
  <c r="Z74" i="119" s="1"/>
  <c r="AM86" i="119"/>
  <c r="AN66" i="119"/>
  <c r="AC65" i="119"/>
  <c r="D339" i="51"/>
  <c r="BG216" i="51"/>
  <c r="AY185" i="51"/>
  <c r="BA49" i="3"/>
  <c r="BA51" i="3" s="1"/>
  <c r="AJ24" i="119"/>
  <c r="P49" i="3"/>
  <c r="P51" i="3" s="1"/>
  <c r="K24" i="119"/>
  <c r="E49" i="3"/>
  <c r="E51" i="3" s="1"/>
  <c r="D24" i="119"/>
  <c r="AM168" i="51"/>
  <c r="AM170" i="51" s="1"/>
  <c r="BG101" i="3"/>
  <c r="BG144" i="3"/>
  <c r="BG155" i="3"/>
  <c r="BG231" i="51"/>
  <c r="BG233" i="51" s="1"/>
  <c r="AU231" i="51"/>
  <c r="AU233" i="51" s="1"/>
  <c r="AU144" i="3"/>
  <c r="AU101" i="3"/>
  <c r="AU155" i="3"/>
  <c r="AI101" i="3"/>
  <c r="AI144" i="3"/>
  <c r="AI155" i="3"/>
  <c r="F144" i="3"/>
  <c r="F101" i="3"/>
  <c r="F155" i="3"/>
  <c r="AN160" i="51"/>
  <c r="AE82" i="119" s="1"/>
  <c r="E142" i="3"/>
  <c r="E99" i="3"/>
  <c r="E152" i="3"/>
  <c r="E164" i="3"/>
  <c r="BE147" i="51"/>
  <c r="BE149" i="51" s="1"/>
  <c r="AY216" i="51"/>
  <c r="AK48" i="119"/>
  <c r="AK173" i="119" s="1"/>
  <c r="AJ42" i="119"/>
  <c r="AJ145" i="119" s="1"/>
  <c r="AQ89" i="51"/>
  <c r="AQ91" i="51"/>
  <c r="BC71" i="51"/>
  <c r="BC69" i="51"/>
  <c r="AW85" i="51"/>
  <c r="AU216" i="51"/>
  <c r="AU219" i="51"/>
  <c r="AU223" i="51" s="1"/>
  <c r="AQ53" i="51"/>
  <c r="AQ51" i="51"/>
  <c r="AI166" i="119"/>
  <c r="Y106" i="51"/>
  <c r="BI30" i="51"/>
  <c r="BC29" i="51"/>
  <c r="V11" i="51"/>
  <c r="AW54" i="51"/>
  <c r="AQ118" i="119"/>
  <c r="X66" i="119"/>
  <c r="AB75" i="119" s="1"/>
  <c r="U65" i="119"/>
  <c r="AM66" i="119"/>
  <c r="AJ84" i="119"/>
  <c r="AB84" i="119"/>
  <c r="AI258" i="51"/>
  <c r="AI251" i="51" s="1"/>
  <c r="AN230" i="51"/>
  <c r="BF216" i="51"/>
  <c r="BB195" i="51"/>
  <c r="AN49" i="3"/>
  <c r="AN51" i="3" s="1"/>
  <c r="AA24" i="119"/>
  <c r="D49" i="3"/>
  <c r="D51" i="3" s="1"/>
  <c r="C24" i="119"/>
  <c r="BF101" i="3"/>
  <c r="BF144" i="3"/>
  <c r="BF155" i="3"/>
  <c r="BF156" i="3" s="1"/>
  <c r="BI146" i="51"/>
  <c r="BI169" i="3" s="1"/>
  <c r="BN150" i="51"/>
  <c r="BH219" i="51"/>
  <c r="BH223" i="51" s="1"/>
  <c r="AV216" i="51"/>
  <c r="AV219" i="51"/>
  <c r="AV223" i="51" s="1"/>
  <c r="AA139" i="119"/>
  <c r="AA42" i="119"/>
  <c r="AA145" i="119" s="1"/>
  <c r="AQ68" i="51"/>
  <c r="AW69" i="51"/>
  <c r="AQ85" i="51"/>
  <c r="J11" i="51"/>
  <c r="J333" i="51"/>
  <c r="AI39" i="119"/>
  <c r="AI131" i="119" s="1"/>
  <c r="BM257" i="51"/>
  <c r="BN257" i="51" s="1"/>
  <c r="BB218" i="51"/>
  <c r="AI46" i="119"/>
  <c r="AI171" i="119" s="1"/>
  <c r="BE101" i="3"/>
  <c r="BE144" i="3"/>
  <c r="BE155" i="3"/>
  <c r="AT144" i="3"/>
  <c r="AT101" i="3"/>
  <c r="AT155" i="3"/>
  <c r="AH101" i="3"/>
  <c r="AH144" i="3"/>
  <c r="AH155" i="3"/>
  <c r="AB142" i="3"/>
  <c r="AB152" i="3"/>
  <c r="AB99" i="3"/>
  <c r="AB164" i="3"/>
  <c r="BI88" i="51"/>
  <c r="AT12" i="119"/>
  <c r="AT117" i="119" s="1"/>
  <c r="BC52" i="51"/>
  <c r="AI34" i="119"/>
  <c r="AI126" i="119" s="1"/>
  <c r="AB35" i="119"/>
  <c r="AB127" i="119" s="1"/>
  <c r="BA258" i="51"/>
  <c r="AZ258" i="51" s="1"/>
  <c r="BK250" i="51"/>
  <c r="AJ259" i="51"/>
  <c r="AJ249" i="51"/>
  <c r="BA218" i="51"/>
  <c r="AS155" i="3"/>
  <c r="AS101" i="3"/>
  <c r="AS144" i="3"/>
  <c r="AG144" i="3"/>
  <c r="AG155" i="3"/>
  <c r="AG101" i="3"/>
  <c r="AA142" i="3"/>
  <c r="AA99" i="3"/>
  <c r="AA152" i="3"/>
  <c r="AA164" i="3"/>
  <c r="AM85" i="119"/>
  <c r="AE85" i="119"/>
  <c r="BR113" i="51"/>
  <c r="AU23" i="119" s="1"/>
  <c r="AU167" i="119" s="1"/>
  <c r="BC70" i="51"/>
  <c r="AI50" i="119"/>
  <c r="AA50" i="119"/>
  <c r="BS11" i="51"/>
  <c r="AG39" i="119"/>
  <c r="AG131" i="119" s="1"/>
  <c r="AC39" i="119"/>
  <c r="AC131" i="119" s="1"/>
  <c r="AQ38" i="119"/>
  <c r="AQ130" i="119" s="1"/>
  <c r="AE38" i="119"/>
  <c r="AE130" i="119" s="1"/>
  <c r="AA35" i="119"/>
  <c r="AA127" i="119" s="1"/>
  <c r="M32" i="119"/>
  <c r="M124" i="119" s="1"/>
  <c r="BI243" i="51"/>
  <c r="BK243" i="51" s="1"/>
  <c r="BK237" i="51" s="1"/>
  <c r="BB101" i="3"/>
  <c r="BB144" i="3"/>
  <c r="BB155" i="3"/>
  <c r="AQ167" i="51"/>
  <c r="AW171" i="51" s="1"/>
  <c r="AP101" i="3"/>
  <c r="AP144" i="3"/>
  <c r="AP155" i="3"/>
  <c r="AD144" i="3"/>
  <c r="AD101" i="3"/>
  <c r="AD155" i="3"/>
  <c r="AN102" i="51"/>
  <c r="AN104" i="51" s="1"/>
  <c r="BI71" i="51"/>
  <c r="D99" i="3"/>
  <c r="D142" i="3"/>
  <c r="D152" i="3"/>
  <c r="D164" i="3"/>
  <c r="AW31" i="51"/>
  <c r="AB39" i="119"/>
  <c r="AB131" i="119" s="1"/>
  <c r="Z38" i="119"/>
  <c r="Z130" i="119" s="1"/>
  <c r="AO36" i="119"/>
  <c r="AO128" i="119" s="1"/>
  <c r="Z35" i="119"/>
  <c r="Z127" i="119" s="1"/>
  <c r="BA213" i="51"/>
  <c r="BL144" i="3"/>
  <c r="BL101" i="3"/>
  <c r="BL155" i="3"/>
  <c r="BA101" i="3"/>
  <c r="BA155" i="3"/>
  <c r="BA144" i="3"/>
  <c r="AO101" i="3"/>
  <c r="AO144" i="3"/>
  <c r="AO155" i="3"/>
  <c r="AC101" i="3"/>
  <c r="AC144" i="3"/>
  <c r="AC155" i="3"/>
  <c r="V142" i="3"/>
  <c r="V99" i="3"/>
  <c r="V152" i="3"/>
  <c r="V164" i="3"/>
  <c r="AG83" i="119"/>
  <c r="AY102" i="51"/>
  <c r="AY104" i="51" s="1"/>
  <c r="BC72" i="51"/>
  <c r="Q99" i="3"/>
  <c r="Q142" i="3"/>
  <c r="Q152" i="3"/>
  <c r="Q164" i="3"/>
  <c r="BO30" i="51"/>
  <c r="CF18" i="106"/>
  <c r="CG18" i="106" s="1"/>
  <c r="CG127" i="106" s="1"/>
  <c r="W47" i="119"/>
  <c r="W172" i="119" s="1"/>
  <c r="AA47" i="119"/>
  <c r="AA172" i="119" s="1"/>
  <c r="W166" i="119"/>
  <c r="Q34" i="119"/>
  <c r="Q126" i="119" s="1"/>
  <c r="Q114" i="119"/>
  <c r="U34" i="119"/>
  <c r="U126" i="119" s="1"/>
  <c r="AC46" i="119"/>
  <c r="AC171" i="119" s="1"/>
  <c r="AC165" i="119"/>
  <c r="AE32" i="119"/>
  <c r="AE124" i="119" s="1"/>
  <c r="AE112" i="119"/>
  <c r="AI32" i="119"/>
  <c r="AI124" i="119" s="1"/>
  <c r="V32" i="119"/>
  <c r="V124" i="119" s="1"/>
  <c r="V112" i="119"/>
  <c r="AD24" i="119"/>
  <c r="N24" i="119"/>
  <c r="BF168" i="51"/>
  <c r="BF170" i="51" s="1"/>
  <c r="BF230" i="51"/>
  <c r="AQ86" i="119"/>
  <c r="AM68" i="119"/>
  <c r="AQ77" i="119" s="1"/>
  <c r="AO168" i="51"/>
  <c r="AO170" i="51" s="1"/>
  <c r="AI168" i="51"/>
  <c r="AI170" i="51" s="1"/>
  <c r="AB86" i="119"/>
  <c r="AI231" i="51"/>
  <c r="AI230" i="51"/>
  <c r="X68" i="119"/>
  <c r="AB77" i="119" s="1"/>
  <c r="M86" i="119"/>
  <c r="X67" i="119"/>
  <c r="AI227" i="51"/>
  <c r="AI154" i="51"/>
  <c r="AB85" i="119"/>
  <c r="AE15" i="119"/>
  <c r="AE84" i="119"/>
  <c r="AP147" i="51"/>
  <c r="AP149" i="51" s="1"/>
  <c r="AP219" i="51"/>
  <c r="AP223" i="51" s="1"/>
  <c r="AC66" i="119"/>
  <c r="AG75" i="119" s="1"/>
  <c r="AP216" i="51"/>
  <c r="F34" i="119"/>
  <c r="F126" i="119" s="1"/>
  <c r="B114" i="119"/>
  <c r="Y8" i="51"/>
  <c r="Y271" i="51" s="1"/>
  <c r="Y274" i="51" s="1"/>
  <c r="AD9" i="51"/>
  <c r="AD11" i="51" s="1"/>
  <c r="AM32" i="119"/>
  <c r="AM124" i="119" s="1"/>
  <c r="AQ32" i="119"/>
  <c r="AQ124" i="119" s="1"/>
  <c r="AK24" i="119"/>
  <c r="BE168" i="51"/>
  <c r="BE170" i="51" s="1"/>
  <c r="BK168" i="51"/>
  <c r="BE230" i="51"/>
  <c r="AL68" i="119"/>
  <c r="AA86" i="119"/>
  <c r="W68" i="119"/>
  <c r="AA77" i="119" s="1"/>
  <c r="AH68" i="51"/>
  <c r="AH70" i="51" s="1"/>
  <c r="AB211" i="51"/>
  <c r="AH144" i="51"/>
  <c r="AH138" i="51"/>
  <c r="U160" i="51"/>
  <c r="AA44" i="51"/>
  <c r="W11" i="51"/>
  <c r="W333" i="51"/>
  <c r="AM40" i="119"/>
  <c r="AM143" i="119" s="1"/>
  <c r="M33" i="119"/>
  <c r="M125" i="119" s="1"/>
  <c r="Q33" i="119"/>
  <c r="Q125" i="119" s="1"/>
  <c r="M113" i="119"/>
  <c r="Y83" i="119"/>
  <c r="Y6" i="119"/>
  <c r="AO170" i="119"/>
  <c r="AO142" i="119"/>
  <c r="Q122" i="119"/>
  <c r="Q142" i="119"/>
  <c r="P33" i="119"/>
  <c r="P125" i="119" s="1"/>
  <c r="L33" i="119"/>
  <c r="L125" i="119" s="1"/>
  <c r="L113" i="119"/>
  <c r="BB219" i="51"/>
  <c r="BB223" i="51" s="1"/>
  <c r="BC92" i="51"/>
  <c r="AK17" i="119"/>
  <c r="AK139" i="119" s="1"/>
  <c r="BQ167" i="51"/>
  <c r="BQ231" i="51" s="1"/>
  <c r="AM44" i="51"/>
  <c r="AK42" i="51"/>
  <c r="AG56" i="51"/>
  <c r="AG188" i="51" s="1"/>
  <c r="V84" i="119"/>
  <c r="AF22" i="119"/>
  <c r="AJ47" i="119" s="1"/>
  <c r="AJ172" i="119" s="1"/>
  <c r="D165" i="119"/>
  <c r="AH12" i="119"/>
  <c r="AH117" i="119" s="1"/>
  <c r="S34" i="119"/>
  <c r="S126" i="119" s="1"/>
  <c r="S114" i="119"/>
  <c r="AK113" i="119"/>
  <c r="S33" i="119"/>
  <c r="S125" i="119" s="1"/>
  <c r="S113" i="119"/>
  <c r="K33" i="119"/>
  <c r="K125" i="119" s="1"/>
  <c r="K113" i="119"/>
  <c r="AG6" i="119"/>
  <c r="AG111" i="119" s="1"/>
  <c r="BE188" i="51"/>
  <c r="AI160" i="51"/>
  <c r="BI112" i="51"/>
  <c r="BI110" i="51"/>
  <c r="AI115" i="51"/>
  <c r="AK101" i="51"/>
  <c r="AO102" i="51"/>
  <c r="AO103" i="51"/>
  <c r="AO105" i="51"/>
  <c r="BC98" i="51"/>
  <c r="BC96" i="51"/>
  <c r="BC95" i="51"/>
  <c r="AW95" i="51"/>
  <c r="AJ92" i="51"/>
  <c r="Y17" i="119" s="1"/>
  <c r="AC42" i="119" s="1"/>
  <c r="AC145" i="119" s="1"/>
  <c r="Y37" i="119"/>
  <c r="Y129" i="119" s="1"/>
  <c r="Y117" i="119"/>
  <c r="AE49" i="51"/>
  <c r="AK53" i="51" s="1"/>
  <c r="AA108" i="51"/>
  <c r="AE108" i="51" s="1"/>
  <c r="AK112" i="51" s="1"/>
  <c r="V24" i="119"/>
  <c r="AF68" i="119"/>
  <c r="AJ77" i="119" s="1"/>
  <c r="AU230" i="51"/>
  <c r="AU168" i="51"/>
  <c r="AU170" i="51" s="1"/>
  <c r="AM30" i="119"/>
  <c r="AI30" i="119"/>
  <c r="AJ85" i="119"/>
  <c r="AU227" i="51"/>
  <c r="AF67" i="119"/>
  <c r="AU226" i="51"/>
  <c r="AI226" i="51"/>
  <c r="M24" i="119"/>
  <c r="L64" i="119"/>
  <c r="G114" i="119"/>
  <c r="G34" i="119"/>
  <c r="G126" i="119" s="1"/>
  <c r="M112" i="119"/>
  <c r="AK66" i="119"/>
  <c r="AI48" i="119"/>
  <c r="AI173" i="119" s="1"/>
  <c r="AW142" i="119"/>
  <c r="AW156" i="119"/>
  <c r="AW122" i="119"/>
  <c r="AW170" i="119"/>
  <c r="Y122" i="119"/>
  <c r="Y170" i="119"/>
  <c r="Y142" i="119"/>
  <c r="AG50" i="119"/>
  <c r="AC50" i="119"/>
  <c r="H33" i="119"/>
  <c r="H125" i="119" s="1"/>
  <c r="D113" i="119"/>
  <c r="BE231" i="51"/>
  <c r="BE233" i="51" s="1"/>
  <c r="BO110" i="51"/>
  <c r="BI109" i="51"/>
  <c r="BE185" i="51"/>
  <c r="BE187" i="51"/>
  <c r="BE189" i="51"/>
  <c r="BK60" i="51"/>
  <c r="BE186" i="51"/>
  <c r="AI167" i="119"/>
  <c r="I68" i="119"/>
  <c r="M77" i="119" s="1"/>
  <c r="AK35" i="119"/>
  <c r="AK127" i="119" s="1"/>
  <c r="AM142" i="119"/>
  <c r="AM156" i="119"/>
  <c r="AM122" i="119"/>
  <c r="AE170" i="119"/>
  <c r="AE156" i="119"/>
  <c r="O122" i="119"/>
  <c r="O170" i="119"/>
  <c r="O142" i="119"/>
  <c r="G122" i="119"/>
  <c r="G170" i="119"/>
  <c r="G142" i="119"/>
  <c r="AM166" i="119"/>
  <c r="AM47" i="119"/>
  <c r="AM172" i="119" s="1"/>
  <c r="AQ47" i="119"/>
  <c r="AQ172" i="119" s="1"/>
  <c r="AQ52" i="51"/>
  <c r="Q156" i="119"/>
  <c r="AG139" i="119"/>
  <c r="V137" i="119"/>
  <c r="AQ116" i="119"/>
  <c r="AD32" i="119"/>
  <c r="AD124" i="119" s="1"/>
  <c r="Y40" i="119"/>
  <c r="Y143" i="119" s="1"/>
  <c r="Y137" i="119"/>
  <c r="AA230" i="51"/>
  <c r="AA200" i="51"/>
  <c r="AA203" i="51"/>
  <c r="V87" i="119"/>
  <c r="AA199" i="51"/>
  <c r="AA180" i="51"/>
  <c r="AA201" i="51"/>
  <c r="R69" i="119"/>
  <c r="AA202" i="51"/>
  <c r="S86" i="119"/>
  <c r="S99" i="119" s="1"/>
  <c r="S21" i="119"/>
  <c r="S77" i="119" s="1"/>
  <c r="K86" i="119"/>
  <c r="O99" i="119" s="1"/>
  <c r="K21" i="119"/>
  <c r="K77" i="119" s="1"/>
  <c r="R168" i="51"/>
  <c r="R170" i="51" s="1"/>
  <c r="M68" i="119"/>
  <c r="Q77" i="119" s="1"/>
  <c r="S167" i="51"/>
  <c r="Q86" i="119"/>
  <c r="X168" i="51"/>
  <c r="X170" i="51" s="1"/>
  <c r="BB192" i="51"/>
  <c r="BB196" i="51"/>
  <c r="BB194" i="51"/>
  <c r="BI111" i="51"/>
  <c r="AQ34" i="119"/>
  <c r="AQ126" i="119" s="1"/>
  <c r="AQ114" i="119"/>
  <c r="R32" i="119"/>
  <c r="R124" i="119" s="1"/>
  <c r="N112" i="119"/>
  <c r="N32" i="119"/>
  <c r="N124" i="119" s="1"/>
  <c r="AL24" i="119"/>
  <c r="F24" i="119"/>
  <c r="U66" i="119"/>
  <c r="Y75" i="119" s="1"/>
  <c r="AD219" i="51"/>
  <c r="Y84" i="119"/>
  <c r="R41" i="119"/>
  <c r="R144" i="119" s="1"/>
  <c r="N41" i="119"/>
  <c r="N144" i="119" s="1"/>
  <c r="AA48" i="119"/>
  <c r="AA173" i="119" s="1"/>
  <c r="AE48" i="119"/>
  <c r="AE173" i="119" s="1"/>
  <c r="I32" i="119"/>
  <c r="I124" i="119" s="1"/>
  <c r="E112" i="119"/>
  <c r="BA257" i="51"/>
  <c r="BB259" i="51"/>
  <c r="AD216" i="51"/>
  <c r="AE354" i="51"/>
  <c r="AE337" i="51" s="1"/>
  <c r="AE338" i="51"/>
  <c r="AC24" i="119"/>
  <c r="AI86" i="119"/>
  <c r="J161" i="51"/>
  <c r="D174" i="51"/>
  <c r="C64" i="119"/>
  <c r="I11" i="51"/>
  <c r="I333" i="51"/>
  <c r="AQ167" i="119"/>
  <c r="AQ48" i="119"/>
  <c r="AQ173" i="119" s="1"/>
  <c r="U113" i="119"/>
  <c r="U33" i="119"/>
  <c r="U125" i="119" s="1"/>
  <c r="BF231" i="51"/>
  <c r="BF233" i="51" s="1"/>
  <c r="J174" i="51"/>
  <c r="AN44" i="51"/>
  <c r="AN46" i="51"/>
  <c r="AH56" i="51"/>
  <c r="I43" i="51"/>
  <c r="I44" i="51"/>
  <c r="C160" i="51"/>
  <c r="I46" i="51"/>
  <c r="O114" i="119"/>
  <c r="O34" i="119"/>
  <c r="O126" i="119" s="1"/>
  <c r="AD112" i="119"/>
  <c r="AG122" i="119"/>
  <c r="AG170" i="119"/>
  <c r="AG156" i="119"/>
  <c r="I156" i="119"/>
  <c r="I170" i="119"/>
  <c r="AQ72" i="51"/>
  <c r="Z12" i="119"/>
  <c r="AS43" i="51"/>
  <c r="AS45" i="51" s="1"/>
  <c r="V44" i="51"/>
  <c r="P160" i="51"/>
  <c r="V46" i="51"/>
  <c r="V43" i="51"/>
  <c r="AM112" i="119"/>
  <c r="AU142" i="119"/>
  <c r="AU156" i="119"/>
  <c r="AU170" i="119"/>
  <c r="AU122" i="119"/>
  <c r="W122" i="119"/>
  <c r="W170" i="119"/>
  <c r="W142" i="119"/>
  <c r="AG37" i="119"/>
  <c r="AG129" i="119" s="1"/>
  <c r="AG117" i="119"/>
  <c r="AJ250" i="51"/>
  <c r="AI257" i="51"/>
  <c r="AI250" i="51" s="1"/>
  <c r="AM42" i="119"/>
  <c r="AM145" i="119" s="1"/>
  <c r="AI42" i="119"/>
  <c r="AI145" i="119" s="1"/>
  <c r="O156" i="119"/>
  <c r="AE142" i="119"/>
  <c r="AQ139" i="119"/>
  <c r="G64" i="119"/>
  <c r="AJ86" i="119"/>
  <c r="AH42" i="119"/>
  <c r="AH145" i="119" s="1"/>
  <c r="AL42" i="119"/>
  <c r="AL145" i="119" s="1"/>
  <c r="AQ37" i="119"/>
  <c r="AQ129" i="119" s="1"/>
  <c r="AQ117" i="119"/>
  <c r="W112" i="119"/>
  <c r="W32" i="119"/>
  <c r="W124" i="119" s="1"/>
  <c r="S32" i="119"/>
  <c r="S124" i="119" s="1"/>
  <c r="O112" i="119"/>
  <c r="O32" i="119"/>
  <c r="O124" i="119" s="1"/>
  <c r="G112" i="119"/>
  <c r="K32" i="119"/>
  <c r="K124" i="119" s="1"/>
  <c r="G32" i="119"/>
  <c r="G124" i="119" s="1"/>
  <c r="R86" i="119"/>
  <c r="R21" i="119"/>
  <c r="R77" i="119" s="1"/>
  <c r="Y68" i="119"/>
  <c r="AC77" i="119" s="1"/>
  <c r="AJ230" i="51"/>
  <c r="M167" i="51"/>
  <c r="BH147" i="51"/>
  <c r="BH148" i="51" s="1"/>
  <c r="BH151" i="51" s="1"/>
  <c r="AT142" i="119"/>
  <c r="AT156" i="119"/>
  <c r="AL142" i="119"/>
  <c r="AL156" i="119"/>
  <c r="AD142" i="119"/>
  <c r="AD156" i="119"/>
  <c r="N122" i="119"/>
  <c r="N170" i="119"/>
  <c r="F122" i="119"/>
  <c r="F170" i="119"/>
  <c r="AP167" i="119"/>
  <c r="AD48" i="119"/>
  <c r="AD173" i="119" s="1"/>
  <c r="Z48" i="119"/>
  <c r="Z173" i="119" s="1"/>
  <c r="AK47" i="119"/>
  <c r="AK172" i="119" s="1"/>
  <c r="AK166" i="119"/>
  <c r="AG36" i="119"/>
  <c r="AG128" i="119" s="1"/>
  <c r="AK36" i="119"/>
  <c r="AK128" i="119" s="1"/>
  <c r="AM35" i="119"/>
  <c r="AM127" i="119" s="1"/>
  <c r="AQ35" i="119"/>
  <c r="AQ127" i="119" s="1"/>
  <c r="AC343" i="51"/>
  <c r="AC339" i="51"/>
  <c r="AY168" i="51"/>
  <c r="AY170" i="51" s="1"/>
  <c r="AS230" i="51"/>
  <c r="AH86" i="119"/>
  <c r="S64" i="119"/>
  <c r="D64" i="119"/>
  <c r="BL154" i="51"/>
  <c r="BL157" i="51"/>
  <c r="BL155" i="51"/>
  <c r="BF226" i="51"/>
  <c r="BF227" i="51"/>
  <c r="AT227" i="51"/>
  <c r="AT226" i="51"/>
  <c r="AH154" i="51"/>
  <c r="AA85" i="119"/>
  <c r="AH227" i="51"/>
  <c r="AH226" i="51"/>
  <c r="AD15" i="119"/>
  <c r="AH40" i="119" s="1"/>
  <c r="AH143" i="119" s="1"/>
  <c r="AD84" i="119"/>
  <c r="AU147" i="51"/>
  <c r="AU149" i="51" s="1"/>
  <c r="AF84" i="119"/>
  <c r="AO216" i="51"/>
  <c r="T66" i="119"/>
  <c r="X75" i="119" s="1"/>
  <c r="AC216" i="51"/>
  <c r="BC109" i="51"/>
  <c r="AW96" i="51"/>
  <c r="AQ95" i="51"/>
  <c r="AW98" i="51"/>
  <c r="AP43" i="51"/>
  <c r="AP56" i="51"/>
  <c r="AP188" i="51" s="1"/>
  <c r="O160" i="51"/>
  <c r="U46" i="51"/>
  <c r="O43" i="51"/>
  <c r="AW20" i="51"/>
  <c r="AS138" i="51"/>
  <c r="Y13" i="51"/>
  <c r="N9" i="119"/>
  <c r="N114" i="119" s="1"/>
  <c r="BC9" i="51"/>
  <c r="BI10" i="51"/>
  <c r="BC26" i="51"/>
  <c r="AL170" i="119"/>
  <c r="V156" i="119"/>
  <c r="AE138" i="119"/>
  <c r="AQ119" i="119"/>
  <c r="AG119" i="119"/>
  <c r="AM118" i="119"/>
  <c r="AO116" i="119"/>
  <c r="W115" i="119"/>
  <c r="AI85" i="119"/>
  <c r="W41" i="119"/>
  <c r="W144" i="119" s="1"/>
  <c r="AK39" i="119"/>
  <c r="AK131" i="119" s="1"/>
  <c r="AE35" i="119"/>
  <c r="AE127" i="119" s="1"/>
  <c r="AK142" i="119"/>
  <c r="AK156" i="119"/>
  <c r="AC142" i="119"/>
  <c r="AC156" i="119"/>
  <c r="U142" i="119"/>
  <c r="U156" i="119"/>
  <c r="AG48" i="119"/>
  <c r="AG173" i="119" s="1"/>
  <c r="AG167" i="119"/>
  <c r="AC48" i="119"/>
  <c r="AC173" i="119" s="1"/>
  <c r="AC40" i="119"/>
  <c r="AC143" i="119" s="1"/>
  <c r="AJ36" i="119"/>
  <c r="AJ128" i="119" s="1"/>
  <c r="AF36" i="119"/>
  <c r="AF128" i="119" s="1"/>
  <c r="AD10" i="119"/>
  <c r="AD115" i="119" s="1"/>
  <c r="AI33" i="119"/>
  <c r="AI125" i="119" s="1"/>
  <c r="AC111" i="119"/>
  <c r="AY221" i="51"/>
  <c r="BG218" i="51"/>
  <c r="BF218" i="51"/>
  <c r="BH218" i="51"/>
  <c r="BF211" i="51"/>
  <c r="BF213" i="51" s="1"/>
  <c r="BB186" i="51"/>
  <c r="BB185" i="51"/>
  <c r="AN154" i="51"/>
  <c r="BE154" i="51"/>
  <c r="BK155" i="51"/>
  <c r="BE226" i="51"/>
  <c r="BE227" i="51"/>
  <c r="AL67" i="119"/>
  <c r="AS226" i="51"/>
  <c r="AW153" i="51"/>
  <c r="AH85" i="119"/>
  <c r="AG227" i="51"/>
  <c r="AG226" i="51"/>
  <c r="AZ160" i="51"/>
  <c r="AZ216" i="51"/>
  <c r="AM84" i="119"/>
  <c r="AI66" i="119"/>
  <c r="AM75" i="119" s="1"/>
  <c r="AT147" i="51"/>
  <c r="AT149" i="51" s="1"/>
  <c r="AN216" i="51"/>
  <c r="BL144" i="51"/>
  <c r="BG211" i="51"/>
  <c r="BG213" i="51" s="1"/>
  <c r="BG160" i="51"/>
  <c r="BM161" i="51" s="1"/>
  <c r="BM163" i="51" s="1"/>
  <c r="BG210" i="51"/>
  <c r="BA138" i="51"/>
  <c r="BA144" i="51"/>
  <c r="AU211" i="51"/>
  <c r="AU213" i="51" s="1"/>
  <c r="AU160" i="51"/>
  <c r="AU127" i="51"/>
  <c r="AI211" i="51"/>
  <c r="AO144" i="51"/>
  <c r="AO138" i="51"/>
  <c r="X65" i="119"/>
  <c r="AB74" i="119" s="1"/>
  <c r="AB83" i="119"/>
  <c r="AI127" i="51"/>
  <c r="BH113" i="51"/>
  <c r="AO23" i="119" s="1"/>
  <c r="M106" i="51"/>
  <c r="AQ96" i="51"/>
  <c r="AQ98" i="51"/>
  <c r="U44" i="51"/>
  <c r="M35" i="51"/>
  <c r="L42" i="51"/>
  <c r="R44" i="51" s="1"/>
  <c r="AL122" i="119"/>
  <c r="AC36" i="119"/>
  <c r="AC128" i="119" s="1"/>
  <c r="L24" i="119"/>
  <c r="M46" i="119"/>
  <c r="M171" i="119" s="1"/>
  <c r="AM36" i="119"/>
  <c r="AM128" i="119" s="1"/>
  <c r="AM116" i="119"/>
  <c r="AC35" i="119"/>
  <c r="AC127" i="119" s="1"/>
  <c r="AC115" i="119"/>
  <c r="K34" i="119"/>
  <c r="K126" i="119" s="1"/>
  <c r="AD172" i="51"/>
  <c r="BF127" i="51"/>
  <c r="AT160" i="51"/>
  <c r="AT127" i="51"/>
  <c r="AZ138" i="51"/>
  <c r="AT210" i="51"/>
  <c r="AT211" i="51"/>
  <c r="AT213" i="51" s="1"/>
  <c r="AJ105" i="51"/>
  <c r="BC39" i="51"/>
  <c r="BC37" i="51"/>
  <c r="AE32" i="51"/>
  <c r="AT170" i="119"/>
  <c r="N142" i="119"/>
  <c r="AT122" i="119"/>
  <c r="AA113" i="119"/>
  <c r="AK67" i="119"/>
  <c r="AL84" i="119"/>
  <c r="AE65" i="119"/>
  <c r="AI74" i="119" s="1"/>
  <c r="Q41" i="119"/>
  <c r="Q144" i="119" s="1"/>
  <c r="AI38" i="119"/>
  <c r="AI130" i="119" s="1"/>
  <c r="AI51" i="119"/>
  <c r="AM51" i="119"/>
  <c r="T24" i="119"/>
  <c r="Q32" i="119"/>
  <c r="Q124" i="119" s="1"/>
  <c r="Q112" i="119"/>
  <c r="AA357" i="51"/>
  <c r="AA359" i="51" s="1"/>
  <c r="BG257" i="51"/>
  <c r="Y245" i="51"/>
  <c r="X245" i="51" s="1"/>
  <c r="W245" i="51" s="1"/>
  <c r="V245" i="51" s="1"/>
  <c r="U245" i="51" s="1"/>
  <c r="AA208" i="51"/>
  <c r="AA344" i="51"/>
  <c r="AA339" i="51"/>
  <c r="AE46" i="119"/>
  <c r="AE171" i="119" s="1"/>
  <c r="AS168" i="51"/>
  <c r="AS170" i="51" s="1"/>
  <c r="AO127" i="51"/>
  <c r="BK138" i="51"/>
  <c r="BI126" i="51"/>
  <c r="BI166" i="3" s="1"/>
  <c r="BE210" i="51"/>
  <c r="BK144" i="51"/>
  <c r="AS127" i="51"/>
  <c r="AY138" i="51"/>
  <c r="AS210" i="51"/>
  <c r="AH83" i="119"/>
  <c r="AD65" i="119"/>
  <c r="AH74" i="119" s="1"/>
  <c r="AG210" i="51"/>
  <c r="AG211" i="51"/>
  <c r="BL194" i="51"/>
  <c r="BL193" i="51"/>
  <c r="BL196" i="51"/>
  <c r="BI90" i="51"/>
  <c r="BI70" i="51"/>
  <c r="AY186" i="51"/>
  <c r="AY189" i="51"/>
  <c r="AQ39" i="51"/>
  <c r="AW39" i="51"/>
  <c r="AQ36" i="51"/>
  <c r="AW37" i="51"/>
  <c r="BI29" i="51"/>
  <c r="BC31" i="51"/>
  <c r="BS13" i="51"/>
  <c r="F142" i="119"/>
  <c r="AP48" i="119"/>
  <c r="AP173" i="119" s="1"/>
  <c r="Q46" i="119"/>
  <c r="Q171" i="119" s="1"/>
  <c r="AO39" i="119"/>
  <c r="AO131" i="119" s="1"/>
  <c r="AE36" i="119"/>
  <c r="AE128" i="119" s="1"/>
  <c r="AE116" i="119"/>
  <c r="BF210" i="51"/>
  <c r="AM65" i="119"/>
  <c r="AH127" i="51"/>
  <c r="AN144" i="51"/>
  <c r="AN138" i="51"/>
  <c r="AH210" i="51"/>
  <c r="AH211" i="51"/>
  <c r="W117" i="119"/>
  <c r="W37" i="119"/>
  <c r="W129" i="119" s="1"/>
  <c r="BF185" i="51"/>
  <c r="BF187" i="51"/>
  <c r="BF189" i="51"/>
  <c r="F42" i="51"/>
  <c r="L44" i="51" s="1"/>
  <c r="Q165" i="119"/>
  <c r="W65" i="119"/>
  <c r="AA74" i="119" s="1"/>
  <c r="AP66" i="119"/>
  <c r="O41" i="119"/>
  <c r="O144" i="119" s="1"/>
  <c r="AE50" i="119"/>
  <c r="AB24" i="119"/>
  <c r="AG41" i="119"/>
  <c r="AG144" i="119" s="1"/>
  <c r="AC41" i="119"/>
  <c r="AC144" i="119" s="1"/>
  <c r="U41" i="119"/>
  <c r="U144" i="119" s="1"/>
  <c r="Z40" i="119"/>
  <c r="Z143" i="119" s="1"/>
  <c r="Z137" i="119"/>
  <c r="AQ39" i="119"/>
  <c r="AQ131" i="119" s="1"/>
  <c r="AE39" i="119"/>
  <c r="AE131" i="119" s="1"/>
  <c r="AA39" i="119"/>
  <c r="AA131" i="119" s="1"/>
  <c r="AK38" i="119"/>
  <c r="AK130" i="119" s="1"/>
  <c r="AC38" i="119"/>
  <c r="AC130" i="119" s="1"/>
  <c r="AK111" i="119"/>
  <c r="BB227" i="51"/>
  <c r="AT221" i="51"/>
  <c r="AU221" i="51"/>
  <c r="AV221" i="51"/>
  <c r="AZ144" i="51"/>
  <c r="BK193" i="51"/>
  <c r="BK192" i="51"/>
  <c r="BK196" i="51"/>
  <c r="AP105" i="51"/>
  <c r="AP106" i="51" s="1"/>
  <c r="AP102" i="51"/>
  <c r="AP104" i="51" s="1"/>
  <c r="AJ115" i="51"/>
  <c r="AJ195" i="51" s="1"/>
  <c r="AW90" i="51"/>
  <c r="AW50" i="51"/>
  <c r="AQ50" i="51"/>
  <c r="AW51" i="51"/>
  <c r="AW53" i="51"/>
  <c r="K44" i="51"/>
  <c r="AQ40" i="51"/>
  <c r="Z19" i="119"/>
  <c r="AW36" i="51"/>
  <c r="M316" i="51"/>
  <c r="AN257" i="51"/>
  <c r="AY223" i="51"/>
  <c r="BH168" i="51"/>
  <c r="BH169" i="51" s="1"/>
  <c r="BN148" i="51"/>
  <c r="AM160" i="51"/>
  <c r="AM174" i="51" s="1"/>
  <c r="BB127" i="51"/>
  <c r="BB210" i="51"/>
  <c r="AP195" i="51"/>
  <c r="AP194" i="51"/>
  <c r="BC113" i="51"/>
  <c r="BO98" i="51"/>
  <c r="BC88" i="51"/>
  <c r="AW72" i="51"/>
  <c r="AV186" i="51"/>
  <c r="AV188" i="51"/>
  <c r="BH54" i="51"/>
  <c r="BH171" i="51"/>
  <c r="BI50" i="51"/>
  <c r="BA56" i="51"/>
  <c r="BA188" i="51" s="1"/>
  <c r="AC357" i="51"/>
  <c r="AC359" i="51" s="1"/>
  <c r="G316" i="51"/>
  <c r="AV249" i="51"/>
  <c r="BA168" i="51"/>
  <c r="BA170" i="51" s="1"/>
  <c r="AV168" i="51"/>
  <c r="AV170" i="51" s="1"/>
  <c r="AV160" i="51"/>
  <c r="AV174" i="51" s="1"/>
  <c r="AJ147" i="51"/>
  <c r="AJ149" i="51" s="1"/>
  <c r="AJ144" i="51"/>
  <c r="AJ323" i="51" s="1"/>
  <c r="Y8" i="119" s="1"/>
  <c r="AJ138" i="51"/>
  <c r="AJ322" i="51" s="1"/>
  <c r="Y7" i="119" s="1"/>
  <c r="Y112" i="119" s="1"/>
  <c r="AZ115" i="51"/>
  <c r="AZ195" i="51" s="1"/>
  <c r="AZ102" i="51"/>
  <c r="AZ104" i="51" s="1"/>
  <c r="AI102" i="51"/>
  <c r="BO69" i="51"/>
  <c r="BI85" i="51"/>
  <c r="BI79" i="51"/>
  <c r="BC50" i="51"/>
  <c r="BI51" i="51"/>
  <c r="BO32" i="51"/>
  <c r="AR138" i="119"/>
  <c r="BI11" i="51"/>
  <c r="AE8" i="51"/>
  <c r="AA9" i="51"/>
  <c r="AA11" i="51" s="1"/>
  <c r="AA42" i="51"/>
  <c r="AG46" i="51" s="1"/>
  <c r="BW5" i="51"/>
  <c r="AB357" i="51"/>
  <c r="AB359" i="51" s="1"/>
  <c r="BI153" i="51"/>
  <c r="BR130" i="51"/>
  <c r="BR128" i="51"/>
  <c r="AW113" i="51"/>
  <c r="BQ103" i="51"/>
  <c r="BQ117" i="51" s="1"/>
  <c r="AM115" i="51"/>
  <c r="AS102" i="51"/>
  <c r="AS104" i="51" s="1"/>
  <c r="BC99" i="51"/>
  <c r="AQ99" i="51"/>
  <c r="BS89" i="51"/>
  <c r="BS88" i="51" s="1"/>
  <c r="BR92" i="51"/>
  <c r="AU17" i="119" s="1"/>
  <c r="BR103" i="51"/>
  <c r="AQ88" i="51"/>
  <c r="AW89" i="51"/>
  <c r="BC68" i="51"/>
  <c r="BC79" i="51"/>
  <c r="AT185" i="51"/>
  <c r="AT187" i="51"/>
  <c r="AT189" i="51"/>
  <c r="BC51" i="51"/>
  <c r="BC53" i="51"/>
  <c r="AY188" i="51"/>
  <c r="AM43" i="51"/>
  <c r="AM56" i="51"/>
  <c r="S35" i="51"/>
  <c r="AW33" i="51"/>
  <c r="AM213" i="51"/>
  <c r="BQ169" i="51"/>
  <c r="AE167" i="51"/>
  <c r="AK171" i="51" s="1"/>
  <c r="BA154" i="51"/>
  <c r="BC111" i="51"/>
  <c r="AV43" i="51"/>
  <c r="AV45" i="51" s="1"/>
  <c r="BC33" i="51"/>
  <c r="BR46" i="51"/>
  <c r="AV213" i="51"/>
  <c r="BE127" i="51"/>
  <c r="BE333" i="51" s="1"/>
  <c r="BO108" i="51"/>
  <c r="BU111" i="51" s="1"/>
  <c r="BC54" i="51"/>
  <c r="BA43" i="51"/>
  <c r="BA45" i="51" s="1"/>
  <c r="AQ11" i="51"/>
  <c r="BB168" i="51"/>
  <c r="BB170" i="51" s="1"/>
  <c r="AW92" i="51"/>
  <c r="BC40" i="51"/>
  <c r="AB343" i="51"/>
  <c r="AB339" i="51"/>
  <c r="AT257" i="51"/>
  <c r="AU250" i="51"/>
  <c r="AB207" i="51"/>
  <c r="S240" i="51"/>
  <c r="S243" i="51"/>
  <c r="R243" i="51" s="1"/>
  <c r="S245" i="51"/>
  <c r="R245" i="51" s="1"/>
  <c r="Q245" i="51" s="1"/>
  <c r="P245" i="51" s="1"/>
  <c r="O245" i="51" s="1"/>
  <c r="AC244" i="51"/>
  <c r="AD238" i="51"/>
  <c r="S244" i="51"/>
  <c r="R244" i="51" s="1"/>
  <c r="BE221" i="51"/>
  <c r="BH221" i="51"/>
  <c r="BG221" i="51"/>
  <c r="AS195" i="51"/>
  <c r="AS193" i="51"/>
  <c r="AS192" i="51"/>
  <c r="AS196" i="51"/>
  <c r="AT223" i="51"/>
  <c r="AS194" i="51"/>
  <c r="AR48" i="119"/>
  <c r="AR173" i="119" s="1"/>
  <c r="S316" i="51"/>
  <c r="AU258" i="51"/>
  <c r="AU259" i="51" s="1"/>
  <c r="AV251" i="51"/>
  <c r="AV259" i="51"/>
  <c r="G239" i="51"/>
  <c r="G244" i="51" s="1"/>
  <c r="F244" i="51" s="1"/>
  <c r="BK357" i="51"/>
  <c r="BK359" i="51" s="1"/>
  <c r="AP259" i="51"/>
  <c r="AP250" i="51"/>
  <c r="AP252" i="51" s="1"/>
  <c r="AP253" i="51" s="1"/>
  <c r="BC243" i="51"/>
  <c r="BB243" i="51" s="1"/>
  <c r="BC244" i="51"/>
  <c r="BB244" i="51" s="1"/>
  <c r="BC240" i="51"/>
  <c r="AQ245" i="51"/>
  <c r="AP245" i="51" s="1"/>
  <c r="AO245" i="51" s="1"/>
  <c r="AN245" i="51" s="1"/>
  <c r="AM245" i="51" s="1"/>
  <c r="AQ240" i="51"/>
  <c r="AQ244" i="51"/>
  <c r="AP244" i="51" s="1"/>
  <c r="AT193" i="51"/>
  <c r="AT192" i="51"/>
  <c r="AT195" i="51"/>
  <c r="AT194" i="51"/>
  <c r="AT196" i="51"/>
  <c r="S106" i="51"/>
  <c r="BE102" i="51"/>
  <c r="BE104" i="51" s="1"/>
  <c r="BI101" i="51"/>
  <c r="BK103" i="51"/>
  <c r="BK106" i="51" s="1"/>
  <c r="BK102" i="51"/>
  <c r="BE115" i="51"/>
  <c r="BH249" i="51"/>
  <c r="BH252" i="51" s="1"/>
  <c r="BH253" i="51" s="1"/>
  <c r="BH259" i="51"/>
  <c r="BG256" i="51"/>
  <c r="W238" i="51"/>
  <c r="V244" i="51"/>
  <c r="AP154" i="51"/>
  <c r="AV154" i="51"/>
  <c r="AP226" i="51"/>
  <c r="BM256" i="51"/>
  <c r="BA249" i="51"/>
  <c r="AU249" i="51"/>
  <c r="AT256" i="51"/>
  <c r="AU244" i="51"/>
  <c r="BI240" i="51"/>
  <c r="BI245" i="51"/>
  <c r="AP237" i="51"/>
  <c r="AP168" i="51"/>
  <c r="AP170" i="51" s="1"/>
  <c r="AJ168" i="51"/>
  <c r="AJ170" i="51" s="1"/>
  <c r="AJ231" i="51"/>
  <c r="AZ154" i="51"/>
  <c r="BF154" i="51"/>
  <c r="AZ226" i="51"/>
  <c r="AO154" i="51"/>
  <c r="AU154" i="51"/>
  <c r="AO160" i="51"/>
  <c r="AD227" i="51"/>
  <c r="AD226" i="51"/>
  <c r="AD160" i="51"/>
  <c r="AB344" i="51"/>
  <c r="AB208" i="51"/>
  <c r="X42" i="51"/>
  <c r="AD44" i="51" s="1"/>
  <c r="AD36" i="51"/>
  <c r="X36" i="51"/>
  <c r="Y35" i="51"/>
  <c r="AK244" i="51"/>
  <c r="AJ244" i="51" s="1"/>
  <c r="AK245" i="51"/>
  <c r="AJ245" i="51" s="1"/>
  <c r="AI245" i="51" s="1"/>
  <c r="AH245" i="51" s="1"/>
  <c r="AG245" i="51" s="1"/>
  <c r="BK249" i="51"/>
  <c r="AH256" i="51"/>
  <c r="BK244" i="51"/>
  <c r="BH244" i="51"/>
  <c r="AO237" i="51"/>
  <c r="M239" i="51"/>
  <c r="M244" i="51" s="1"/>
  <c r="L244" i="51" s="1"/>
  <c r="AT168" i="51"/>
  <c r="AT170" i="51" s="1"/>
  <c r="AW167" i="51"/>
  <c r="AZ168" i="51"/>
  <c r="AZ170" i="51" s="1"/>
  <c r="AT230" i="51"/>
  <c r="AT231" i="51"/>
  <c r="AT233" i="51" s="1"/>
  <c r="AB161" i="51"/>
  <c r="AB174" i="51"/>
  <c r="AH162" i="51"/>
  <c r="AH164" i="51"/>
  <c r="BQ155" i="51"/>
  <c r="BK154" i="51"/>
  <c r="BK227" i="51"/>
  <c r="BK226" i="51"/>
  <c r="BI36" i="51"/>
  <c r="BO37" i="51"/>
  <c r="AZ249" i="51"/>
  <c r="AY256" i="51"/>
  <c r="AK240" i="51"/>
  <c r="AM243" i="51"/>
  <c r="AM237" i="51" s="1"/>
  <c r="AN237" i="51"/>
  <c r="AE243" i="51"/>
  <c r="AD243" i="51" s="1"/>
  <c r="AE240" i="51"/>
  <c r="AH168" i="51"/>
  <c r="AH170" i="51" s="1"/>
  <c r="AK167" i="51"/>
  <c r="AH230" i="51"/>
  <c r="BF102" i="51"/>
  <c r="BF104" i="51" s="1"/>
  <c r="BF115" i="51"/>
  <c r="BL116" i="51" s="1"/>
  <c r="BL102" i="51"/>
  <c r="BL104" i="51" s="1"/>
  <c r="S102" i="51"/>
  <c r="Y103" i="51"/>
  <c r="Y105" i="51"/>
  <c r="BK147" i="51"/>
  <c r="BQ150" i="51"/>
  <c r="BK216" i="51"/>
  <c r="BK219" i="51"/>
  <c r="AZ147" i="51"/>
  <c r="AZ149" i="51" s="1"/>
  <c r="BC146" i="51"/>
  <c r="BC169" i="3" s="1"/>
  <c r="BF147" i="51"/>
  <c r="BF149" i="51" s="1"/>
  <c r="AO256" i="51"/>
  <c r="AZ221" i="51"/>
  <c r="BL168" i="51"/>
  <c r="BL170" i="51" s="1"/>
  <c r="BL231" i="51"/>
  <c r="AV147" i="51"/>
  <c r="AV149" i="51" s="1"/>
  <c r="AP160" i="51"/>
  <c r="AQ146" i="51"/>
  <c r="AQ169" i="3" s="1"/>
  <c r="Q174" i="51"/>
  <c r="BL147" i="51"/>
  <c r="BR150" i="51"/>
  <c r="BL160" i="51"/>
  <c r="BA147" i="51"/>
  <c r="BA149" i="51" s="1"/>
  <c r="BG147" i="51"/>
  <c r="BG149" i="51" s="1"/>
  <c r="BA216" i="51"/>
  <c r="BA160" i="51"/>
  <c r="BA219" i="51"/>
  <c r="BA223" i="51" s="1"/>
  <c r="AC160" i="51"/>
  <c r="AI162" i="51" s="1"/>
  <c r="AE146" i="51"/>
  <c r="AE169" i="3" s="1"/>
  <c r="AC168" i="51"/>
  <c r="AC170" i="51" s="1"/>
  <c r="BI167" i="51"/>
  <c r="BK169" i="51"/>
  <c r="BK171" i="51"/>
  <c r="BB147" i="51"/>
  <c r="BB149" i="51" s="1"/>
  <c r="BB160" i="51"/>
  <c r="BH163" i="51" s="1"/>
  <c r="AK146" i="51"/>
  <c r="AK169" i="3" s="1"/>
  <c r="AG147" i="51"/>
  <c r="AG149" i="51" s="1"/>
  <c r="AQ111" i="51"/>
  <c r="L168" i="51"/>
  <c r="L170" i="51" s="1"/>
  <c r="G167" i="51"/>
  <c r="E174" i="51"/>
  <c r="AY154" i="51"/>
  <c r="BC153" i="51"/>
  <c r="AY160" i="51"/>
  <c r="AT154" i="51"/>
  <c r="AQ153" i="51"/>
  <c r="BG168" i="51"/>
  <c r="BG170" i="51" s="1"/>
  <c r="AN168" i="51"/>
  <c r="AN170" i="51" s="1"/>
  <c r="BH154" i="51"/>
  <c r="BN155" i="51"/>
  <c r="BG154" i="51"/>
  <c r="AD168" i="51"/>
  <c r="AD170" i="51" s="1"/>
  <c r="AJ160" i="51"/>
  <c r="AP162" i="51" s="1"/>
  <c r="AK153" i="51"/>
  <c r="AG154" i="51"/>
  <c r="AW146" i="51"/>
  <c r="AW169" i="3" s="1"/>
  <c r="AS147" i="51"/>
  <c r="AS149" i="51" s="1"/>
  <c r="AS160" i="51"/>
  <c r="AH147" i="51"/>
  <c r="AH149" i="51" s="1"/>
  <c r="AN147" i="51"/>
  <c r="AN149" i="51" s="1"/>
  <c r="AH160" i="51"/>
  <c r="BG102" i="51"/>
  <c r="BG104" i="51" s="1"/>
  <c r="BG115" i="51"/>
  <c r="BM116" i="51" s="1"/>
  <c r="AU102" i="51"/>
  <c r="AU104" i="51" s="1"/>
  <c r="AW101" i="51"/>
  <c r="BC103" i="51" s="1"/>
  <c r="AU115" i="51"/>
  <c r="BA102" i="51"/>
  <c r="BA104" i="51" s="1"/>
  <c r="BE160" i="51"/>
  <c r="AJ154" i="51"/>
  <c r="AY147" i="51"/>
  <c r="AY149" i="51" s="1"/>
  <c r="AG127" i="51"/>
  <c r="AM127" i="51"/>
  <c r="AK126" i="51"/>
  <c r="AK166" i="3" s="1"/>
  <c r="AM138" i="51"/>
  <c r="AM144" i="51"/>
  <c r="AG160" i="51"/>
  <c r="BO53" i="51"/>
  <c r="CC51" i="51"/>
  <c r="AP127" i="51"/>
  <c r="AV127" i="51"/>
  <c r="AV138" i="51"/>
  <c r="AV322" i="51" s="1"/>
  <c r="AG7" i="119" s="1"/>
  <c r="AG112" i="119" s="1"/>
  <c r="AV144" i="51"/>
  <c r="AV323" i="51" s="1"/>
  <c r="AG8" i="119" s="1"/>
  <c r="AI147" i="51"/>
  <c r="AI149" i="51" s="1"/>
  <c r="AO147" i="51"/>
  <c r="AO149" i="51" s="1"/>
  <c r="AW111" i="51"/>
  <c r="BR95" i="51"/>
  <c r="BL60" i="51"/>
  <c r="BL58" i="51"/>
  <c r="BE138" i="51"/>
  <c r="BA127" i="51"/>
  <c r="BG138" i="51"/>
  <c r="AQ126" i="51"/>
  <c r="AQ166" i="3" s="1"/>
  <c r="AU144" i="51"/>
  <c r="AQ113" i="51"/>
  <c r="CD91" i="51"/>
  <c r="CE91" i="51" s="1"/>
  <c r="CF91" i="51" s="1"/>
  <c r="BI37" i="51"/>
  <c r="BC36" i="51"/>
  <c r="BI39" i="51"/>
  <c r="BF160" i="51"/>
  <c r="BL150" i="51"/>
  <c r="BK127" i="51"/>
  <c r="AZ127" i="51"/>
  <c r="BF144" i="51"/>
  <c r="BI95" i="51"/>
  <c r="BO96" i="51"/>
  <c r="BR50" i="51"/>
  <c r="BR49" i="51" s="1"/>
  <c r="BC126" i="51"/>
  <c r="BC166" i="3" s="1"/>
  <c r="AY127" i="51"/>
  <c r="BE144" i="51"/>
  <c r="BY112" i="51"/>
  <c r="BZ112" i="51" s="1"/>
  <c r="CC112" i="51" s="1"/>
  <c r="BB57" i="51"/>
  <c r="BB59" i="51" s="1"/>
  <c r="BH127" i="51"/>
  <c r="BC110" i="51"/>
  <c r="AW109" i="51"/>
  <c r="BC112" i="51"/>
  <c r="AV102" i="51"/>
  <c r="AV104" i="51" s="1"/>
  <c r="AV115" i="51"/>
  <c r="BB116" i="51" s="1"/>
  <c r="BB118" i="51" s="1"/>
  <c r="BB102" i="51"/>
  <c r="BB104" i="51" s="1"/>
  <c r="BH138" i="51"/>
  <c r="BH322" i="51" s="1"/>
  <c r="AO7" i="119" s="1"/>
  <c r="AN127" i="51"/>
  <c r="AN115" i="51"/>
  <c r="AC115" i="51"/>
  <c r="BH102" i="51"/>
  <c r="BH103" i="51" s="1"/>
  <c r="AW99" i="51"/>
  <c r="AQ90" i="51"/>
  <c r="BC89" i="51"/>
  <c r="BC91" i="51"/>
  <c r="AW88" i="51"/>
  <c r="R102" i="51"/>
  <c r="R104" i="51" s="1"/>
  <c r="S104" i="51" s="1"/>
  <c r="S103" i="51"/>
  <c r="BC90" i="51"/>
  <c r="BR72" i="51"/>
  <c r="BS71" i="51"/>
  <c r="BH72" i="51"/>
  <c r="AO12" i="119" s="1"/>
  <c r="BI69" i="51"/>
  <c r="BH43" i="51"/>
  <c r="BH45" i="51" s="1"/>
  <c r="AW126" i="51"/>
  <c r="AW166" i="3" s="1"/>
  <c r="BC101" i="51"/>
  <c r="AY115" i="51"/>
  <c r="BX69" i="51"/>
  <c r="AD106" i="51"/>
  <c r="AQ101" i="51"/>
  <c r="AM102" i="51"/>
  <c r="AM104" i="51" s="1"/>
  <c r="AC102" i="51"/>
  <c r="AC104" i="51" s="1"/>
  <c r="AI105" i="51"/>
  <c r="AI103" i="51"/>
  <c r="M103" i="51"/>
  <c r="BO91" i="51"/>
  <c r="AW70" i="51"/>
  <c r="AT102" i="51"/>
  <c r="AT104" i="51" s="1"/>
  <c r="AJ102" i="51"/>
  <c r="AJ54" i="51"/>
  <c r="Y22" i="119" s="1"/>
  <c r="BS52" i="51"/>
  <c r="BT52" i="51" s="1"/>
  <c r="BW52" i="51" s="1"/>
  <c r="BE57" i="51"/>
  <c r="BE59" i="51" s="1"/>
  <c r="Y101" i="51"/>
  <c r="X102" i="51"/>
  <c r="X104" i="51" s="1"/>
  <c r="Y104" i="51" s="1"/>
  <c r="BK58" i="51"/>
  <c r="BI52" i="51"/>
  <c r="J46" i="51"/>
  <c r="J43" i="51"/>
  <c r="J44" i="51"/>
  <c r="AQ112" i="51"/>
  <c r="AW52" i="51"/>
  <c r="BL43" i="51"/>
  <c r="BL45" i="51" s="1"/>
  <c r="BL56" i="51"/>
  <c r="AZ43" i="51"/>
  <c r="AZ45" i="51" s="1"/>
  <c r="AZ56" i="51"/>
  <c r="BF57" i="51" s="1"/>
  <c r="BF59" i="51" s="1"/>
  <c r="BF43" i="51"/>
  <c r="BF45" i="51" s="1"/>
  <c r="AN43" i="51"/>
  <c r="AN56" i="51"/>
  <c r="AT57" i="51" s="1"/>
  <c r="AT59" i="51" s="1"/>
  <c r="AD56" i="51"/>
  <c r="AJ57" i="51" s="1"/>
  <c r="AJ59" i="51" s="1"/>
  <c r="W44" i="51"/>
  <c r="Q43" i="51"/>
  <c r="Q45" i="51" s="1"/>
  <c r="W46" i="51"/>
  <c r="BB43" i="51"/>
  <c r="BB45" i="51" s="1"/>
  <c r="BS32" i="51"/>
  <c r="AW11" i="51"/>
  <c r="AQ54" i="51"/>
  <c r="AO43" i="51"/>
  <c r="AO45" i="51" s="1"/>
  <c r="AO56" i="51"/>
  <c r="AU57" i="51" s="1"/>
  <c r="AU59" i="51" s="1"/>
  <c r="AK79" i="51"/>
  <c r="AM46" i="51"/>
  <c r="AJ43" i="51"/>
  <c r="AJ45" i="51" s="1"/>
  <c r="AP44" i="51"/>
  <c r="BX30" i="51"/>
  <c r="BI12" i="51"/>
  <c r="BH13" i="51"/>
  <c r="P43" i="51"/>
  <c r="BI40" i="51"/>
  <c r="BE43" i="51"/>
  <c r="BE45" i="51" s="1"/>
  <c r="BI42" i="51"/>
  <c r="AW42" i="51"/>
  <c r="BC46" i="51" s="1"/>
  <c r="AB44" i="51"/>
  <c r="AB46" i="51"/>
  <c r="AB164" i="51" s="1"/>
  <c r="Q46" i="51"/>
  <c r="K43" i="51"/>
  <c r="BO10" i="51"/>
  <c r="BI9" i="51"/>
  <c r="BI26" i="51"/>
  <c r="BI20" i="51"/>
  <c r="AA46" i="51"/>
  <c r="U43" i="51"/>
  <c r="AA36" i="51"/>
  <c r="AE35" i="51"/>
  <c r="AJ13" i="51"/>
  <c r="AJ46" i="51"/>
  <c r="AJ47" i="51" s="1"/>
  <c r="AT43" i="51"/>
  <c r="AT45" i="51" s="1"/>
  <c r="W43" i="51"/>
  <c r="AC44" i="51"/>
  <c r="BX32" i="51"/>
  <c r="BY32" i="51" s="1"/>
  <c r="BZ32" i="51" s="1"/>
  <c r="CC32" i="51" s="1"/>
  <c r="R9" i="51"/>
  <c r="BC42" i="51"/>
  <c r="BI44" i="51" s="1"/>
  <c r="AW40" i="51"/>
  <c r="BC13" i="51"/>
  <c r="AQ13" i="51"/>
  <c r="G35" i="51"/>
  <c r="BH33" i="51"/>
  <c r="BI32" i="51"/>
  <c r="AW30" i="51"/>
  <c r="AW29" i="51"/>
  <c r="AW26" i="51"/>
  <c r="AW9" i="51"/>
  <c r="Y10" i="51"/>
  <c r="Y12" i="51"/>
  <c r="Y332" i="51" s="1"/>
  <c r="Y20" i="51"/>
  <c r="Y26" i="51"/>
  <c r="X9" i="51"/>
  <c r="R42" i="51"/>
  <c r="AQ30" i="51"/>
  <c r="L36" i="51"/>
  <c r="AE33" i="51"/>
  <c r="S28" i="51"/>
  <c r="Y33" i="51" s="1"/>
  <c r="X29" i="51"/>
  <c r="X31" i="51" s="1"/>
  <c r="BZ10" i="51"/>
  <c r="AI43" i="51"/>
  <c r="AQ42" i="51"/>
  <c r="AW46" i="51" s="1"/>
  <c r="S13" i="51"/>
  <c r="AQ9" i="51"/>
  <c r="AW12" i="51"/>
  <c r="AW10" i="51"/>
  <c r="AQ31" i="51"/>
  <c r="AE28" i="51"/>
  <c r="AK31" i="51" s="1"/>
  <c r="BI31" i="51"/>
  <c r="BC11" i="51"/>
  <c r="G8" i="51"/>
  <c r="G271" i="51" s="1"/>
  <c r="G274" i="51" s="1"/>
  <c r="L9" i="51"/>
  <c r="AE30" i="51"/>
  <c r="AN50" i="119"/>
  <c r="AN46" i="119"/>
  <c r="AN171" i="119" s="1"/>
  <c r="AJ46" i="119"/>
  <c r="AJ171" i="119" s="1"/>
  <c r="AN41" i="119"/>
  <c r="AN144" i="119" s="1"/>
  <c r="AN138" i="119"/>
  <c r="AP39" i="119"/>
  <c r="AP131" i="119" s="1"/>
  <c r="AR38" i="119"/>
  <c r="AR130" i="119" s="1"/>
  <c r="AN38" i="119"/>
  <c r="AN130" i="119" s="1"/>
  <c r="AN118" i="119"/>
  <c r="AB37" i="119"/>
  <c r="AB129" i="119" s="1"/>
  <c r="AF37" i="119"/>
  <c r="AF129" i="119" s="1"/>
  <c r="AB117" i="119"/>
  <c r="Z36" i="119"/>
  <c r="Z128" i="119" s="1"/>
  <c r="AD36" i="119"/>
  <c r="AD128" i="119" s="1"/>
  <c r="Z116" i="119"/>
  <c r="P34" i="119"/>
  <c r="P126" i="119" s="1"/>
  <c r="L34" i="119"/>
  <c r="L126" i="119" s="1"/>
  <c r="L114" i="119"/>
  <c r="AD33" i="119"/>
  <c r="AD125" i="119" s="1"/>
  <c r="AH33" i="119"/>
  <c r="AH125" i="119" s="1"/>
  <c r="AD113" i="119"/>
  <c r="AR32" i="119"/>
  <c r="AR124" i="119" s="1"/>
  <c r="AN32" i="119"/>
  <c r="AN124" i="119" s="1"/>
  <c r="AN112" i="119"/>
  <c r="L32" i="119"/>
  <c r="L124" i="119" s="1"/>
  <c r="H32" i="119"/>
  <c r="H124" i="119" s="1"/>
  <c r="H112" i="119"/>
  <c r="AF31" i="119"/>
  <c r="AF123" i="119" s="1"/>
  <c r="AJ31" i="119"/>
  <c r="AJ123" i="119" s="1"/>
  <c r="AF111" i="119"/>
  <c r="AN30" i="119"/>
  <c r="AJ30" i="119"/>
  <c r="AN170" i="119"/>
  <c r="H170" i="119"/>
  <c r="AF156" i="119"/>
  <c r="AV142" i="119"/>
  <c r="P142" i="119"/>
  <c r="AJ139" i="119"/>
  <c r="AV122" i="119"/>
  <c r="AN122" i="119"/>
  <c r="AF122" i="119"/>
  <c r="X122" i="119"/>
  <c r="P122" i="119"/>
  <c r="H122" i="119"/>
  <c r="AN51" i="119"/>
  <c r="AJ51" i="119"/>
  <c r="X50" i="119"/>
  <c r="AB50" i="119"/>
  <c r="AJ48" i="119"/>
  <c r="AJ173" i="119" s="1"/>
  <c r="AN48" i="119"/>
  <c r="AN173" i="119" s="1"/>
  <c r="AB41" i="119"/>
  <c r="AB144" i="119" s="1"/>
  <c r="X41" i="119"/>
  <c r="X144" i="119" s="1"/>
  <c r="X138" i="119"/>
  <c r="AF40" i="119"/>
  <c r="AF143" i="119" s="1"/>
  <c r="AB40" i="119"/>
  <c r="AB143" i="119" s="1"/>
  <c r="AJ38" i="119"/>
  <c r="AJ130" i="119" s="1"/>
  <c r="AF38" i="119"/>
  <c r="AF130" i="119" s="1"/>
  <c r="AF118" i="119"/>
  <c r="AP36" i="119"/>
  <c r="AP128" i="119" s="1"/>
  <c r="AP116" i="119"/>
  <c r="AN35" i="119"/>
  <c r="AN127" i="119" s="1"/>
  <c r="AR35" i="119"/>
  <c r="AR127" i="119" s="1"/>
  <c r="AN34" i="119"/>
  <c r="AN126" i="119" s="1"/>
  <c r="AJ34" i="119"/>
  <c r="AJ126" i="119" s="1"/>
  <c r="AJ114" i="119"/>
  <c r="D114" i="119"/>
  <c r="H34" i="119"/>
  <c r="H126" i="119" s="1"/>
  <c r="N33" i="119"/>
  <c r="N125" i="119" s="1"/>
  <c r="R33" i="119"/>
  <c r="R125" i="119" s="1"/>
  <c r="N113" i="119"/>
  <c r="AJ32" i="119"/>
  <c r="AJ124" i="119" s="1"/>
  <c r="AF32" i="119"/>
  <c r="AF124" i="119" s="1"/>
  <c r="AF112" i="119"/>
  <c r="X31" i="119"/>
  <c r="X123" i="119" s="1"/>
  <c r="AB31" i="119"/>
  <c r="AB123" i="119" s="1"/>
  <c r="X111" i="119"/>
  <c r="P170" i="119"/>
  <c r="AN156" i="119"/>
  <c r="H156" i="119"/>
  <c r="X142" i="119"/>
  <c r="AP119" i="119"/>
  <c r="AN42" i="119"/>
  <c r="AN145" i="119" s="1"/>
  <c r="AF51" i="119"/>
  <c r="AB51" i="119"/>
  <c r="AF50" i="119"/>
  <c r="AJ50" i="119"/>
  <c r="X47" i="119"/>
  <c r="X172" i="119" s="1"/>
  <c r="X166" i="119"/>
  <c r="AB47" i="119"/>
  <c r="AB172" i="119" s="1"/>
  <c r="X46" i="119"/>
  <c r="X171" i="119" s="1"/>
  <c r="T46" i="119"/>
  <c r="T171" i="119" s="1"/>
  <c r="AF42" i="119"/>
  <c r="AF145" i="119" s="1"/>
  <c r="AB42" i="119"/>
  <c r="AB145" i="119" s="1"/>
  <c r="T41" i="119"/>
  <c r="T144" i="119" s="1"/>
  <c r="P41" i="119"/>
  <c r="P144" i="119" s="1"/>
  <c r="P138" i="119"/>
  <c r="AL39" i="119"/>
  <c r="AL131" i="119" s="1"/>
  <c r="AH39" i="119"/>
  <c r="AH131" i="119" s="1"/>
  <c r="AB38" i="119"/>
  <c r="AB130" i="119" s="1"/>
  <c r="X118" i="119"/>
  <c r="AH36" i="119"/>
  <c r="AH128" i="119" s="1"/>
  <c r="AL36" i="119"/>
  <c r="AL128" i="119" s="1"/>
  <c r="AH116" i="119"/>
  <c r="AF35" i="119"/>
  <c r="AF127" i="119" s="1"/>
  <c r="AJ35" i="119"/>
  <c r="AJ127" i="119" s="1"/>
  <c r="AB34" i="119"/>
  <c r="AB126" i="119" s="1"/>
  <c r="AF34" i="119"/>
  <c r="AF126" i="119" s="1"/>
  <c r="AB114" i="119"/>
  <c r="AL33" i="119"/>
  <c r="AL125" i="119" s="1"/>
  <c r="AL113" i="119"/>
  <c r="AP33" i="119"/>
  <c r="AP125" i="119" s="1"/>
  <c r="F33" i="119"/>
  <c r="F125" i="119" s="1"/>
  <c r="J33" i="119"/>
  <c r="J125" i="119" s="1"/>
  <c r="F113" i="119"/>
  <c r="AB32" i="119"/>
  <c r="AB124" i="119" s="1"/>
  <c r="X32" i="119"/>
  <c r="X124" i="119" s="1"/>
  <c r="X112" i="119"/>
  <c r="AN31" i="119"/>
  <c r="AN123" i="119" s="1"/>
  <c r="AN111" i="119"/>
  <c r="AV170" i="119"/>
  <c r="AF170" i="119"/>
  <c r="X156" i="119"/>
  <c r="AB48" i="119"/>
  <c r="AB173" i="119" s="1"/>
  <c r="AF48" i="119"/>
  <c r="AF173" i="119" s="1"/>
  <c r="AF46" i="119"/>
  <c r="AF171" i="119" s="1"/>
  <c r="AB46" i="119"/>
  <c r="AB171" i="119" s="1"/>
  <c r="AJ41" i="119"/>
  <c r="AJ144" i="119" s="1"/>
  <c r="AF41" i="119"/>
  <c r="AF144" i="119" s="1"/>
  <c r="AF138" i="119"/>
  <c r="AN40" i="119"/>
  <c r="AN143" i="119" s="1"/>
  <c r="AJ40" i="119"/>
  <c r="AJ143" i="119" s="1"/>
  <c r="AD39" i="119"/>
  <c r="AD131" i="119" s="1"/>
  <c r="Z39" i="119"/>
  <c r="Z131" i="119" s="1"/>
  <c r="AJ37" i="119"/>
  <c r="AJ129" i="119" s="1"/>
  <c r="AN37" i="119"/>
  <c r="AN129" i="119" s="1"/>
  <c r="AJ117" i="119"/>
  <c r="X34" i="119"/>
  <c r="X126" i="119" s="1"/>
  <c r="T34" i="119"/>
  <c r="T126" i="119" s="1"/>
  <c r="T114" i="119"/>
  <c r="V33" i="119"/>
  <c r="V125" i="119" s="1"/>
  <c r="Z33" i="119"/>
  <c r="Z125" i="119" s="1"/>
  <c r="V113" i="119"/>
  <c r="T32" i="119"/>
  <c r="T124" i="119" s="1"/>
  <c r="P32" i="119"/>
  <c r="P124" i="119" s="1"/>
  <c r="P112" i="119"/>
  <c r="AH119" i="119"/>
  <c r="AN115" i="119"/>
  <c r="AF115" i="119"/>
  <c r="X115" i="119"/>
  <c r="AH51" i="119"/>
  <c r="AL51" i="119"/>
  <c r="AD51" i="119"/>
  <c r="Z51" i="119"/>
  <c r="AH50" i="119"/>
  <c r="AD50" i="119"/>
  <c r="Z50" i="119"/>
  <c r="V50" i="119"/>
  <c r="AL48" i="119"/>
  <c r="AL173" i="119" s="1"/>
  <c r="AH48" i="119"/>
  <c r="AH173" i="119" s="1"/>
  <c r="AP47" i="119"/>
  <c r="AP172" i="119" s="1"/>
  <c r="AL47" i="119"/>
  <c r="AL172" i="119" s="1"/>
  <c r="AH47" i="119"/>
  <c r="AH172" i="119" s="1"/>
  <c r="AD47" i="119"/>
  <c r="AD172" i="119" s="1"/>
  <c r="V47" i="119"/>
  <c r="V172" i="119" s="1"/>
  <c r="Z47" i="119"/>
  <c r="Z172" i="119" s="1"/>
  <c r="AL46" i="119"/>
  <c r="AL171" i="119" s="1"/>
  <c r="AH46" i="119"/>
  <c r="AH171" i="119" s="1"/>
  <c r="AD46" i="119"/>
  <c r="AD171" i="119" s="1"/>
  <c r="Z46" i="119"/>
  <c r="Z171" i="119" s="1"/>
  <c r="N46" i="119"/>
  <c r="N171" i="119" s="1"/>
  <c r="AP42" i="119"/>
  <c r="AP145" i="119" s="1"/>
  <c r="AT42" i="119"/>
  <c r="AT145" i="119" s="1"/>
  <c r="AP41" i="119"/>
  <c r="AP144" i="119" s="1"/>
  <c r="AL41" i="119"/>
  <c r="AL144" i="119" s="1"/>
  <c r="AH41" i="119"/>
  <c r="AH144" i="119" s="1"/>
  <c r="AD41" i="119"/>
  <c r="AD144" i="119" s="1"/>
  <c r="Z41" i="119"/>
  <c r="Z144" i="119" s="1"/>
  <c r="V41" i="119"/>
  <c r="V144" i="119" s="1"/>
  <c r="AL40" i="119"/>
  <c r="AL143" i="119" s="1"/>
  <c r="AR39" i="119"/>
  <c r="AR131" i="119" s="1"/>
  <c r="AN39" i="119"/>
  <c r="AN131" i="119" s="1"/>
  <c r="AJ39" i="119"/>
  <c r="AJ131" i="119" s="1"/>
  <c r="AF39" i="119"/>
  <c r="AF131" i="119" s="1"/>
  <c r="AL38" i="119"/>
  <c r="AL130" i="119" s="1"/>
  <c r="AP38" i="119"/>
  <c r="AP130" i="119" s="1"/>
  <c r="AD38" i="119"/>
  <c r="AD130" i="119" s="1"/>
  <c r="AH38" i="119"/>
  <c r="AH130" i="119" s="1"/>
  <c r="AP37" i="119"/>
  <c r="AP129" i="119" s="1"/>
  <c r="AN36" i="119"/>
  <c r="AN128" i="119" s="1"/>
  <c r="AR36" i="119"/>
  <c r="AR128" i="119" s="1"/>
  <c r="AL35" i="119"/>
  <c r="AL127" i="119" s="1"/>
  <c r="AH34" i="119"/>
  <c r="AH126" i="119" s="1"/>
  <c r="AL34" i="119"/>
  <c r="AL126" i="119" s="1"/>
  <c r="Z34" i="119"/>
  <c r="Z126" i="119" s="1"/>
  <c r="AD34" i="119"/>
  <c r="AD126" i="119" s="1"/>
  <c r="V34" i="119"/>
  <c r="V126" i="119" s="1"/>
  <c r="J34" i="119"/>
  <c r="J126" i="119" s="1"/>
  <c r="AN33" i="119"/>
  <c r="AN125" i="119" s="1"/>
  <c r="AJ33" i="119"/>
  <c r="AJ125" i="119" s="1"/>
  <c r="AF33" i="119"/>
  <c r="AF125" i="119" s="1"/>
  <c r="AB33" i="119"/>
  <c r="AB125" i="119" s="1"/>
  <c r="X33" i="119"/>
  <c r="X125" i="119" s="1"/>
  <c r="T33" i="119"/>
  <c r="T125" i="119" s="1"/>
  <c r="AL32" i="119"/>
  <c r="AL124" i="119" s="1"/>
  <c r="AP32" i="119"/>
  <c r="AP124" i="119" s="1"/>
  <c r="J32" i="119"/>
  <c r="J124" i="119" s="1"/>
  <c r="F32" i="119"/>
  <c r="F124" i="119" s="1"/>
  <c r="AL31" i="119"/>
  <c r="AL123" i="119" s="1"/>
  <c r="AH31" i="119"/>
  <c r="AH123" i="119" s="1"/>
  <c r="AD31" i="119"/>
  <c r="AD123" i="119" s="1"/>
  <c r="Z31" i="119"/>
  <c r="Z123" i="119" s="1"/>
  <c r="V31" i="119"/>
  <c r="V123" i="119" s="1"/>
  <c r="AP30" i="119"/>
  <c r="AL30" i="119"/>
  <c r="AH30" i="119"/>
  <c r="AG40" i="119"/>
  <c r="AG143" i="119" s="1"/>
  <c r="AK40" i="119"/>
  <c r="AK143" i="119" s="1"/>
  <c r="AG34" i="119"/>
  <c r="AG126" i="119" s="1"/>
  <c r="AK34" i="119"/>
  <c r="AK126" i="119" s="1"/>
  <c r="I34" i="119"/>
  <c r="I126" i="119" s="1"/>
  <c r="M34" i="119"/>
  <c r="M126" i="119" s="1"/>
  <c r="AU33" i="119"/>
  <c r="AU125" i="119" s="1"/>
  <c r="AQ33" i="119"/>
  <c r="AQ125" i="119" s="1"/>
  <c r="U32" i="119"/>
  <c r="U124" i="119" s="1"/>
  <c r="AK41" i="119"/>
  <c r="AK144" i="119" s="1"/>
  <c r="I46" i="119"/>
  <c r="I171" i="119" s="1"/>
  <c r="AM39" i="119"/>
  <c r="AM131" i="119" s="1"/>
  <c r="AK51" i="119"/>
  <c r="AC51" i="119"/>
  <c r="AG47" i="119"/>
  <c r="AG172" i="119" s="1"/>
  <c r="AO38" i="119"/>
  <c r="AO130" i="119" s="1"/>
  <c r="AG38" i="119"/>
  <c r="AG130" i="119" s="1"/>
  <c r="AK37" i="119"/>
  <c r="AK129" i="119" s="1"/>
  <c r="AC37" i="119"/>
  <c r="AC129" i="119" s="1"/>
  <c r="AQ36" i="119"/>
  <c r="AQ128" i="119" s="1"/>
  <c r="AI36" i="119"/>
  <c r="AI128" i="119" s="1"/>
  <c r="AA36" i="119"/>
  <c r="AA128" i="119" s="1"/>
  <c r="AO35" i="119"/>
  <c r="AO127" i="119" s="1"/>
  <c r="AG35" i="119"/>
  <c r="AG127" i="119" s="1"/>
  <c r="AM33" i="119"/>
  <c r="AM125" i="119" s="1"/>
  <c r="AE33" i="119"/>
  <c r="AE125" i="119" s="1"/>
  <c r="W33" i="119"/>
  <c r="W125" i="119" s="1"/>
  <c r="O33" i="119"/>
  <c r="O125" i="119" s="1"/>
  <c r="G33" i="119"/>
  <c r="G125" i="119" s="1"/>
  <c r="AK30" i="119"/>
  <c r="BQ126" i="51" l="1"/>
  <c r="AK9" i="51"/>
  <c r="S9" i="51"/>
  <c r="S333" i="51" s="1"/>
  <c r="M271" i="51"/>
  <c r="M274" i="51" s="1"/>
  <c r="S12" i="51"/>
  <c r="S332" i="51" s="1"/>
  <c r="BH192" i="51"/>
  <c r="BH116" i="51"/>
  <c r="BH117" i="51" s="1"/>
  <c r="BH120" i="51" s="1"/>
  <c r="AO26" i="119" s="1"/>
  <c r="AO51" i="119" s="1"/>
  <c r="BH195" i="51"/>
  <c r="M13" i="51"/>
  <c r="Y166" i="3"/>
  <c r="Y172" i="3" s="1"/>
  <c r="Y173" i="3" s="1"/>
  <c r="Y174" i="3" s="1"/>
  <c r="S10" i="51"/>
  <c r="BH194" i="51"/>
  <c r="BH193" i="51"/>
  <c r="AW41" i="119"/>
  <c r="AW144" i="119" s="1"/>
  <c r="BN117" i="51"/>
  <c r="BN120" i="51" s="1"/>
  <c r="BE156" i="3"/>
  <c r="BA156" i="3"/>
  <c r="BH57" i="51"/>
  <c r="BH59" i="51" s="1"/>
  <c r="BN57" i="51"/>
  <c r="BN59" i="51" s="1"/>
  <c r="BO138" i="51"/>
  <c r="AS156" i="3"/>
  <c r="BH172" i="3"/>
  <c r="BH173" i="3" s="1"/>
  <c r="BH196" i="51"/>
  <c r="BN116" i="51"/>
  <c r="BO144" i="51"/>
  <c r="AO9" i="119"/>
  <c r="AO34" i="119" s="1"/>
  <c r="AO126" i="119" s="1"/>
  <c r="BL156" i="3"/>
  <c r="BH186" i="51"/>
  <c r="BH188" i="51"/>
  <c r="AO156" i="3"/>
  <c r="AP156" i="3"/>
  <c r="AT156" i="3"/>
  <c r="BH185" i="51"/>
  <c r="BB156" i="3"/>
  <c r="BH187" i="51"/>
  <c r="BH189" i="51"/>
  <c r="BG156" i="3"/>
  <c r="BM156" i="3"/>
  <c r="AN156" i="3"/>
  <c r="AV156" i="3"/>
  <c r="AY156" i="3"/>
  <c r="BK156" i="3"/>
  <c r="AO22" i="119"/>
  <c r="AO166" i="119" s="1"/>
  <c r="AU156" i="3"/>
  <c r="BH156" i="3"/>
  <c r="AM156" i="3"/>
  <c r="AZ156" i="3"/>
  <c r="AD194" i="51"/>
  <c r="AJ49" i="3"/>
  <c r="AJ51" i="3" s="1"/>
  <c r="AT243" i="51"/>
  <c r="AT237" i="51" s="1"/>
  <c r="AG196" i="51"/>
  <c r="Y24" i="119"/>
  <c r="AC49" i="119" s="1"/>
  <c r="AP15" i="119"/>
  <c r="AP137" i="119" s="1"/>
  <c r="Q162" i="51"/>
  <c r="BK149" i="51"/>
  <c r="BL149" i="51"/>
  <c r="C345" i="51"/>
  <c r="AP35" i="119"/>
  <c r="AP127" i="119" s="1"/>
  <c r="AI45" i="119"/>
  <c r="AI159" i="119" s="1"/>
  <c r="O77" i="119"/>
  <c r="X99" i="119"/>
  <c r="BE172" i="3"/>
  <c r="BE173" i="3" s="1"/>
  <c r="BK174" i="3" s="1"/>
  <c r="T99" i="119"/>
  <c r="T100" i="119" s="1"/>
  <c r="T59" i="119" s="1"/>
  <c r="BH49" i="3"/>
  <c r="BH51" i="3" s="1"/>
  <c r="BL174" i="3"/>
  <c r="AN174" i="51"/>
  <c r="P46" i="119"/>
  <c r="P171" i="119" s="1"/>
  <c r="L77" i="119"/>
  <c r="AD49" i="3"/>
  <c r="AD51" i="3" s="1"/>
  <c r="N99" i="119"/>
  <c r="N100" i="119" s="1"/>
  <c r="N59" i="119" s="1"/>
  <c r="J46" i="119"/>
  <c r="J171" i="119" s="1"/>
  <c r="V76" i="119"/>
  <c r="AK42" i="119"/>
  <c r="AK145" i="119" s="1"/>
  <c r="BS24" i="51"/>
  <c r="BS18" i="51"/>
  <c r="BS17" i="51" s="1"/>
  <c r="F345" i="51"/>
  <c r="BW12" i="51"/>
  <c r="BX12" i="51" s="1"/>
  <c r="BT19" i="51"/>
  <c r="BT25" i="51"/>
  <c r="BS84" i="51"/>
  <c r="BS78" i="51"/>
  <c r="BS76" i="51" s="1"/>
  <c r="V43" i="119"/>
  <c r="V157" i="119" s="1"/>
  <c r="AI45" i="51"/>
  <c r="AK95" i="119"/>
  <c r="Y85" i="119"/>
  <c r="BM158" i="51"/>
  <c r="BM149" i="51"/>
  <c r="BM57" i="51"/>
  <c r="BM129" i="51"/>
  <c r="BM136" i="51" s="1"/>
  <c r="BM333" i="51"/>
  <c r="BM58" i="51"/>
  <c r="AV237" i="51"/>
  <c r="AV239" i="51" s="1"/>
  <c r="AV240" i="51" s="1"/>
  <c r="AI186" i="51"/>
  <c r="AK56" i="51"/>
  <c r="AQ60" i="51" s="1"/>
  <c r="AG88" i="51"/>
  <c r="AG90" i="51" s="1"/>
  <c r="AK90" i="51" s="1"/>
  <c r="K99" i="3"/>
  <c r="AI49" i="119"/>
  <c r="AD76" i="119"/>
  <c r="AK76" i="119"/>
  <c r="BM117" i="51"/>
  <c r="BM118" i="51" s="1"/>
  <c r="AE31" i="51"/>
  <c r="AA219" i="51"/>
  <c r="AD43" i="51"/>
  <c r="AD45" i="51" s="1"/>
  <c r="BI170" i="51"/>
  <c r="K152" i="3"/>
  <c r="AG109" i="51"/>
  <c r="AG111" i="51" s="1"/>
  <c r="AK111" i="51" s="1"/>
  <c r="BM119" i="51"/>
  <c r="F46" i="119"/>
  <c r="F171" i="119" s="1"/>
  <c r="AB56" i="51"/>
  <c r="AB185" i="51" s="1"/>
  <c r="K161" i="51"/>
  <c r="X49" i="119"/>
  <c r="K174" i="51"/>
  <c r="BM156" i="51"/>
  <c r="AT124" i="119"/>
  <c r="BG186" i="51"/>
  <c r="BS144" i="3"/>
  <c r="BY144" i="3" s="1"/>
  <c r="CE144" i="3" s="1"/>
  <c r="BR144" i="3"/>
  <c r="BX144" i="3" s="1"/>
  <c r="CD144" i="3" s="1"/>
  <c r="BQ144" i="3"/>
  <c r="BW144" i="3" s="1"/>
  <c r="CC144" i="3" s="1"/>
  <c r="AH257" i="51"/>
  <c r="BQ101" i="51"/>
  <c r="BQ102" i="51" s="1"/>
  <c r="BQ104" i="51" s="1"/>
  <c r="AD99" i="119"/>
  <c r="AG99" i="119"/>
  <c r="AI259" i="51"/>
  <c r="I152" i="3"/>
  <c r="V158" i="3"/>
  <c r="Y19" i="119"/>
  <c r="Y152" i="119" s="1"/>
  <c r="AE76" i="119"/>
  <c r="T87" i="119"/>
  <c r="AP34" i="119"/>
  <c r="AP126" i="119" s="1"/>
  <c r="AJ104" i="51"/>
  <c r="AN258" i="51"/>
  <c r="AM258" i="51" s="1"/>
  <c r="AM251" i="51" s="1"/>
  <c r="AB49" i="119"/>
  <c r="AI187" i="51"/>
  <c r="AH193" i="51"/>
  <c r="AC99" i="119"/>
  <c r="AD100" i="119" s="1"/>
  <c r="AD59" i="119" s="1"/>
  <c r="F77" i="119"/>
  <c r="AB24" i="51"/>
  <c r="BX96" i="51"/>
  <c r="BL243" i="51"/>
  <c r="BL237" i="51" s="1"/>
  <c r="AI185" i="51"/>
  <c r="G22" i="51"/>
  <c r="Y9" i="51"/>
  <c r="Y333" i="51" s="1"/>
  <c r="AI188" i="51"/>
  <c r="AH258" i="51"/>
  <c r="AH251" i="51" s="1"/>
  <c r="G343" i="51"/>
  <c r="AW227" i="51"/>
  <c r="AB101" i="51"/>
  <c r="AB102" i="51" s="1"/>
  <c r="AB104" i="51" s="1"/>
  <c r="BI96" i="51"/>
  <c r="BC24" i="51"/>
  <c r="BC18" i="51"/>
  <c r="AQ24" i="51"/>
  <c r="AQ18" i="51"/>
  <c r="BI83" i="51"/>
  <c r="BI77" i="51"/>
  <c r="W331" i="51"/>
  <c r="W24" i="51"/>
  <c r="W18" i="51"/>
  <c r="AH83" i="51"/>
  <c r="AH77" i="51"/>
  <c r="AD24" i="51"/>
  <c r="AD18" i="51"/>
  <c r="BC83" i="51"/>
  <c r="BC77" i="51"/>
  <c r="J331" i="51"/>
  <c r="J343" i="51" s="1"/>
  <c r="J345" i="51" s="1"/>
  <c r="J346" i="51" s="1"/>
  <c r="J24" i="51"/>
  <c r="J18" i="51"/>
  <c r="V331" i="51"/>
  <c r="V24" i="51"/>
  <c r="V18" i="51"/>
  <c r="K331" i="51"/>
  <c r="K343" i="51" s="1"/>
  <c r="K345" i="51" s="1"/>
  <c r="K24" i="51"/>
  <c r="K18" i="51"/>
  <c r="AW24" i="51"/>
  <c r="AW18" i="51"/>
  <c r="AW83" i="51"/>
  <c r="AW77" i="51"/>
  <c r="AA24" i="51"/>
  <c r="AA18" i="51"/>
  <c r="BI24" i="51"/>
  <c r="BI18" i="51"/>
  <c r="I331" i="51"/>
  <c r="I343" i="51" s="1"/>
  <c r="I345" i="51" s="1"/>
  <c r="I337" i="51" s="1"/>
  <c r="I16" i="51" s="1"/>
  <c r="I17" i="51" s="1"/>
  <c r="I24" i="51"/>
  <c r="I18" i="51"/>
  <c r="AQ83" i="51"/>
  <c r="AQ77" i="51"/>
  <c r="BG142" i="51"/>
  <c r="BG136" i="51"/>
  <c r="AS12" i="119"/>
  <c r="AS117" i="119" s="1"/>
  <c r="BR137" i="51"/>
  <c r="BR143" i="51"/>
  <c r="L46" i="119"/>
  <c r="L171" i="119" s="1"/>
  <c r="BT70" i="51"/>
  <c r="AK151" i="119"/>
  <c r="R99" i="119"/>
  <c r="S100" i="119" s="1"/>
  <c r="S59" i="119" s="1"/>
  <c r="V49" i="119"/>
  <c r="R49" i="119"/>
  <c r="BS9" i="51"/>
  <c r="BS8" i="51" s="1"/>
  <c r="AC76" i="119"/>
  <c r="L44" i="119"/>
  <c r="L158" i="119" s="1"/>
  <c r="P44" i="119"/>
  <c r="P158" i="119" s="1"/>
  <c r="G344" i="51"/>
  <c r="E345" i="51"/>
  <c r="G16" i="51"/>
  <c r="AK99" i="119"/>
  <c r="AI153" i="119"/>
  <c r="AG44" i="119"/>
  <c r="AG158" i="119" s="1"/>
  <c r="AD95" i="119"/>
  <c r="AD96" i="119" s="1"/>
  <c r="AD57" i="119" s="1"/>
  <c r="AE75" i="119"/>
  <c r="AB76" i="119"/>
  <c r="AM45" i="119"/>
  <c r="AM159" i="119" s="1"/>
  <c r="AI43" i="119"/>
  <c r="AI157" i="119" s="1"/>
  <c r="AB45" i="119"/>
  <c r="AB159" i="119" s="1"/>
  <c r="AA211" i="51"/>
  <c r="AA81" i="51"/>
  <c r="AA75" i="51"/>
  <c r="Z99" i="119"/>
  <c r="AE45" i="119"/>
  <c r="AE159" i="119" s="1"/>
  <c r="AK89" i="51"/>
  <c r="AK91" i="51"/>
  <c r="BO12" i="51"/>
  <c r="BO130" i="51"/>
  <c r="BO39" i="51"/>
  <c r="BK118" i="51"/>
  <c r="AG68" i="51"/>
  <c r="AG70" i="51" s="1"/>
  <c r="AM43" i="119"/>
  <c r="AM157" i="119" s="1"/>
  <c r="BR109" i="51"/>
  <c r="BR108" i="51" s="1"/>
  <c r="BR167" i="51" s="1"/>
  <c r="AU34" i="119"/>
  <c r="AU126" i="119" s="1"/>
  <c r="AG93" i="119"/>
  <c r="AD195" i="51"/>
  <c r="AG195" i="51"/>
  <c r="AG194" i="51"/>
  <c r="AG192" i="51"/>
  <c r="AG95" i="119"/>
  <c r="AM76" i="119"/>
  <c r="AG165" i="51"/>
  <c r="V5" i="119" s="1"/>
  <c r="V73" i="119" s="1"/>
  <c r="X239" i="51"/>
  <c r="X240" i="51" s="1"/>
  <c r="U164" i="51"/>
  <c r="W99" i="3"/>
  <c r="AD93" i="119"/>
  <c r="AD94" i="119" s="1"/>
  <c r="AD56" i="119" s="1"/>
  <c r="Q164" i="51"/>
  <c r="AE12" i="51"/>
  <c r="BK59" i="51"/>
  <c r="AH46" i="51"/>
  <c r="Q161" i="51"/>
  <c r="BC230" i="51"/>
  <c r="AK155" i="51"/>
  <c r="AW169" i="51"/>
  <c r="BS68" i="51"/>
  <c r="BS67" i="51" s="1"/>
  <c r="BI171" i="51"/>
  <c r="BN151" i="51"/>
  <c r="K47" i="51"/>
  <c r="BG187" i="51"/>
  <c r="O161" i="51"/>
  <c r="H64" i="119"/>
  <c r="AI151" i="119"/>
  <c r="W243" i="51"/>
  <c r="W237" i="51" s="1"/>
  <c r="W239" i="51" s="1"/>
  <c r="W240" i="51" s="1"/>
  <c r="W142" i="3"/>
  <c r="W152" i="3"/>
  <c r="I142" i="3"/>
  <c r="K164" i="3"/>
  <c r="K165" i="3" s="1"/>
  <c r="AM49" i="119"/>
  <c r="AP116" i="51"/>
  <c r="AP118" i="51" s="1"/>
  <c r="AE13" i="51"/>
  <c r="O164" i="51"/>
  <c r="AC164" i="51"/>
  <c r="BL117" i="51"/>
  <c r="BL118" i="51" s="1"/>
  <c r="BN157" i="51"/>
  <c r="Y18" i="119"/>
  <c r="Y76" i="119" s="1"/>
  <c r="AN166" i="119"/>
  <c r="BR117" i="51"/>
  <c r="O44" i="119"/>
  <c r="O158" i="119" s="1"/>
  <c r="BS109" i="51"/>
  <c r="BS108" i="51" s="1"/>
  <c r="AM93" i="119"/>
  <c r="AJ45" i="119"/>
  <c r="AJ159" i="119" s="1"/>
  <c r="T49" i="119"/>
  <c r="AP95" i="119"/>
  <c r="AL97" i="119"/>
  <c r="AI99" i="119"/>
  <c r="V78" i="119"/>
  <c r="AF76" i="119"/>
  <c r="AI93" i="119"/>
  <c r="AH43" i="119"/>
  <c r="AH157" i="119" s="1"/>
  <c r="AJ76" i="119"/>
  <c r="AA43" i="119"/>
  <c r="AA157" i="119" s="1"/>
  <c r="AL76" i="119"/>
  <c r="AA76" i="119"/>
  <c r="AK46" i="119"/>
  <c r="AK171" i="119" s="1"/>
  <c r="AP31" i="119"/>
  <c r="AP123" i="119" s="1"/>
  <c r="AD43" i="119"/>
  <c r="AD157" i="119" s="1"/>
  <c r="P152" i="119"/>
  <c r="AQ172" i="3"/>
  <c r="AQ173" i="3" s="1"/>
  <c r="S44" i="119"/>
  <c r="S158" i="119" s="1"/>
  <c r="L49" i="119"/>
  <c r="J44" i="119"/>
  <c r="J158" i="119" s="1"/>
  <c r="AG77" i="119"/>
  <c r="AN76" i="119"/>
  <c r="Y153" i="119"/>
  <c r="AG31" i="119"/>
  <c r="AG123" i="119" s="1"/>
  <c r="R34" i="119"/>
  <c r="R126" i="119" s="1"/>
  <c r="AH37" i="119"/>
  <c r="AH129" i="119" s="1"/>
  <c r="AF47" i="119"/>
  <c r="AF172" i="119" s="1"/>
  <c r="AF43" i="119"/>
  <c r="AF157" i="119" s="1"/>
  <c r="AF95" i="119"/>
  <c r="AE93" i="119"/>
  <c r="AI40" i="119"/>
  <c r="AI143" i="119" s="1"/>
  <c r="AJ97" i="119"/>
  <c r="AE43" i="119"/>
  <c r="AE157" i="119" s="1"/>
  <c r="AO49" i="119"/>
  <c r="AD49" i="119"/>
  <c r="AJ93" i="119"/>
  <c r="AD97" i="119"/>
  <c r="AD98" i="119" s="1"/>
  <c r="AD58" i="119" s="1"/>
  <c r="X76" i="119"/>
  <c r="AG76" i="119"/>
  <c r="AU12" i="119"/>
  <c r="AU37" i="119" s="1"/>
  <c r="AU129" i="119" s="1"/>
  <c r="AR166" i="119"/>
  <c r="AK172" i="3"/>
  <c r="AK173" i="3" s="1"/>
  <c r="AQ170" i="51"/>
  <c r="AK148" i="51"/>
  <c r="L46" i="51"/>
  <c r="L47" i="51" s="1"/>
  <c r="D73" i="119"/>
  <c r="V164" i="51"/>
  <c r="C73" i="119"/>
  <c r="AD75" i="119"/>
  <c r="I77" i="119"/>
  <c r="E77" i="119"/>
  <c r="BR126" i="51"/>
  <c r="BL131" i="51"/>
  <c r="AH76" i="119"/>
  <c r="H77" i="119"/>
  <c r="AW9" i="119"/>
  <c r="AW114" i="119" s="1"/>
  <c r="AT65" i="119"/>
  <c r="AV9" i="119"/>
  <c r="AV114" i="119" s="1"/>
  <c r="AR117" i="119"/>
  <c r="Y74" i="119"/>
  <c r="AG74" i="119"/>
  <c r="AN93" i="119"/>
  <c r="W44" i="119"/>
  <c r="W158" i="119" s="1"/>
  <c r="AK93" i="119"/>
  <c r="AP74" i="119"/>
  <c r="AI76" i="119"/>
  <c r="Z76" i="119"/>
  <c r="AI44" i="119"/>
  <c r="AI158" i="119" s="1"/>
  <c r="T44" i="119"/>
  <c r="T158" i="119" s="1"/>
  <c r="AE49" i="119"/>
  <c r="AN95" i="119"/>
  <c r="AU44" i="119"/>
  <c r="AU158" i="119" s="1"/>
  <c r="AH93" i="119"/>
  <c r="AL45" i="119"/>
  <c r="AL159" i="119" s="1"/>
  <c r="X44" i="119"/>
  <c r="X158" i="119" s="1"/>
  <c r="AC45" i="119"/>
  <c r="AC159" i="119" s="1"/>
  <c r="F44" i="119"/>
  <c r="F158" i="119" s="1"/>
  <c r="AN44" i="119"/>
  <c r="AN158" i="119" s="1"/>
  <c r="AA45" i="119"/>
  <c r="AA159" i="119" s="1"/>
  <c r="AF166" i="119"/>
  <c r="W152" i="119"/>
  <c r="V44" i="119"/>
  <c r="V158" i="119" s="1"/>
  <c r="BC172" i="3"/>
  <c r="BC173" i="3" s="1"/>
  <c r="BO44" i="51"/>
  <c r="BR169" i="51"/>
  <c r="AR77" i="119"/>
  <c r="AT37" i="119"/>
  <c r="AT129" i="119" s="1"/>
  <c r="H44" i="119"/>
  <c r="H158" i="119" s="1"/>
  <c r="AF45" i="119"/>
  <c r="AF159" i="119" s="1"/>
  <c r="AI106" i="51"/>
  <c r="BI97" i="51"/>
  <c r="Y37" i="51"/>
  <c r="BG189" i="51"/>
  <c r="AA49" i="119"/>
  <c r="S87" i="119"/>
  <c r="AM97" i="119"/>
  <c r="V45" i="119"/>
  <c r="V159" i="119" s="1"/>
  <c r="H152" i="119"/>
  <c r="AB44" i="119"/>
  <c r="AB158" i="119" s="1"/>
  <c r="AE9" i="51"/>
  <c r="AK12" i="51"/>
  <c r="BI38" i="51"/>
  <c r="AJ106" i="51"/>
  <c r="AK88" i="51"/>
  <c r="V45" i="51"/>
  <c r="AM45" i="51"/>
  <c r="AG97" i="119"/>
  <c r="AO44" i="119"/>
  <c r="AO158" i="119" s="1"/>
  <c r="AW97" i="51"/>
  <c r="AQ97" i="51"/>
  <c r="BG188" i="51"/>
  <c r="AL49" i="119"/>
  <c r="V146" i="3"/>
  <c r="AA345" i="51"/>
  <c r="AA346" i="51" s="1"/>
  <c r="AR75" i="119"/>
  <c r="BC38" i="51"/>
  <c r="BH164" i="51"/>
  <c r="S37" i="51"/>
  <c r="BK158" i="51"/>
  <c r="AH156" i="51"/>
  <c r="AG45" i="119"/>
  <c r="AG159" i="119" s="1"/>
  <c r="I49" i="119"/>
  <c r="R44" i="119"/>
  <c r="R158" i="119" s="1"/>
  <c r="AK38" i="51"/>
  <c r="BR94" i="51"/>
  <c r="AL44" i="119"/>
  <c r="AL158" i="119" s="1"/>
  <c r="AL152" i="119"/>
  <c r="AH44" i="119"/>
  <c r="AH158" i="119" s="1"/>
  <c r="AJ44" i="119"/>
  <c r="AJ158" i="119" s="1"/>
  <c r="X43" i="119"/>
  <c r="X157" i="119" s="1"/>
  <c r="Y31" i="51"/>
  <c r="AH44" i="51"/>
  <c r="AA38" i="51"/>
  <c r="AE10" i="51"/>
  <c r="BI92" i="51"/>
  <c r="AK128" i="51"/>
  <c r="AJ156" i="51"/>
  <c r="AO156" i="51"/>
  <c r="BM258" i="51"/>
  <c r="BN258" i="51" s="1"/>
  <c r="AK157" i="51"/>
  <c r="BI227" i="51"/>
  <c r="BI216" i="51"/>
  <c r="AZ161" i="51"/>
  <c r="AZ163" i="51" s="1"/>
  <c r="AH97" i="119"/>
  <c r="AN156" i="51"/>
  <c r="BH243" i="51"/>
  <c r="BG243" i="51" s="1"/>
  <c r="AH99" i="119"/>
  <c r="AJ99" i="119"/>
  <c r="BK185" i="51"/>
  <c r="BA251" i="51"/>
  <c r="AA44" i="119"/>
  <c r="AA158" i="119" s="1"/>
  <c r="P99" i="119"/>
  <c r="P100" i="119" s="1"/>
  <c r="P59" i="119" s="1"/>
  <c r="I164" i="3"/>
  <c r="AQ45" i="119"/>
  <c r="AQ159" i="119" s="1"/>
  <c r="AS156" i="51"/>
  <c r="W153" i="119"/>
  <c r="BH99" i="51"/>
  <c r="Y36" i="51"/>
  <c r="AR153" i="119"/>
  <c r="AM156" i="51"/>
  <c r="BW39" i="51"/>
  <c r="X38" i="51"/>
  <c r="N44" i="119"/>
  <c r="N158" i="119" s="1"/>
  <c r="AE172" i="3"/>
  <c r="AE173" i="3" s="1"/>
  <c r="AK44" i="119"/>
  <c r="AK158" i="119" s="1"/>
  <c r="AI95" i="119"/>
  <c r="AK130" i="51"/>
  <c r="AT156" i="51"/>
  <c r="BK187" i="51"/>
  <c r="AD45" i="119"/>
  <c r="AD159" i="119" s="1"/>
  <c r="AN152" i="119"/>
  <c r="P49" i="119"/>
  <c r="AF44" i="119"/>
  <c r="AF158" i="119" s="1"/>
  <c r="M37" i="51"/>
  <c r="BT40" i="51"/>
  <c r="AI57" i="51"/>
  <c r="AI59" i="51" s="1"/>
  <c r="AB43" i="51"/>
  <c r="AB45" i="51" s="1"/>
  <c r="BI113" i="51"/>
  <c r="AG156" i="51"/>
  <c r="BI157" i="51"/>
  <c r="BQ168" i="51"/>
  <c r="BQ170" i="51" s="1"/>
  <c r="AV156" i="51"/>
  <c r="BI219" i="51"/>
  <c r="BI223" i="51" s="1"/>
  <c r="BA156" i="51"/>
  <c r="AE210" i="51"/>
  <c r="Y168" i="51"/>
  <c r="AW226" i="51"/>
  <c r="I164" i="51"/>
  <c r="BK186" i="51"/>
  <c r="AH45" i="119"/>
  <c r="AH159" i="119" s="1"/>
  <c r="H46" i="119"/>
  <c r="H171" i="119" s="1"/>
  <c r="AI156" i="51"/>
  <c r="G49" i="119"/>
  <c r="AG138" i="51"/>
  <c r="AK138" i="51" s="1"/>
  <c r="AR152" i="119"/>
  <c r="AP93" i="119"/>
  <c r="AF93" i="119"/>
  <c r="W151" i="119"/>
  <c r="W43" i="119"/>
  <c r="W157" i="119" s="1"/>
  <c r="X45" i="119"/>
  <c r="X159" i="119" s="1"/>
  <c r="X153" i="119"/>
  <c r="AK45" i="119"/>
  <c r="AK159" i="119" s="1"/>
  <c r="AG46" i="119"/>
  <c r="AG171" i="119" s="1"/>
  <c r="AI47" i="51"/>
  <c r="BB156" i="51"/>
  <c r="R38" i="51"/>
  <c r="AB43" i="119"/>
  <c r="AB157" i="119" s="1"/>
  <c r="BI169" i="51"/>
  <c r="U44" i="119"/>
  <c r="U158" i="119" s="1"/>
  <c r="BG185" i="51"/>
  <c r="S170" i="51"/>
  <c r="Z45" i="119"/>
  <c r="Z159" i="119" s="1"/>
  <c r="AJ43" i="119"/>
  <c r="AJ157" i="119" s="1"/>
  <c r="AN45" i="119"/>
  <c r="AN159" i="119" s="1"/>
  <c r="BI56" i="51"/>
  <c r="BI187" i="51" s="1"/>
  <c r="AE42" i="51"/>
  <c r="AK43" i="51" s="1"/>
  <c r="AK131" i="51"/>
  <c r="AQ144" i="51"/>
  <c r="AY156" i="51"/>
  <c r="BF156" i="51"/>
  <c r="AP156" i="51"/>
  <c r="AE168" i="51"/>
  <c r="AW38" i="51"/>
  <c r="AP44" i="119"/>
  <c r="AP158" i="119" s="1"/>
  <c r="AK43" i="119"/>
  <c r="AK157" i="119" s="1"/>
  <c r="I44" i="119"/>
  <c r="I158" i="119" s="1"/>
  <c r="Q49" i="119"/>
  <c r="AE99" i="119"/>
  <c r="AM44" i="119"/>
  <c r="AM158" i="119" s="1"/>
  <c r="AG144" i="51"/>
  <c r="AK144" i="51" s="1"/>
  <c r="P47" i="51"/>
  <c r="AB227" i="51"/>
  <c r="O47" i="51"/>
  <c r="BF258" i="51"/>
  <c r="BG251" i="51"/>
  <c r="AL151" i="119"/>
  <c r="AL43" i="119"/>
  <c r="AL157" i="119" s="1"/>
  <c r="BQ99" i="51"/>
  <c r="AN43" i="119"/>
  <c r="AN157" i="119" s="1"/>
  <c r="BI172" i="3"/>
  <c r="BI173" i="3" s="1"/>
  <c r="AW157" i="51"/>
  <c r="AD38" i="51"/>
  <c r="AE44" i="119"/>
  <c r="AE158" i="119" s="1"/>
  <c r="BG156" i="51"/>
  <c r="AU156" i="51"/>
  <c r="AC185" i="51"/>
  <c r="BE156" i="51"/>
  <c r="AQ105" i="51"/>
  <c r="AJ49" i="119"/>
  <c r="AK49" i="119"/>
  <c r="AV19" i="119"/>
  <c r="AV152" i="119" s="1"/>
  <c r="AG32" i="119"/>
  <c r="AG124" i="119" s="1"/>
  <c r="N49" i="119"/>
  <c r="AG43" i="119"/>
  <c r="AG157" i="119" s="1"/>
  <c r="Z43" i="119"/>
  <c r="Z157" i="119" s="1"/>
  <c r="AP45" i="119"/>
  <c r="AP159" i="119" s="1"/>
  <c r="L38" i="51"/>
  <c r="AQ38" i="51"/>
  <c r="M42" i="51"/>
  <c r="S44" i="51" s="1"/>
  <c r="BK57" i="51"/>
  <c r="CF37" i="51"/>
  <c r="BH155" i="51"/>
  <c r="AZ156" i="51"/>
  <c r="AK158" i="51"/>
  <c r="BK188" i="51"/>
  <c r="BC97" i="51"/>
  <c r="Q44" i="119"/>
  <c r="Q158" i="119" s="1"/>
  <c r="AM95" i="119"/>
  <c r="K44" i="119"/>
  <c r="K158" i="119" s="1"/>
  <c r="G44" i="119"/>
  <c r="G158" i="119" s="1"/>
  <c r="M44" i="119"/>
  <c r="M158" i="119" s="1"/>
  <c r="U49" i="119"/>
  <c r="AE97" i="119"/>
  <c r="AJ252" i="51"/>
  <c r="AJ253" i="51" s="1"/>
  <c r="AQ44" i="119"/>
  <c r="AQ158" i="119" s="1"/>
  <c r="AB38" i="51"/>
  <c r="BZ37" i="51"/>
  <c r="V103" i="3"/>
  <c r="O162" i="51"/>
  <c r="BK156" i="51"/>
  <c r="I99" i="3"/>
  <c r="AR42" i="119"/>
  <c r="AR145" i="119" s="1"/>
  <c r="AN45" i="51"/>
  <c r="O174" i="51"/>
  <c r="U203" i="3" s="1"/>
  <c r="I174" i="51"/>
  <c r="AD193" i="51"/>
  <c r="AT161" i="51"/>
  <c r="AT163" i="51" s="1"/>
  <c r="AK10" i="51"/>
  <c r="AK172" i="51"/>
  <c r="AU48" i="119"/>
  <c r="AU173" i="119" s="1"/>
  <c r="AK97" i="119"/>
  <c r="AO104" i="51"/>
  <c r="AQ104" i="51" s="1"/>
  <c r="W158" i="3"/>
  <c r="BH164" i="3"/>
  <c r="BI13" i="51"/>
  <c r="BH174" i="51"/>
  <c r="BH103" i="3" s="1"/>
  <c r="S39" i="51"/>
  <c r="AQ231" i="51"/>
  <c r="AQ233" i="51" s="1"/>
  <c r="BO92" i="51"/>
  <c r="AQ149" i="51"/>
  <c r="BC155" i="51"/>
  <c r="W161" i="51"/>
  <c r="I161" i="51"/>
  <c r="AQ103" i="51"/>
  <c r="AO42" i="119"/>
  <c r="AO145" i="119" s="1"/>
  <c r="AF97" i="119"/>
  <c r="AB99" i="119"/>
  <c r="W103" i="3"/>
  <c r="BH152" i="3"/>
  <c r="P69" i="119"/>
  <c r="T78" i="119" s="1"/>
  <c r="U47" i="51"/>
  <c r="AG95" i="51"/>
  <c r="AE94" i="51"/>
  <c r="AA227" i="51"/>
  <c r="AS42" i="119"/>
  <c r="AS145" i="119" s="1"/>
  <c r="AQ46" i="51"/>
  <c r="AW172" i="51"/>
  <c r="AA43" i="51"/>
  <c r="AA45" i="51" s="1"/>
  <c r="BA57" i="51"/>
  <c r="BA59" i="51" s="1"/>
  <c r="BC157" i="51"/>
  <c r="BL61" i="51"/>
  <c r="AQ25" i="119" s="1"/>
  <c r="AQ50" i="119" s="1"/>
  <c r="AW150" i="51"/>
  <c r="AC189" i="51"/>
  <c r="AH95" i="51"/>
  <c r="AE95" i="119"/>
  <c r="AJ95" i="119"/>
  <c r="AB203" i="3"/>
  <c r="AC188" i="51"/>
  <c r="W146" i="3"/>
  <c r="BH99" i="3"/>
  <c r="S40" i="51"/>
  <c r="AQ230" i="51"/>
  <c r="AD196" i="51"/>
  <c r="W180" i="51"/>
  <c r="AC203" i="3"/>
  <c r="BO52" i="51"/>
  <c r="BR131" i="51"/>
  <c r="AK110" i="51"/>
  <c r="BC104" i="51"/>
  <c r="AW128" i="51"/>
  <c r="AQ128" i="51"/>
  <c r="BC158" i="51"/>
  <c r="BH161" i="51"/>
  <c r="BH162" i="51" s="1"/>
  <c r="AK150" i="51"/>
  <c r="AE37" i="51"/>
  <c r="V180" i="51"/>
  <c r="AC187" i="51"/>
  <c r="AJ116" i="51"/>
  <c r="AJ118" i="51" s="1"/>
  <c r="P64" i="119"/>
  <c r="O45" i="51"/>
  <c r="P162" i="51"/>
  <c r="P165" i="51" s="1"/>
  <c r="K5" i="119" s="1"/>
  <c r="K73" i="119" s="1"/>
  <c r="O69" i="119"/>
  <c r="S78" i="119" s="1"/>
  <c r="W164" i="3"/>
  <c r="W165" i="3" s="1"/>
  <c r="BH142" i="3"/>
  <c r="AO193" i="51"/>
  <c r="AO196" i="51"/>
  <c r="AO192" i="51"/>
  <c r="AO194" i="51"/>
  <c r="BG174" i="51"/>
  <c r="BM175" i="51" s="1"/>
  <c r="BM177" i="51" s="1"/>
  <c r="BG142" i="3"/>
  <c r="BG99" i="3"/>
  <c r="BG164" i="3"/>
  <c r="BG152" i="3"/>
  <c r="AH196" i="51"/>
  <c r="AN99" i="119"/>
  <c r="AW56" i="51"/>
  <c r="AW186" i="51" s="1"/>
  <c r="AK101" i="3"/>
  <c r="AK144" i="3"/>
  <c r="AK155" i="3"/>
  <c r="AH192" i="51"/>
  <c r="J103" i="3"/>
  <c r="J146" i="3"/>
  <c r="P203" i="3"/>
  <c r="J158" i="3"/>
  <c r="AK149" i="51"/>
  <c r="AK92" i="51"/>
  <c r="Z42" i="119"/>
  <c r="Z145" i="119" s="1"/>
  <c r="BO11" i="51"/>
  <c r="AR167" i="119"/>
  <c r="W45" i="51"/>
  <c r="M40" i="51"/>
  <c r="BI54" i="51"/>
  <c r="AW172" i="3"/>
  <c r="AW173" i="3" s="1"/>
  <c r="BO70" i="51"/>
  <c r="AG99" i="3"/>
  <c r="AG142" i="3"/>
  <c r="AG152" i="3"/>
  <c r="AG164" i="3"/>
  <c r="AG165" i="3" s="1"/>
  <c r="AK151" i="51"/>
  <c r="AH99" i="3"/>
  <c r="AH142" i="3"/>
  <c r="AH164" i="3"/>
  <c r="AH165" i="3" s="1"/>
  <c r="AH152" i="3"/>
  <c r="AM146" i="3"/>
  <c r="AM103" i="3"/>
  <c r="AM158" i="3"/>
  <c r="AS203" i="3"/>
  <c r="BK99" i="3"/>
  <c r="BQ99" i="3" s="1"/>
  <c r="BK142" i="3"/>
  <c r="BK152" i="3"/>
  <c r="BK164" i="3"/>
  <c r="AB103" i="3"/>
  <c r="AB146" i="3"/>
  <c r="AB158" i="3"/>
  <c r="AH203" i="3"/>
  <c r="AT174" i="51"/>
  <c r="AT202" i="51" s="1"/>
  <c r="AZ116" i="51"/>
  <c r="AZ118" i="51" s="1"/>
  <c r="W99" i="119"/>
  <c r="C99" i="3"/>
  <c r="C142" i="3"/>
  <c r="C152" i="3"/>
  <c r="C164" i="3"/>
  <c r="AG49" i="119"/>
  <c r="AS185" i="51"/>
  <c r="AQ144" i="3"/>
  <c r="AQ101" i="3"/>
  <c r="AQ155" i="3"/>
  <c r="AQ156" i="3" s="1"/>
  <c r="AH195" i="51"/>
  <c r="AS33" i="119"/>
  <c r="AS125" i="119" s="1"/>
  <c r="AO113" i="119"/>
  <c r="AJ129" i="51"/>
  <c r="AJ333" i="51"/>
  <c r="AJ99" i="3"/>
  <c r="AJ142" i="3"/>
  <c r="AJ152" i="3"/>
  <c r="AJ164" i="3"/>
  <c r="S168" i="51"/>
  <c r="S155" i="3"/>
  <c r="S101" i="3"/>
  <c r="S144" i="3"/>
  <c r="AI97" i="119"/>
  <c r="I45" i="51"/>
  <c r="BI144" i="3"/>
  <c r="BI101" i="3"/>
  <c r="BI155" i="3"/>
  <c r="AU99" i="3"/>
  <c r="AU142" i="3"/>
  <c r="AU152" i="3"/>
  <c r="AU164" i="3"/>
  <c r="BI149" i="51"/>
  <c r="AV99" i="3"/>
  <c r="AV142" i="3"/>
  <c r="AV152" i="3"/>
  <c r="AV164" i="3"/>
  <c r="BL156" i="51"/>
  <c r="BQ230" i="51"/>
  <c r="AA101" i="51"/>
  <c r="AE67" i="51"/>
  <c r="AE271" i="51" s="1"/>
  <c r="AE274" i="51" s="1"/>
  <c r="AD42" i="119"/>
  <c r="AD145" i="119" s="1"/>
  <c r="P45" i="51"/>
  <c r="J45" i="51"/>
  <c r="Y169" i="51"/>
  <c r="U162" i="51"/>
  <c r="AE170" i="51"/>
  <c r="AC99" i="3"/>
  <c r="AC142" i="3"/>
  <c r="AC152" i="3"/>
  <c r="AC164" i="3"/>
  <c r="AP99" i="3"/>
  <c r="AP142" i="3"/>
  <c r="AP152" i="3"/>
  <c r="AP164" i="3"/>
  <c r="M144" i="3"/>
  <c r="M101" i="3"/>
  <c r="M155" i="3"/>
  <c r="AN47" i="51"/>
  <c r="J203" i="3"/>
  <c r="D103" i="3"/>
  <c r="D146" i="3"/>
  <c r="D158" i="3"/>
  <c r="AS186" i="51"/>
  <c r="S171" i="51"/>
  <c r="AN99" i="3"/>
  <c r="AN142" i="3"/>
  <c r="AN152" i="3"/>
  <c r="AN164" i="3"/>
  <c r="AA64" i="119"/>
  <c r="AE73" i="119" s="1"/>
  <c r="H49" i="119"/>
  <c r="J165" i="3"/>
  <c r="AV103" i="3"/>
  <c r="AV158" i="3"/>
  <c r="AV146" i="3"/>
  <c r="BB203" i="3"/>
  <c r="AO142" i="3"/>
  <c r="AO99" i="3"/>
  <c r="AO152" i="3"/>
  <c r="AO164" i="3"/>
  <c r="AE339" i="51"/>
  <c r="AS142" i="3"/>
  <c r="AS99" i="3"/>
  <c r="AS152" i="3"/>
  <c r="AS164" i="3"/>
  <c r="E103" i="3"/>
  <c r="E146" i="3"/>
  <c r="E158" i="3"/>
  <c r="K203" i="3"/>
  <c r="AI99" i="3"/>
  <c r="AI142" i="3"/>
  <c r="AI152" i="3"/>
  <c r="AI164" i="3"/>
  <c r="AH35" i="119"/>
  <c r="AH127" i="119" s="1"/>
  <c r="AZ142" i="3"/>
  <c r="AZ99" i="3"/>
  <c r="AZ152" i="3"/>
  <c r="AZ164" i="3"/>
  <c r="V162" i="51"/>
  <c r="P99" i="3"/>
  <c r="P142" i="3"/>
  <c r="P164" i="3"/>
  <c r="P165" i="3" s="1"/>
  <c r="P152" i="3"/>
  <c r="AN49" i="119"/>
  <c r="L43" i="51"/>
  <c r="L45" i="51" s="1"/>
  <c r="BT92" i="51"/>
  <c r="AK115" i="51"/>
  <c r="AK195" i="51" s="1"/>
  <c r="BH172" i="51"/>
  <c r="AQ160" i="51"/>
  <c r="AW165" i="51" s="1"/>
  <c r="Q103" i="3"/>
  <c r="Q146" i="3"/>
  <c r="W203" i="3"/>
  <c r="Q158" i="3"/>
  <c r="AE160" i="51"/>
  <c r="AW144" i="3"/>
  <c r="AW101" i="3"/>
  <c r="AW155" i="3"/>
  <c r="AD46" i="51"/>
  <c r="AD47" i="51" s="1"/>
  <c r="AD142" i="3"/>
  <c r="AD99" i="3"/>
  <c r="AD152" i="3"/>
  <c r="AD164" i="3"/>
  <c r="BO103" i="51"/>
  <c r="AQ131" i="51"/>
  <c r="AE144" i="3"/>
  <c r="AE101" i="3"/>
  <c r="AE155" i="3"/>
  <c r="V99" i="119"/>
  <c r="BG57" i="51"/>
  <c r="BG59" i="51" s="1"/>
  <c r="O142" i="3"/>
  <c r="O99" i="3"/>
  <c r="O164" i="3"/>
  <c r="O152" i="3"/>
  <c r="AS188" i="51"/>
  <c r="AH188" i="51"/>
  <c r="AS189" i="51"/>
  <c r="AQ99" i="119"/>
  <c r="AB165" i="3"/>
  <c r="BL129" i="51"/>
  <c r="BL333" i="51"/>
  <c r="Y144" i="3"/>
  <c r="Y155" i="3"/>
  <c r="Y101" i="3"/>
  <c r="AE169" i="51"/>
  <c r="AT99" i="3"/>
  <c r="AT142" i="3"/>
  <c r="AT152" i="3"/>
  <c r="AT164" i="3"/>
  <c r="U142" i="3"/>
  <c r="U99" i="3"/>
  <c r="U152" i="3"/>
  <c r="U164" i="3"/>
  <c r="AA165" i="3" s="1"/>
  <c r="AH243" i="51"/>
  <c r="AI237" i="51"/>
  <c r="AL95" i="119"/>
  <c r="AH49" i="119"/>
  <c r="BE152" i="3"/>
  <c r="BE142" i="3"/>
  <c r="BE99" i="3"/>
  <c r="BE164" i="3"/>
  <c r="BL142" i="3"/>
  <c r="BL99" i="3"/>
  <c r="BR99" i="3" s="1"/>
  <c r="BL152" i="3"/>
  <c r="BL164" i="3"/>
  <c r="BG333" i="51"/>
  <c r="AA162" i="51"/>
  <c r="AA99" i="119"/>
  <c r="BT11" i="51"/>
  <c r="BF142" i="3"/>
  <c r="BF99" i="3"/>
  <c r="BF152" i="3"/>
  <c r="BF164" i="3"/>
  <c r="AY142" i="3"/>
  <c r="AY99" i="3"/>
  <c r="AY164" i="3"/>
  <c r="AY152" i="3"/>
  <c r="G101" i="3"/>
  <c r="G144" i="3"/>
  <c r="G155" i="3"/>
  <c r="BB99" i="3"/>
  <c r="BB142" i="3"/>
  <c r="BB152" i="3"/>
  <c r="BB164" i="3"/>
  <c r="BA99" i="3"/>
  <c r="BA142" i="3"/>
  <c r="BA152" i="3"/>
  <c r="BA164" i="3"/>
  <c r="AW170" i="51"/>
  <c r="AM99" i="3"/>
  <c r="AM142" i="3"/>
  <c r="AM152" i="3"/>
  <c r="AM164" i="3"/>
  <c r="AY57" i="51"/>
  <c r="AY59" i="51" s="1"/>
  <c r="F49" i="119"/>
  <c r="M49" i="119"/>
  <c r="K49" i="119"/>
  <c r="O49" i="119"/>
  <c r="BC101" i="3"/>
  <c r="BC144" i="3"/>
  <c r="BC155" i="3"/>
  <c r="AV252" i="51"/>
  <c r="AV253" i="51" s="1"/>
  <c r="AI252" i="51"/>
  <c r="AI253" i="51" s="1"/>
  <c r="CF127" i="106"/>
  <c r="BY19" i="106"/>
  <c r="BY174" i="106" s="1"/>
  <c r="BI151" i="51"/>
  <c r="AO15" i="119"/>
  <c r="AO75" i="119" s="1"/>
  <c r="AO84" i="119"/>
  <c r="AO95" i="119" s="1"/>
  <c r="AZ251" i="51"/>
  <c r="AY258" i="51"/>
  <c r="AY251" i="51" s="1"/>
  <c r="N64" i="119"/>
  <c r="BI46" i="51"/>
  <c r="U64" i="119"/>
  <c r="AU129" i="51"/>
  <c r="AU333" i="51"/>
  <c r="AF49" i="119"/>
  <c r="BI47" i="51"/>
  <c r="AW104" i="51"/>
  <c r="AG33" i="119"/>
  <c r="AG125" i="119" s="1"/>
  <c r="AG113" i="119"/>
  <c r="AH82" i="119"/>
  <c r="AD64" i="119"/>
  <c r="AH73" i="119" s="1"/>
  <c r="BO155" i="51"/>
  <c r="AW155" i="51"/>
  <c r="AL82" i="119"/>
  <c r="AH64" i="119"/>
  <c r="AL73" i="119" s="1"/>
  <c r="M171" i="51"/>
  <c r="AW148" i="51"/>
  <c r="AQ172" i="51"/>
  <c r="BI226" i="51"/>
  <c r="AP64" i="119"/>
  <c r="W87" i="119"/>
  <c r="S69" i="119"/>
  <c r="W78" i="119" s="1"/>
  <c r="AK52" i="51"/>
  <c r="BX5" i="51"/>
  <c r="BY5" i="51" s="1"/>
  <c r="BZ5" i="51" s="1"/>
  <c r="CC5" i="51"/>
  <c r="CD5" i="51" s="1"/>
  <c r="CE5" i="51" s="1"/>
  <c r="CF5" i="51" s="1"/>
  <c r="Y33" i="119"/>
  <c r="Y125" i="119" s="1"/>
  <c r="Y113" i="119"/>
  <c r="AE357" i="51"/>
  <c r="AE359" i="51" s="1"/>
  <c r="U86" i="119"/>
  <c r="U21" i="119"/>
  <c r="U77" i="119" s="1"/>
  <c r="AJ82" i="119"/>
  <c r="AF64" i="119"/>
  <c r="AJ73" i="119" s="1"/>
  <c r="AD40" i="119"/>
  <c r="AD143" i="119" s="1"/>
  <c r="AD137" i="119"/>
  <c r="AC345" i="51"/>
  <c r="AC346" i="51" s="1"/>
  <c r="S169" i="51"/>
  <c r="I162" i="51"/>
  <c r="C174" i="51"/>
  <c r="B64" i="119"/>
  <c r="AI192" i="51"/>
  <c r="AO116" i="51"/>
  <c r="AO118" i="51" s="1"/>
  <c r="AI196" i="51"/>
  <c r="AI193" i="51"/>
  <c r="AI194" i="51"/>
  <c r="Y32" i="119"/>
  <c r="Y124" i="119" s="1"/>
  <c r="AL99" i="119"/>
  <c r="AR41" i="119"/>
  <c r="AR144" i="119" s="1"/>
  <c r="U45" i="51"/>
  <c r="K45" i="51"/>
  <c r="AQ138" i="51"/>
  <c r="BC148" i="51"/>
  <c r="Y64" i="119"/>
  <c r="AW154" i="51"/>
  <c r="AK64" i="119"/>
  <c r="AI164" i="51"/>
  <c r="AI165" i="51" s="1"/>
  <c r="X5" i="119" s="1"/>
  <c r="T64" i="119"/>
  <c r="AC64" i="119"/>
  <c r="AG73" i="119" s="1"/>
  <c r="AG82" i="119"/>
  <c r="AK170" i="51"/>
  <c r="AE207" i="51"/>
  <c r="Y170" i="51"/>
  <c r="AK169" i="51"/>
  <c r="S36" i="51"/>
  <c r="Y40" i="51"/>
  <c r="Y39" i="51"/>
  <c r="AU139" i="119"/>
  <c r="AU42" i="119"/>
  <c r="AU145" i="119" s="1"/>
  <c r="AA56" i="51"/>
  <c r="AA188" i="51" s="1"/>
  <c r="AG44" i="51"/>
  <c r="AO129" i="51"/>
  <c r="AO333" i="51"/>
  <c r="AI129" i="51"/>
  <c r="AI333" i="51"/>
  <c r="BG332" i="51"/>
  <c r="BG331" i="51"/>
  <c r="AZ174" i="51"/>
  <c r="AI64" i="119"/>
  <c r="AM73" i="119" s="1"/>
  <c r="AM82" i="119"/>
  <c r="BL158" i="51"/>
  <c r="V47" i="51"/>
  <c r="I47" i="51"/>
  <c r="D180" i="51"/>
  <c r="G87" i="119"/>
  <c r="C69" i="119"/>
  <c r="AZ257" i="51"/>
  <c r="BA250" i="51"/>
  <c r="BA259" i="51"/>
  <c r="K46" i="119"/>
  <c r="K171" i="119" s="1"/>
  <c r="O46" i="119"/>
  <c r="O171" i="119" s="1"/>
  <c r="K165" i="119"/>
  <c r="Y139" i="119"/>
  <c r="Y42" i="119"/>
  <c r="Y145" i="119" s="1"/>
  <c r="AG43" i="51"/>
  <c r="BI210" i="51"/>
  <c r="AE40" i="119"/>
  <c r="AE143" i="119" s="1"/>
  <c r="AE137" i="119"/>
  <c r="BC47" i="51"/>
  <c r="AN64" i="119"/>
  <c r="AQ64" i="119"/>
  <c r="AM194" i="51"/>
  <c r="AM193" i="51"/>
  <c r="AM116" i="51"/>
  <c r="AM118" i="51" s="1"/>
  <c r="AM192" i="51"/>
  <c r="AM195" i="51"/>
  <c r="AM196" i="51"/>
  <c r="Z152" i="119"/>
  <c r="Z44" i="119"/>
  <c r="Z158" i="119" s="1"/>
  <c r="F160" i="51"/>
  <c r="P161" i="51"/>
  <c r="K64" i="119"/>
  <c r="AW45" i="51"/>
  <c r="AW44" i="51"/>
  <c r="AM64" i="119"/>
  <c r="P174" i="51"/>
  <c r="Z69" i="119"/>
  <c r="AD78" i="119" s="1"/>
  <c r="AD87" i="119"/>
  <c r="W175" i="51"/>
  <c r="P87" i="119"/>
  <c r="L69" i="119"/>
  <c r="P78" i="119" s="1"/>
  <c r="AQ158" i="51"/>
  <c r="AJ164" i="51"/>
  <c r="AW158" i="51"/>
  <c r="AM57" i="51"/>
  <c r="AM59" i="51" s="1"/>
  <c r="AM188" i="51"/>
  <c r="AM185" i="51"/>
  <c r="AM187" i="51"/>
  <c r="AM189" i="51"/>
  <c r="AM186" i="51"/>
  <c r="AK82" i="119"/>
  <c r="AG64" i="119"/>
  <c r="AK73" i="119" s="1"/>
  <c r="AJ193" i="51"/>
  <c r="AJ192" i="51"/>
  <c r="AJ196" i="51"/>
  <c r="AJ194" i="51"/>
  <c r="BG250" i="51"/>
  <c r="BF257" i="51"/>
  <c r="Y172" i="51"/>
  <c r="Q99" i="119"/>
  <c r="AS57" i="51"/>
  <c r="AS59" i="51" s="1"/>
  <c r="AR86" i="119"/>
  <c r="AR99" i="119" s="1"/>
  <c r="V46" i="119"/>
  <c r="V171" i="119" s="1"/>
  <c r="R165" i="119"/>
  <c r="R46" i="119"/>
  <c r="R171" i="119" s="1"/>
  <c r="AE230" i="51"/>
  <c r="AK50" i="51"/>
  <c r="BI33" i="51"/>
  <c r="AO16" i="119"/>
  <c r="AS32" i="119"/>
  <c r="AS124" i="119" s="1"/>
  <c r="AO112" i="119"/>
  <c r="AW131" i="51"/>
  <c r="AK51" i="51"/>
  <c r="N34" i="119"/>
  <c r="N126" i="119" s="1"/>
  <c r="Y29" i="51"/>
  <c r="BO33" i="51"/>
  <c r="AK13" i="51"/>
  <c r="Y9" i="119"/>
  <c r="Y42" i="51"/>
  <c r="AE44" i="51" s="1"/>
  <c r="BC131" i="51"/>
  <c r="BO111" i="51"/>
  <c r="V161" i="51"/>
  <c r="AN82" i="119"/>
  <c r="AJ64" i="119"/>
  <c r="AN73" i="119" s="1"/>
  <c r="BI148" i="51"/>
  <c r="BG161" i="51"/>
  <c r="BG163" i="51" s="1"/>
  <c r="AH95" i="119"/>
  <c r="L160" i="51"/>
  <c r="S172" i="51"/>
  <c r="AI174" i="51"/>
  <c r="X64" i="119"/>
  <c r="AT68" i="119"/>
  <c r="Y31" i="119"/>
  <c r="Y123" i="119" s="1"/>
  <c r="Y111" i="119"/>
  <c r="AC32" i="119"/>
  <c r="AC124" i="119" s="1"/>
  <c r="AL37" i="119"/>
  <c r="AL129" i="119" s="1"/>
  <c r="AD44" i="119"/>
  <c r="AD158" i="119" s="1"/>
  <c r="Z49" i="119"/>
  <c r="AM99" i="119"/>
  <c r="AQ56" i="51"/>
  <c r="AQ186" i="51" s="1"/>
  <c r="G42" i="51"/>
  <c r="M44" i="51" s="1"/>
  <c r="BI72" i="51"/>
  <c r="AK54" i="51"/>
  <c r="AI116" i="51"/>
  <c r="AI118" i="51" s="1"/>
  <c r="AO162" i="51"/>
  <c r="AL64" i="119"/>
  <c r="AP73" i="119" s="1"/>
  <c r="AP82" i="119"/>
  <c r="AQ155" i="51"/>
  <c r="BO128" i="51"/>
  <c r="BO148" i="51"/>
  <c r="E180" i="51"/>
  <c r="D69" i="119"/>
  <c r="H87" i="119"/>
  <c r="BK170" i="51"/>
  <c r="U174" i="51"/>
  <c r="AE172" i="51"/>
  <c r="AJ162" i="51"/>
  <c r="BE129" i="51"/>
  <c r="AU174" i="51"/>
  <c r="AO164" i="51"/>
  <c r="AE11" i="51"/>
  <c r="BB129" i="51"/>
  <c r="BB333" i="51"/>
  <c r="K162" i="51"/>
  <c r="K165" i="51" s="1"/>
  <c r="AE343" i="51"/>
  <c r="AS129" i="51"/>
  <c r="AS333" i="51"/>
  <c r="AA161" i="51"/>
  <c r="AE64" i="119"/>
  <c r="AI73" i="119" s="1"/>
  <c r="AI82" i="119"/>
  <c r="AI91" i="119" s="1"/>
  <c r="R46" i="51"/>
  <c r="AC31" i="119"/>
  <c r="AC123" i="119" s="1"/>
  <c r="AL93" i="119"/>
  <c r="AD37" i="119"/>
  <c r="AD129" i="119" s="1"/>
  <c r="Z117" i="119"/>
  <c r="Z37" i="119"/>
  <c r="Z129" i="119" s="1"/>
  <c r="AK32" i="119"/>
  <c r="AK124" i="119" s="1"/>
  <c r="J175" i="51"/>
  <c r="J180" i="51"/>
  <c r="G69" i="119"/>
  <c r="K78" i="119" s="1"/>
  <c r="K87" i="119"/>
  <c r="AN97" i="119"/>
  <c r="S165" i="119"/>
  <c r="S46" i="119"/>
  <c r="S171" i="119" s="1"/>
  <c r="W46" i="119"/>
  <c r="W171" i="119" s="1"/>
  <c r="AO106" i="51"/>
  <c r="AQ106" i="51" s="1"/>
  <c r="BC44" i="51"/>
  <c r="V64" i="119"/>
  <c r="AM257" i="51"/>
  <c r="AM250" i="51" s="1"/>
  <c r="AN250" i="51"/>
  <c r="AP57" i="51"/>
  <c r="AP59" i="51" s="1"/>
  <c r="AP185" i="51"/>
  <c r="AP187" i="51"/>
  <c r="AP189" i="51"/>
  <c r="AP186" i="51"/>
  <c r="AO32" i="119"/>
  <c r="AO124" i="119" s="1"/>
  <c r="J49" i="119"/>
  <c r="Y47" i="119"/>
  <c r="Y172" i="119" s="1"/>
  <c r="Y166" i="119"/>
  <c r="AC47" i="119"/>
  <c r="AC172" i="119" s="1"/>
  <c r="AR6" i="119"/>
  <c r="AR74" i="119" s="1"/>
  <c r="AR83" i="119"/>
  <c r="AR93" i="119" s="1"/>
  <c r="AK87" i="119"/>
  <c r="AG69" i="119"/>
  <c r="AK78" i="119" s="1"/>
  <c r="AS116" i="51"/>
  <c r="AS118" i="51" s="1"/>
  <c r="BI211" i="51"/>
  <c r="BI213" i="51" s="1"/>
  <c r="AT129" i="51"/>
  <c r="AT333" i="51"/>
  <c r="AH186" i="51"/>
  <c r="AH187" i="51"/>
  <c r="AH185" i="51"/>
  <c r="AH189" i="51"/>
  <c r="AD35" i="119"/>
  <c r="AD127" i="119" s="1"/>
  <c r="BS92" i="51"/>
  <c r="AV17" i="119" s="1"/>
  <c r="AO37" i="119"/>
  <c r="AO129" i="119" s="1"/>
  <c r="AO117" i="119"/>
  <c r="AV57" i="51"/>
  <c r="AV59" i="51" s="1"/>
  <c r="AW144" i="51"/>
  <c r="BN162" i="51"/>
  <c r="W64" i="119"/>
  <c r="AQ151" i="51"/>
  <c r="U161" i="51"/>
  <c r="BC170" i="51"/>
  <c r="AB64" i="119"/>
  <c r="AF73" i="119" s="1"/>
  <c r="AF82" i="119"/>
  <c r="Y171" i="51"/>
  <c r="BK104" i="51"/>
  <c r="M10" i="51"/>
  <c r="AU161" i="51"/>
  <c r="AU163" i="51" s="1"/>
  <c r="AZ196" i="51"/>
  <c r="AZ193" i="51"/>
  <c r="AZ192" i="51"/>
  <c r="AZ194" i="51"/>
  <c r="BA186" i="51"/>
  <c r="BA187" i="51"/>
  <c r="BA189" i="51"/>
  <c r="BA185" i="51"/>
  <c r="Z64" i="119"/>
  <c r="AD73" i="119" s="1"/>
  <c r="AD82" i="119"/>
  <c r="AK11" i="51"/>
  <c r="AK31" i="119"/>
  <c r="AK123" i="119" s="1"/>
  <c r="AH129" i="51"/>
  <c r="AH333" i="51"/>
  <c r="BF129" i="51"/>
  <c r="BF333" i="51"/>
  <c r="AO48" i="119"/>
  <c r="AO173" i="119" s="1"/>
  <c r="AO167" i="119"/>
  <c r="J64" i="119"/>
  <c r="AE208" i="51"/>
  <c r="AE344" i="51"/>
  <c r="AD344" i="51" s="1"/>
  <c r="AF99" i="119"/>
  <c r="AA231" i="51"/>
  <c r="AI195" i="51"/>
  <c r="AK33" i="119"/>
  <c r="AK125" i="119" s="1"/>
  <c r="AG187" i="51"/>
  <c r="AG189" i="51"/>
  <c r="AG185" i="51"/>
  <c r="AG186" i="51"/>
  <c r="AC33" i="119"/>
  <c r="AC125" i="119" s="1"/>
  <c r="Y102" i="51"/>
  <c r="AE103" i="51"/>
  <c r="BC127" i="51"/>
  <c r="BC333" i="51" s="1"/>
  <c r="BC211" i="51"/>
  <c r="BC213" i="51" s="1"/>
  <c r="BC210" i="51"/>
  <c r="BO150" i="51"/>
  <c r="BL164" i="51"/>
  <c r="BC138" i="51"/>
  <c r="AG161" i="51"/>
  <c r="AG163" i="51" s="1"/>
  <c r="AG174" i="51"/>
  <c r="AK160" i="51"/>
  <c r="AM161" i="51"/>
  <c r="AM162" i="51"/>
  <c r="AU116" i="51"/>
  <c r="AU118" i="51" s="1"/>
  <c r="BA116" i="51"/>
  <c r="BA118" i="51" s="1"/>
  <c r="AU194" i="51"/>
  <c r="AU192" i="51"/>
  <c r="AU193" i="51"/>
  <c r="AU195" i="51"/>
  <c r="AU196" i="51"/>
  <c r="BK252" i="51"/>
  <c r="BK253" i="51" s="1"/>
  <c r="BA244" i="51"/>
  <c r="BB238" i="51"/>
  <c r="E244" i="51"/>
  <c r="F238" i="51"/>
  <c r="AQ102" i="51"/>
  <c r="AQ169" i="51"/>
  <c r="U244" i="51"/>
  <c r="U238" i="51" s="1"/>
  <c r="V238" i="51"/>
  <c r="AT250" i="51"/>
  <c r="AS257" i="51"/>
  <c r="AS250" i="51" s="1"/>
  <c r="BI168" i="51"/>
  <c r="BI230" i="51"/>
  <c r="BI231" i="51"/>
  <c r="BI233" i="51" s="1"/>
  <c r="BK174" i="51"/>
  <c r="BK161" i="51"/>
  <c r="BK163" i="51" s="1"/>
  <c r="AW115" i="51"/>
  <c r="AP47" i="51"/>
  <c r="AP45" i="51"/>
  <c r="W47" i="51"/>
  <c r="W162" i="51"/>
  <c r="AE105" i="51"/>
  <c r="AW147" i="51"/>
  <c r="BC150" i="51"/>
  <c r="BC151" i="51"/>
  <c r="AW216" i="51"/>
  <c r="AW219" i="51"/>
  <c r="AW223" i="51" s="1"/>
  <c r="U344" i="51"/>
  <c r="AY249" i="51"/>
  <c r="M240" i="51"/>
  <c r="M245" i="51"/>
  <c r="L245" i="51" s="1"/>
  <c r="K245" i="51" s="1"/>
  <c r="J245" i="51" s="1"/>
  <c r="I245" i="51" s="1"/>
  <c r="M243" i="51"/>
  <c r="L243" i="51" s="1"/>
  <c r="BC45" i="51"/>
  <c r="AQ43" i="51"/>
  <c r="Y32" i="51"/>
  <c r="Y30" i="51"/>
  <c r="M39" i="51"/>
  <c r="M36" i="51"/>
  <c r="BI45" i="51"/>
  <c r="AO57" i="51"/>
  <c r="AO59" i="51" s="1"/>
  <c r="AO185" i="51"/>
  <c r="AO189" i="51"/>
  <c r="AO186" i="51"/>
  <c r="AO188" i="51"/>
  <c r="AO187" i="51"/>
  <c r="BM216" i="51"/>
  <c r="BL57" i="51"/>
  <c r="BL59" i="51" s="1"/>
  <c r="BL185" i="51"/>
  <c r="BL189" i="51"/>
  <c r="BL188" i="51"/>
  <c r="BL186" i="51"/>
  <c r="BL187" i="51"/>
  <c r="AW105" i="51"/>
  <c r="BX90" i="51"/>
  <c r="BC128" i="51"/>
  <c r="AQ44" i="51"/>
  <c r="AK109" i="51"/>
  <c r="AE231" i="51"/>
  <c r="AE40" i="51"/>
  <c r="CD112" i="51"/>
  <c r="CE112" i="51" s="1"/>
  <c r="CF112" i="51" s="1"/>
  <c r="AY129" i="51"/>
  <c r="AY333" i="51"/>
  <c r="AI104" i="51"/>
  <c r="BK129" i="51"/>
  <c r="BK333" i="51"/>
  <c r="BO67" i="51"/>
  <c r="BN171" i="51"/>
  <c r="BN172" i="51" s="1"/>
  <c r="AM164" i="51"/>
  <c r="BC149" i="51"/>
  <c r="AV203" i="51"/>
  <c r="AV202" i="51"/>
  <c r="AV180" i="51"/>
  <c r="AV201" i="51"/>
  <c r="AV200" i="51"/>
  <c r="AV199" i="51"/>
  <c r="BA161" i="51"/>
  <c r="BA163" i="51" s="1"/>
  <c r="BA174" i="51"/>
  <c r="BL161" i="51"/>
  <c r="BL174" i="51"/>
  <c r="BC144" i="51"/>
  <c r="BO109" i="51"/>
  <c r="AD237" i="51"/>
  <c r="AD239" i="51" s="1"/>
  <c r="AD240" i="51" s="1"/>
  <c r="AC243" i="51"/>
  <c r="AG256" i="51"/>
  <c r="AH249" i="51"/>
  <c r="AJ238" i="51"/>
  <c r="AJ239" i="51" s="1"/>
  <c r="AJ240" i="51" s="1"/>
  <c r="AI244" i="51"/>
  <c r="AE39" i="51"/>
  <c r="AD174" i="51"/>
  <c r="AS256" i="51"/>
  <c r="AT249" i="51"/>
  <c r="BI115" i="51"/>
  <c r="BI195" i="51" s="1"/>
  <c r="BK117" i="51"/>
  <c r="BE116" i="51"/>
  <c r="BE118" i="51" s="1"/>
  <c r="BK116" i="51"/>
  <c r="BE194" i="51"/>
  <c r="BE192" i="51"/>
  <c r="BE193" i="51"/>
  <c r="BE196" i="51"/>
  <c r="BQ29" i="51"/>
  <c r="BQ28" i="51" s="1"/>
  <c r="BO31" i="51"/>
  <c r="BC115" i="51"/>
  <c r="BC195" i="51" s="1"/>
  <c r="AY195" i="51"/>
  <c r="AY116" i="51"/>
  <c r="AY118" i="51" s="1"/>
  <c r="AY196" i="51"/>
  <c r="AY194" i="51"/>
  <c r="AY193" i="51"/>
  <c r="AY192" i="51"/>
  <c r="AW127" i="51"/>
  <c r="AW333" i="51" s="1"/>
  <c r="BC130" i="51"/>
  <c r="AW210" i="51"/>
  <c r="AW211" i="51"/>
  <c r="AW213" i="51" s="1"/>
  <c r="BS72" i="51"/>
  <c r="BT71" i="51"/>
  <c r="BC160" i="51"/>
  <c r="AY161" i="51"/>
  <c r="AY163" i="51" s="1"/>
  <c r="AY174" i="51"/>
  <c r="BC147" i="51"/>
  <c r="BC216" i="51"/>
  <c r="BC219" i="51"/>
  <c r="BC223" i="51" s="1"/>
  <c r="BQ33" i="51"/>
  <c r="AT16" i="119" s="1"/>
  <c r="BQ44" i="51"/>
  <c r="BQ148" i="51"/>
  <c r="X11" i="51"/>
  <c r="X333" i="51"/>
  <c r="BF161" i="51"/>
  <c r="BF163" i="51" s="1"/>
  <c r="BL162" i="51"/>
  <c r="BF174" i="51"/>
  <c r="AJ161" i="51"/>
  <c r="AP164" i="51"/>
  <c r="AP165" i="51" s="1"/>
  <c r="AJ174" i="51"/>
  <c r="BC154" i="51"/>
  <c r="BC226" i="51"/>
  <c r="BC227" i="51"/>
  <c r="BF116" i="51"/>
  <c r="BF118" i="51" s="1"/>
  <c r="BF192" i="51"/>
  <c r="BF193" i="51"/>
  <c r="BF194" i="51"/>
  <c r="BF196" i="51"/>
  <c r="G240" i="51"/>
  <c r="G245" i="51"/>
  <c r="F245" i="51" s="1"/>
  <c r="E245" i="51" s="1"/>
  <c r="D245" i="51" s="1"/>
  <c r="C245" i="51" s="1"/>
  <c r="G243" i="51"/>
  <c r="F243" i="51" s="1"/>
  <c r="AE36" i="51"/>
  <c r="AK39" i="51"/>
  <c r="AK40" i="51"/>
  <c r="AK37" i="51"/>
  <c r="AK36" i="51"/>
  <c r="AE226" i="51"/>
  <c r="BH106" i="51"/>
  <c r="BI106" i="51" s="1"/>
  <c r="BI103" i="51"/>
  <c r="AW149" i="51"/>
  <c r="K244" i="51"/>
  <c r="L238" i="51"/>
  <c r="BI150" i="51"/>
  <c r="BA129" i="51"/>
  <c r="BA333" i="51"/>
  <c r="AK30" i="51"/>
  <c r="AE29" i="51"/>
  <c r="AE216" i="51"/>
  <c r="AD187" i="51"/>
  <c r="AD189" i="51"/>
  <c r="AD186" i="51"/>
  <c r="AD185" i="51"/>
  <c r="AD188" i="51"/>
  <c r="BK61" i="51"/>
  <c r="AP25" i="119" s="1"/>
  <c r="AP50" i="119" s="1"/>
  <c r="BO90" i="51"/>
  <c r="BH128" i="51"/>
  <c r="BH333" i="51"/>
  <c r="AZ129" i="51"/>
  <c r="AZ333" i="51"/>
  <c r="AW106" i="51"/>
  <c r="AK127" i="51"/>
  <c r="AK333" i="51" s="1"/>
  <c r="AK211" i="51"/>
  <c r="AQ130" i="51"/>
  <c r="AK210" i="51"/>
  <c r="BG116" i="51"/>
  <c r="BG118" i="51" s="1"/>
  <c r="BG193" i="51"/>
  <c r="BG194" i="51"/>
  <c r="BG192" i="51"/>
  <c r="BG195" i="51"/>
  <c r="BG196" i="51"/>
  <c r="AQ148" i="51"/>
  <c r="AK219" i="51"/>
  <c r="AK147" i="51"/>
  <c r="AQ150" i="51"/>
  <c r="AK216" i="51"/>
  <c r="BO87" i="51"/>
  <c r="BU90" i="51" s="1"/>
  <c r="BS87" i="51"/>
  <c r="AE219" i="51"/>
  <c r="AQ147" i="51"/>
  <c r="AQ216" i="51"/>
  <c r="AQ219" i="51"/>
  <c r="AQ223" i="51" s="1"/>
  <c r="AW151" i="51"/>
  <c r="AB180" i="51"/>
  <c r="AB200" i="51"/>
  <c r="AB203" i="51"/>
  <c r="AB199" i="51"/>
  <c r="AB202" i="51"/>
  <c r="AB201" i="51"/>
  <c r="AB175" i="51"/>
  <c r="BO105" i="51"/>
  <c r="AP238" i="51"/>
  <c r="AP239" i="51" s="1"/>
  <c r="AP240" i="51" s="1"/>
  <c r="AO244" i="51"/>
  <c r="V344" i="51"/>
  <c r="R238" i="51"/>
  <c r="Q244" i="51"/>
  <c r="J164" i="51"/>
  <c r="BW128" i="51"/>
  <c r="BQ127" i="51"/>
  <c r="BQ129" i="51" s="1"/>
  <c r="BQ210" i="51"/>
  <c r="BQ211" i="51"/>
  <c r="AK230" i="51"/>
  <c r="AK231" i="51"/>
  <c r="AK168" i="51"/>
  <c r="AQ168" i="51"/>
  <c r="R11" i="51"/>
  <c r="R333" i="51"/>
  <c r="W164" i="51"/>
  <c r="BC102" i="51"/>
  <c r="AC192" i="51"/>
  <c r="AC196" i="51"/>
  <c r="AC193" i="51"/>
  <c r="AC194" i="51"/>
  <c r="AC195" i="51"/>
  <c r="BS50" i="51"/>
  <c r="BS49" i="51" s="1"/>
  <c r="AQ127" i="51"/>
  <c r="AQ333" i="51" s="1"/>
  <c r="AQ210" i="51"/>
  <c r="AW130" i="51"/>
  <c r="AQ211" i="51"/>
  <c r="AQ213" i="51" s="1"/>
  <c r="BO169" i="51"/>
  <c r="BK172" i="51"/>
  <c r="AE106" i="51"/>
  <c r="BB237" i="51"/>
  <c r="BA243" i="51"/>
  <c r="AC47" i="51"/>
  <c r="AC45" i="51"/>
  <c r="AC162" i="51"/>
  <c r="AZ57" i="51"/>
  <c r="AZ59" i="51" s="1"/>
  <c r="AZ186" i="51"/>
  <c r="AZ189" i="51"/>
  <c r="AZ185" i="51"/>
  <c r="AZ187" i="51"/>
  <c r="AZ188" i="51"/>
  <c r="AN116" i="51"/>
  <c r="AN118" i="51" s="1"/>
  <c r="AN193" i="51"/>
  <c r="AQ115" i="51"/>
  <c r="AW119" i="51" s="1"/>
  <c r="AN196" i="51"/>
  <c r="AN194" i="51"/>
  <c r="AN192" i="51"/>
  <c r="AN195" i="51"/>
  <c r="BS95" i="51"/>
  <c r="AW168" i="51"/>
  <c r="AW231" i="51"/>
  <c r="AW233" i="51" s="1"/>
  <c r="BC171" i="51"/>
  <c r="AW230" i="51"/>
  <c r="BC172" i="51"/>
  <c r="AB47" i="51"/>
  <c r="AB162" i="51"/>
  <c r="BY30" i="51"/>
  <c r="BX33" i="51"/>
  <c r="AW138" i="51"/>
  <c r="M168" i="51"/>
  <c r="M169" i="51"/>
  <c r="Q180" i="51"/>
  <c r="BI154" i="51"/>
  <c r="BH245" i="51"/>
  <c r="BG245" i="51" s="1"/>
  <c r="BF245" i="51" s="1"/>
  <c r="BE245" i="51" s="1"/>
  <c r="BK245" i="51"/>
  <c r="BL245" i="51" s="1"/>
  <c r="BM245" i="51" s="1"/>
  <c r="BN245" i="51" s="1"/>
  <c r="BG259" i="51"/>
  <c r="BG249" i="51"/>
  <c r="BF256" i="51"/>
  <c r="BO112" i="51"/>
  <c r="M12" i="51"/>
  <c r="M332" i="51" s="1"/>
  <c r="M9" i="51"/>
  <c r="M333" i="51" s="1"/>
  <c r="AK32" i="51"/>
  <c r="CD32" i="51"/>
  <c r="CE32" i="51" s="1"/>
  <c r="CF32" i="51" s="1"/>
  <c r="AW43" i="51"/>
  <c r="BO49" i="51"/>
  <c r="BC56" i="51"/>
  <c r="BI60" i="51" s="1"/>
  <c r="AW47" i="51"/>
  <c r="BX52" i="51"/>
  <c r="BW50" i="51"/>
  <c r="BW49" i="51" s="1"/>
  <c r="BY69" i="51"/>
  <c r="AN129" i="51"/>
  <c r="AN333" i="51"/>
  <c r="AV116" i="51"/>
  <c r="AV118" i="51" s="1"/>
  <c r="AV192" i="51"/>
  <c r="AV194" i="51"/>
  <c r="AV193" i="51"/>
  <c r="AV195" i="51"/>
  <c r="AV196" i="51"/>
  <c r="BI138" i="51"/>
  <c r="BI105" i="51"/>
  <c r="AV129" i="51"/>
  <c r="AV333" i="51"/>
  <c r="CD51" i="51"/>
  <c r="AM129" i="51"/>
  <c r="AM333" i="51"/>
  <c r="AH174" i="51"/>
  <c r="AN162" i="51"/>
  <c r="AN164" i="51"/>
  <c r="AH161" i="51"/>
  <c r="AH163" i="51" s="1"/>
  <c r="AM203" i="51"/>
  <c r="AM200" i="51"/>
  <c r="AM201" i="51"/>
  <c r="AM199" i="51"/>
  <c r="AM180" i="51"/>
  <c r="AM202" i="51"/>
  <c r="M170" i="51"/>
  <c r="AI161" i="51"/>
  <c r="AI163" i="51" s="1"/>
  <c r="AC174" i="51"/>
  <c r="AC161" i="51"/>
  <c r="BL252" i="51"/>
  <c r="BL253" i="51" s="1"/>
  <c r="BG244" i="51"/>
  <c r="BH238" i="51"/>
  <c r="AO174" i="51"/>
  <c r="AO161" i="51"/>
  <c r="AT244" i="51"/>
  <c r="AU238" i="51"/>
  <c r="AU239" i="51" s="1"/>
  <c r="AU240" i="51" s="1"/>
  <c r="BI104" i="51"/>
  <c r="AU251" i="51"/>
  <c r="AU252" i="51" s="1"/>
  <c r="AU253" i="51" s="1"/>
  <c r="AT258" i="51"/>
  <c r="X46" i="51"/>
  <c r="X44" i="51"/>
  <c r="R43" i="51"/>
  <c r="R45" i="51" s="1"/>
  <c r="R160" i="51"/>
  <c r="AS174" i="51"/>
  <c r="AS161" i="51"/>
  <c r="AS163" i="51" s="1"/>
  <c r="AW160" i="51"/>
  <c r="BC162" i="51" s="1"/>
  <c r="BI127" i="51"/>
  <c r="BI333" i="51" s="1"/>
  <c r="Q47" i="51"/>
  <c r="AW102" i="51"/>
  <c r="BC105" i="51"/>
  <c r="BL119" i="51"/>
  <c r="BN256" i="51"/>
  <c r="CC10" i="51"/>
  <c r="BL151" i="51"/>
  <c r="M172" i="51"/>
  <c r="AQ171" i="51"/>
  <c r="AH165" i="51"/>
  <c r="BI102" i="51"/>
  <c r="BC169" i="51"/>
  <c r="L11" i="51"/>
  <c r="L333" i="51"/>
  <c r="AK29" i="51"/>
  <c r="AK33" i="51"/>
  <c r="BC43" i="51"/>
  <c r="AA47" i="51"/>
  <c r="AA164" i="51"/>
  <c r="BI43" i="51"/>
  <c r="S42" i="51"/>
  <c r="BN167" i="51"/>
  <c r="AN57" i="51"/>
  <c r="AN59" i="51" s="1"/>
  <c r="AN187" i="51"/>
  <c r="AN189" i="51"/>
  <c r="AN186" i="51"/>
  <c r="AN188" i="51"/>
  <c r="AN185" i="51"/>
  <c r="J47" i="51"/>
  <c r="J162" i="51"/>
  <c r="AW103" i="51"/>
  <c r="AM47" i="51"/>
  <c r="BI144" i="51"/>
  <c r="AP129" i="51"/>
  <c r="AP333" i="51"/>
  <c r="AG129" i="51"/>
  <c r="AG333" i="51"/>
  <c r="BE161" i="51"/>
  <c r="BE163" i="51" s="1"/>
  <c r="BI160" i="51"/>
  <c r="BE174" i="51"/>
  <c r="BC106" i="51"/>
  <c r="AK154" i="51"/>
  <c r="AK226" i="51"/>
  <c r="AK227" i="51"/>
  <c r="AQ157" i="51"/>
  <c r="BI130" i="51"/>
  <c r="AQ227" i="51"/>
  <c r="AQ154" i="51"/>
  <c r="AQ226" i="51"/>
  <c r="BB161" i="51"/>
  <c r="BB163" i="51" s="1"/>
  <c r="BB174" i="51"/>
  <c r="AP161" i="51"/>
  <c r="AP163" i="51" s="1"/>
  <c r="AP174" i="51"/>
  <c r="AV161" i="51"/>
  <c r="AV163" i="51" s="1"/>
  <c r="AK113" i="51"/>
  <c r="AN161" i="51"/>
  <c r="AN256" i="51"/>
  <c r="AO259" i="51"/>
  <c r="AO249" i="51"/>
  <c r="AO252" i="51" s="1"/>
  <c r="AO253" i="51" s="1"/>
  <c r="BF195" i="51"/>
  <c r="BC168" i="51"/>
  <c r="BL244" i="51"/>
  <c r="BK238" i="51"/>
  <c r="X43" i="51"/>
  <c r="X160" i="51"/>
  <c r="BE195" i="51"/>
  <c r="AT116" i="51"/>
  <c r="AT118" i="51" s="1"/>
  <c r="BI147" i="51"/>
  <c r="AC238" i="51"/>
  <c r="AB244" i="51"/>
  <c r="Q243" i="51"/>
  <c r="R237" i="51"/>
  <c r="AB345" i="51"/>
  <c r="AB346" i="51" s="1"/>
  <c r="AT153" i="3" l="1"/>
  <c r="BN118" i="51"/>
  <c r="BN144" i="3"/>
  <c r="BT144" i="3" s="1"/>
  <c r="BZ144" i="3" s="1"/>
  <c r="CF144" i="3" s="1"/>
  <c r="BN101" i="3"/>
  <c r="BQ101" i="3" s="1"/>
  <c r="AE174" i="3"/>
  <c r="AO114" i="119"/>
  <c r="AS243" i="51"/>
  <c r="AS237" i="51" s="1"/>
  <c r="AW156" i="3"/>
  <c r="AH47" i="51"/>
  <c r="AS15" i="119"/>
  <c r="AS75" i="119" s="1"/>
  <c r="AO47" i="119"/>
  <c r="AO172" i="119" s="1"/>
  <c r="BO143" i="3"/>
  <c r="BI172" i="51"/>
  <c r="BO13" i="51"/>
  <c r="BF153" i="3"/>
  <c r="AN153" i="3"/>
  <c r="AM153" i="3"/>
  <c r="BB153" i="3"/>
  <c r="BC156" i="3"/>
  <c r="BE153" i="3"/>
  <c r="AP153" i="3"/>
  <c r="AU153" i="3"/>
  <c r="AR18" i="119"/>
  <c r="AR76" i="119" s="1"/>
  <c r="AY153" i="3"/>
  <c r="AZ153" i="3"/>
  <c r="BH153" i="3"/>
  <c r="BL153" i="3"/>
  <c r="AS153" i="3"/>
  <c r="BK153" i="3"/>
  <c r="BA153" i="3"/>
  <c r="AO153" i="3"/>
  <c r="AV153" i="3"/>
  <c r="BI156" i="3"/>
  <c r="BG153" i="3"/>
  <c r="BM153" i="3"/>
  <c r="BO375" i="51"/>
  <c r="BO377" i="51"/>
  <c r="BW99" i="3"/>
  <c r="CC99" i="3" s="1"/>
  <c r="BX99" i="3"/>
  <c r="CD99" i="3" s="1"/>
  <c r="AP40" i="119"/>
  <c r="AP143" i="119" s="1"/>
  <c r="AP75" i="119"/>
  <c r="H69" i="119"/>
  <c r="L78" i="119" s="1"/>
  <c r="Q203" i="3"/>
  <c r="BM142" i="51"/>
  <c r="L87" i="119"/>
  <c r="P101" i="119" s="1"/>
  <c r="K103" i="3"/>
  <c r="AH103" i="51"/>
  <c r="Y49" i="119"/>
  <c r="Q165" i="51"/>
  <c r="L5" i="119" s="1"/>
  <c r="L73" i="119" s="1"/>
  <c r="Q163" i="51"/>
  <c r="K175" i="51"/>
  <c r="K177" i="51" s="1"/>
  <c r="K180" i="51"/>
  <c r="Q175" i="51"/>
  <c r="Q177" i="51" s="1"/>
  <c r="K158" i="3"/>
  <c r="AH102" i="51"/>
  <c r="K146" i="3"/>
  <c r="BN176" i="51"/>
  <c r="AN201" i="51"/>
  <c r="L164" i="51"/>
  <c r="AQ58" i="51"/>
  <c r="AA69" i="119"/>
  <c r="AE78" i="119" s="1"/>
  <c r="O343" i="51"/>
  <c r="O345" i="51" s="1"/>
  <c r="O337" i="51" s="1"/>
  <c r="O16" i="51" s="1"/>
  <c r="O17" i="51" s="1"/>
  <c r="O19" i="51" s="1"/>
  <c r="AW189" i="51"/>
  <c r="AN200" i="51"/>
  <c r="V165" i="51"/>
  <c r="O82" i="119" s="1"/>
  <c r="AB186" i="51"/>
  <c r="AK189" i="51"/>
  <c r="AN180" i="51"/>
  <c r="AT203" i="3"/>
  <c r="S43" i="51"/>
  <c r="AB187" i="51"/>
  <c r="AB188" i="51"/>
  <c r="AK185" i="51"/>
  <c r="AN146" i="3"/>
  <c r="AB189" i="51"/>
  <c r="AK186" i="51"/>
  <c r="AN103" i="3"/>
  <c r="X100" i="119"/>
  <c r="X59" i="119" s="1"/>
  <c r="O100" i="119"/>
  <c r="O59" i="119" s="1"/>
  <c r="AQ61" i="51"/>
  <c r="I165" i="51"/>
  <c r="F5" i="119" s="1"/>
  <c r="F30" i="119" s="1"/>
  <c r="AK187" i="51"/>
  <c r="AE87" i="119"/>
  <c r="AN158" i="3"/>
  <c r="AE38" i="51"/>
  <c r="AK188" i="51"/>
  <c r="AN199" i="51"/>
  <c r="AN202" i="51"/>
  <c r="AN203" i="51"/>
  <c r="BM120" i="51"/>
  <c r="AR26" i="119" s="1"/>
  <c r="AR51" i="119" s="1"/>
  <c r="BX19" i="51"/>
  <c r="BX25" i="51"/>
  <c r="BW25" i="51"/>
  <c r="BW19" i="51"/>
  <c r="BW13" i="51"/>
  <c r="BT83" i="51"/>
  <c r="BT77" i="51"/>
  <c r="BT84" i="51"/>
  <c r="BT78" i="51"/>
  <c r="BT24" i="51"/>
  <c r="BT18" i="51"/>
  <c r="BT17" i="51" s="1"/>
  <c r="BN126" i="51"/>
  <c r="AC100" i="119"/>
  <c r="AC59" i="119" s="1"/>
  <c r="AE100" i="119"/>
  <c r="AE59" i="119" s="1"/>
  <c r="AK96" i="119"/>
  <c r="AK57" i="119" s="1"/>
  <c r="AH105" i="51"/>
  <c r="BM59" i="51"/>
  <c r="BM61" i="51"/>
  <c r="AR25" i="119" s="1"/>
  <c r="AR50" i="119" s="1"/>
  <c r="BM332" i="51"/>
  <c r="BM331" i="51"/>
  <c r="G345" i="51"/>
  <c r="BU70" i="51"/>
  <c r="BG200" i="51"/>
  <c r="AG100" i="119"/>
  <c r="AG59" i="119" s="1"/>
  <c r="U165" i="51"/>
  <c r="N5" i="119" s="1"/>
  <c r="N73" i="119" s="1"/>
  <c r="BQ143" i="3"/>
  <c r="AH100" i="119"/>
  <c r="AH59" i="119" s="1"/>
  <c r="BO99" i="51"/>
  <c r="AH57" i="51"/>
  <c r="AH59" i="51" s="1"/>
  <c r="BM243" i="51"/>
  <c r="BN243" i="51" s="1"/>
  <c r="AB115" i="51"/>
  <c r="BH158" i="51"/>
  <c r="S46" i="51"/>
  <c r="AP85" i="119"/>
  <c r="AP97" i="119" s="1"/>
  <c r="AG258" i="51"/>
  <c r="AG251" i="51" s="1"/>
  <c r="AK251" i="51" s="1"/>
  <c r="AW187" i="51"/>
  <c r="O165" i="51"/>
  <c r="J82" i="119" s="1"/>
  <c r="AK46" i="51"/>
  <c r="AH259" i="51"/>
  <c r="BS142" i="3"/>
  <c r="BY142" i="3" s="1"/>
  <c r="CE142" i="3" s="1"/>
  <c r="BR142" i="3"/>
  <c r="BX142" i="3" s="1"/>
  <c r="CD142" i="3" s="1"/>
  <c r="BQ142" i="3"/>
  <c r="BW142" i="3" s="1"/>
  <c r="CC142" i="3" s="1"/>
  <c r="BR101" i="51"/>
  <c r="BR115" i="51" s="1"/>
  <c r="BR195" i="51" s="1"/>
  <c r="BQ115" i="51"/>
  <c r="BQ192" i="51" s="1"/>
  <c r="BN158" i="51"/>
  <c r="BN131" i="51"/>
  <c r="AG96" i="119"/>
  <c r="AG57" i="119" s="1"/>
  <c r="AS20" i="119"/>
  <c r="AS153" i="119" s="1"/>
  <c r="AS37" i="119"/>
  <c r="AS129" i="119" s="1"/>
  <c r="AS9" i="119"/>
  <c r="AS34" i="119" s="1"/>
  <c r="AS126" i="119" s="1"/>
  <c r="BO46" i="51"/>
  <c r="I146" i="3"/>
  <c r="AS25" i="119"/>
  <c r="AS50" i="119" s="1"/>
  <c r="BN164" i="51"/>
  <c r="BN178" i="51" s="1"/>
  <c r="AC165" i="51"/>
  <c r="T5" i="119" s="1"/>
  <c r="X30" i="119" s="1"/>
  <c r="BI185" i="51"/>
  <c r="AS84" i="119"/>
  <c r="AS95" i="119" s="1"/>
  <c r="AT175" i="51"/>
  <c r="O175" i="51"/>
  <c r="BY96" i="51"/>
  <c r="BI186" i="51"/>
  <c r="V82" i="119"/>
  <c r="P175" i="51"/>
  <c r="V243" i="51"/>
  <c r="U243" i="51" s="1"/>
  <c r="U237" i="51" s="1"/>
  <c r="U239" i="51" s="1"/>
  <c r="U240" i="51" s="1"/>
  <c r="O163" i="51"/>
  <c r="BG199" i="51"/>
  <c r="AG94" i="119"/>
  <c r="AG56" i="119" s="1"/>
  <c r="Y44" i="119"/>
  <c r="Y158" i="119" s="1"/>
  <c r="AD202" i="51"/>
  <c r="AU199" i="51"/>
  <c r="O180" i="51"/>
  <c r="AI202" i="51"/>
  <c r="AH250" i="51"/>
  <c r="AH252" i="51" s="1"/>
  <c r="AH253" i="51" s="1"/>
  <c r="AB177" i="51"/>
  <c r="AH45" i="51"/>
  <c r="P343" i="51"/>
  <c r="V343" i="51" s="1"/>
  <c r="V345" i="51" s="1"/>
  <c r="V346" i="51" s="1"/>
  <c r="W177" i="51"/>
  <c r="BF202" i="51"/>
  <c r="I19" i="51"/>
  <c r="AC44" i="119"/>
  <c r="AC158" i="119" s="1"/>
  <c r="AG257" i="51"/>
  <c r="AG250" i="51" s="1"/>
  <c r="AN251" i="51"/>
  <c r="AQ251" i="51" s="1"/>
  <c r="BR98" i="51"/>
  <c r="BO40" i="51"/>
  <c r="BQ157" i="51"/>
  <c r="BH200" i="51"/>
  <c r="BO157" i="51"/>
  <c r="N87" i="119"/>
  <c r="AO163" i="51"/>
  <c r="AJ202" i="51"/>
  <c r="BI155" i="51"/>
  <c r="J177" i="51"/>
  <c r="BO72" i="51"/>
  <c r="BQ105" i="51"/>
  <c r="BQ106" i="51" s="1"/>
  <c r="Y11" i="51"/>
  <c r="Y18" i="51" s="1"/>
  <c r="X24" i="51"/>
  <c r="X18" i="51"/>
  <c r="AY142" i="51"/>
  <c r="AY136" i="51"/>
  <c r="BI129" i="51"/>
  <c r="BI332" i="51" s="1"/>
  <c r="BF142" i="51"/>
  <c r="BF136" i="51"/>
  <c r="AK24" i="51"/>
  <c r="AK18" i="51"/>
  <c r="AS142" i="51"/>
  <c r="AS136" i="51"/>
  <c r="BB142" i="51"/>
  <c r="BB136" i="51"/>
  <c r="BE332" i="51"/>
  <c r="BE142" i="51"/>
  <c r="BE136" i="51"/>
  <c r="AU142" i="51"/>
  <c r="AU136" i="51"/>
  <c r="BO83" i="51"/>
  <c r="BO77" i="51"/>
  <c r="BO24" i="51"/>
  <c r="BO18" i="51"/>
  <c r="AG83" i="51"/>
  <c r="AG77" i="51"/>
  <c r="BQ13" i="51"/>
  <c r="BQ130" i="51"/>
  <c r="M11" i="51"/>
  <c r="L24" i="51"/>
  <c r="L18" i="51"/>
  <c r="AV136" i="51"/>
  <c r="AV142" i="51"/>
  <c r="AN136" i="51"/>
  <c r="AN142" i="51"/>
  <c r="S11" i="51"/>
  <c r="R24" i="51"/>
  <c r="R18" i="51"/>
  <c r="AZ142" i="51"/>
  <c r="AZ136" i="51"/>
  <c r="AP136" i="51"/>
  <c r="AP142" i="51"/>
  <c r="AM142" i="51"/>
  <c r="AM136" i="51"/>
  <c r="BQ142" i="51"/>
  <c r="BQ136" i="51"/>
  <c r="BA142" i="51"/>
  <c r="BA136" i="51"/>
  <c r="BK142" i="51"/>
  <c r="BK136" i="51"/>
  <c r="AT136" i="51"/>
  <c r="AT142" i="51"/>
  <c r="AE24" i="51"/>
  <c r="AE18" i="51"/>
  <c r="AO142" i="51"/>
  <c r="AO136" i="51"/>
  <c r="BL142" i="51"/>
  <c r="BL136" i="51"/>
  <c r="BT9" i="51"/>
  <c r="BT8" i="51" s="1"/>
  <c r="BT68" i="51"/>
  <c r="BT67" i="51" s="1"/>
  <c r="M344" i="51"/>
  <c r="L344" i="51" s="1"/>
  <c r="K338" i="51"/>
  <c r="K208" i="51" s="1"/>
  <c r="K346" i="51"/>
  <c r="Q343" i="51"/>
  <c r="Q345" i="51" s="1"/>
  <c r="Q337" i="51" s="1"/>
  <c r="Q16" i="51" s="1"/>
  <c r="AJ94" i="119"/>
  <c r="AJ56" i="119" s="1"/>
  <c r="AL100" i="119"/>
  <c r="AL59" i="119" s="1"/>
  <c r="AA100" i="119"/>
  <c r="AA59" i="119" s="1"/>
  <c r="BE331" i="51"/>
  <c r="AA163" i="51"/>
  <c r="AJ165" i="51"/>
  <c r="Y5" i="119" s="1"/>
  <c r="Y73" i="119" s="1"/>
  <c r="AM94" i="119"/>
  <c r="AM56" i="119" s="1"/>
  <c r="Q165" i="3"/>
  <c r="AL98" i="119"/>
  <c r="AL58" i="119" s="1"/>
  <c r="AE94" i="119"/>
  <c r="AE56" i="119" s="1"/>
  <c r="U163" i="51"/>
  <c r="BH158" i="3"/>
  <c r="O158" i="3"/>
  <c r="AO86" i="119"/>
  <c r="AO99" i="119" s="1"/>
  <c r="AO100" i="119" s="1"/>
  <c r="AO59" i="119" s="1"/>
  <c r="AR85" i="119"/>
  <c r="AR97" i="119" s="1"/>
  <c r="BO8" i="51"/>
  <c r="BO271" i="51" s="1"/>
  <c r="BO274" i="51" s="1"/>
  <c r="BI188" i="51"/>
  <c r="BL120" i="51"/>
  <c r="AQ26" i="119" s="1"/>
  <c r="AQ51" i="119" s="1"/>
  <c r="S45" i="51"/>
  <c r="AW162" i="51"/>
  <c r="AW188" i="51"/>
  <c r="AW185" i="51"/>
  <c r="P180" i="51"/>
  <c r="BI189" i="51"/>
  <c r="AQ45" i="51"/>
  <c r="AK44" i="51"/>
  <c r="AP96" i="119"/>
  <c r="AP57" i="119" s="1"/>
  <c r="I103" i="3"/>
  <c r="BI174" i="3"/>
  <c r="BX128" i="51"/>
  <c r="AJ163" i="51"/>
  <c r="AK163" i="51" s="1"/>
  <c r="AG47" i="51"/>
  <c r="K101" i="119"/>
  <c r="AN69" i="119"/>
  <c r="Y151" i="119"/>
  <c r="Y43" i="119"/>
  <c r="Y157" i="119" s="1"/>
  <c r="AC43" i="119"/>
  <c r="AC157" i="119" s="1"/>
  <c r="AN94" i="119"/>
  <c r="AN56" i="119" s="1"/>
  <c r="BT88" i="51"/>
  <c r="BT87" i="51" s="1"/>
  <c r="BU87" i="51" s="1"/>
  <c r="J337" i="51"/>
  <c r="J16" i="51" s="1"/>
  <c r="J17" i="51" s="1"/>
  <c r="J19" i="51" s="1"/>
  <c r="J338" i="51"/>
  <c r="AR47" i="119"/>
  <c r="AR172" i="119" s="1"/>
  <c r="BA165" i="3"/>
  <c r="BT109" i="51"/>
  <c r="BT108" i="51" s="1"/>
  <c r="BU108" i="51" s="1"/>
  <c r="BS113" i="51"/>
  <c r="AV23" i="119" s="1"/>
  <c r="AV48" i="119" s="1"/>
  <c r="AV173" i="119" s="1"/>
  <c r="AJ100" i="119"/>
  <c r="AJ59" i="119" s="1"/>
  <c r="AR37" i="119"/>
  <c r="AR129" i="119" s="1"/>
  <c r="AM98" i="119"/>
  <c r="AM58" i="119" s="1"/>
  <c r="W101" i="119"/>
  <c r="AR44" i="119"/>
  <c r="AR158" i="119" s="1"/>
  <c r="AI94" i="119"/>
  <c r="AI56" i="119" s="1"/>
  <c r="AW174" i="3"/>
  <c r="AF96" i="119"/>
  <c r="AF57" i="119" s="1"/>
  <c r="AG98" i="119"/>
  <c r="AG58" i="119" s="1"/>
  <c r="AK94" i="119"/>
  <c r="AK56" i="119" s="1"/>
  <c r="AK174" i="3"/>
  <c r="K337" i="51"/>
  <c r="K207" i="51" s="1"/>
  <c r="BA252" i="51"/>
  <c r="BA253" i="51" s="1"/>
  <c r="AU117" i="119"/>
  <c r="AM96" i="119"/>
  <c r="AM57" i="119" s="1"/>
  <c r="AV34" i="119"/>
  <c r="AV126" i="119" s="1"/>
  <c r="AO96" i="119"/>
  <c r="AO57" i="119" s="1"/>
  <c r="AE98" i="119"/>
  <c r="AE58" i="119" s="1"/>
  <c r="BF165" i="3"/>
  <c r="AJ98" i="119"/>
  <c r="AJ58" i="119" s="1"/>
  <c r="AN96" i="119"/>
  <c r="AN57" i="119" s="1"/>
  <c r="BC165" i="51"/>
  <c r="AV12" i="119"/>
  <c r="AV117" i="119" s="1"/>
  <c r="H78" i="119"/>
  <c r="D78" i="119"/>
  <c r="X73" i="119"/>
  <c r="G78" i="119"/>
  <c r="C78" i="119"/>
  <c r="B73" i="119"/>
  <c r="AU83" i="119"/>
  <c r="AR34" i="119"/>
  <c r="AR126" i="119" s="1"/>
  <c r="AR114" i="119"/>
  <c r="AQ6" i="119"/>
  <c r="AQ83" i="119"/>
  <c r="AQ93" i="119" s="1"/>
  <c r="AR94" i="119" s="1"/>
  <c r="AR56" i="119" s="1"/>
  <c r="BR211" i="51"/>
  <c r="BR127" i="51"/>
  <c r="BR129" i="51" s="1"/>
  <c r="BR210" i="51"/>
  <c r="AU65" i="119"/>
  <c r="AR65" i="119"/>
  <c r="AK100" i="119"/>
  <c r="AK59" i="119" s="1"/>
  <c r="AK98" i="119"/>
  <c r="AK58" i="119" s="1"/>
  <c r="AH94" i="119"/>
  <c r="AH56" i="119" s="1"/>
  <c r="AH98" i="119"/>
  <c r="AH58" i="119" s="1"/>
  <c r="AJ96" i="119"/>
  <c r="AJ57" i="119" s="1"/>
  <c r="AR84" i="119"/>
  <c r="AR95" i="119" s="1"/>
  <c r="AN98" i="119"/>
  <c r="AN58" i="119" s="1"/>
  <c r="X164" i="51"/>
  <c r="AN165" i="51"/>
  <c r="AA5" i="119" s="1"/>
  <c r="AA73" i="119" s="1"/>
  <c r="AP165" i="3"/>
  <c r="BC164" i="51"/>
  <c r="X162" i="51"/>
  <c r="AK162" i="51"/>
  <c r="AI100" i="119"/>
  <c r="AI59" i="119" s="1"/>
  <c r="BH146" i="3"/>
  <c r="S38" i="51"/>
  <c r="Y38" i="51"/>
  <c r="BS169" i="51"/>
  <c r="BG201" i="51"/>
  <c r="BL178" i="51"/>
  <c r="AO69" i="119"/>
  <c r="P163" i="51"/>
  <c r="AL91" i="119"/>
  <c r="O165" i="3"/>
  <c r="BH202" i="51"/>
  <c r="AQ174" i="3"/>
  <c r="AH97" i="51"/>
  <c r="AT20" i="119"/>
  <c r="AI165" i="3"/>
  <c r="AK156" i="51"/>
  <c r="AU200" i="51"/>
  <c r="BG180" i="51"/>
  <c r="BH199" i="51"/>
  <c r="AN100" i="119"/>
  <c r="AN59" i="119" s="1"/>
  <c r="BH237" i="51"/>
  <c r="BH239" i="51" s="1"/>
  <c r="BH240" i="51" s="1"/>
  <c r="BG202" i="51"/>
  <c r="AU6" i="119"/>
  <c r="CI155" i="3"/>
  <c r="AQ156" i="51"/>
  <c r="BQ46" i="51"/>
  <c r="BQ60" i="51" s="1"/>
  <c r="BQ40" i="51"/>
  <c r="BO97" i="51"/>
  <c r="AR45" i="119"/>
  <c r="AR159" i="119" s="1"/>
  <c r="BH165" i="51"/>
  <c r="AO5" i="119" s="1"/>
  <c r="AO30" i="119" s="1"/>
  <c r="BW11" i="51"/>
  <c r="AU180" i="51"/>
  <c r="BG203" i="51"/>
  <c r="W163" i="51"/>
  <c r="AQ161" i="51"/>
  <c r="BH180" i="51"/>
  <c r="BC156" i="51"/>
  <c r="CI144" i="3"/>
  <c r="I165" i="3"/>
  <c r="AW19" i="119"/>
  <c r="AO20" i="119"/>
  <c r="BI99" i="51"/>
  <c r="AP18" i="119"/>
  <c r="AP76" i="119" s="1"/>
  <c r="AV44" i="119"/>
  <c r="AV158" i="119" s="1"/>
  <c r="AS26" i="119"/>
  <c r="AS51" i="119" s="1"/>
  <c r="BH201" i="51"/>
  <c r="AF94" i="119"/>
  <c r="AF56" i="119" s="1"/>
  <c r="BE165" i="3"/>
  <c r="AY165" i="3"/>
  <c r="BW40" i="51"/>
  <c r="BX39" i="51"/>
  <c r="BH203" i="51"/>
  <c r="BI156" i="51"/>
  <c r="AW156" i="51"/>
  <c r="BO106" i="51"/>
  <c r="AM165" i="3"/>
  <c r="W100" i="119"/>
  <c r="W59" i="119" s="1"/>
  <c r="M38" i="51"/>
  <c r="AG97" i="51"/>
  <c r="BE258" i="51"/>
  <c r="BE251" i="51" s="1"/>
  <c r="BF251" i="51"/>
  <c r="AS19" i="119"/>
  <c r="AN165" i="3"/>
  <c r="AT200" i="51"/>
  <c r="AF98" i="119"/>
  <c r="AF58" i="119" s="1"/>
  <c r="AT180" i="51"/>
  <c r="AD164" i="51"/>
  <c r="AQ187" i="51"/>
  <c r="AT201" i="51"/>
  <c r="BO162" i="51"/>
  <c r="K163" i="51"/>
  <c r="AI87" i="119"/>
  <c r="O146" i="3"/>
  <c r="AC165" i="3"/>
  <c r="AR100" i="119"/>
  <c r="AR59" i="119" s="1"/>
  <c r="AE45" i="51"/>
  <c r="AQ189" i="51"/>
  <c r="AT199" i="51"/>
  <c r="AU201" i="51"/>
  <c r="AI98" i="119"/>
  <c r="AI58" i="119" s="1"/>
  <c r="AW59" i="51"/>
  <c r="F69" i="119"/>
  <c r="J78" i="119" s="1"/>
  <c r="AE69" i="119"/>
  <c r="AI78" i="119" s="1"/>
  <c r="J69" i="119"/>
  <c r="N78" i="119" s="1"/>
  <c r="O103" i="3"/>
  <c r="M45" i="51"/>
  <c r="O203" i="3"/>
  <c r="AE96" i="119"/>
  <c r="AE57" i="119" s="1"/>
  <c r="AK98" i="51"/>
  <c r="AK95" i="51"/>
  <c r="AK99" i="51"/>
  <c r="AK96" i="51"/>
  <c r="AE227" i="51"/>
  <c r="AU203" i="51"/>
  <c r="I175" i="51"/>
  <c r="AQ188" i="51"/>
  <c r="AB100" i="119"/>
  <c r="AB59" i="119" s="1"/>
  <c r="J87" i="119"/>
  <c r="I158" i="3"/>
  <c r="AQ47" i="51"/>
  <c r="AE46" i="51"/>
  <c r="AQ185" i="51"/>
  <c r="AQ57" i="51"/>
  <c r="I180" i="51"/>
  <c r="AO21" i="119"/>
  <c r="AA165" i="51"/>
  <c r="R82" i="119" s="1"/>
  <c r="AY103" i="3"/>
  <c r="AY146" i="3"/>
  <c r="AY158" i="3"/>
  <c r="BE203" i="3"/>
  <c r="AG146" i="3"/>
  <c r="AG158" i="3"/>
  <c r="AG103" i="3"/>
  <c r="AM203" i="3"/>
  <c r="AL96" i="119"/>
  <c r="AL57" i="119" s="1"/>
  <c r="R164" i="51"/>
  <c r="AH237" i="51"/>
  <c r="AG243" i="51"/>
  <c r="AG237" i="51" s="1"/>
  <c r="AE142" i="3"/>
  <c r="AE93" i="3"/>
  <c r="AE94" i="3" s="1"/>
  <c r="AE152" i="3"/>
  <c r="AE99" i="3"/>
  <c r="AE164" i="3"/>
  <c r="AZ165" i="3"/>
  <c r="AG103" i="51"/>
  <c r="AA115" i="51"/>
  <c r="AA195" i="51" s="1"/>
  <c r="AG105" i="51"/>
  <c r="AG102" i="51"/>
  <c r="AA102" i="51"/>
  <c r="AA104" i="51" s="1"/>
  <c r="AE104" i="51" s="1"/>
  <c r="AE101" i="51"/>
  <c r="CI101" i="3"/>
  <c r="BB146" i="3"/>
  <c r="BB103" i="3"/>
  <c r="BB158" i="3"/>
  <c r="BH203" i="3"/>
  <c r="R47" i="51"/>
  <c r="S47" i="51" s="1"/>
  <c r="AJ103" i="3"/>
  <c r="AJ146" i="3"/>
  <c r="AJ158" i="3"/>
  <c r="AP203" i="3"/>
  <c r="BL202" i="51"/>
  <c r="BL146" i="3"/>
  <c r="BL103" i="3"/>
  <c r="BL158" i="3"/>
  <c r="BK146" i="3"/>
  <c r="BK103" i="3"/>
  <c r="BK158" i="3"/>
  <c r="AE43" i="51"/>
  <c r="AU146" i="3"/>
  <c r="AU103" i="3"/>
  <c r="AU158" i="3"/>
  <c r="BA203" i="3"/>
  <c r="V203" i="3"/>
  <c r="P103" i="3"/>
  <c r="P158" i="3"/>
  <c r="P146" i="3"/>
  <c r="AZ103" i="3"/>
  <c r="AZ146" i="3"/>
  <c r="AZ158" i="3"/>
  <c r="BF203" i="3"/>
  <c r="U165" i="3"/>
  <c r="BC174" i="3"/>
  <c r="AW164" i="51"/>
  <c r="AQ142" i="3"/>
  <c r="AQ93" i="3"/>
  <c r="AQ94" i="3" s="1"/>
  <c r="AQ99" i="3"/>
  <c r="AQ152" i="3"/>
  <c r="AQ164" i="3"/>
  <c r="BK165" i="3"/>
  <c r="AQ120" i="51"/>
  <c r="AQ119" i="51"/>
  <c r="BO119" i="51"/>
  <c r="AO158" i="3"/>
  <c r="AO103" i="3"/>
  <c r="AO146" i="3"/>
  <c r="AU203" i="3"/>
  <c r="L142" i="3"/>
  <c r="L99" i="3"/>
  <c r="L152" i="3"/>
  <c r="L164" i="3"/>
  <c r="AM91" i="119"/>
  <c r="AK193" i="51"/>
  <c r="AD146" i="3"/>
  <c r="AD103" i="3"/>
  <c r="AD158" i="3"/>
  <c r="AJ203" i="3"/>
  <c r="V163" i="51"/>
  <c r="X142" i="3"/>
  <c r="X152" i="3"/>
  <c r="X99" i="3"/>
  <c r="X164" i="3"/>
  <c r="BN230" i="51"/>
  <c r="BC188" i="51"/>
  <c r="AK192" i="51"/>
  <c r="X82" i="119"/>
  <c r="V165" i="3"/>
  <c r="BH165" i="3"/>
  <c r="BB165" i="3"/>
  <c r="BL165" i="3"/>
  <c r="BC61" i="51"/>
  <c r="BC58" i="51"/>
  <c r="BC60" i="51"/>
  <c r="BG146" i="3"/>
  <c r="BG103" i="3"/>
  <c r="BG158" i="3"/>
  <c r="BE103" i="3"/>
  <c r="BE146" i="3"/>
  <c r="BE158" i="3"/>
  <c r="AK196" i="51"/>
  <c r="BF146" i="3"/>
  <c r="BF103" i="3"/>
  <c r="BF158" i="3"/>
  <c r="BC142" i="3"/>
  <c r="BC93" i="3"/>
  <c r="BC94" i="3" s="1"/>
  <c r="BC152" i="3"/>
  <c r="BC99" i="3"/>
  <c r="BC164" i="3"/>
  <c r="BG165" i="3"/>
  <c r="BI99" i="3"/>
  <c r="BI93" i="3"/>
  <c r="BI94" i="3" s="1"/>
  <c r="BI142" i="3"/>
  <c r="BI152" i="3"/>
  <c r="BI164" i="3"/>
  <c r="AW129" i="51"/>
  <c r="R162" i="51"/>
  <c r="BI119" i="51"/>
  <c r="AW93" i="3"/>
  <c r="AW94" i="3" s="1"/>
  <c r="AW142" i="3"/>
  <c r="AW99" i="3"/>
  <c r="AW152" i="3"/>
  <c r="AW164" i="3"/>
  <c r="R142" i="3"/>
  <c r="R99" i="3"/>
  <c r="R152" i="3"/>
  <c r="R164" i="3"/>
  <c r="AC103" i="3"/>
  <c r="AC146" i="3"/>
  <c r="AC158" i="3"/>
  <c r="AI203" i="3"/>
  <c r="AH146" i="3"/>
  <c r="AH103" i="3"/>
  <c r="AH158" i="3"/>
  <c r="AN203" i="3"/>
  <c r="AK194" i="51"/>
  <c r="BG175" i="51"/>
  <c r="BA146" i="3"/>
  <c r="BA103" i="3"/>
  <c r="BA158" i="3"/>
  <c r="BG203" i="3"/>
  <c r="AG202" i="51"/>
  <c r="AI103" i="3"/>
  <c r="AI146" i="3"/>
  <c r="AI158" i="3"/>
  <c r="AO203" i="3"/>
  <c r="K82" i="119"/>
  <c r="C146" i="3"/>
  <c r="C103" i="3"/>
  <c r="C158" i="3"/>
  <c r="I203" i="3"/>
  <c r="BO60" i="51"/>
  <c r="AK93" i="3"/>
  <c r="AK94" i="3" s="1"/>
  <c r="AK142" i="3"/>
  <c r="AK99" i="3"/>
  <c r="AK152" i="3"/>
  <c r="AK164" i="3"/>
  <c r="AP202" i="51"/>
  <c r="AP146" i="3"/>
  <c r="AP103" i="3"/>
  <c r="AP158" i="3"/>
  <c r="AV203" i="3"/>
  <c r="AS146" i="3"/>
  <c r="AS158" i="3"/>
  <c r="AS103" i="3"/>
  <c r="AY203" i="3"/>
  <c r="F142" i="3"/>
  <c r="F99" i="3"/>
  <c r="F152" i="3"/>
  <c r="F164" i="3"/>
  <c r="BR230" i="51"/>
  <c r="BR143" i="3"/>
  <c r="U180" i="51"/>
  <c r="U103" i="3"/>
  <c r="U146" i="3"/>
  <c r="U158" i="3"/>
  <c r="AA203" i="3"/>
  <c r="BL332" i="51"/>
  <c r="BL331" i="51"/>
  <c r="AE211" i="51"/>
  <c r="AK69" i="51"/>
  <c r="AE79" i="51"/>
  <c r="AE85" i="51"/>
  <c r="AK71" i="51"/>
  <c r="AK68" i="51"/>
  <c r="AK70" i="51"/>
  <c r="AK72" i="51"/>
  <c r="AO202" i="51"/>
  <c r="AM175" i="51"/>
  <c r="AQ117" i="51"/>
  <c r="BC59" i="51"/>
  <c r="L162" i="51"/>
  <c r="AO165" i="3"/>
  <c r="AJ165" i="3"/>
  <c r="AT146" i="3"/>
  <c r="AT103" i="3"/>
  <c r="AT158" i="3"/>
  <c r="AZ203" i="3"/>
  <c r="AT203" i="51"/>
  <c r="BY145" i="106"/>
  <c r="BZ146" i="106" s="1"/>
  <c r="BG252" i="51"/>
  <c r="BG253" i="51" s="1"/>
  <c r="AC5" i="119"/>
  <c r="AC73" i="119" s="1"/>
  <c r="AC82" i="119"/>
  <c r="AH87" i="119"/>
  <c r="AH101" i="119" s="1"/>
  <c r="AD69" i="119"/>
  <c r="AH78" i="119" s="1"/>
  <c r="T69" i="119"/>
  <c r="X78" i="119" s="1"/>
  <c r="X87" i="119"/>
  <c r="W69" i="119"/>
  <c r="AA78" i="119" s="1"/>
  <c r="AA87" i="119"/>
  <c r="AA101" i="119" s="1"/>
  <c r="BF243" i="51"/>
  <c r="BG237" i="51"/>
  <c r="BI120" i="51"/>
  <c r="AM69" i="119"/>
  <c r="BS148" i="51"/>
  <c r="AR66" i="119"/>
  <c r="I163" i="51"/>
  <c r="E64" i="119"/>
  <c r="F174" i="51"/>
  <c r="AA175" i="51"/>
  <c r="BE257" i="51"/>
  <c r="BE250" i="51" s="1"/>
  <c r="BF250" i="51"/>
  <c r="AI69" i="119"/>
  <c r="AM78" i="119" s="1"/>
  <c r="AM87" i="119"/>
  <c r="AZ199" i="51"/>
  <c r="AZ202" i="51"/>
  <c r="AZ203" i="51"/>
  <c r="AZ201" i="51"/>
  <c r="AZ200" i="51"/>
  <c r="AZ180" i="51"/>
  <c r="U165" i="119"/>
  <c r="U46" i="119"/>
  <c r="U171" i="119" s="1"/>
  <c r="Y46" i="119"/>
  <c r="Y171" i="119" s="1"/>
  <c r="AW61" i="51"/>
  <c r="AF87" i="119"/>
  <c r="AB69" i="119"/>
  <c r="AF78" i="119" s="1"/>
  <c r="AR68" i="119"/>
  <c r="AW57" i="51"/>
  <c r="AC87" i="119"/>
  <c r="Y69" i="119"/>
  <c r="AC78" i="119" s="1"/>
  <c r="BU71" i="51"/>
  <c r="M43" i="51"/>
  <c r="AJ87" i="119"/>
  <c r="AF69" i="119"/>
  <c r="AJ78" i="119" s="1"/>
  <c r="AU202" i="51"/>
  <c r="L174" i="51"/>
  <c r="L161" i="51"/>
  <c r="I64" i="119"/>
  <c r="M160" i="51"/>
  <c r="AN91" i="119"/>
  <c r="AL94" i="119"/>
  <c r="AL56" i="119" s="1"/>
  <c r="AA187" i="51"/>
  <c r="AA186" i="51"/>
  <c r="AA189" i="51"/>
  <c r="AA185" i="51"/>
  <c r="AG57" i="51"/>
  <c r="AG59" i="51" s="1"/>
  <c r="AE56" i="51"/>
  <c r="AK58" i="51" s="1"/>
  <c r="G160" i="51"/>
  <c r="U99" i="119"/>
  <c r="Y99" i="119"/>
  <c r="Y46" i="51"/>
  <c r="AR137" i="119"/>
  <c r="AR40" i="119"/>
  <c r="AR143" i="119" s="1"/>
  <c r="R100" i="119"/>
  <c r="R59" i="119" s="1"/>
  <c r="Q100" i="119"/>
  <c r="Q59" i="119" s="1"/>
  <c r="AD161" i="51"/>
  <c r="Q64" i="119"/>
  <c r="BB202" i="51"/>
  <c r="AO87" i="119"/>
  <c r="AO101" i="119" s="1"/>
  <c r="AK69" i="119"/>
  <c r="AO78" i="119" s="1"/>
  <c r="BU92" i="51"/>
  <c r="AW17" i="119"/>
  <c r="W5" i="119"/>
  <c r="W73" i="119" s="1"/>
  <c r="W82" i="119"/>
  <c r="AQ118" i="51"/>
  <c r="BI57" i="51"/>
  <c r="AZ250" i="51"/>
  <c r="AZ252" i="51" s="1"/>
  <c r="AZ253" i="51" s="1"/>
  <c r="AY257" i="51"/>
  <c r="AZ259" i="51"/>
  <c r="BI61" i="51"/>
  <c r="R87" i="119"/>
  <c r="N69" i="119"/>
  <c r="R78" i="119" s="1"/>
  <c r="AI332" i="51"/>
  <c r="AI344" i="51" s="1"/>
  <c r="AI331" i="51"/>
  <c r="AI343" i="51" s="1"/>
  <c r="BL165" i="51"/>
  <c r="Y87" i="119"/>
  <c r="U69" i="119"/>
  <c r="Y78" i="119" s="1"/>
  <c r="AS86" i="119"/>
  <c r="AS21" i="119"/>
  <c r="AS77" i="119" s="1"/>
  <c r="Y43" i="51"/>
  <c r="AW58" i="51"/>
  <c r="U175" i="51"/>
  <c r="M64" i="119"/>
  <c r="M46" i="51"/>
  <c r="AQ69" i="119"/>
  <c r="BO54" i="51"/>
  <c r="AS22" i="119"/>
  <c r="AU68" i="119"/>
  <c r="AH332" i="51"/>
  <c r="AH344" i="51" s="1"/>
  <c r="AH331" i="51"/>
  <c r="AH343" i="51" s="1"/>
  <c r="AV139" i="119"/>
  <c r="AV42" i="119"/>
  <c r="AV145" i="119" s="1"/>
  <c r="AF100" i="119"/>
  <c r="AF59" i="119" s="1"/>
  <c r="AS331" i="51"/>
  <c r="AS332" i="51"/>
  <c r="AO165" i="51"/>
  <c r="AR46" i="119"/>
  <c r="AR171" i="119" s="1"/>
  <c r="AR165" i="119"/>
  <c r="V175" i="51"/>
  <c r="O87" i="119"/>
  <c r="K69" i="119"/>
  <c r="O78" i="119" s="1"/>
  <c r="AS68" i="119"/>
  <c r="BI164" i="51"/>
  <c r="AH91" i="119"/>
  <c r="AI92" i="119" s="1"/>
  <c r="AI55" i="119" s="1"/>
  <c r="BF332" i="51"/>
  <c r="BF331" i="51"/>
  <c r="AM100" i="119"/>
  <c r="AM59" i="119" s="1"/>
  <c r="B69" i="119"/>
  <c r="F87" i="119"/>
  <c r="C180" i="51"/>
  <c r="AQ250" i="51"/>
  <c r="AV175" i="51"/>
  <c r="AG87" i="119"/>
  <c r="AK101" i="119" s="1"/>
  <c r="AC69" i="119"/>
  <c r="AG78" i="119" s="1"/>
  <c r="BE202" i="51"/>
  <c r="AL69" i="119"/>
  <c r="AQ59" i="51"/>
  <c r="AH202" i="51"/>
  <c r="AT41" i="119"/>
  <c r="AT144" i="119" s="1"/>
  <c r="AT138" i="119"/>
  <c r="BI162" i="51"/>
  <c r="AP69" i="119"/>
  <c r="Z87" i="119"/>
  <c r="Z101" i="119" s="1"/>
  <c r="V69" i="119"/>
  <c r="Z78" i="119" s="1"/>
  <c r="AT331" i="51"/>
  <c r="AT332" i="51"/>
  <c r="AE345" i="51"/>
  <c r="AE346" i="51" s="1"/>
  <c r="AD343" i="51"/>
  <c r="AI96" i="119"/>
  <c r="AI57" i="119" s="1"/>
  <c r="AH96" i="119"/>
  <c r="AH57" i="119" s="1"/>
  <c r="Y114" i="119"/>
  <c r="Y34" i="119"/>
  <c r="Y126" i="119" s="1"/>
  <c r="AC34" i="119"/>
  <c r="AC126" i="119" s="1"/>
  <c r="AO138" i="119"/>
  <c r="AO41" i="119"/>
  <c r="AO144" i="119" s="1"/>
  <c r="AS41" i="119"/>
  <c r="AS144" i="119" s="1"/>
  <c r="AK91" i="119"/>
  <c r="AQ18" i="119"/>
  <c r="AQ76" i="119" s="1"/>
  <c r="AQ85" i="119"/>
  <c r="AQ97" i="119" s="1"/>
  <c r="AO331" i="51"/>
  <c r="AO332" i="51"/>
  <c r="AK164" i="51"/>
  <c r="AJ91" i="119"/>
  <c r="AU331" i="51"/>
  <c r="AU332" i="51"/>
  <c r="AO137" i="119"/>
  <c r="AO40" i="119"/>
  <c r="AO143" i="119" s="1"/>
  <c r="BO172" i="51"/>
  <c r="AP21" i="119"/>
  <c r="AP77" i="119" s="1"/>
  <c r="AP86" i="119"/>
  <c r="AP99" i="119" s="1"/>
  <c r="AQ100" i="119" s="1"/>
  <c r="AQ59" i="119" s="1"/>
  <c r="BK178" i="51"/>
  <c r="AW60" i="51"/>
  <c r="BO151" i="51"/>
  <c r="AQ84" i="119"/>
  <c r="AQ95" i="119" s="1"/>
  <c r="AQ15" i="119"/>
  <c r="AQ75" i="119" s="1"/>
  <c r="AC163" i="51"/>
  <c r="BU51" i="51"/>
  <c r="BO171" i="51"/>
  <c r="BO113" i="51"/>
  <c r="AS23" i="119"/>
  <c r="AL87" i="119"/>
  <c r="AH69" i="119"/>
  <c r="AL78" i="119" s="1"/>
  <c r="BA202" i="51"/>
  <c r="AN87" i="119"/>
  <c r="AJ69" i="119"/>
  <c r="AN78" i="119" s="1"/>
  <c r="AR111" i="119"/>
  <c r="AR31" i="119"/>
  <c r="AR123" i="119" s="1"/>
  <c r="H5" i="119"/>
  <c r="H73" i="119" s="1"/>
  <c r="H82" i="119"/>
  <c r="AP91" i="119"/>
  <c r="AI200" i="51"/>
  <c r="AB87" i="119"/>
  <c r="X69" i="119"/>
  <c r="AB78" i="119" s="1"/>
  <c r="AI199" i="51"/>
  <c r="AI180" i="51"/>
  <c r="AI201" i="51"/>
  <c r="AI203" i="51"/>
  <c r="T101" i="119"/>
  <c r="AG45" i="51"/>
  <c r="AZ175" i="51"/>
  <c r="BC251" i="51"/>
  <c r="BQ54" i="51"/>
  <c r="AT22" i="119" s="1"/>
  <c r="BQ171" i="51"/>
  <c r="I207" i="51"/>
  <c r="AS199" i="51"/>
  <c r="AS201" i="51"/>
  <c r="AS180" i="51"/>
  <c r="AS175" i="51"/>
  <c r="AS203" i="51"/>
  <c r="AW174" i="51"/>
  <c r="AS200" i="51"/>
  <c r="AS202" i="51"/>
  <c r="CE51" i="51"/>
  <c r="BS33" i="51"/>
  <c r="AV16" i="119" s="1"/>
  <c r="BS150" i="51"/>
  <c r="AI175" i="51"/>
  <c r="AC180" i="51"/>
  <c r="AC203" i="51"/>
  <c r="AC201" i="51"/>
  <c r="AC199" i="51"/>
  <c r="AC175" i="51"/>
  <c r="AC200" i="51"/>
  <c r="AE174" i="51"/>
  <c r="AC202" i="51"/>
  <c r="BO88" i="51"/>
  <c r="BU91" i="51"/>
  <c r="BU89" i="51"/>
  <c r="AS249" i="51"/>
  <c r="P243" i="51"/>
  <c r="Q237" i="51"/>
  <c r="AB165" i="51"/>
  <c r="AB163" i="51"/>
  <c r="AO238" i="51"/>
  <c r="AO239" i="51" s="1"/>
  <c r="AO240" i="51" s="1"/>
  <c r="AN244" i="51"/>
  <c r="BY90" i="51"/>
  <c r="BZ90" i="51" s="1"/>
  <c r="CC90" i="51" s="1"/>
  <c r="AG249" i="51"/>
  <c r="BC249" i="51"/>
  <c r="AW193" i="51"/>
  <c r="AW194" i="51"/>
  <c r="AW192" i="51"/>
  <c r="AW116" i="51"/>
  <c r="AW196" i="51"/>
  <c r="AT238" i="51"/>
  <c r="AT239" i="51" s="1"/>
  <c r="AT240" i="51" s="1"/>
  <c r="AS244" i="51"/>
  <c r="AS238" i="51" s="1"/>
  <c r="BF244" i="51"/>
  <c r="BG238" i="51"/>
  <c r="BY52" i="51"/>
  <c r="BX50" i="51"/>
  <c r="BX49" i="51" s="1"/>
  <c r="BS126" i="51"/>
  <c r="AQ116" i="51"/>
  <c r="AQ194" i="51"/>
  <c r="AQ196" i="51"/>
  <c r="AQ193" i="51"/>
  <c r="AQ192" i="51"/>
  <c r="AW120" i="51"/>
  <c r="AZ243" i="51"/>
  <c r="BA237" i="51"/>
  <c r="E243" i="51"/>
  <c r="F237" i="51"/>
  <c r="F239" i="51" s="1"/>
  <c r="F240" i="51" s="1"/>
  <c r="BQ58" i="51"/>
  <c r="BC163" i="51"/>
  <c r="BC118" i="51"/>
  <c r="AD199" i="51"/>
  <c r="AD180" i="51"/>
  <c r="AD200" i="51"/>
  <c r="AD203" i="51"/>
  <c r="AD201" i="51"/>
  <c r="AQ195" i="51"/>
  <c r="AD162" i="51"/>
  <c r="BI163" i="51"/>
  <c r="J165" i="51"/>
  <c r="J163" i="51"/>
  <c r="AE47" i="51"/>
  <c r="AT251" i="51"/>
  <c r="AT252" i="51" s="1"/>
  <c r="AT253" i="51" s="1"/>
  <c r="AS258" i="51"/>
  <c r="AS251" i="51" s="1"/>
  <c r="BO50" i="51"/>
  <c r="BU52" i="51"/>
  <c r="AU175" i="51"/>
  <c r="BB239" i="51"/>
  <c r="BB240" i="51" s="1"/>
  <c r="AZ332" i="51"/>
  <c r="AZ331" i="51"/>
  <c r="K238" i="51"/>
  <c r="J244" i="51"/>
  <c r="BI118" i="51"/>
  <c r="W165" i="51"/>
  <c r="AW250" i="51"/>
  <c r="AZ244" i="51"/>
  <c r="BA238" i="51"/>
  <c r="AM165" i="51"/>
  <c r="AQ162" i="51"/>
  <c r="BO38" i="51"/>
  <c r="BC117" i="51"/>
  <c r="M47" i="51"/>
  <c r="BC57" i="51"/>
  <c r="BC187" i="51"/>
  <c r="BC185" i="51"/>
  <c r="BC189" i="51"/>
  <c r="BC186" i="51"/>
  <c r="AW117" i="51"/>
  <c r="BC119" i="51"/>
  <c r="AW118" i="51"/>
  <c r="AN249" i="51"/>
  <c r="AN259" i="51"/>
  <c r="AM256" i="51"/>
  <c r="AK129" i="51"/>
  <c r="AG331" i="51"/>
  <c r="AG343" i="51" s="1"/>
  <c r="AG332" i="51"/>
  <c r="AG344" i="51" s="1"/>
  <c r="BI58" i="51"/>
  <c r="AW161" i="51"/>
  <c r="AH175" i="51"/>
  <c r="AH180" i="51"/>
  <c r="AH199" i="51"/>
  <c r="AH201" i="51"/>
  <c r="AH200" i="51"/>
  <c r="AN175" i="51"/>
  <c r="AH203" i="51"/>
  <c r="BZ69" i="51"/>
  <c r="BM219" i="51"/>
  <c r="BA332" i="51"/>
  <c r="BA331" i="51"/>
  <c r="BX13" i="51"/>
  <c r="BY12" i="51"/>
  <c r="BF175" i="51"/>
  <c r="BF203" i="51"/>
  <c r="BF180" i="51"/>
  <c r="BF199" i="51"/>
  <c r="BF200" i="51"/>
  <c r="BF201" i="51"/>
  <c r="BQ146" i="51"/>
  <c r="AT66" i="119" s="1"/>
  <c r="BI116" i="51"/>
  <c r="BI192" i="51"/>
  <c r="BI196" i="51"/>
  <c r="BI193" i="51"/>
  <c r="BI194" i="51"/>
  <c r="AI238" i="51"/>
  <c r="AI239" i="51" s="1"/>
  <c r="AI240" i="51" s="1"/>
  <c r="AH244" i="51"/>
  <c r="BL163" i="51"/>
  <c r="BR168" i="51"/>
  <c r="BR170" i="51" s="1"/>
  <c r="BR231" i="51"/>
  <c r="AM163" i="51"/>
  <c r="AB238" i="51"/>
  <c r="AA244" i="51"/>
  <c r="AA238" i="51" s="1"/>
  <c r="BI161" i="51"/>
  <c r="X47" i="51"/>
  <c r="Y47" i="51" s="1"/>
  <c r="Y44" i="51"/>
  <c r="X174" i="51"/>
  <c r="X161" i="51"/>
  <c r="Y160" i="51"/>
  <c r="CD10" i="51"/>
  <c r="X45" i="51"/>
  <c r="Y45" i="51" s="1"/>
  <c r="BE256" i="51"/>
  <c r="BF249" i="51"/>
  <c r="BF259" i="51"/>
  <c r="BT95" i="51"/>
  <c r="BO117" i="51"/>
  <c r="BK120" i="51"/>
  <c r="BL175" i="51"/>
  <c r="BL201" i="51"/>
  <c r="BL203" i="51"/>
  <c r="BL180" i="51"/>
  <c r="BL199" i="51"/>
  <c r="BL200" i="51"/>
  <c r="BK331" i="51"/>
  <c r="BK332" i="51"/>
  <c r="BL238" i="51"/>
  <c r="BM244" i="51"/>
  <c r="AN163" i="51"/>
  <c r="BB180" i="51"/>
  <c r="BB175" i="51"/>
  <c r="BB201" i="51"/>
  <c r="BB199" i="51"/>
  <c r="BH175" i="51"/>
  <c r="BB203" i="51"/>
  <c r="BB200" i="51"/>
  <c r="BE180" i="51"/>
  <c r="BE200" i="51"/>
  <c r="BI174" i="51"/>
  <c r="BE199" i="51"/>
  <c r="BE203" i="51"/>
  <c r="BE201" i="51"/>
  <c r="BE175" i="51"/>
  <c r="AW163" i="51"/>
  <c r="R161" i="51"/>
  <c r="R174" i="51"/>
  <c r="S160" i="51"/>
  <c r="AO180" i="51"/>
  <c r="AO200" i="51"/>
  <c r="AO203" i="51"/>
  <c r="AO175" i="51"/>
  <c r="AO201" i="51"/>
  <c r="AO199" i="51"/>
  <c r="AQ174" i="51"/>
  <c r="BZ30" i="51"/>
  <c r="BY33" i="51"/>
  <c r="BT50" i="51"/>
  <c r="BT49" i="51" s="1"/>
  <c r="I346" i="51"/>
  <c r="I338" i="51"/>
  <c r="BO58" i="51"/>
  <c r="BI59" i="51"/>
  <c r="BR33" i="51"/>
  <c r="BR44" i="51"/>
  <c r="BR148" i="51"/>
  <c r="BR31" i="51"/>
  <c r="BS31" i="51" s="1"/>
  <c r="AT259" i="51"/>
  <c r="AB243" i="51"/>
  <c r="AC237" i="51"/>
  <c r="AC239" i="51" s="1"/>
  <c r="AC240" i="51" s="1"/>
  <c r="AQ164" i="51"/>
  <c r="BO68" i="51"/>
  <c r="BU69" i="51"/>
  <c r="K243" i="51"/>
  <c r="L237" i="51"/>
  <c r="L239" i="51" s="1"/>
  <c r="L240" i="51" s="1"/>
  <c r="AK161" i="51"/>
  <c r="BN146" i="51"/>
  <c r="AN331" i="51"/>
  <c r="AN332" i="51"/>
  <c r="BH131" i="51"/>
  <c r="BH328" i="51"/>
  <c r="BI128" i="51"/>
  <c r="BU112" i="51"/>
  <c r="BQ113" i="51"/>
  <c r="BQ151" i="51"/>
  <c r="BQ162" i="51"/>
  <c r="AY175" i="51"/>
  <c r="AY200" i="51"/>
  <c r="AY203" i="51"/>
  <c r="BC174" i="51"/>
  <c r="BC264" i="51" s="1"/>
  <c r="BC269" i="51" s="1"/>
  <c r="AY180" i="51"/>
  <c r="AY201" i="51"/>
  <c r="AY199" i="51"/>
  <c r="BK175" i="51"/>
  <c r="BK180" i="51"/>
  <c r="BK199" i="51"/>
  <c r="BK203" i="51"/>
  <c r="BK201" i="51"/>
  <c r="BK200" i="51"/>
  <c r="E238" i="51"/>
  <c r="D244" i="51"/>
  <c r="AP175" i="51"/>
  <c r="AP180" i="51"/>
  <c r="AP203" i="51"/>
  <c r="AP199" i="51"/>
  <c r="AP201" i="51"/>
  <c r="AP200" i="51"/>
  <c r="BO167" i="51"/>
  <c r="BM231" i="51"/>
  <c r="BC120" i="51"/>
  <c r="BS167" i="51"/>
  <c r="BS230" i="51" s="1"/>
  <c r="BC161" i="51"/>
  <c r="BC116" i="51"/>
  <c r="BC193" i="51"/>
  <c r="BC192" i="51"/>
  <c r="BC194" i="51"/>
  <c r="BC196" i="51"/>
  <c r="R239" i="51"/>
  <c r="R240" i="51" s="1"/>
  <c r="BX89" i="51"/>
  <c r="BW92" i="51"/>
  <c r="BW103" i="51"/>
  <c r="BW88" i="51"/>
  <c r="BW87" i="51" s="1"/>
  <c r="BN168" i="51"/>
  <c r="BN170" i="51" s="1"/>
  <c r="BN231" i="51"/>
  <c r="AW195" i="51"/>
  <c r="AQ129" i="51"/>
  <c r="AM331" i="51"/>
  <c r="AM332" i="51"/>
  <c r="BM230" i="51"/>
  <c r="P244" i="51"/>
  <c r="Q238" i="51"/>
  <c r="BI117" i="51"/>
  <c r="AJ175" i="51"/>
  <c r="AJ199" i="51"/>
  <c r="AJ201" i="51"/>
  <c r="AJ200" i="51"/>
  <c r="AJ180" i="51"/>
  <c r="AJ203" i="51"/>
  <c r="AY202" i="51"/>
  <c r="BT72" i="51"/>
  <c r="BW71" i="51"/>
  <c r="BK239" i="51"/>
  <c r="BK240" i="51" s="1"/>
  <c r="BA175" i="51"/>
  <c r="BA180" i="51"/>
  <c r="BA201" i="51"/>
  <c r="BA199" i="51"/>
  <c r="BA203" i="51"/>
  <c r="BA200" i="51"/>
  <c r="BC129" i="51"/>
  <c r="AY331" i="51"/>
  <c r="AY332" i="51"/>
  <c r="BO28" i="51"/>
  <c r="BU30" i="51" s="1"/>
  <c r="BK202" i="51"/>
  <c r="AG175" i="51"/>
  <c r="AG199" i="51"/>
  <c r="AG201" i="51"/>
  <c r="AG180" i="51"/>
  <c r="AG203" i="51"/>
  <c r="AK174" i="51"/>
  <c r="AK264" i="51" s="1"/>
  <c r="AK269" i="51" s="1"/>
  <c r="AG200" i="51"/>
  <c r="AT9" i="119" l="1"/>
  <c r="AT114" i="119" s="1"/>
  <c r="BC275" i="51"/>
  <c r="BC273" i="51"/>
  <c r="BI264" i="51"/>
  <c r="BI269" i="51" s="1"/>
  <c r="AW264" i="51"/>
  <c r="AW269" i="51" s="1"/>
  <c r="AQ264" i="51"/>
  <c r="AQ269" i="51" s="1"/>
  <c r="AK275" i="51"/>
  <c r="AK273" i="51"/>
  <c r="AE264" i="51"/>
  <c r="AE269" i="51" s="1"/>
  <c r="AK47" i="51"/>
  <c r="BR101" i="3"/>
  <c r="BQ100" i="3"/>
  <c r="BQ154" i="3" s="1"/>
  <c r="BQ155" i="3" s="1"/>
  <c r="BQ156" i="3" s="1"/>
  <c r="AS40" i="119"/>
  <c r="AS143" i="119" s="1"/>
  <c r="AW153" i="3"/>
  <c r="AS137" i="119"/>
  <c r="AS239" i="51"/>
  <c r="AS240" i="51" s="1"/>
  <c r="BN154" i="3"/>
  <c r="BN155" i="3" s="1"/>
  <c r="BN156" i="3" s="1"/>
  <c r="BN166" i="3"/>
  <c r="AS6" i="119"/>
  <c r="AS74" i="119" s="1"/>
  <c r="BI153" i="3"/>
  <c r="L165" i="51"/>
  <c r="I5" i="119" s="1"/>
  <c r="I30" i="119" s="1"/>
  <c r="BC153" i="3"/>
  <c r="BO47" i="51"/>
  <c r="AQ153" i="3"/>
  <c r="AH104" i="51"/>
  <c r="U343" i="51"/>
  <c r="U345" i="51" s="1"/>
  <c r="U337" i="51" s="1"/>
  <c r="U16" i="51" s="1"/>
  <c r="BO378" i="51"/>
  <c r="BI158" i="51"/>
  <c r="L101" i="119"/>
  <c r="L102" i="119" s="1"/>
  <c r="L60" i="119" s="1"/>
  <c r="L82" i="119"/>
  <c r="BN210" i="51"/>
  <c r="AH106" i="51"/>
  <c r="BT130" i="51"/>
  <c r="BT137" i="51" s="1"/>
  <c r="AA82" i="119"/>
  <c r="AA91" i="119" s="1"/>
  <c r="BN48" i="3"/>
  <c r="AS18" i="119"/>
  <c r="AS76" i="119" s="1"/>
  <c r="O5" i="119"/>
  <c r="O30" i="119" s="1"/>
  <c r="AS85" i="119"/>
  <c r="AO85" i="119"/>
  <c r="AO97" i="119" s="1"/>
  <c r="AP98" i="119" s="1"/>
  <c r="AP58" i="119" s="1"/>
  <c r="AO18" i="119"/>
  <c r="AO76" i="119" s="1"/>
  <c r="J5" i="119"/>
  <c r="J73" i="119" s="1"/>
  <c r="BN211" i="51"/>
  <c r="BT128" i="51"/>
  <c r="AS65" i="119"/>
  <c r="BN127" i="51"/>
  <c r="F82" i="119"/>
  <c r="BQ164" i="51"/>
  <c r="BQ178" i="51" s="1"/>
  <c r="F73" i="119"/>
  <c r="AI101" i="119"/>
  <c r="AI102" i="119" s="1"/>
  <c r="N82" i="119"/>
  <c r="R91" i="119" s="1"/>
  <c r="BO146" i="51"/>
  <c r="BN169" i="3"/>
  <c r="BO368" i="51"/>
  <c r="BO382" i="51" s="1"/>
  <c r="BO370" i="51"/>
  <c r="BO384" i="51" s="1"/>
  <c r="BT76" i="51"/>
  <c r="BY25" i="51"/>
  <c r="BY19" i="51"/>
  <c r="BW84" i="51"/>
  <c r="BW78" i="51"/>
  <c r="BZ96" i="51"/>
  <c r="BW24" i="51"/>
  <c r="BW18" i="51"/>
  <c r="BW17" i="51" s="1"/>
  <c r="BU67" i="51"/>
  <c r="BU68" i="51" s="1"/>
  <c r="BU84" i="51"/>
  <c r="BU78" i="51"/>
  <c r="BU83" i="51"/>
  <c r="BU77" i="51"/>
  <c r="AK250" i="51"/>
  <c r="J207" i="51"/>
  <c r="Q207" i="51"/>
  <c r="AK165" i="51"/>
  <c r="R165" i="51"/>
  <c r="M5" i="119" s="1"/>
  <c r="M73" i="119" s="1"/>
  <c r="V237" i="51"/>
  <c r="V239" i="51" s="1"/>
  <c r="V240" i="51" s="1"/>
  <c r="Y24" i="51"/>
  <c r="S344" i="51"/>
  <c r="Y344" i="51" s="1"/>
  <c r="Y331" i="51"/>
  <c r="AH116" i="51"/>
  <c r="AH118" i="51" s="1"/>
  <c r="AB195" i="51"/>
  <c r="AB196" i="51"/>
  <c r="AB194" i="51"/>
  <c r="AB192" i="51"/>
  <c r="AB193" i="51"/>
  <c r="BR102" i="51"/>
  <c r="BR104" i="51" s="1"/>
  <c r="AG259" i="51"/>
  <c r="BS98" i="51"/>
  <c r="T82" i="119"/>
  <c r="X91" i="119" s="1"/>
  <c r="AQ94" i="119"/>
  <c r="AQ56" i="119" s="1"/>
  <c r="AN252" i="51"/>
  <c r="AN253" i="51" s="1"/>
  <c r="BQ196" i="51"/>
  <c r="BQ116" i="51"/>
  <c r="BQ118" i="51" s="1"/>
  <c r="BQ194" i="51"/>
  <c r="BO158" i="51"/>
  <c r="AS83" i="119"/>
  <c r="BQ195" i="51"/>
  <c r="BQ193" i="51"/>
  <c r="BO131" i="51"/>
  <c r="AW34" i="119"/>
  <c r="AW126" i="119" s="1"/>
  <c r="AS114" i="119"/>
  <c r="BR105" i="51"/>
  <c r="BR106" i="51" s="1"/>
  <c r="BU13" i="51"/>
  <c r="BO61" i="51"/>
  <c r="AT34" i="119"/>
  <c r="BE177" i="51"/>
  <c r="BK179" i="51"/>
  <c r="BK203" i="3" s="1"/>
  <c r="P177" i="51"/>
  <c r="AC177" i="51"/>
  <c r="I177" i="51"/>
  <c r="AY177" i="51"/>
  <c r="BB177" i="51"/>
  <c r="BF177" i="51"/>
  <c r="BM211" i="51"/>
  <c r="BQ158" i="51"/>
  <c r="J50" i="3"/>
  <c r="AB50" i="3"/>
  <c r="U177" i="51"/>
  <c r="G174" i="51"/>
  <c r="BL179" i="51"/>
  <c r="AQ24" i="119" s="1"/>
  <c r="AQ49" i="119" s="1"/>
  <c r="BM48" i="3"/>
  <c r="AH177" i="51"/>
  <c r="P345" i="51"/>
  <c r="P337" i="51" s="1"/>
  <c r="Q50" i="3"/>
  <c r="AP177" i="51"/>
  <c r="BK177" i="51"/>
  <c r="AU177" i="51"/>
  <c r="BN165" i="51"/>
  <c r="AS5" i="119" s="1"/>
  <c r="V177" i="51"/>
  <c r="BS128" i="51"/>
  <c r="BQ119" i="51"/>
  <c r="BQ120" i="51" s="1"/>
  <c r="AT26" i="119" s="1"/>
  <c r="O177" i="51"/>
  <c r="AA177" i="51"/>
  <c r="AG177" i="51"/>
  <c r="BC202" i="51"/>
  <c r="BH177" i="51"/>
  <c r="BL177" i="51"/>
  <c r="K50" i="3"/>
  <c r="BR99" i="51"/>
  <c r="AQ179" i="51"/>
  <c r="AQ203" i="3" s="1"/>
  <c r="BS130" i="51"/>
  <c r="AN177" i="51"/>
  <c r="BO164" i="51"/>
  <c r="AV177" i="51"/>
  <c r="BU10" i="51"/>
  <c r="AO177" i="51"/>
  <c r="AZ177" i="51"/>
  <c r="BT169" i="51"/>
  <c r="BU169" i="51" s="1"/>
  <c r="AK45" i="51"/>
  <c r="V91" i="119"/>
  <c r="BA177" i="51"/>
  <c r="AJ177" i="51"/>
  <c r="AI177" i="51"/>
  <c r="AS177" i="51"/>
  <c r="AM177" i="51"/>
  <c r="BR157" i="51"/>
  <c r="N101" i="119"/>
  <c r="W50" i="3"/>
  <c r="AT177" i="51"/>
  <c r="AQ142" i="51"/>
  <c r="AQ136" i="51"/>
  <c r="AK83" i="51"/>
  <c r="AK77" i="51"/>
  <c r="S331" i="51"/>
  <c r="S24" i="51"/>
  <c r="S18" i="51"/>
  <c r="M331" i="51"/>
  <c r="M343" i="51" s="1"/>
  <c r="M24" i="51"/>
  <c r="M18" i="51"/>
  <c r="BI142" i="51"/>
  <c r="BI136" i="51"/>
  <c r="BU11" i="51"/>
  <c r="BU18" i="51" s="1"/>
  <c r="BC142" i="51"/>
  <c r="BC136" i="51"/>
  <c r="BO9" i="51"/>
  <c r="BI331" i="51"/>
  <c r="AW332" i="51"/>
  <c r="AW142" i="51"/>
  <c r="AW136" i="51"/>
  <c r="BU12" i="51"/>
  <c r="BU19" i="51" s="1"/>
  <c r="BQ143" i="51"/>
  <c r="BQ137" i="51"/>
  <c r="BQ131" i="51"/>
  <c r="BR136" i="51"/>
  <c r="BR142" i="51"/>
  <c r="BW9" i="51"/>
  <c r="BW8" i="51" s="1"/>
  <c r="BX70" i="51"/>
  <c r="BW68" i="51"/>
  <c r="BW67" i="51" s="1"/>
  <c r="Q338" i="51"/>
  <c r="Q22" i="51" s="1"/>
  <c r="K22" i="51"/>
  <c r="K23" i="51" s="1"/>
  <c r="K25" i="51" s="1"/>
  <c r="Q346" i="51"/>
  <c r="W343" i="51"/>
  <c r="W345" i="51" s="1"/>
  <c r="W337" i="51" s="1"/>
  <c r="W16" i="51" s="1"/>
  <c r="I208" i="51"/>
  <c r="I22" i="51"/>
  <c r="I23" i="51" s="1"/>
  <c r="I25" i="51" s="1"/>
  <c r="AV167" i="119"/>
  <c r="K339" i="51"/>
  <c r="K16" i="51"/>
  <c r="K17" i="51" s="1"/>
  <c r="K19" i="51" s="1"/>
  <c r="J208" i="51"/>
  <c r="J22" i="51"/>
  <c r="J23" i="51" s="1"/>
  <c r="J25" i="51" s="1"/>
  <c r="AR151" i="119"/>
  <c r="AR98" i="119"/>
  <c r="AR58" i="119" s="1"/>
  <c r="Y82" i="119"/>
  <c r="AC91" i="119" s="1"/>
  <c r="BM210" i="51"/>
  <c r="BO126" i="51"/>
  <c r="BO166" i="3" s="1"/>
  <c r="BO418" i="51" s="1"/>
  <c r="J339" i="51"/>
  <c r="BU8" i="51"/>
  <c r="CA10" i="51" s="1"/>
  <c r="J101" i="119"/>
  <c r="BW113" i="51"/>
  <c r="BU110" i="51"/>
  <c r="AQ178" i="51"/>
  <c r="X165" i="51"/>
  <c r="Q5" i="119" s="1"/>
  <c r="Q73" i="119" s="1"/>
  <c r="AR43" i="119"/>
  <c r="AR157" i="119" s="1"/>
  <c r="AE30" i="119"/>
  <c r="BT113" i="51"/>
  <c r="AW23" i="119" s="1"/>
  <c r="AW167" i="119" s="1"/>
  <c r="AV37" i="119"/>
  <c r="AV129" i="119" s="1"/>
  <c r="BT126" i="51"/>
  <c r="AM92" i="119"/>
  <c r="AM55" i="119" s="1"/>
  <c r="B78" i="119"/>
  <c r="F78" i="119"/>
  <c r="E73" i="119"/>
  <c r="BG177" i="51"/>
  <c r="AO165" i="119"/>
  <c r="AO77" i="119"/>
  <c r="AQ111" i="119"/>
  <c r="AQ31" i="119"/>
  <c r="AQ123" i="119" s="1"/>
  <c r="AQ74" i="119"/>
  <c r="T73" i="119"/>
  <c r="AO73" i="119"/>
  <c r="BU72" i="51"/>
  <c r="AV65" i="119"/>
  <c r="AK60" i="51"/>
  <c r="AU31" i="119"/>
  <c r="AU123" i="119" s="1"/>
  <c r="AU74" i="119"/>
  <c r="AU93" i="119"/>
  <c r="BC165" i="3"/>
  <c r="AS96" i="119"/>
  <c r="AS57" i="119" s="1"/>
  <c r="AU111" i="119"/>
  <c r="BI178" i="51"/>
  <c r="X163" i="51"/>
  <c r="Y163" i="51" s="1"/>
  <c r="AO46" i="119"/>
  <c r="AO171" i="119" s="1"/>
  <c r="AH345" i="51"/>
  <c r="AH346" i="51" s="1"/>
  <c r="V338" i="51"/>
  <c r="AG104" i="51"/>
  <c r="AN344" i="51"/>
  <c r="AT344" i="51" s="1"/>
  <c r="AT19" i="119"/>
  <c r="AO82" i="119"/>
  <c r="AO91" i="119" s="1"/>
  <c r="AP92" i="119" s="1"/>
  <c r="AP55" i="119" s="1"/>
  <c r="BI251" i="51"/>
  <c r="AP151" i="119"/>
  <c r="AP43" i="119"/>
  <c r="AP157" i="119" s="1"/>
  <c r="BQ47" i="51"/>
  <c r="BX11" i="51"/>
  <c r="AN101" i="119"/>
  <c r="AO102" i="119" s="1"/>
  <c r="AO343" i="51"/>
  <c r="AU343" i="51" s="1"/>
  <c r="BA343" i="51" s="1"/>
  <c r="BG343" i="51" s="1"/>
  <c r="BM343" i="51" s="1"/>
  <c r="R5" i="119"/>
  <c r="R30" i="119" s="1"/>
  <c r="BY39" i="51"/>
  <c r="BX40" i="51"/>
  <c r="BI165" i="51"/>
  <c r="AO45" i="119"/>
  <c r="AO159" i="119" s="1"/>
  <c r="AO153" i="119"/>
  <c r="AS45" i="119"/>
  <c r="AS159" i="119" s="1"/>
  <c r="R165" i="3"/>
  <c r="AK97" i="51"/>
  <c r="AW152" i="119"/>
  <c r="AW44" i="119"/>
  <c r="AW158" i="119" s="1"/>
  <c r="AS152" i="119"/>
  <c r="AS44" i="119"/>
  <c r="AS158" i="119" s="1"/>
  <c r="AL92" i="119"/>
  <c r="AL55" i="119" s="1"/>
  <c r="AE101" i="119"/>
  <c r="AM101" i="119"/>
  <c r="AT153" i="119"/>
  <c r="AT45" i="119"/>
  <c r="AT159" i="119" s="1"/>
  <c r="AP100" i="119"/>
  <c r="AP59" i="119" s="1"/>
  <c r="AL101" i="119"/>
  <c r="AL102" i="119" s="1"/>
  <c r="O91" i="119"/>
  <c r="X165" i="3"/>
  <c r="AQ165" i="3"/>
  <c r="BT148" i="51"/>
  <c r="AD165" i="51"/>
  <c r="AE165" i="51" s="1"/>
  <c r="AW165" i="3"/>
  <c r="CA90" i="51"/>
  <c r="BS211" i="51"/>
  <c r="BQ216" i="51"/>
  <c r="AD163" i="51"/>
  <c r="AE163" i="51" s="1"/>
  <c r="BC95" i="3"/>
  <c r="BW148" i="51"/>
  <c r="AQ95" i="3"/>
  <c r="M162" i="51"/>
  <c r="AW331" i="51"/>
  <c r="BO135" i="3"/>
  <c r="BO136" i="3" s="1"/>
  <c r="BO144" i="3"/>
  <c r="CJ144" i="3" s="1"/>
  <c r="BI176" i="51"/>
  <c r="AI345" i="51"/>
  <c r="AI346" i="51" s="1"/>
  <c r="L103" i="3"/>
  <c r="L146" i="3"/>
  <c r="L158" i="3"/>
  <c r="R203" i="3"/>
  <c r="AK165" i="3"/>
  <c r="AG116" i="51"/>
  <c r="AG118" i="51" s="1"/>
  <c r="AA194" i="51"/>
  <c r="AE115" i="51"/>
  <c r="AA196" i="51"/>
  <c r="AA192" i="51"/>
  <c r="AA193" i="51"/>
  <c r="AD165" i="3"/>
  <c r="S142" i="3"/>
  <c r="S93" i="3"/>
  <c r="S94" i="3" s="1"/>
  <c r="S99" i="3"/>
  <c r="S152" i="3"/>
  <c r="S164" i="3"/>
  <c r="R103" i="3"/>
  <c r="R146" i="3"/>
  <c r="R158" i="3"/>
  <c r="X203" i="3"/>
  <c r="BI165" i="3"/>
  <c r="AK95" i="3"/>
  <c r="L163" i="51"/>
  <c r="M163" i="51" s="1"/>
  <c r="BO176" i="51"/>
  <c r="X146" i="3"/>
  <c r="X158" i="3"/>
  <c r="X103" i="3"/>
  <c r="AD203" i="3"/>
  <c r="BS210" i="51"/>
  <c r="AO344" i="51"/>
  <c r="AU344" i="51" s="1"/>
  <c r="BA344" i="51" s="1"/>
  <c r="AC101" i="119"/>
  <c r="BI95" i="3"/>
  <c r="BO100" i="3"/>
  <c r="BO101" i="3" s="1"/>
  <c r="CJ101" i="3" s="1"/>
  <c r="AG106" i="51"/>
  <c r="BS143" i="3"/>
  <c r="AQ146" i="3"/>
  <c r="AQ103" i="3"/>
  <c r="AQ158" i="3"/>
  <c r="BT150" i="51"/>
  <c r="AK59" i="51"/>
  <c r="AK202" i="51"/>
  <c r="AK103" i="3"/>
  <c r="AK146" i="3"/>
  <c r="AK158" i="3"/>
  <c r="AN343" i="51"/>
  <c r="AT343" i="51" s="1"/>
  <c r="G99" i="3"/>
  <c r="CI99" i="3" s="1"/>
  <c r="G93" i="3"/>
  <c r="G94" i="3" s="1"/>
  <c r="CI94" i="3" s="1"/>
  <c r="G142" i="3"/>
  <c r="CI142" i="3" s="1"/>
  <c r="G152" i="3"/>
  <c r="CI152" i="3" s="1"/>
  <c r="G164" i="3"/>
  <c r="M164" i="51"/>
  <c r="AW95" i="3"/>
  <c r="L165" i="3"/>
  <c r="BI146" i="3"/>
  <c r="BI158" i="3"/>
  <c r="BI103" i="3"/>
  <c r="AW103" i="3"/>
  <c r="AW146" i="3"/>
  <c r="AW158" i="3"/>
  <c r="AN92" i="119"/>
  <c r="AN55" i="119" s="1"/>
  <c r="M99" i="3"/>
  <c r="M152" i="3"/>
  <c r="M93" i="3"/>
  <c r="M94" i="3" s="1"/>
  <c r="M142" i="3"/>
  <c r="M164" i="3"/>
  <c r="R163" i="51"/>
  <c r="S163" i="51" s="1"/>
  <c r="AE146" i="3"/>
  <c r="AE103" i="3"/>
  <c r="AE158" i="3"/>
  <c r="Y142" i="3"/>
  <c r="Y93" i="3"/>
  <c r="Y94" i="3" s="1"/>
  <c r="Y152" i="3"/>
  <c r="Y99" i="3"/>
  <c r="Y164" i="3"/>
  <c r="AE165" i="3" s="1"/>
  <c r="BC146" i="3"/>
  <c r="BC103" i="3"/>
  <c r="BC158" i="3"/>
  <c r="BN216" i="51"/>
  <c r="BF252" i="51"/>
  <c r="BF253" i="51" s="1"/>
  <c r="BW150" i="51"/>
  <c r="BO178" i="51"/>
  <c r="F103" i="3"/>
  <c r="F146" i="3"/>
  <c r="F158" i="3"/>
  <c r="L203" i="3"/>
  <c r="AK102" i="51"/>
  <c r="AK105" i="51"/>
  <c r="AK103" i="51"/>
  <c r="AE102" i="51"/>
  <c r="BZ23" i="3"/>
  <c r="BZ14" i="107" s="1"/>
  <c r="CA146" i="106"/>
  <c r="AS165" i="119"/>
  <c r="AS46" i="119"/>
  <c r="AS171" i="119" s="1"/>
  <c r="S161" i="51"/>
  <c r="AD345" i="51"/>
  <c r="AE164" i="51"/>
  <c r="BI131" i="51"/>
  <c r="AO83" i="119"/>
  <c r="AO6" i="119"/>
  <c r="AO74" i="119" s="1"/>
  <c r="M69" i="119"/>
  <c r="Q78" i="119" s="1"/>
  <c r="Q87" i="119"/>
  <c r="Q69" i="119"/>
  <c r="U78" i="119" s="1"/>
  <c r="U87" i="119"/>
  <c r="Y101" i="119" s="1"/>
  <c r="P5" i="119"/>
  <c r="P82" i="119"/>
  <c r="AQ137" i="119"/>
  <c r="AQ40" i="119"/>
  <c r="AQ143" i="119" s="1"/>
  <c r="AQ151" i="119"/>
  <c r="AQ43" i="119"/>
  <c r="AQ157" i="119" s="1"/>
  <c r="AB5" i="119"/>
  <c r="AB73" i="119" s="1"/>
  <c r="AB82" i="119"/>
  <c r="AQ5" i="119"/>
  <c r="AQ82" i="119"/>
  <c r="AQ91" i="119" s="1"/>
  <c r="AQ92" i="119" s="1"/>
  <c r="AQ55" i="119" s="1"/>
  <c r="Z100" i="119"/>
  <c r="Z59" i="119" s="1"/>
  <c r="Y100" i="119"/>
  <c r="Y59" i="119" s="1"/>
  <c r="M161" i="51"/>
  <c r="S164" i="51"/>
  <c r="AQ176" i="51"/>
  <c r="AT15" i="119"/>
  <c r="AT75" i="119" s="1"/>
  <c r="AT84" i="119"/>
  <c r="AT95" i="119" s="1"/>
  <c r="AT96" i="119" s="1"/>
  <c r="AT57" i="119" s="1"/>
  <c r="BU33" i="51"/>
  <c r="AU16" i="119"/>
  <c r="S162" i="51"/>
  <c r="AS167" i="119"/>
  <c r="AS48" i="119"/>
  <c r="AS173" i="119" s="1"/>
  <c r="AR96" i="119"/>
  <c r="AR57" i="119" s="1"/>
  <c r="AQ96" i="119"/>
  <c r="AQ57" i="119" s="1"/>
  <c r="AS47" i="119"/>
  <c r="AS172" i="119" s="1"/>
  <c r="AS166" i="119"/>
  <c r="V100" i="119"/>
  <c r="V59" i="119" s="1"/>
  <c r="U100" i="119"/>
  <c r="U59" i="119" s="1"/>
  <c r="AT166" i="119"/>
  <c r="AT47" i="119"/>
  <c r="AK92" i="119"/>
  <c r="AK55" i="119" s="1"/>
  <c r="AS99" i="119"/>
  <c r="BN179" i="51"/>
  <c r="AK179" i="51"/>
  <c r="AQ98" i="119"/>
  <c r="AQ58" i="119" s="1"/>
  <c r="AV68" i="119"/>
  <c r="AW251" i="51"/>
  <c r="AD175" i="51"/>
  <c r="AK178" i="51"/>
  <c r="H30" i="119"/>
  <c r="L30" i="119"/>
  <c r="AD101" i="119"/>
  <c r="E69" i="119"/>
  <c r="I87" i="119"/>
  <c r="F180" i="51"/>
  <c r="BF237" i="51"/>
  <c r="BE243" i="51"/>
  <c r="BE237" i="51" s="1"/>
  <c r="AG91" i="119"/>
  <c r="AH92" i="119" s="1"/>
  <c r="AH55" i="119" s="1"/>
  <c r="AW12" i="119"/>
  <c r="AR5" i="119"/>
  <c r="AR82" i="119"/>
  <c r="AR91" i="119" s="1"/>
  <c r="AT23" i="119"/>
  <c r="AG101" i="119"/>
  <c r="BO120" i="51"/>
  <c r="AP26" i="119"/>
  <c r="BI202" i="51"/>
  <c r="AQ165" i="51"/>
  <c r="Z5" i="119"/>
  <c r="Z73" i="119" s="1"/>
  <c r="Z82" i="119"/>
  <c r="AW179" i="51"/>
  <c r="AW178" i="51"/>
  <c r="AK176" i="51"/>
  <c r="AJ92" i="119"/>
  <c r="AJ55" i="119" s="1"/>
  <c r="R101" i="119"/>
  <c r="V101" i="119"/>
  <c r="I69" i="119"/>
  <c r="M78" i="119" s="1"/>
  <c r="L180" i="51"/>
  <c r="M87" i="119"/>
  <c r="L175" i="51"/>
  <c r="M174" i="51"/>
  <c r="M264" i="51" s="1"/>
  <c r="M269" i="51" s="1"/>
  <c r="AJ101" i="119"/>
  <c r="AF101" i="119"/>
  <c r="AB101" i="119"/>
  <c r="AB102" i="119" s="1"/>
  <c r="AB60" i="119" s="1"/>
  <c r="X101" i="119"/>
  <c r="AG30" i="119"/>
  <c r="AC30" i="119"/>
  <c r="G5" i="119"/>
  <c r="G73" i="119" s="1"/>
  <c r="G82" i="119"/>
  <c r="S5" i="119"/>
  <c r="S82" i="119"/>
  <c r="S91" i="119" s="1"/>
  <c r="AV41" i="119"/>
  <c r="AV144" i="119" s="1"/>
  <c r="AV138" i="119"/>
  <c r="AP165" i="119"/>
  <c r="AP46" i="119"/>
  <c r="AP171" i="119" s="1"/>
  <c r="AW139" i="119"/>
  <c r="AW42" i="119"/>
  <c r="AS66" i="119"/>
  <c r="BG239" i="51"/>
  <c r="BG240" i="51" s="1"/>
  <c r="AA102" i="119"/>
  <c r="AA60" i="119" s="1"/>
  <c r="O101" i="119"/>
  <c r="S101" i="119"/>
  <c r="AY250" i="51"/>
  <c r="AY259" i="51"/>
  <c r="AA30" i="119"/>
  <c r="AE188" i="51"/>
  <c r="AE187" i="51"/>
  <c r="AK61" i="51"/>
  <c r="AK57" i="51"/>
  <c r="AE186" i="51"/>
  <c r="AE185" i="51"/>
  <c r="AE189" i="51"/>
  <c r="BI250" i="51"/>
  <c r="BC332" i="51"/>
  <c r="BC331" i="51"/>
  <c r="AW175" i="51"/>
  <c r="AW201" i="51"/>
  <c r="AW180" i="51"/>
  <c r="AW317" i="51"/>
  <c r="AW203" i="51"/>
  <c r="AW199" i="51"/>
  <c r="AW200" i="51"/>
  <c r="BX71" i="51"/>
  <c r="BW72" i="51"/>
  <c r="BW130" i="51"/>
  <c r="BO168" i="51"/>
  <c r="BO231" i="51"/>
  <c r="R180" i="51"/>
  <c r="R175" i="51"/>
  <c r="S174" i="51"/>
  <c r="AM343" i="51"/>
  <c r="AG345" i="51"/>
  <c r="AG346" i="51" s="1"/>
  <c r="BU109" i="51"/>
  <c r="CA112" i="51"/>
  <c r="AQ332" i="51"/>
  <c r="AQ331" i="51"/>
  <c r="BQ176" i="51"/>
  <c r="BR151" i="51"/>
  <c r="BR162" i="51"/>
  <c r="AK332" i="51"/>
  <c r="AK344" i="51" s="1"/>
  <c r="AK331" i="51"/>
  <c r="AK343" i="51" s="1"/>
  <c r="CA111" i="51"/>
  <c r="BS127" i="51"/>
  <c r="BQ172" i="51"/>
  <c r="AK175" i="51"/>
  <c r="AK180" i="51"/>
  <c r="AK317" i="51"/>
  <c r="AK200" i="51"/>
  <c r="AK203" i="51"/>
  <c r="AK199" i="51"/>
  <c r="AK201" i="51"/>
  <c r="BO170" i="51"/>
  <c r="BN147" i="51"/>
  <c r="BN149" i="51" s="1"/>
  <c r="BO149" i="51" s="1"/>
  <c r="BN219" i="51"/>
  <c r="BR47" i="51"/>
  <c r="BR58" i="51"/>
  <c r="BI175" i="51"/>
  <c r="BI180" i="51"/>
  <c r="BI199" i="51"/>
  <c r="BI317" i="51"/>
  <c r="BI200" i="51"/>
  <c r="BI201" i="51"/>
  <c r="BI203" i="51"/>
  <c r="BE249" i="51"/>
  <c r="BE259" i="51"/>
  <c r="X175" i="51"/>
  <c r="X180" i="51"/>
  <c r="Y174" i="51"/>
  <c r="Y264" i="51" s="1"/>
  <c r="Y269" i="51" s="1"/>
  <c r="AQ163" i="51"/>
  <c r="AM249" i="51"/>
  <c r="AM259" i="51"/>
  <c r="BO230" i="51"/>
  <c r="BQ61" i="51"/>
  <c r="BY128" i="51"/>
  <c r="AK249" i="51"/>
  <c r="AG252" i="51"/>
  <c r="AG253" i="51" s="1"/>
  <c r="AM244" i="51"/>
  <c r="AM238" i="51" s="1"/>
  <c r="AM239" i="51" s="1"/>
  <c r="AM240" i="51" s="1"/>
  <c r="AN238" i="51"/>
  <c r="AN239" i="51" s="1"/>
  <c r="AN240" i="51" s="1"/>
  <c r="BU32" i="51"/>
  <c r="Y162" i="51"/>
  <c r="BT167" i="51"/>
  <c r="BT230" i="51" s="1"/>
  <c r="I244" i="51"/>
  <c r="I238" i="51" s="1"/>
  <c r="J238" i="51"/>
  <c r="AS259" i="51"/>
  <c r="BZ12" i="51"/>
  <c r="BY13" i="51"/>
  <c r="BZ52" i="51"/>
  <c r="BY50" i="51"/>
  <c r="BY49" i="51" s="1"/>
  <c r="V337" i="51"/>
  <c r="V16" i="51" s="1"/>
  <c r="CA91" i="51"/>
  <c r="O244" i="51"/>
  <c r="O238" i="51" s="1"/>
  <c r="P238" i="51"/>
  <c r="CC69" i="51"/>
  <c r="BR171" i="51"/>
  <c r="BR172" i="51" s="1"/>
  <c r="BR60" i="51"/>
  <c r="BR54" i="51"/>
  <c r="AU22" i="119" s="1"/>
  <c r="BO29" i="51"/>
  <c r="BS168" i="51"/>
  <c r="BS170" i="51" s="1"/>
  <c r="BS231" i="51"/>
  <c r="BR29" i="51"/>
  <c r="BR28" i="51" s="1"/>
  <c r="BZ33" i="51"/>
  <c r="AH238" i="51"/>
  <c r="AH239" i="51" s="1"/>
  <c r="AH240" i="51" s="1"/>
  <c r="AG244" i="51"/>
  <c r="AG238" i="51" s="1"/>
  <c r="AG239" i="51" s="1"/>
  <c r="AG240" i="51" s="1"/>
  <c r="BQ147" i="51"/>
  <c r="BQ149" i="51" s="1"/>
  <c r="BQ219" i="51"/>
  <c r="AZ238" i="51"/>
  <c r="AY244" i="51"/>
  <c r="AY238" i="51" s="1"/>
  <c r="E237" i="51"/>
  <c r="E239" i="51" s="1"/>
  <c r="E240" i="51" s="1"/>
  <c r="D243" i="51"/>
  <c r="AE180" i="51"/>
  <c r="AE199" i="51"/>
  <c r="AE317" i="51"/>
  <c r="AE201" i="51"/>
  <c r="AE203" i="51"/>
  <c r="AE200" i="51"/>
  <c r="AE202" i="51"/>
  <c r="BX97" i="51"/>
  <c r="BW95" i="51"/>
  <c r="BU49" i="51"/>
  <c r="BT31" i="51"/>
  <c r="BS29" i="51"/>
  <c r="BS28" i="51" s="1"/>
  <c r="Y161" i="51"/>
  <c r="AE161" i="51"/>
  <c r="AS252" i="51"/>
  <c r="AS253" i="51" s="1"/>
  <c r="AW249" i="51"/>
  <c r="BL239" i="51"/>
  <c r="BL240" i="51" s="1"/>
  <c r="BC180" i="51"/>
  <c r="BC175" i="51"/>
  <c r="BC317" i="51"/>
  <c r="BC203" i="51"/>
  <c r="BC200" i="51"/>
  <c r="BC201" i="51"/>
  <c r="BC199" i="51"/>
  <c r="O207" i="51"/>
  <c r="K237" i="51"/>
  <c r="K239" i="51" s="1"/>
  <c r="K240" i="51" s="1"/>
  <c r="J243" i="51"/>
  <c r="AA243" i="51"/>
  <c r="AA237" i="51" s="1"/>
  <c r="AA239" i="51" s="1"/>
  <c r="AA240" i="51" s="1"/>
  <c r="AB237" i="51"/>
  <c r="AB239" i="51" s="1"/>
  <c r="AB240" i="51" s="1"/>
  <c r="AQ175" i="51"/>
  <c r="AQ180" i="51"/>
  <c r="AQ317" i="51"/>
  <c r="AQ203" i="51"/>
  <c r="AQ202" i="51"/>
  <c r="AQ200" i="51"/>
  <c r="AQ199" i="51"/>
  <c r="AQ201" i="51"/>
  <c r="CE10" i="51"/>
  <c r="BA239" i="51"/>
  <c r="BA240" i="51" s="1"/>
  <c r="BE244" i="51"/>
  <c r="BE238" i="51" s="1"/>
  <c r="BF238" i="51"/>
  <c r="AE162" i="51"/>
  <c r="Q239" i="51"/>
  <c r="Q240" i="51" s="1"/>
  <c r="BS151" i="51"/>
  <c r="BC179" i="51"/>
  <c r="BC178" i="51"/>
  <c r="BY89" i="51"/>
  <c r="BX92" i="51"/>
  <c r="BX88" i="51"/>
  <c r="BX87" i="51" s="1"/>
  <c r="BX103" i="51"/>
  <c r="AM344" i="51"/>
  <c r="BR116" i="51"/>
  <c r="BR118" i="51" s="1"/>
  <c r="BR192" i="51"/>
  <c r="BR193" i="51"/>
  <c r="BR196" i="51"/>
  <c r="BR194" i="51"/>
  <c r="BU88" i="51"/>
  <c r="O346" i="51"/>
  <c r="O338" i="51"/>
  <c r="D238" i="51"/>
  <c r="C244" i="51"/>
  <c r="C238" i="51" s="1"/>
  <c r="BI179" i="51"/>
  <c r="AW176" i="51"/>
  <c r="BN244" i="51"/>
  <c r="AW202" i="51"/>
  <c r="BR38" i="51"/>
  <c r="BQ36" i="51"/>
  <c r="AY243" i="51"/>
  <c r="AY237" i="51" s="1"/>
  <c r="AZ237" i="51"/>
  <c r="CD90" i="51"/>
  <c r="CE90" i="51" s="1"/>
  <c r="CF90" i="51" s="1"/>
  <c r="O243" i="51"/>
  <c r="O237" i="51" s="1"/>
  <c r="P237" i="51"/>
  <c r="CF51" i="51"/>
  <c r="BC176" i="51"/>
  <c r="I339" i="51"/>
  <c r="Y164" i="51"/>
  <c r="AQ275" i="51" l="1"/>
  <c r="AQ273" i="51"/>
  <c r="AW275" i="51"/>
  <c r="AW273" i="51"/>
  <c r="AE275" i="51"/>
  <c r="AE273" i="51"/>
  <c r="BI275" i="51"/>
  <c r="BI273" i="51"/>
  <c r="S264" i="51"/>
  <c r="S269" i="51" s="1"/>
  <c r="BN129" i="51"/>
  <c r="BN333" i="51"/>
  <c r="G264" i="51"/>
  <c r="G269" i="51" s="1"/>
  <c r="M275" i="51"/>
  <c r="M273" i="51"/>
  <c r="Y275" i="51"/>
  <c r="Y273" i="51"/>
  <c r="BS101" i="3"/>
  <c r="BR100" i="3"/>
  <c r="BR154" i="3" s="1"/>
  <c r="BR155" i="3" s="1"/>
  <c r="BR156" i="3" s="1"/>
  <c r="BO129" i="51"/>
  <c r="BN142" i="51"/>
  <c r="BN136" i="51"/>
  <c r="P91" i="119"/>
  <c r="P92" i="119" s="1"/>
  <c r="P55" i="119" s="1"/>
  <c r="AS111" i="119"/>
  <c r="BQ165" i="51"/>
  <c r="AT82" i="119" s="1"/>
  <c r="AT91" i="119" s="1"/>
  <c r="M165" i="51"/>
  <c r="AK106" i="51"/>
  <c r="I73" i="119"/>
  <c r="AS151" i="119"/>
  <c r="I82" i="119"/>
  <c r="AS24" i="119"/>
  <c r="AT25" i="119"/>
  <c r="AT50" i="119" s="1"/>
  <c r="BT131" i="51"/>
  <c r="AW83" i="119" s="1"/>
  <c r="AW93" i="119" s="1"/>
  <c r="BT143" i="51"/>
  <c r="BO385" i="51"/>
  <c r="BO405" i="51"/>
  <c r="AK104" i="51"/>
  <c r="AE91" i="119"/>
  <c r="BO415" i="51"/>
  <c r="BO414" i="51" s="1"/>
  <c r="N91" i="119"/>
  <c r="N92" i="119" s="1"/>
  <c r="N55" i="119" s="1"/>
  <c r="L104" i="119"/>
  <c r="AO98" i="119"/>
  <c r="AO58" i="119" s="1"/>
  <c r="BO403" i="51"/>
  <c r="BO401" i="51"/>
  <c r="CC96" i="51"/>
  <c r="O73" i="119"/>
  <c r="AO151" i="119"/>
  <c r="N30" i="119"/>
  <c r="J30" i="119"/>
  <c r="AK104" i="119"/>
  <c r="AK105" i="119" s="1"/>
  <c r="AS43" i="119"/>
  <c r="AS157" i="119" s="1"/>
  <c r="AO43" i="119"/>
  <c r="AO157" i="119" s="1"/>
  <c r="W207" i="51"/>
  <c r="AS97" i="119"/>
  <c r="AS98" i="119" s="1"/>
  <c r="AS58" i="119" s="1"/>
  <c r="S165" i="51"/>
  <c r="M82" i="119"/>
  <c r="BU148" i="51"/>
  <c r="BO219" i="51"/>
  <c r="BO216" i="51"/>
  <c r="BO394" i="51"/>
  <c r="BO147" i="51"/>
  <c r="CA69" i="51"/>
  <c r="BO371" i="51"/>
  <c r="BO381" i="51" s="1"/>
  <c r="G103" i="3"/>
  <c r="CI103" i="3" s="1"/>
  <c r="M95" i="3"/>
  <c r="AK252" i="51"/>
  <c r="AK253" i="51" s="1"/>
  <c r="M30" i="119"/>
  <c r="BX84" i="51"/>
  <c r="BX78" i="51"/>
  <c r="BX83" i="51"/>
  <c r="BX77" i="51"/>
  <c r="BZ25" i="51"/>
  <c r="BZ19" i="51"/>
  <c r="BX24" i="51"/>
  <c r="BX18" i="51"/>
  <c r="BX17" i="51" s="1"/>
  <c r="R344" i="51"/>
  <c r="BS99" i="51"/>
  <c r="AQ87" i="119"/>
  <c r="AQ101" i="119" s="1"/>
  <c r="P16" i="51"/>
  <c r="P17" i="51" s="1"/>
  <c r="P19" i="51" s="1"/>
  <c r="P207" i="51"/>
  <c r="AP87" i="119"/>
  <c r="AP101" i="119" s="1"/>
  <c r="BT98" i="51"/>
  <c r="BZ15" i="107"/>
  <c r="CA15" i="107" s="1"/>
  <c r="CA14" i="107"/>
  <c r="AP24" i="119"/>
  <c r="AP49" i="119" s="1"/>
  <c r="M176" i="51"/>
  <c r="M48" i="3" s="1"/>
  <c r="BL203" i="3"/>
  <c r="W346" i="51"/>
  <c r="M178" i="51"/>
  <c r="M179" i="51"/>
  <c r="AK177" i="51"/>
  <c r="AK50" i="3" s="1"/>
  <c r="BW117" i="51"/>
  <c r="G158" i="3"/>
  <c r="CI158" i="3" s="1"/>
  <c r="G180" i="51"/>
  <c r="G146" i="3"/>
  <c r="CI146" i="3" s="1"/>
  <c r="BW109" i="51"/>
  <c r="BW108" i="51" s="1"/>
  <c r="BW167" i="51" s="1"/>
  <c r="BW143" i="3" s="1"/>
  <c r="AU20" i="119"/>
  <c r="AU153" i="119" s="1"/>
  <c r="BR158" i="51"/>
  <c r="AW145" i="119"/>
  <c r="AT172" i="119"/>
  <c r="AT126" i="119"/>
  <c r="BS129" i="51"/>
  <c r="BS136" i="51" s="1"/>
  <c r="BU130" i="51"/>
  <c r="BU137" i="51" s="1"/>
  <c r="AT18" i="119"/>
  <c r="AT76" i="119" s="1"/>
  <c r="BO210" i="51"/>
  <c r="BR119" i="51"/>
  <c r="BR120" i="51" s="1"/>
  <c r="AU26" i="119" s="1"/>
  <c r="AU51" i="119" s="1"/>
  <c r="BS143" i="51"/>
  <c r="AT85" i="119"/>
  <c r="AT97" i="119" s="1"/>
  <c r="BS137" i="51"/>
  <c r="BO127" i="51"/>
  <c r="BO333" i="51" s="1"/>
  <c r="BS131" i="51"/>
  <c r="AV83" i="119" s="1"/>
  <c r="AV93" i="119" s="1"/>
  <c r="AV94" i="119" s="1"/>
  <c r="AV56" i="119" s="1"/>
  <c r="AI50" i="3"/>
  <c r="AZ50" i="3"/>
  <c r="V50" i="3"/>
  <c r="L177" i="51"/>
  <c r="M177" i="51" s="1"/>
  <c r="BR164" i="51"/>
  <c r="BR165" i="51" s="1"/>
  <c r="BI120" i="3"/>
  <c r="AS82" i="119"/>
  <c r="AS91" i="119" s="1"/>
  <c r="AS92" i="119" s="1"/>
  <c r="AS55" i="119" s="1"/>
  <c r="BO165" i="51"/>
  <c r="BO48" i="3"/>
  <c r="BO211" i="51"/>
  <c r="AM50" i="3"/>
  <c r="BA50" i="3"/>
  <c r="AU50" i="3"/>
  <c r="P346" i="51"/>
  <c r="P338" i="51"/>
  <c r="P339" i="51" s="1"/>
  <c r="BB50" i="3"/>
  <c r="P50" i="3"/>
  <c r="Q208" i="51"/>
  <c r="I50" i="3"/>
  <c r="X177" i="51"/>
  <c r="Y177" i="51" s="1"/>
  <c r="BU24" i="51"/>
  <c r="AP50" i="3"/>
  <c r="AK48" i="3"/>
  <c r="AC50" i="3"/>
  <c r="BM49" i="3"/>
  <c r="BM51" i="3" s="1"/>
  <c r="AN50" i="3"/>
  <c r="O102" i="119"/>
  <c r="O60" i="119" s="1"/>
  <c r="BC177" i="51"/>
  <c r="AT50" i="3"/>
  <c r="BH50" i="3"/>
  <c r="O50" i="3"/>
  <c r="BN49" i="3"/>
  <c r="BN51" i="3" s="1"/>
  <c r="BE50" i="3"/>
  <c r="AG50" i="3"/>
  <c r="S178" i="51"/>
  <c r="AJ50" i="3"/>
  <c r="BC48" i="3"/>
  <c r="AO50" i="3"/>
  <c r="AA50" i="3"/>
  <c r="BL49" i="3"/>
  <c r="BL51" i="3" s="1"/>
  <c r="AW49" i="3"/>
  <c r="AQ48" i="3"/>
  <c r="AS50" i="3"/>
  <c r="AQ49" i="3"/>
  <c r="AH50" i="3"/>
  <c r="AY50" i="3"/>
  <c r="BK49" i="3"/>
  <c r="BK51" i="3" s="1"/>
  <c r="AW48" i="3"/>
  <c r="R177" i="51"/>
  <c r="S177" i="51" s="1"/>
  <c r="AV50" i="3"/>
  <c r="BI49" i="3"/>
  <c r="AQ177" i="51"/>
  <c r="BF50" i="3"/>
  <c r="AD177" i="51"/>
  <c r="AE177" i="51" s="1"/>
  <c r="BL50" i="3"/>
  <c r="BC49" i="3"/>
  <c r="BU128" i="51"/>
  <c r="BI177" i="51"/>
  <c r="AE176" i="51"/>
  <c r="BQ48" i="3"/>
  <c r="AK49" i="3"/>
  <c r="AW177" i="51"/>
  <c r="BI48" i="3"/>
  <c r="BK50" i="3"/>
  <c r="U50" i="3"/>
  <c r="BU25" i="51"/>
  <c r="BW126" i="51"/>
  <c r="CC128" i="51" s="1"/>
  <c r="L343" i="51"/>
  <c r="L345" i="51" s="1"/>
  <c r="L346" i="51" s="1"/>
  <c r="S343" i="51"/>
  <c r="M345" i="51"/>
  <c r="M346" i="51" s="1"/>
  <c r="AT6" i="119"/>
  <c r="AT83" i="119"/>
  <c r="AT93" i="119" s="1"/>
  <c r="AU94" i="119" s="1"/>
  <c r="AU56" i="119" s="1"/>
  <c r="BW137" i="51"/>
  <c r="BW143" i="51"/>
  <c r="Q339" i="51"/>
  <c r="Q17" i="51"/>
  <c r="Q19" i="51" s="1"/>
  <c r="AA17" i="51"/>
  <c r="AA19" i="51" s="1"/>
  <c r="U17" i="51"/>
  <c r="U19" i="51" s="1"/>
  <c r="AB17" i="51"/>
  <c r="AB19" i="51" s="1"/>
  <c r="CA12" i="51"/>
  <c r="AC17" i="51"/>
  <c r="AC19" i="51" s="1"/>
  <c r="W17" i="51"/>
  <c r="W19" i="51" s="1"/>
  <c r="K104" i="119"/>
  <c r="BY11" i="51"/>
  <c r="Q23" i="51"/>
  <c r="Q25" i="51" s="1"/>
  <c r="BY70" i="51"/>
  <c r="BX68" i="51"/>
  <c r="BX67" i="51" s="1"/>
  <c r="BU9" i="51"/>
  <c r="W338" i="51"/>
  <c r="W208" i="51" s="1"/>
  <c r="K102" i="119"/>
  <c r="K60" i="119" s="1"/>
  <c r="O208" i="51"/>
  <c r="O22" i="51"/>
  <c r="O23" i="51" s="1"/>
  <c r="O25" i="51" s="1"/>
  <c r="V208" i="51"/>
  <c r="V22" i="51"/>
  <c r="Y165" i="51"/>
  <c r="BU113" i="51"/>
  <c r="Q30" i="119"/>
  <c r="AW48" i="119"/>
  <c r="AW173" i="119" s="1"/>
  <c r="Q82" i="119"/>
  <c r="BX117" i="51"/>
  <c r="BW169" i="51"/>
  <c r="AW65" i="119"/>
  <c r="BI118" i="3"/>
  <c r="AN345" i="51"/>
  <c r="AN346" i="51" s="1"/>
  <c r="BT127" i="51"/>
  <c r="BT129" i="51" s="1"/>
  <c r="BU126" i="51"/>
  <c r="BU127" i="51" s="1"/>
  <c r="BZ128" i="51"/>
  <c r="BT211" i="51"/>
  <c r="AH337" i="51"/>
  <c r="AH207" i="51" s="1"/>
  <c r="BT210" i="51"/>
  <c r="BX9" i="51"/>
  <c r="BX8" i="51" s="1"/>
  <c r="AH338" i="51"/>
  <c r="AS30" i="119"/>
  <c r="AS73" i="119"/>
  <c r="AR30" i="119"/>
  <c r="AR73" i="119"/>
  <c r="AM102" i="119"/>
  <c r="AM60" i="119" s="1"/>
  <c r="V30" i="119"/>
  <c r="R73" i="119"/>
  <c r="BS44" i="51"/>
  <c r="AQ78" i="119"/>
  <c r="BG50" i="3"/>
  <c r="S30" i="119"/>
  <c r="S73" i="119"/>
  <c r="I78" i="119"/>
  <c r="E78" i="119"/>
  <c r="AQ30" i="119"/>
  <c r="AQ73" i="119"/>
  <c r="P30" i="119"/>
  <c r="P73" i="119"/>
  <c r="AO92" i="119"/>
  <c r="AO55" i="119" s="1"/>
  <c r="T91" i="119"/>
  <c r="T92" i="119" s="1"/>
  <c r="T55" i="119" s="1"/>
  <c r="AF102" i="119"/>
  <c r="AF60" i="119" s="1"/>
  <c r="BO35" i="51"/>
  <c r="BS46" i="51"/>
  <c r="CA52" i="51"/>
  <c r="BS94" i="51"/>
  <c r="BA345" i="51"/>
  <c r="BA346" i="51" s="1"/>
  <c r="AT44" i="119"/>
  <c r="AT152" i="119"/>
  <c r="Y95" i="3"/>
  <c r="M165" i="3"/>
  <c r="BW151" i="51"/>
  <c r="AK203" i="3"/>
  <c r="AN104" i="119"/>
  <c r="AN105" i="119" s="1"/>
  <c r="BQ35" i="51"/>
  <c r="AO104" i="119"/>
  <c r="AO105" i="119" s="1"/>
  <c r="AN102" i="119"/>
  <c r="AN103" i="119" s="1"/>
  <c r="BZ39" i="51"/>
  <c r="BY40" i="51"/>
  <c r="BW94" i="51"/>
  <c r="AD104" i="119"/>
  <c r="AD105" i="119" s="1"/>
  <c r="U5" i="119"/>
  <c r="U73" i="119" s="1"/>
  <c r="U82" i="119"/>
  <c r="AG337" i="51"/>
  <c r="AG207" i="51" s="1"/>
  <c r="BT151" i="51"/>
  <c r="BU151" i="51" s="1"/>
  <c r="AW203" i="3"/>
  <c r="AE178" i="51"/>
  <c r="AO345" i="51"/>
  <c r="BI203" i="3"/>
  <c r="AC104" i="119"/>
  <c r="AE95" i="3"/>
  <c r="Y146" i="3"/>
  <c r="Y158" i="3"/>
  <c r="Y103" i="3"/>
  <c r="S179" i="51"/>
  <c r="M103" i="3"/>
  <c r="M146" i="3"/>
  <c r="M158" i="3"/>
  <c r="S92" i="119"/>
  <c r="S55" i="119" s="1"/>
  <c r="S95" i="3"/>
  <c r="AU345" i="51"/>
  <c r="AU338" i="51" s="1"/>
  <c r="BI116" i="3"/>
  <c r="AI337" i="51"/>
  <c r="AD102" i="119"/>
  <c r="AD103" i="119" s="1"/>
  <c r="S146" i="3"/>
  <c r="S103" i="3"/>
  <c r="S158" i="3"/>
  <c r="AG338" i="51"/>
  <c r="AI338" i="51"/>
  <c r="M101" i="119"/>
  <c r="M104" i="119" s="1"/>
  <c r="AR92" i="119"/>
  <c r="AR55" i="119" s="1"/>
  <c r="Y165" i="3"/>
  <c r="BO154" i="3"/>
  <c r="AE196" i="51"/>
  <c r="AK117" i="51"/>
  <c r="AK116" i="51"/>
  <c r="AE193" i="51"/>
  <c r="AK120" i="51"/>
  <c r="AE194" i="51"/>
  <c r="AK119" i="51"/>
  <c r="AK118" i="51"/>
  <c r="AE192" i="51"/>
  <c r="AE195" i="51"/>
  <c r="BT143" i="3"/>
  <c r="BU143" i="3" s="1"/>
  <c r="BU150" i="51"/>
  <c r="BC203" i="3"/>
  <c r="S165" i="3"/>
  <c r="BF239" i="51"/>
  <c r="BF240" i="51" s="1"/>
  <c r="BE239" i="51"/>
  <c r="BE240" i="51" s="1"/>
  <c r="AY239" i="51"/>
  <c r="AY240" i="51" s="1"/>
  <c r="AW252" i="51"/>
  <c r="AW253" i="51" s="1"/>
  <c r="O239" i="51"/>
  <c r="O240" i="51" s="1"/>
  <c r="CA23" i="3"/>
  <c r="AT51" i="119"/>
  <c r="AP51" i="119"/>
  <c r="AT167" i="119"/>
  <c r="AT48" i="119"/>
  <c r="AU15" i="119"/>
  <c r="AU75" i="119" s="1"/>
  <c r="AU84" i="119"/>
  <c r="AU95" i="119" s="1"/>
  <c r="AU96" i="119" s="1"/>
  <c r="AU57" i="119" s="1"/>
  <c r="AH104" i="119"/>
  <c r="AH105" i="119" s="1"/>
  <c r="P239" i="51"/>
  <c r="P240" i="51" s="1"/>
  <c r="AT21" i="119"/>
  <c r="AT77" i="119" s="1"/>
  <c r="AT86" i="119"/>
  <c r="AT99" i="119" s="1"/>
  <c r="AT100" i="119" s="1"/>
  <c r="AT59" i="119" s="1"/>
  <c r="P102" i="119"/>
  <c r="P60" i="119" s="1"/>
  <c r="AW37" i="119"/>
  <c r="AW117" i="119"/>
  <c r="AG104" i="119"/>
  <c r="AG105" i="119" s="1"/>
  <c r="AE102" i="119"/>
  <c r="W30" i="119"/>
  <c r="AS87" i="119"/>
  <c r="AS101" i="119" s="1"/>
  <c r="G30" i="119"/>
  <c r="K30" i="119"/>
  <c r="AI60" i="119"/>
  <c r="AI103" i="119"/>
  <c r="AS100" i="119"/>
  <c r="AS59" i="119" s="1"/>
  <c r="AU41" i="119"/>
  <c r="AU138" i="119"/>
  <c r="AO103" i="119"/>
  <c r="AO60" i="119"/>
  <c r="AW68" i="119"/>
  <c r="AR87" i="119"/>
  <c r="AR101" i="119" s="1"/>
  <c r="S102" i="119"/>
  <c r="S60" i="119" s="1"/>
  <c r="Z91" i="119"/>
  <c r="AA92" i="119" s="1"/>
  <c r="AA55" i="119" s="1"/>
  <c r="AD91" i="119"/>
  <c r="BO179" i="51"/>
  <c r="AB91" i="119"/>
  <c r="AC92" i="119" s="1"/>
  <c r="AC55" i="119" s="1"/>
  <c r="AF91" i="119"/>
  <c r="AG92" i="119" s="1"/>
  <c r="AG55" i="119" s="1"/>
  <c r="U101" i="119"/>
  <c r="W91" i="119"/>
  <c r="AV15" i="119"/>
  <c r="AV75" i="119" s="1"/>
  <c r="AV84" i="119"/>
  <c r="AV95" i="119" s="1"/>
  <c r="T30" i="119"/>
  <c r="AU166" i="119"/>
  <c r="AU47" i="119"/>
  <c r="AU172" i="119" s="1"/>
  <c r="Y104" i="119"/>
  <c r="W102" i="119"/>
  <c r="W60" i="119" s="1"/>
  <c r="AU21" i="119"/>
  <c r="AU77" i="119" s="1"/>
  <c r="AU86" i="119"/>
  <c r="AU99" i="119" s="1"/>
  <c r="BC250" i="51"/>
  <c r="BC252" i="51" s="1"/>
  <c r="BC253" i="51" s="1"/>
  <c r="AY252" i="51"/>
  <c r="AY253" i="51" s="1"/>
  <c r="AB104" i="119"/>
  <c r="Z102" i="119"/>
  <c r="Z60" i="119" s="1"/>
  <c r="Y102" i="119"/>
  <c r="Y60" i="119" s="1"/>
  <c r="AA104" i="119"/>
  <c r="Z104" i="119"/>
  <c r="X102" i="119"/>
  <c r="X60" i="119" s="1"/>
  <c r="Z30" i="119"/>
  <c r="AD30" i="119"/>
  <c r="AF30" i="119"/>
  <c r="AB30" i="119"/>
  <c r="Q101" i="119"/>
  <c r="R104" i="119" s="1"/>
  <c r="AO111" i="119"/>
  <c r="AO31" i="119"/>
  <c r="AO123" i="119" s="1"/>
  <c r="AS31" i="119"/>
  <c r="AS123" i="119" s="1"/>
  <c r="AD346" i="51"/>
  <c r="AD338" i="51"/>
  <c r="AG102" i="119"/>
  <c r="AI104" i="119"/>
  <c r="AI105" i="119" s="1"/>
  <c r="AK102" i="119"/>
  <c r="AM104" i="119"/>
  <c r="AM105" i="119" s="1"/>
  <c r="AJ102" i="119"/>
  <c r="AL104" i="119"/>
  <c r="AL105" i="119" s="1"/>
  <c r="T102" i="119"/>
  <c r="T60" i="119" s="1"/>
  <c r="AC102" i="119"/>
  <c r="AC60" i="119" s="1"/>
  <c r="AE104" i="119"/>
  <c r="AE105" i="119" s="1"/>
  <c r="M317" i="51"/>
  <c r="S176" i="51"/>
  <c r="M175" i="51"/>
  <c r="M180" i="51"/>
  <c r="AJ104" i="119"/>
  <c r="AJ105" i="119" s="1"/>
  <c r="AH102" i="119"/>
  <c r="AF104" i="119"/>
  <c r="AF105" i="119" s="1"/>
  <c r="AT137" i="119"/>
  <c r="AT40" i="119"/>
  <c r="AT143" i="119" s="1"/>
  <c r="AO93" i="119"/>
  <c r="AS93" i="119"/>
  <c r="AD337" i="51"/>
  <c r="AL60" i="119"/>
  <c r="AL103" i="119"/>
  <c r="CD30" i="51"/>
  <c r="CC33" i="51"/>
  <c r="S175" i="51"/>
  <c r="S180" i="51"/>
  <c r="S317" i="51"/>
  <c r="X344" i="51"/>
  <c r="BR36" i="51"/>
  <c r="BS38" i="51"/>
  <c r="BW131" i="51"/>
  <c r="U207" i="51"/>
  <c r="CF10" i="51"/>
  <c r="BS146" i="51"/>
  <c r="BS216" i="51" s="1"/>
  <c r="BR146" i="51"/>
  <c r="AU66" i="119" s="1"/>
  <c r="CD69" i="51"/>
  <c r="CC52" i="51"/>
  <c r="BZ50" i="51"/>
  <c r="BZ49" i="51" s="1"/>
  <c r="CA49" i="51" s="1"/>
  <c r="Y175" i="51"/>
  <c r="Y317" i="51"/>
  <c r="Y180" i="51"/>
  <c r="BM188" i="51"/>
  <c r="AS344" i="51"/>
  <c r="U346" i="51"/>
  <c r="U338" i="51"/>
  <c r="O339" i="51"/>
  <c r="BT29" i="51"/>
  <c r="BT28" i="51" s="1"/>
  <c r="BU28" i="51" s="1"/>
  <c r="BW31" i="51"/>
  <c r="BU31" i="51"/>
  <c r="AE175" i="51"/>
  <c r="BS171" i="51"/>
  <c r="BS172" i="51" s="1"/>
  <c r="BS54" i="51"/>
  <c r="AV22" i="119" s="1"/>
  <c r="AE179" i="51"/>
  <c r="AJ343" i="51"/>
  <c r="AK345" i="51"/>
  <c r="AK346" i="51" s="1"/>
  <c r="AQ343" i="51"/>
  <c r="BQ179" i="51"/>
  <c r="BU50" i="51"/>
  <c r="AQ344" i="51"/>
  <c r="AJ344" i="51"/>
  <c r="AS343" i="51"/>
  <c r="AM345" i="51"/>
  <c r="AM346" i="51" s="1"/>
  <c r="AZ239" i="51"/>
  <c r="AZ240" i="51" s="1"/>
  <c r="AZ344" i="51"/>
  <c r="CC12" i="51"/>
  <c r="BZ13" i="51"/>
  <c r="CA13" i="51" s="1"/>
  <c r="BT168" i="51"/>
  <c r="BT170" i="51" s="1"/>
  <c r="BU170" i="51" s="1"/>
  <c r="BT231" i="51"/>
  <c r="BU167" i="51"/>
  <c r="BU230" i="51" s="1"/>
  <c r="Y178" i="51"/>
  <c r="BY71" i="51"/>
  <c r="BX72" i="51"/>
  <c r="BX130" i="51"/>
  <c r="CA51" i="51"/>
  <c r="I243" i="51"/>
  <c r="I237" i="51" s="1"/>
  <c r="I239" i="51" s="1"/>
  <c r="I240" i="51" s="1"/>
  <c r="J237" i="51"/>
  <c r="J239" i="51" s="1"/>
  <c r="J240" i="51" s="1"/>
  <c r="BM189" i="51"/>
  <c r="BM185" i="51"/>
  <c r="BM186" i="51"/>
  <c r="BM187" i="51"/>
  <c r="BG344" i="51"/>
  <c r="BM344" i="51" s="1"/>
  <c r="C243" i="51"/>
  <c r="C237" i="51" s="1"/>
  <c r="C239" i="51" s="1"/>
  <c r="C240" i="51" s="1"/>
  <c r="D237" i="51"/>
  <c r="D239" i="51" s="1"/>
  <c r="D240" i="51" s="1"/>
  <c r="AQ249" i="51"/>
  <c r="AQ252" i="51" s="1"/>
  <c r="AQ253" i="51" s="1"/>
  <c r="AM252" i="51"/>
  <c r="AM253" i="51" s="1"/>
  <c r="BR176" i="51"/>
  <c r="Y176" i="51"/>
  <c r="BZ89" i="51"/>
  <c r="CA89" i="51" s="1"/>
  <c r="BY92" i="51"/>
  <c r="BY88" i="51"/>
  <c r="BY87" i="51" s="1"/>
  <c r="BY97" i="51"/>
  <c r="BX95" i="51"/>
  <c r="V207" i="51"/>
  <c r="V339" i="51"/>
  <c r="BE252" i="51"/>
  <c r="BE253" i="51" s="1"/>
  <c r="BI249" i="51"/>
  <c r="BI252" i="51" s="1"/>
  <c r="BI253" i="51" s="1"/>
  <c r="BR61" i="51"/>
  <c r="Y179" i="51"/>
  <c r="AZ343" i="51"/>
  <c r="AT345" i="51"/>
  <c r="AT346" i="51" s="1"/>
  <c r="G275" i="51" l="1"/>
  <c r="G273" i="51"/>
  <c r="BO332" i="51"/>
  <c r="BO331" i="51"/>
  <c r="S275" i="51"/>
  <c r="S273" i="51"/>
  <c r="BT101" i="3"/>
  <c r="BS100" i="3"/>
  <c r="BS154" i="3" s="1"/>
  <c r="BS155" i="3" s="1"/>
  <c r="BS156" i="3" s="1"/>
  <c r="BO142" i="51"/>
  <c r="BO136" i="51"/>
  <c r="AT5" i="119"/>
  <c r="AT30" i="119" s="1"/>
  <c r="AW6" i="119"/>
  <c r="AW31" i="119" s="1"/>
  <c r="AW123" i="119" s="1"/>
  <c r="BO383" i="51"/>
  <c r="BO395" i="51"/>
  <c r="BW98" i="51"/>
  <c r="BT44" i="51"/>
  <c r="AU25" i="119"/>
  <c r="AU50" i="119" s="1"/>
  <c r="O92" i="119"/>
  <c r="O55" i="119" s="1"/>
  <c r="BO389" i="51"/>
  <c r="BO390" i="51"/>
  <c r="BO392" i="51" s="1"/>
  <c r="BO393" i="51" s="1"/>
  <c r="AE92" i="119"/>
  <c r="AE55" i="119" s="1"/>
  <c r="BO419" i="51"/>
  <c r="BO404" i="51"/>
  <c r="BO399" i="51"/>
  <c r="BO409" i="51" s="1"/>
  <c r="BO408" i="51" s="1"/>
  <c r="BO439" i="51" s="1"/>
  <c r="BO413" i="51"/>
  <c r="CD96" i="51"/>
  <c r="AT98" i="119"/>
  <c r="AT58" i="119" s="1"/>
  <c r="BO411" i="51"/>
  <c r="Q91" i="119"/>
  <c r="Q92" i="119" s="1"/>
  <c r="Q55" i="119" s="1"/>
  <c r="BW230" i="51"/>
  <c r="AV20" i="119"/>
  <c r="AV45" i="119" s="1"/>
  <c r="AV159" i="119" s="1"/>
  <c r="W339" i="51"/>
  <c r="AP78" i="119"/>
  <c r="BY83" i="51"/>
  <c r="BY77" i="51"/>
  <c r="BZ11" i="51"/>
  <c r="BZ9" i="51" s="1"/>
  <c r="BZ8" i="51" s="1"/>
  <c r="BY24" i="51"/>
  <c r="BY18" i="51"/>
  <c r="BY17" i="51" s="1"/>
  <c r="CC25" i="51"/>
  <c r="CC19" i="51"/>
  <c r="BT99" i="51"/>
  <c r="L337" i="51"/>
  <c r="L16" i="51" s="1"/>
  <c r="AU18" i="119"/>
  <c r="AU76" i="119" s="1"/>
  <c r="BY78" i="51"/>
  <c r="BY84" i="51"/>
  <c r="BR178" i="51"/>
  <c r="AU85" i="119"/>
  <c r="AU97" i="119" s="1"/>
  <c r="AU98" i="119" s="1"/>
  <c r="AU58" i="119" s="1"/>
  <c r="BO155" i="3"/>
  <c r="AQ104" i="119"/>
  <c r="AQ105" i="119" s="1"/>
  <c r="L338" i="51"/>
  <c r="L208" i="51" s="1"/>
  <c r="AP104" i="119"/>
  <c r="AP105" i="119" s="1"/>
  <c r="AQ102" i="119"/>
  <c r="AQ60" i="119" s="1"/>
  <c r="M338" i="51"/>
  <c r="M208" i="51" s="1"/>
  <c r="AK51" i="3"/>
  <c r="AP102" i="119"/>
  <c r="AP60" i="119" s="1"/>
  <c r="AR104" i="119"/>
  <c r="AR105" i="119" s="1"/>
  <c r="M203" i="3"/>
  <c r="BW231" i="51"/>
  <c r="V17" i="51"/>
  <c r="V19" i="51" s="1"/>
  <c r="BM345" i="51"/>
  <c r="BI51" i="3"/>
  <c r="AW51" i="3"/>
  <c r="BC51" i="3"/>
  <c r="AU45" i="119"/>
  <c r="AU159" i="119" s="1"/>
  <c r="M49" i="3"/>
  <c r="M51" i="3" s="1"/>
  <c r="W22" i="51"/>
  <c r="AC23" i="51" s="1"/>
  <c r="AC25" i="51" s="1"/>
  <c r="BW168" i="51"/>
  <c r="BW170" i="51" s="1"/>
  <c r="BU131" i="51"/>
  <c r="BW127" i="51"/>
  <c r="BW129" i="51" s="1"/>
  <c r="BW136" i="51" s="1"/>
  <c r="BW210" i="51"/>
  <c r="BS142" i="51"/>
  <c r="BW211" i="51"/>
  <c r="AU144" i="119"/>
  <c r="AT173" i="119"/>
  <c r="AW129" i="119"/>
  <c r="BO36" i="51"/>
  <c r="AT158" i="119"/>
  <c r="BU143" i="51"/>
  <c r="AT43" i="119"/>
  <c r="AT151" i="119"/>
  <c r="BS47" i="51"/>
  <c r="AV6" i="119"/>
  <c r="AV74" i="119" s="1"/>
  <c r="BU37" i="51"/>
  <c r="AD50" i="3"/>
  <c r="BY9" i="51"/>
  <c r="BY8" i="51" s="1"/>
  <c r="AE49" i="3"/>
  <c r="S49" i="3"/>
  <c r="BU40" i="51"/>
  <c r="BI50" i="3"/>
  <c r="R50" i="3"/>
  <c r="BC50" i="3"/>
  <c r="X50" i="3"/>
  <c r="M50" i="3"/>
  <c r="S48" i="3"/>
  <c r="BO49" i="3"/>
  <c r="BO51" i="3" s="1"/>
  <c r="AW50" i="3"/>
  <c r="P208" i="51"/>
  <c r="P22" i="51"/>
  <c r="P23" i="51" s="1"/>
  <c r="P25" i="51" s="1"/>
  <c r="Y49" i="3"/>
  <c r="AE50" i="3"/>
  <c r="S50" i="3"/>
  <c r="AT92" i="119"/>
  <c r="AT55" i="119" s="1"/>
  <c r="AE48" i="3"/>
  <c r="BU39" i="51"/>
  <c r="Y48" i="3"/>
  <c r="Y50" i="3"/>
  <c r="AQ50" i="3"/>
  <c r="AQ51" i="3"/>
  <c r="L50" i="3"/>
  <c r="BR48" i="3"/>
  <c r="BQ49" i="3"/>
  <c r="BQ51" i="3" s="1"/>
  <c r="BS58" i="51"/>
  <c r="M337" i="51"/>
  <c r="BO94" i="51"/>
  <c r="BS155" i="51"/>
  <c r="Y343" i="51"/>
  <c r="R343" i="51"/>
  <c r="R345" i="51" s="1"/>
  <c r="R346" i="51" s="1"/>
  <c r="S345" i="51"/>
  <c r="AT74" i="119"/>
  <c r="AT111" i="119"/>
  <c r="AT31" i="119"/>
  <c r="BT136" i="51"/>
  <c r="BT142" i="51"/>
  <c r="BX137" i="51"/>
  <c r="BX143" i="51"/>
  <c r="AB23" i="51"/>
  <c r="AB25" i="51" s="1"/>
  <c r="BZ70" i="51"/>
  <c r="BY68" i="51"/>
  <c r="BY67" i="51" s="1"/>
  <c r="CA25" i="51"/>
  <c r="CA19" i="51"/>
  <c r="U208" i="51"/>
  <c r="U22" i="51"/>
  <c r="AD16" i="51"/>
  <c r="AE16" i="51" s="1"/>
  <c r="AD75" i="51"/>
  <c r="AE75" i="51" s="1"/>
  <c r="AD208" i="51"/>
  <c r="AD22" i="51"/>
  <c r="AE22" i="51" s="1"/>
  <c r="AD81" i="51"/>
  <c r="AE81" i="51" s="1"/>
  <c r="AI134" i="51"/>
  <c r="AI16" i="51"/>
  <c r="AI17" i="51" s="1"/>
  <c r="AI19" i="51" s="1"/>
  <c r="AI75" i="51"/>
  <c r="AI76" i="51" s="1"/>
  <c r="AI78" i="51" s="1"/>
  <c r="AU81" i="51"/>
  <c r="AU22" i="51"/>
  <c r="AH22" i="51"/>
  <c r="AH23" i="51" s="1"/>
  <c r="AH25" i="51" s="1"/>
  <c r="AH81" i="51"/>
  <c r="AH82" i="51" s="1"/>
  <c r="AH84" i="51" s="1"/>
  <c r="AN338" i="51"/>
  <c r="AN208" i="51" s="1"/>
  <c r="AN337" i="51"/>
  <c r="AN134" i="51" s="1"/>
  <c r="AI81" i="51"/>
  <c r="AI82" i="51" s="1"/>
  <c r="AI84" i="51" s="1"/>
  <c r="AI22" i="51"/>
  <c r="AI23" i="51" s="1"/>
  <c r="AI25" i="51" s="1"/>
  <c r="AG81" i="51"/>
  <c r="AG82" i="51" s="1"/>
  <c r="AG84" i="51" s="1"/>
  <c r="AG22" i="51"/>
  <c r="AG23" i="51" s="1"/>
  <c r="AG25" i="51" s="1"/>
  <c r="AG134" i="51"/>
  <c r="AG16" i="51"/>
  <c r="AG17" i="51" s="1"/>
  <c r="AG19" i="51" s="1"/>
  <c r="AG75" i="51"/>
  <c r="AG76" i="51" s="1"/>
  <c r="AG78" i="51" s="1"/>
  <c r="AH134" i="51"/>
  <c r="AH75" i="51"/>
  <c r="AH76" i="51" s="1"/>
  <c r="AH78" i="51" s="1"/>
  <c r="AH16" i="51"/>
  <c r="AH17" i="51" s="1"/>
  <c r="AH19" i="51" s="1"/>
  <c r="BX126" i="51"/>
  <c r="BX127" i="51" s="1"/>
  <c r="BX129" i="51" s="1"/>
  <c r="AF103" i="119"/>
  <c r="BY110" i="51"/>
  <c r="BX109" i="51"/>
  <c r="BX108" i="51" s="1"/>
  <c r="BX113" i="51"/>
  <c r="BX169" i="51"/>
  <c r="AU208" i="51"/>
  <c r="AU140" i="51"/>
  <c r="AH208" i="51"/>
  <c r="AH140" i="51"/>
  <c r="BU166" i="3"/>
  <c r="AI208" i="51"/>
  <c r="AI140" i="51"/>
  <c r="AG208" i="51"/>
  <c r="AG140" i="51"/>
  <c r="BU210" i="51"/>
  <c r="BU211" i="51"/>
  <c r="AM103" i="119"/>
  <c r="CA128" i="51"/>
  <c r="AH339" i="51"/>
  <c r="AG339" i="51"/>
  <c r="BU129" i="51"/>
  <c r="BU142" i="51" s="1"/>
  <c r="AW94" i="119"/>
  <c r="AW56" i="119" s="1"/>
  <c r="AU346" i="51"/>
  <c r="AR49" i="119"/>
  <c r="AR78" i="119"/>
  <c r="AS49" i="119"/>
  <c r="AS78" i="119"/>
  <c r="M102" i="119"/>
  <c r="M60" i="119" s="1"/>
  <c r="AD60" i="119"/>
  <c r="AN60" i="119"/>
  <c r="BT46" i="51"/>
  <c r="BS60" i="51"/>
  <c r="BO42" i="51"/>
  <c r="BO45" i="51"/>
  <c r="CG51" i="51"/>
  <c r="BQ153" i="51"/>
  <c r="BQ42" i="51"/>
  <c r="BQ56" i="51" s="1"/>
  <c r="BQ188" i="51" s="1"/>
  <c r="BM227" i="51"/>
  <c r="BS103" i="51"/>
  <c r="CC39" i="51"/>
  <c r="BZ40" i="51"/>
  <c r="BW101" i="51"/>
  <c r="BA337" i="51"/>
  <c r="BO101" i="51"/>
  <c r="BT94" i="51"/>
  <c r="BN153" i="51"/>
  <c r="BA338" i="51"/>
  <c r="BS101" i="51"/>
  <c r="BX94" i="51"/>
  <c r="BR216" i="51"/>
  <c r="BR35" i="51"/>
  <c r="BS105" i="51"/>
  <c r="AR67" i="119"/>
  <c r="BM226" i="51"/>
  <c r="BS157" i="51"/>
  <c r="Y203" i="3"/>
  <c r="AW84" i="119"/>
  <c r="AW95" i="119" s="1"/>
  <c r="AW96" i="119" s="1"/>
  <c r="AW57" i="119" s="1"/>
  <c r="N104" i="119"/>
  <c r="AW15" i="119"/>
  <c r="AW75" i="119" s="1"/>
  <c r="AU337" i="51"/>
  <c r="BX150" i="51"/>
  <c r="P104" i="119"/>
  <c r="N102" i="119"/>
  <c r="N60" i="119" s="1"/>
  <c r="AO338" i="51"/>
  <c r="AO346" i="51"/>
  <c r="AO337" i="51"/>
  <c r="U91" i="119"/>
  <c r="Y91" i="119"/>
  <c r="Y92" i="119" s="1"/>
  <c r="Y55" i="119" s="1"/>
  <c r="S203" i="3"/>
  <c r="U30" i="119"/>
  <c r="Y30" i="119"/>
  <c r="AI339" i="51"/>
  <c r="AI207" i="51"/>
  <c r="AS104" i="119"/>
  <c r="AS105" i="119" s="1"/>
  <c r="O104" i="119"/>
  <c r="BU144" i="3"/>
  <c r="BU135" i="3"/>
  <c r="BU136" i="3" s="1"/>
  <c r="AK337" i="51"/>
  <c r="AK338" i="51"/>
  <c r="AR102" i="119"/>
  <c r="AR103" i="119" s="1"/>
  <c r="AE203" i="3"/>
  <c r="BZ19" i="106"/>
  <c r="BZ174" i="106" s="1"/>
  <c r="V102" i="119"/>
  <c r="V60" i="119" s="1"/>
  <c r="X104" i="119"/>
  <c r="U102" i="119"/>
  <c r="U60" i="119" s="1"/>
  <c r="W104" i="119"/>
  <c r="AU40" i="119"/>
  <c r="AU143" i="119" s="1"/>
  <c r="AU137" i="119"/>
  <c r="AD207" i="51"/>
  <c r="AD339" i="51"/>
  <c r="T104" i="119"/>
  <c r="R102" i="119"/>
  <c r="R60" i="119" s="1"/>
  <c r="Q104" i="119"/>
  <c r="Q102" i="119"/>
  <c r="Q60" i="119" s="1"/>
  <c r="S104" i="119"/>
  <c r="BY150" i="51"/>
  <c r="AV66" i="119"/>
  <c r="AT94" i="119"/>
  <c r="AT56" i="119" s="1"/>
  <c r="AS94" i="119"/>
  <c r="AS56" i="119" s="1"/>
  <c r="AV137" i="119"/>
  <c r="AV40" i="119"/>
  <c r="AV143" i="119" s="1"/>
  <c r="AV21" i="119"/>
  <c r="AV77" i="119" s="1"/>
  <c r="AV86" i="119"/>
  <c r="AV99" i="119" s="1"/>
  <c r="AV100" i="119" s="1"/>
  <c r="AV59" i="119" s="1"/>
  <c r="BX148" i="51"/>
  <c r="U104" i="119"/>
  <c r="AE60" i="119"/>
  <c r="AE103" i="119"/>
  <c r="AT24" i="119"/>
  <c r="AT87" i="119"/>
  <c r="AT101" i="119" s="1"/>
  <c r="AT102" i="119" s="1"/>
  <c r="AK60" i="119"/>
  <c r="AK103" i="119"/>
  <c r="AF92" i="119"/>
  <c r="AF55" i="119" s="1"/>
  <c r="AB92" i="119"/>
  <c r="AB55" i="119" s="1"/>
  <c r="AU100" i="119"/>
  <c r="AU59" i="119" s="1"/>
  <c r="AS102" i="119"/>
  <c r="AT165" i="119"/>
  <c r="AT46" i="119"/>
  <c r="AH60" i="119"/>
  <c r="AH103" i="119"/>
  <c r="AJ60" i="119"/>
  <c r="AJ103" i="119"/>
  <c r="AV166" i="119"/>
  <c r="AV47" i="119"/>
  <c r="AV172" i="119" s="1"/>
  <c r="AP94" i="119"/>
  <c r="AP56" i="119" s="1"/>
  <c r="AO94" i="119"/>
  <c r="AO56" i="119" s="1"/>
  <c r="AU5" i="119"/>
  <c r="AU82" i="119"/>
  <c r="AU91" i="119" s="1"/>
  <c r="V104" i="119"/>
  <c r="AG60" i="119"/>
  <c r="AG103" i="119"/>
  <c r="AU46" i="119"/>
  <c r="AU171" i="119" s="1"/>
  <c r="AU165" i="119"/>
  <c r="AD92" i="119"/>
  <c r="AD55" i="119" s="1"/>
  <c r="X92" i="119"/>
  <c r="X55" i="119" s="1"/>
  <c r="W92" i="119"/>
  <c r="W55" i="119" s="1"/>
  <c r="AV96" i="119"/>
  <c r="AV57" i="119" s="1"/>
  <c r="AM338" i="51"/>
  <c r="CE69" i="51"/>
  <c r="BX131" i="51"/>
  <c r="BU168" i="51"/>
  <c r="BU231" i="51"/>
  <c r="CD12" i="51"/>
  <c r="CC13" i="51"/>
  <c r="BF344" i="51"/>
  <c r="AY344" i="51"/>
  <c r="BY148" i="51"/>
  <c r="AS345" i="51"/>
  <c r="AS346" i="51" s="1"/>
  <c r="AY343" i="51"/>
  <c r="AP344" i="51"/>
  <c r="AW344" i="51"/>
  <c r="BX31" i="51"/>
  <c r="BW29" i="51"/>
  <c r="BW28" i="51" s="1"/>
  <c r="AT337" i="51"/>
  <c r="BT146" i="51"/>
  <c r="BU146" i="51" s="1"/>
  <c r="CA33" i="51"/>
  <c r="CD52" i="51"/>
  <c r="CC50" i="51"/>
  <c r="CC49" i="51" s="1"/>
  <c r="CA30" i="51"/>
  <c r="BR147" i="51"/>
  <c r="BR149" i="51" s="1"/>
  <c r="BR219" i="51"/>
  <c r="CE30" i="51"/>
  <c r="CD33" i="51"/>
  <c r="CA50" i="51"/>
  <c r="BT171" i="51"/>
  <c r="BT54" i="51"/>
  <c r="BU53" i="51"/>
  <c r="AZ345" i="51"/>
  <c r="AZ346" i="51" s="1"/>
  <c r="BF343" i="51"/>
  <c r="BZ71" i="51"/>
  <c r="BY72" i="51"/>
  <c r="BY130" i="51"/>
  <c r="BY143" i="51" s="1"/>
  <c r="U339" i="51"/>
  <c r="BS36" i="51"/>
  <c r="BT38" i="51"/>
  <c r="BU29" i="51"/>
  <c r="AT338" i="51"/>
  <c r="AP343" i="51"/>
  <c r="AW343" i="51"/>
  <c r="AQ345" i="51"/>
  <c r="AQ346" i="51" s="1"/>
  <c r="BZ97" i="51"/>
  <c r="BY95" i="51"/>
  <c r="BZ92" i="51"/>
  <c r="CA92" i="51" s="1"/>
  <c r="CC89" i="51"/>
  <c r="BZ88" i="51"/>
  <c r="BZ87" i="51" s="1"/>
  <c r="BG345" i="51"/>
  <c r="BG338" i="51" s="1"/>
  <c r="AM337" i="51"/>
  <c r="AJ345" i="51"/>
  <c r="AJ346" i="51" s="1"/>
  <c r="CA32" i="51"/>
  <c r="BS147" i="51"/>
  <c r="BS149" i="51" s="1"/>
  <c r="BS219" i="51"/>
  <c r="S296" i="51"/>
  <c r="G285" i="51"/>
  <c r="BW101" i="3" l="1"/>
  <c r="BT100" i="3"/>
  <c r="BW99" i="51"/>
  <c r="AW74" i="119"/>
  <c r="AW111" i="119"/>
  <c r="AT73" i="119"/>
  <c r="BO410" i="51"/>
  <c r="BO442" i="51" s="1"/>
  <c r="BT58" i="51"/>
  <c r="BW105" i="51"/>
  <c r="BW106" i="51" s="1"/>
  <c r="CE96" i="51"/>
  <c r="BX98" i="51"/>
  <c r="BU44" i="51"/>
  <c r="BT47" i="51"/>
  <c r="BU47" i="51" s="1"/>
  <c r="BU96" i="51"/>
  <c r="CJ155" i="3"/>
  <c r="BO156" i="3"/>
  <c r="L207" i="51"/>
  <c r="BO412" i="51"/>
  <c r="BO431" i="51"/>
  <c r="BO402" i="51"/>
  <c r="BO428" i="51" s="1"/>
  <c r="BO398" i="51"/>
  <c r="BO422" i="51" s="1"/>
  <c r="BO448" i="51"/>
  <c r="BO400" i="51"/>
  <c r="BO425" i="51" s="1"/>
  <c r="AV153" i="119"/>
  <c r="R92" i="119"/>
  <c r="R55" i="119" s="1"/>
  <c r="CC11" i="51"/>
  <c r="CC24" i="51" s="1"/>
  <c r="BR179" i="51"/>
  <c r="AU24" i="119" s="1"/>
  <c r="L339" i="51"/>
  <c r="AN207" i="51"/>
  <c r="CA11" i="51"/>
  <c r="CA18" i="51" s="1"/>
  <c r="L22" i="51"/>
  <c r="L23" i="51" s="1"/>
  <c r="L25" i="51" s="1"/>
  <c r="W23" i="51"/>
  <c r="W25" i="51" s="1"/>
  <c r="AU151" i="119"/>
  <c r="AU43" i="119"/>
  <c r="AU157" i="119" s="1"/>
  <c r="AQ103" i="119"/>
  <c r="BZ83" i="51"/>
  <c r="BZ77" i="51"/>
  <c r="BZ84" i="51"/>
  <c r="BZ78" i="51"/>
  <c r="AW20" i="119"/>
  <c r="AW45" i="119" s="1"/>
  <c r="AW159" i="119" s="1"/>
  <c r="BZ24" i="51"/>
  <c r="BZ18" i="51"/>
  <c r="BZ17" i="51" s="1"/>
  <c r="CD19" i="51"/>
  <c r="CD25" i="51"/>
  <c r="AP103" i="119"/>
  <c r="BM346" i="51"/>
  <c r="BM337" i="51"/>
  <c r="BM338" i="51"/>
  <c r="S51" i="3"/>
  <c r="Y51" i="3"/>
  <c r="V23" i="51"/>
  <c r="V25" i="51" s="1"/>
  <c r="AV31" i="119"/>
  <c r="AV123" i="119" s="1"/>
  <c r="BW142" i="51"/>
  <c r="CD128" i="51"/>
  <c r="BX211" i="51"/>
  <c r="BX210" i="51"/>
  <c r="AT171" i="119"/>
  <c r="AT157" i="119"/>
  <c r="AT123" i="119"/>
  <c r="BU99" i="51"/>
  <c r="AV111" i="119"/>
  <c r="BS61" i="51"/>
  <c r="BY126" i="51"/>
  <c r="BY127" i="51" s="1"/>
  <c r="BY129" i="51" s="1"/>
  <c r="M207" i="51"/>
  <c r="M339" i="51"/>
  <c r="BQ160" i="51"/>
  <c r="BO95" i="51"/>
  <c r="R337" i="51"/>
  <c r="R207" i="51" s="1"/>
  <c r="AE51" i="3"/>
  <c r="BQ226" i="51"/>
  <c r="BU97" i="51"/>
  <c r="BQ227" i="51"/>
  <c r="BR153" i="51"/>
  <c r="BU98" i="51"/>
  <c r="BS158" i="51"/>
  <c r="BU94" i="51"/>
  <c r="R338" i="51"/>
  <c r="R22" i="51" s="1"/>
  <c r="AN135" i="51"/>
  <c r="AN137" i="51" s="1"/>
  <c r="S346" i="51"/>
  <c r="S337" i="51"/>
  <c r="S338" i="51"/>
  <c r="S208" i="51" s="1"/>
  <c r="X343" i="51"/>
  <c r="X345" i="51" s="1"/>
  <c r="X346" i="51" s="1"/>
  <c r="Y345" i="51"/>
  <c r="BX136" i="51"/>
  <c r="BX142" i="51"/>
  <c r="BY137" i="51"/>
  <c r="BU136" i="51"/>
  <c r="CA70" i="51"/>
  <c r="CA71" i="51"/>
  <c r="M16" i="51"/>
  <c r="M17" i="51" s="1"/>
  <c r="M19" i="51" s="1"/>
  <c r="L17" i="51"/>
  <c r="L19" i="51" s="1"/>
  <c r="U23" i="51"/>
  <c r="U25" i="51" s="1"/>
  <c r="AA23" i="51"/>
  <c r="AA25" i="51" s="1"/>
  <c r="CC70" i="51"/>
  <c r="BZ68" i="51"/>
  <c r="BZ67" i="51" s="1"/>
  <c r="CA67" i="51" s="1"/>
  <c r="CA68" i="51" s="1"/>
  <c r="AM134" i="51"/>
  <c r="AM135" i="51" s="1"/>
  <c r="AM137" i="51" s="1"/>
  <c r="AM16" i="51"/>
  <c r="AM17" i="51" s="1"/>
  <c r="AM19" i="51" s="1"/>
  <c r="AM75" i="51"/>
  <c r="AM76" i="51" s="1"/>
  <c r="AM78" i="51" s="1"/>
  <c r="BG81" i="51"/>
  <c r="BG22" i="51"/>
  <c r="BA81" i="51"/>
  <c r="BA82" i="51" s="1"/>
  <c r="BA84" i="51" s="1"/>
  <c r="BA22" i="51"/>
  <c r="BA23" i="51" s="1"/>
  <c r="BA25" i="51" s="1"/>
  <c r="BA16" i="51"/>
  <c r="BA75" i="51"/>
  <c r="AN22" i="51"/>
  <c r="AN23" i="51" s="1"/>
  <c r="AN25" i="51" s="1"/>
  <c r="AN81" i="51"/>
  <c r="AN82" i="51" s="1"/>
  <c r="AN84" i="51" s="1"/>
  <c r="BW157" i="51"/>
  <c r="BQ154" i="51"/>
  <c r="AM81" i="51"/>
  <c r="AM82" i="51" s="1"/>
  <c r="AM84" i="51" s="1"/>
  <c r="AM22" i="51"/>
  <c r="AM23" i="51" s="1"/>
  <c r="AM25" i="51" s="1"/>
  <c r="BW155" i="51"/>
  <c r="AO134" i="51"/>
  <c r="AO135" i="51" s="1"/>
  <c r="AO137" i="51" s="1"/>
  <c r="AO16" i="51"/>
  <c r="AO17" i="51" s="1"/>
  <c r="AO19" i="51" s="1"/>
  <c r="AO75" i="51"/>
  <c r="AO76" i="51" s="1"/>
  <c r="AO78" i="51" s="1"/>
  <c r="AO81" i="51"/>
  <c r="AO82" i="51" s="1"/>
  <c r="AO84" i="51" s="1"/>
  <c r="AO22" i="51"/>
  <c r="AO23" i="51" s="1"/>
  <c r="AO25" i="51" s="1"/>
  <c r="AU16" i="51"/>
  <c r="AU75" i="51"/>
  <c r="AT67" i="119"/>
  <c r="AN339" i="51"/>
  <c r="AN140" i="51"/>
  <c r="AN141" i="51" s="1"/>
  <c r="AN143" i="51" s="1"/>
  <c r="AN75" i="51"/>
  <c r="AN76" i="51" s="1"/>
  <c r="AN78" i="51" s="1"/>
  <c r="AN16" i="51"/>
  <c r="AN17" i="51" s="1"/>
  <c r="AN19" i="51" s="1"/>
  <c r="AT22" i="51"/>
  <c r="AT81" i="51"/>
  <c r="AT134" i="51"/>
  <c r="AT135" i="51" s="1"/>
  <c r="AT137" i="51" s="1"/>
  <c r="AT75" i="51"/>
  <c r="AT16" i="51"/>
  <c r="BX167" i="51"/>
  <c r="BX231" i="51" s="1"/>
  <c r="BY109" i="51"/>
  <c r="BY108" i="51" s="1"/>
  <c r="BZ110" i="51"/>
  <c r="BY113" i="51"/>
  <c r="BY169" i="51"/>
  <c r="AK207" i="51"/>
  <c r="BA208" i="51"/>
  <c r="BA140" i="51"/>
  <c r="BA141" i="51" s="1"/>
  <c r="BA143" i="51" s="1"/>
  <c r="BA207" i="51"/>
  <c r="BA134" i="51"/>
  <c r="BG208" i="51"/>
  <c r="BG140" i="51"/>
  <c r="AT208" i="51"/>
  <c r="AT140" i="51"/>
  <c r="AM208" i="51"/>
  <c r="AM140" i="51"/>
  <c r="AM141" i="51" s="1"/>
  <c r="AM143" i="51" s="1"/>
  <c r="AK208" i="51"/>
  <c r="AO208" i="51"/>
  <c r="AO140" i="51"/>
  <c r="AO141" i="51" s="1"/>
  <c r="AO143" i="51" s="1"/>
  <c r="AU339" i="51"/>
  <c r="AU134" i="51"/>
  <c r="BA339" i="51"/>
  <c r="AU30" i="119"/>
  <c r="AU73" i="119"/>
  <c r="AT49" i="119"/>
  <c r="AT78" i="119"/>
  <c r="BN186" i="51"/>
  <c r="BQ43" i="51"/>
  <c r="BQ45" i="51" s="1"/>
  <c r="BT60" i="51"/>
  <c r="BU46" i="51"/>
  <c r="BN187" i="51"/>
  <c r="BO56" i="51"/>
  <c r="BN189" i="51"/>
  <c r="BN185" i="51"/>
  <c r="BN188" i="51"/>
  <c r="BO59" i="51"/>
  <c r="BO43" i="51"/>
  <c r="BX151" i="51"/>
  <c r="BY151" i="51"/>
  <c r="BW46" i="51"/>
  <c r="BW60" i="51" s="1"/>
  <c r="BW44" i="51"/>
  <c r="BW58" i="51" s="1"/>
  <c r="BS119" i="51"/>
  <c r="BS117" i="51"/>
  <c r="BT105" i="51"/>
  <c r="BU105" i="51" s="1"/>
  <c r="BO102" i="51"/>
  <c r="CD39" i="51"/>
  <c r="CC40" i="51"/>
  <c r="BR42" i="51"/>
  <c r="BN160" i="51"/>
  <c r="BT155" i="51"/>
  <c r="BN226" i="51"/>
  <c r="BN227" i="51"/>
  <c r="AS67" i="119"/>
  <c r="BT157" i="51"/>
  <c r="BO153" i="51"/>
  <c r="BN154" i="51"/>
  <c r="AZ338" i="51"/>
  <c r="BT101" i="51"/>
  <c r="BM195" i="51"/>
  <c r="BM196" i="51"/>
  <c r="BM192" i="51"/>
  <c r="BM193" i="51"/>
  <c r="BM194" i="51"/>
  <c r="BS102" i="51"/>
  <c r="BS104" i="51" s="1"/>
  <c r="BS115" i="51"/>
  <c r="BY103" i="51"/>
  <c r="BY94" i="51"/>
  <c r="BS164" i="51"/>
  <c r="BT103" i="51"/>
  <c r="BO104" i="51"/>
  <c r="AE296" i="51"/>
  <c r="BS162" i="51"/>
  <c r="AR64" i="119"/>
  <c r="BX101" i="51"/>
  <c r="BS106" i="51"/>
  <c r="BW102" i="51"/>
  <c r="BW104" i="51" s="1"/>
  <c r="BW115" i="51"/>
  <c r="BS35" i="51"/>
  <c r="V92" i="119"/>
  <c r="V55" i="119" s="1"/>
  <c r="U92" i="119"/>
  <c r="U55" i="119" s="1"/>
  <c r="AO339" i="51"/>
  <c r="AO207" i="51"/>
  <c r="AW137" i="119"/>
  <c r="AW40" i="119"/>
  <c r="AU207" i="51"/>
  <c r="AR60" i="119"/>
  <c r="Z92" i="119"/>
  <c r="Z55" i="119" s="1"/>
  <c r="AT104" i="119"/>
  <c r="AT105" i="119" s="1"/>
  <c r="AK296" i="51"/>
  <c r="AK339" i="51"/>
  <c r="Y296" i="51"/>
  <c r="AW296" i="51"/>
  <c r="AQ296" i="51"/>
  <c r="BZ145" i="106"/>
  <c r="CC146" i="106" s="1"/>
  <c r="CC23" i="3" s="1"/>
  <c r="CC14" i="107" s="1"/>
  <c r="CA19" i="106"/>
  <c r="AS60" i="119"/>
  <c r="AS103" i="119"/>
  <c r="BT216" i="51"/>
  <c r="AW66" i="119"/>
  <c r="AT60" i="119"/>
  <c r="AT103" i="119"/>
  <c r="BU54" i="51"/>
  <c r="AW22" i="119"/>
  <c r="AU92" i="119"/>
  <c r="AU55" i="119" s="1"/>
  <c r="AV165" i="119"/>
  <c r="AV46" i="119"/>
  <c r="AV171" i="119" s="1"/>
  <c r="CE52" i="51"/>
  <c r="CD50" i="51"/>
  <c r="CD49" i="51" s="1"/>
  <c r="CE12" i="51"/>
  <c r="CD13" i="51"/>
  <c r="AS337" i="51"/>
  <c r="AS338" i="51"/>
  <c r="BG346" i="51"/>
  <c r="BG337" i="51"/>
  <c r="CC97" i="51"/>
  <c r="BZ95" i="51"/>
  <c r="AW345" i="51"/>
  <c r="AW346" i="51" s="1"/>
  <c r="AV343" i="51"/>
  <c r="BC343" i="51"/>
  <c r="CA8" i="51"/>
  <c r="BW38" i="51"/>
  <c r="BT36" i="51"/>
  <c r="BU38" i="51"/>
  <c r="BT172" i="51"/>
  <c r="BU171" i="51"/>
  <c r="AQ338" i="51"/>
  <c r="BE344" i="51"/>
  <c r="AJ338" i="51"/>
  <c r="BE343" i="51"/>
  <c r="AY345" i="51"/>
  <c r="AY346" i="51" s="1"/>
  <c r="BY31" i="51"/>
  <c r="BX29" i="51"/>
  <c r="BX28" i="51" s="1"/>
  <c r="AM207" i="51"/>
  <c r="AM339" i="51"/>
  <c r="AQ337" i="51"/>
  <c r="CF30" i="51"/>
  <c r="CE33" i="51"/>
  <c r="AJ337" i="51"/>
  <c r="AP345" i="51"/>
  <c r="AP346" i="51" s="1"/>
  <c r="BF345" i="51"/>
  <c r="BF346" i="51" s="1"/>
  <c r="BL343" i="51"/>
  <c r="BZ148" i="51"/>
  <c r="CA87" i="51"/>
  <c r="CG91" i="51" s="1"/>
  <c r="BL344" i="51"/>
  <c r="CF69" i="51"/>
  <c r="CC88" i="51"/>
  <c r="CC87" i="51" s="1"/>
  <c r="CD89" i="51"/>
  <c r="CC92" i="51"/>
  <c r="CC103" i="51"/>
  <c r="BU147" i="51"/>
  <c r="BU219" i="51"/>
  <c r="AT207" i="51"/>
  <c r="AT339" i="51"/>
  <c r="AV344" i="51"/>
  <c r="BC344" i="51"/>
  <c r="BQ57" i="51"/>
  <c r="BQ59" i="51" s="1"/>
  <c r="BQ185" i="51"/>
  <c r="BQ189" i="51"/>
  <c r="BQ186" i="51"/>
  <c r="BQ187" i="51"/>
  <c r="BT147" i="51"/>
  <c r="BT149" i="51" s="1"/>
  <c r="BU149" i="51" s="1"/>
  <c r="BT219" i="51"/>
  <c r="BZ150" i="51"/>
  <c r="CA150" i="51" s="1"/>
  <c r="BY131" i="51"/>
  <c r="BW54" i="51"/>
  <c r="BW171" i="51"/>
  <c r="BU216" i="51"/>
  <c r="CC71" i="51"/>
  <c r="BZ72" i="51"/>
  <c r="CA72" i="51" s="1"/>
  <c r="BZ130" i="51"/>
  <c r="BZ143" i="51" s="1"/>
  <c r="AZ337" i="51"/>
  <c r="BW146" i="51"/>
  <c r="BW216" i="51" s="1"/>
  <c r="S306" i="51"/>
  <c r="S304" i="51"/>
  <c r="BN142" i="3" l="1"/>
  <c r="BT142" i="3" s="1"/>
  <c r="BZ142" i="3" s="1"/>
  <c r="CF142" i="3" s="1"/>
  <c r="BN99" i="3"/>
  <c r="BT99" i="3" s="1"/>
  <c r="BZ99" i="3" s="1"/>
  <c r="CF99" i="3" s="1"/>
  <c r="BT154" i="3"/>
  <c r="BU100" i="3"/>
  <c r="BU101" i="3" s="1"/>
  <c r="BX101" i="3"/>
  <c r="BY101" i="3" s="1"/>
  <c r="BZ101" i="3" s="1"/>
  <c r="CC101" i="3" s="1"/>
  <c r="CD101" i="3" s="1"/>
  <c r="CE101" i="3" s="1"/>
  <c r="CF101" i="3" s="1"/>
  <c r="BW100" i="3"/>
  <c r="BW154" i="3" s="1"/>
  <c r="BW155" i="3" s="1"/>
  <c r="BW156" i="3" s="1"/>
  <c r="BY98" i="51"/>
  <c r="CF96" i="51"/>
  <c r="BT61" i="51"/>
  <c r="BU61" i="51" s="1"/>
  <c r="BW119" i="51"/>
  <c r="BW120" i="51" s="1"/>
  <c r="AU87" i="119"/>
  <c r="AU101" i="119" s="1"/>
  <c r="AU102" i="119" s="1"/>
  <c r="BU58" i="51"/>
  <c r="BX105" i="51"/>
  <c r="BX119" i="51" s="1"/>
  <c r="BX120" i="51" s="1"/>
  <c r="BX99" i="51"/>
  <c r="BR49" i="3"/>
  <c r="BR51" i="3" s="1"/>
  <c r="AV25" i="119"/>
  <c r="AV50" i="119" s="1"/>
  <c r="BO406" i="51"/>
  <c r="BO445" i="51"/>
  <c r="BO451" i="51" s="1"/>
  <c r="BO452" i="51" s="1"/>
  <c r="CG10" i="51"/>
  <c r="BO434" i="51"/>
  <c r="BO435" i="51" s="1"/>
  <c r="CC18" i="51"/>
  <c r="CC17" i="51" s="1"/>
  <c r="CD11" i="51"/>
  <c r="CD18" i="51" s="1"/>
  <c r="CD17" i="51" s="1"/>
  <c r="CC9" i="51"/>
  <c r="CC8" i="51" s="1"/>
  <c r="AU17" i="51"/>
  <c r="AU19" i="51" s="1"/>
  <c r="AU76" i="51"/>
  <c r="AU78" i="51" s="1"/>
  <c r="M22" i="51"/>
  <c r="M23" i="51" s="1"/>
  <c r="M25" i="51" s="1"/>
  <c r="CA24" i="51"/>
  <c r="AW153" i="119"/>
  <c r="CC83" i="51"/>
  <c r="CC77" i="51"/>
  <c r="CC84" i="51"/>
  <c r="CC78" i="51"/>
  <c r="CE25" i="51"/>
  <c r="CE19" i="51"/>
  <c r="CA77" i="51"/>
  <c r="CA83" i="51"/>
  <c r="CA78" i="51"/>
  <c r="CA84" i="51"/>
  <c r="BM339" i="51"/>
  <c r="AT141" i="51"/>
  <c r="AT143" i="51" s="1"/>
  <c r="CA145" i="106"/>
  <c r="CA147" i="106" s="1"/>
  <c r="CA174" i="106"/>
  <c r="CC15" i="107"/>
  <c r="AT17" i="51"/>
  <c r="AT19" i="51" s="1"/>
  <c r="BQ98" i="3"/>
  <c r="BQ102" i="3" s="1"/>
  <c r="BQ156" i="51"/>
  <c r="BX157" i="51"/>
  <c r="BR154" i="51"/>
  <c r="BR227" i="51"/>
  <c r="AT64" i="119"/>
  <c r="BQ141" i="3"/>
  <c r="BQ145" i="3" s="1"/>
  <c r="AU67" i="119"/>
  <c r="BR160" i="51"/>
  <c r="BR161" i="51" s="1"/>
  <c r="BR163" i="51" s="1"/>
  <c r="BR226" i="51"/>
  <c r="BX155" i="51"/>
  <c r="BQ174" i="51"/>
  <c r="BQ199" i="51" s="1"/>
  <c r="BQ161" i="51"/>
  <c r="BQ163" i="51" s="1"/>
  <c r="BW164" i="51"/>
  <c r="BW158" i="51"/>
  <c r="BZ126" i="51"/>
  <c r="BZ210" i="51" s="1"/>
  <c r="BU95" i="51"/>
  <c r="AW143" i="119"/>
  <c r="AV85" i="119"/>
  <c r="AV97" i="119" s="1"/>
  <c r="AV98" i="119" s="1"/>
  <c r="AV58" i="119" s="1"/>
  <c r="AV18" i="119"/>
  <c r="AV43" i="119" s="1"/>
  <c r="CA97" i="51"/>
  <c r="CA96" i="51"/>
  <c r="CE128" i="51"/>
  <c r="BY211" i="51"/>
  <c r="BY210" i="51"/>
  <c r="R16" i="51"/>
  <c r="R17" i="51" s="1"/>
  <c r="R19" i="51" s="1"/>
  <c r="R339" i="51"/>
  <c r="BG141" i="51"/>
  <c r="BG143" i="51" s="1"/>
  <c r="AT23" i="51"/>
  <c r="AT25" i="51" s="1"/>
  <c r="R208" i="51"/>
  <c r="BA135" i="51"/>
  <c r="BA137" i="51" s="1"/>
  <c r="X338" i="51"/>
  <c r="X22" i="51" s="1"/>
  <c r="AU82" i="51"/>
  <c r="AU84" i="51" s="1"/>
  <c r="BA76" i="51"/>
  <c r="BA78" i="51" s="1"/>
  <c r="BG23" i="51"/>
  <c r="BG25" i="51" s="1"/>
  <c r="S207" i="51"/>
  <c r="S339" i="51"/>
  <c r="X337" i="51"/>
  <c r="X16" i="51" s="1"/>
  <c r="AD17" i="51" s="1"/>
  <c r="AD19" i="51" s="1"/>
  <c r="AU135" i="51"/>
  <c r="AU137" i="51" s="1"/>
  <c r="AT76" i="51"/>
  <c r="AT78" i="51" s="1"/>
  <c r="AT82" i="51"/>
  <c r="AT84" i="51" s="1"/>
  <c r="BA17" i="51"/>
  <c r="BA19" i="51" s="1"/>
  <c r="BG82" i="51"/>
  <c r="BG84" i="51" s="1"/>
  <c r="Y346" i="51"/>
  <c r="Y338" i="51"/>
  <c r="Y208" i="51" s="1"/>
  <c r="Y337" i="51"/>
  <c r="AU23" i="51"/>
  <c r="AU25" i="51" s="1"/>
  <c r="AU141" i="51"/>
  <c r="AU143" i="51" s="1"/>
  <c r="BY136" i="51"/>
  <c r="BY142" i="51"/>
  <c r="CA130" i="51"/>
  <c r="BZ137" i="51"/>
  <c r="S22" i="51"/>
  <c r="R23" i="51"/>
  <c r="R25" i="51" s="1"/>
  <c r="CD70" i="51"/>
  <c r="CC68" i="51"/>
  <c r="CC67" i="51" s="1"/>
  <c r="BW162" i="51"/>
  <c r="AZ134" i="51"/>
  <c r="AZ135" i="51" s="1"/>
  <c r="AZ137" i="51" s="1"/>
  <c r="AZ75" i="51"/>
  <c r="AZ76" i="51" s="1"/>
  <c r="AZ78" i="51" s="1"/>
  <c r="AZ16" i="51"/>
  <c r="AZ17" i="51" s="1"/>
  <c r="AZ19" i="51" s="1"/>
  <c r="BG134" i="51"/>
  <c r="BG135" i="51" s="1"/>
  <c r="BG137" i="51" s="1"/>
  <c r="BG16" i="51"/>
  <c r="BG17" i="51" s="1"/>
  <c r="BG19" i="51" s="1"/>
  <c r="BG75" i="51"/>
  <c r="BG76" i="51" s="1"/>
  <c r="BG78" i="51" s="1"/>
  <c r="AS81" i="51"/>
  <c r="AS82" i="51" s="1"/>
  <c r="AS84" i="51" s="1"/>
  <c r="AS22" i="51"/>
  <c r="AS23" i="51" s="1"/>
  <c r="AS25" i="51" s="1"/>
  <c r="AZ22" i="51"/>
  <c r="AZ23" i="51" s="1"/>
  <c r="AZ25" i="51" s="1"/>
  <c r="AZ81" i="51"/>
  <c r="AZ82" i="51" s="1"/>
  <c r="AZ84" i="51" s="1"/>
  <c r="AJ134" i="51"/>
  <c r="AJ75" i="51"/>
  <c r="AJ16" i="51"/>
  <c r="AJ22" i="51"/>
  <c r="AJ81" i="51"/>
  <c r="AS134" i="51"/>
  <c r="AS135" i="51" s="1"/>
  <c r="AS137" i="51" s="1"/>
  <c r="AS16" i="51"/>
  <c r="AS17" i="51" s="1"/>
  <c r="AS19" i="51" s="1"/>
  <c r="AS75" i="51"/>
  <c r="AS76" i="51" s="1"/>
  <c r="AS78" i="51" s="1"/>
  <c r="CA110" i="51"/>
  <c r="CC110" i="51"/>
  <c r="CC117" i="51" s="1"/>
  <c r="BZ113" i="51"/>
  <c r="CA113" i="51" s="1"/>
  <c r="BZ109" i="51"/>
  <c r="BZ108" i="51" s="1"/>
  <c r="BZ169" i="51"/>
  <c r="CA169" i="51" s="1"/>
  <c r="BY167" i="51"/>
  <c r="BY231" i="51" s="1"/>
  <c r="BX143" i="3"/>
  <c r="BX230" i="51"/>
  <c r="BX168" i="51"/>
  <c r="BX170" i="51" s="1"/>
  <c r="AJ208" i="51"/>
  <c r="AJ140" i="51"/>
  <c r="AQ208" i="51"/>
  <c r="AZ208" i="51"/>
  <c r="AZ140" i="51"/>
  <c r="AZ141" i="51" s="1"/>
  <c r="AZ143" i="51" s="1"/>
  <c r="AS208" i="51"/>
  <c r="AS140" i="51"/>
  <c r="AS141" i="51" s="1"/>
  <c r="AS143" i="51" s="1"/>
  <c r="AU49" i="119"/>
  <c r="AU78" i="119"/>
  <c r="BO189" i="51"/>
  <c r="BO188" i="51"/>
  <c r="BO57" i="51"/>
  <c r="BU60" i="51"/>
  <c r="BO187" i="51"/>
  <c r="BO186" i="51"/>
  <c r="BO185" i="51"/>
  <c r="BW47" i="51"/>
  <c r="BS120" i="51"/>
  <c r="AV26" i="119" s="1"/>
  <c r="AV51" i="119" s="1"/>
  <c r="BS42" i="51"/>
  <c r="BY46" i="51" s="1"/>
  <c r="BS176" i="51"/>
  <c r="BT119" i="51"/>
  <c r="BT106" i="51"/>
  <c r="BU106" i="51" s="1"/>
  <c r="BN195" i="51"/>
  <c r="BO115" i="51"/>
  <c r="BO195" i="51" s="1"/>
  <c r="BO226" i="51"/>
  <c r="BU157" i="51"/>
  <c r="BO154" i="51"/>
  <c r="BU155" i="51"/>
  <c r="BO227" i="51"/>
  <c r="BZ94" i="51"/>
  <c r="BX46" i="51"/>
  <c r="BR56" i="51"/>
  <c r="BR43" i="51"/>
  <c r="BR45" i="51" s="1"/>
  <c r="BT35" i="51"/>
  <c r="BS153" i="51"/>
  <c r="AR69" i="119"/>
  <c r="BM199" i="51"/>
  <c r="BM203" i="51"/>
  <c r="BM202" i="51"/>
  <c r="BM201" i="51"/>
  <c r="BM200" i="51"/>
  <c r="BS195" i="51"/>
  <c r="BS116" i="51"/>
  <c r="BS118" i="51" s="1"/>
  <c r="BS196" i="51"/>
  <c r="BS194" i="51"/>
  <c r="BS193" i="51"/>
  <c r="BS192" i="51"/>
  <c r="BY117" i="51"/>
  <c r="BS165" i="51"/>
  <c r="BS178" i="51"/>
  <c r="BT115" i="51"/>
  <c r="BT102" i="51"/>
  <c r="BT104" i="51" s="1"/>
  <c r="BU104" i="51" s="1"/>
  <c r="BZ103" i="51"/>
  <c r="CE39" i="51"/>
  <c r="CD40" i="51"/>
  <c r="BU101" i="51"/>
  <c r="BT117" i="51"/>
  <c r="BN193" i="51"/>
  <c r="BN192" i="51"/>
  <c r="BO118" i="51"/>
  <c r="BN196" i="51"/>
  <c r="BN194" i="51"/>
  <c r="BT162" i="51"/>
  <c r="BT158" i="51"/>
  <c r="BT164" i="51"/>
  <c r="BO160" i="51"/>
  <c r="BN161" i="51"/>
  <c r="BN163" i="51" s="1"/>
  <c r="BO163" i="51" s="1"/>
  <c r="BN174" i="51"/>
  <c r="AS64" i="119"/>
  <c r="BW195" i="51"/>
  <c r="BW116" i="51"/>
  <c r="BW118" i="51" s="1"/>
  <c r="BW194" i="51"/>
  <c r="BW192" i="51"/>
  <c r="BW193" i="51"/>
  <c r="BW196" i="51"/>
  <c r="BY101" i="51"/>
  <c r="BY102" i="51" s="1"/>
  <c r="BY104" i="51" s="1"/>
  <c r="BX44" i="51"/>
  <c r="BX102" i="51"/>
  <c r="BX104" i="51" s="1"/>
  <c r="BX115" i="51"/>
  <c r="BN156" i="51"/>
  <c r="BU103" i="51"/>
  <c r="CC148" i="51"/>
  <c r="AP338" i="51"/>
  <c r="CC150" i="51"/>
  <c r="AY338" i="51"/>
  <c r="AP337" i="51"/>
  <c r="AW338" i="51"/>
  <c r="AW337" i="51"/>
  <c r="BC296" i="51"/>
  <c r="AW166" i="119"/>
  <c r="AW47" i="119"/>
  <c r="BU172" i="51"/>
  <c r="AW21" i="119"/>
  <c r="AW77" i="119" s="1"/>
  <c r="AW86" i="119"/>
  <c r="AW99" i="119" s="1"/>
  <c r="AW100" i="119" s="1"/>
  <c r="AW59" i="119" s="1"/>
  <c r="CF52" i="51"/>
  <c r="CF50" i="51" s="1"/>
  <c r="CF49" i="51" s="1"/>
  <c r="CE50" i="51"/>
  <c r="CE49" i="51" s="1"/>
  <c r="AV345" i="51"/>
  <c r="AV346" i="51" s="1"/>
  <c r="AZ207" i="51"/>
  <c r="AZ339" i="51"/>
  <c r="CA88" i="51"/>
  <c r="BW147" i="51"/>
  <c r="BW149" i="51" s="1"/>
  <c r="BW219" i="51"/>
  <c r="BZ131" i="51"/>
  <c r="CA131" i="51" s="1"/>
  <c r="CD92" i="51"/>
  <c r="CD88" i="51"/>
  <c r="CD87" i="51" s="1"/>
  <c r="CE89" i="51"/>
  <c r="CD103" i="51"/>
  <c r="CG69" i="51"/>
  <c r="BZ151" i="51"/>
  <c r="CA151" i="51" s="1"/>
  <c r="AY337" i="51"/>
  <c r="CA148" i="51"/>
  <c r="AS207" i="51"/>
  <c r="AS339" i="51"/>
  <c r="BX146" i="51"/>
  <c r="BX216" i="51" s="1"/>
  <c r="BB343" i="51"/>
  <c r="BI343" i="51"/>
  <c r="BO343" i="51" s="1"/>
  <c r="BC345" i="51"/>
  <c r="BC346" i="51" s="1"/>
  <c r="BB344" i="51"/>
  <c r="BI344" i="51"/>
  <c r="BO344" i="51" s="1"/>
  <c r="BE345" i="51"/>
  <c r="BE346" i="51" s="1"/>
  <c r="BK343" i="51"/>
  <c r="BY53" i="51"/>
  <c r="BX54" i="51"/>
  <c r="BX171" i="51"/>
  <c r="BX172" i="51" s="1"/>
  <c r="AJ207" i="51"/>
  <c r="AJ339" i="51"/>
  <c r="AQ207" i="51"/>
  <c r="AQ339" i="51"/>
  <c r="CF12" i="51"/>
  <c r="CE13" i="51"/>
  <c r="CG90" i="51"/>
  <c r="BF337" i="51"/>
  <c r="BW61" i="51"/>
  <c r="BW172" i="51"/>
  <c r="BF338" i="51"/>
  <c r="BW36" i="51"/>
  <c r="BX38" i="51"/>
  <c r="CD97" i="51"/>
  <c r="CC95" i="51"/>
  <c r="BZ31" i="51"/>
  <c r="CA31" i="51" s="1"/>
  <c r="BY29" i="51"/>
  <c r="BY28" i="51" s="1"/>
  <c r="CF33" i="51"/>
  <c r="CD71" i="51"/>
  <c r="CC72" i="51"/>
  <c r="CC130" i="51"/>
  <c r="CC143" i="51" s="1"/>
  <c r="BL345" i="51"/>
  <c r="BL346" i="51" s="1"/>
  <c r="BK344" i="51"/>
  <c r="CA9" i="51"/>
  <c r="BG207" i="51"/>
  <c r="BG339" i="51"/>
  <c r="BX100" i="3" l="1"/>
  <c r="BX154" i="3" s="1"/>
  <c r="BX155" i="3" s="1"/>
  <c r="BX156" i="3" s="1"/>
  <c r="BN344" i="51"/>
  <c r="BO345" i="51"/>
  <c r="BO346" i="51" s="1"/>
  <c r="BN343" i="51"/>
  <c r="BN345" i="51" s="1"/>
  <c r="BN346" i="51" s="1"/>
  <c r="BT155" i="3"/>
  <c r="BT156" i="3" s="1"/>
  <c r="BU154" i="3"/>
  <c r="BU155" i="3" s="1"/>
  <c r="BU156" i="3" s="1"/>
  <c r="BN103" i="3"/>
  <c r="BN146" i="3"/>
  <c r="BZ98" i="51"/>
  <c r="BY105" i="51"/>
  <c r="BY119" i="51" s="1"/>
  <c r="BY120" i="51" s="1"/>
  <c r="BY99" i="51"/>
  <c r="AW25" i="119"/>
  <c r="AW50" i="119" s="1"/>
  <c r="AU104" i="119"/>
  <c r="AU105" i="119" s="1"/>
  <c r="BX106" i="51"/>
  <c r="CC126" i="51"/>
  <c r="CC127" i="51" s="1"/>
  <c r="CC129" i="51" s="1"/>
  <c r="BO456" i="51"/>
  <c r="BO455" i="51"/>
  <c r="CD9" i="51"/>
  <c r="CD8" i="51" s="1"/>
  <c r="CE11" i="51"/>
  <c r="CE24" i="51" s="1"/>
  <c r="CD24" i="51"/>
  <c r="S23" i="51"/>
  <c r="S25" i="51" s="1"/>
  <c r="Y16" i="51"/>
  <c r="AE17" i="51" s="1"/>
  <c r="AE19" i="51" s="1"/>
  <c r="BQ203" i="51"/>
  <c r="X208" i="51"/>
  <c r="CD84" i="51"/>
  <c r="CD78" i="51"/>
  <c r="CF25" i="51"/>
  <c r="CF19" i="51"/>
  <c r="CD83" i="51"/>
  <c r="CD77" i="51"/>
  <c r="X207" i="51"/>
  <c r="AV157" i="119"/>
  <c r="X339" i="51"/>
  <c r="BQ146" i="3"/>
  <c r="BW165" i="51"/>
  <c r="BQ175" i="51"/>
  <c r="CA126" i="51"/>
  <c r="CA127" i="51" s="1"/>
  <c r="BZ127" i="51"/>
  <c r="BZ129" i="51" s="1"/>
  <c r="BZ142" i="51" s="1"/>
  <c r="BX162" i="51"/>
  <c r="BR141" i="3"/>
  <c r="BR145" i="3" s="1"/>
  <c r="BR11" i="3" s="1"/>
  <c r="BR86" i="107" s="1"/>
  <c r="BX164" i="51"/>
  <c r="BZ211" i="51"/>
  <c r="BQ8" i="3"/>
  <c r="BW178" i="51"/>
  <c r="BQ11" i="3"/>
  <c r="BR98" i="3"/>
  <c r="BR174" i="51"/>
  <c r="BR199" i="51" s="1"/>
  <c r="AU64" i="119"/>
  <c r="BQ201" i="51"/>
  <c r="AT69" i="119"/>
  <c r="BQ200" i="51"/>
  <c r="BQ202" i="51"/>
  <c r="BR156" i="51"/>
  <c r="BX158" i="51"/>
  <c r="BQ151" i="3"/>
  <c r="BQ157" i="3" s="1"/>
  <c r="BW176" i="51"/>
  <c r="BW48" i="3" s="1"/>
  <c r="CF128" i="51"/>
  <c r="AV76" i="119"/>
  <c r="AV151" i="119"/>
  <c r="AW172" i="119"/>
  <c r="BS48" i="3"/>
  <c r="S16" i="51"/>
  <c r="S17" i="51" s="1"/>
  <c r="S19" i="51" s="1"/>
  <c r="X17" i="51"/>
  <c r="X19" i="51" s="1"/>
  <c r="AV67" i="119"/>
  <c r="CA94" i="51"/>
  <c r="Y207" i="51"/>
  <c r="Y339" i="51"/>
  <c r="AK140" i="51"/>
  <c r="CA137" i="51"/>
  <c r="CA143" i="51"/>
  <c r="AK22" i="51"/>
  <c r="AK23" i="51" s="1"/>
  <c r="AK25" i="51" s="1"/>
  <c r="AJ23" i="51"/>
  <c r="AJ25" i="51" s="1"/>
  <c r="AK75" i="51"/>
  <c r="AK76" i="51" s="1"/>
  <c r="AK78" i="51" s="1"/>
  <c r="AJ76" i="51"/>
  <c r="AJ78" i="51" s="1"/>
  <c r="CC137" i="51"/>
  <c r="AK81" i="51"/>
  <c r="AK82" i="51" s="1"/>
  <c r="AK84" i="51" s="1"/>
  <c r="AJ82" i="51"/>
  <c r="AJ84" i="51" s="1"/>
  <c r="AK16" i="51"/>
  <c r="AK17" i="51" s="1"/>
  <c r="AK19" i="51" s="1"/>
  <c r="AJ17" i="51"/>
  <c r="AJ19" i="51" s="1"/>
  <c r="AK134" i="51"/>
  <c r="CE70" i="51"/>
  <c r="CD68" i="51"/>
  <c r="CD67" i="51" s="1"/>
  <c r="Y22" i="51"/>
  <c r="X23" i="51"/>
  <c r="X25" i="51" s="1"/>
  <c r="AD23" i="51"/>
  <c r="AD25" i="51" s="1"/>
  <c r="BF22" i="51"/>
  <c r="BF23" i="51" s="1"/>
  <c r="BF25" i="51" s="1"/>
  <c r="BF81" i="51"/>
  <c r="BF82" i="51" s="1"/>
  <c r="BF84" i="51" s="1"/>
  <c r="AP75" i="51"/>
  <c r="AP16" i="51"/>
  <c r="BF134" i="51"/>
  <c r="BF135" i="51" s="1"/>
  <c r="BF137" i="51" s="1"/>
  <c r="BF75" i="51"/>
  <c r="BF76" i="51" s="1"/>
  <c r="BF78" i="51" s="1"/>
  <c r="BF16" i="51"/>
  <c r="BF17" i="51" s="1"/>
  <c r="BF19" i="51" s="1"/>
  <c r="AY134" i="51"/>
  <c r="AY135" i="51" s="1"/>
  <c r="AY137" i="51" s="1"/>
  <c r="AY16" i="51"/>
  <c r="AY17" i="51" s="1"/>
  <c r="AY19" i="51" s="1"/>
  <c r="AY75" i="51"/>
  <c r="AY76" i="51" s="1"/>
  <c r="AY78" i="51" s="1"/>
  <c r="AY81" i="51"/>
  <c r="AY82" i="51" s="1"/>
  <c r="AY84" i="51" s="1"/>
  <c r="AY22" i="51"/>
  <c r="AY23" i="51" s="1"/>
  <c r="AY25" i="51" s="1"/>
  <c r="AP22" i="51"/>
  <c r="AP81" i="51"/>
  <c r="BY230" i="51"/>
  <c r="BY100" i="3"/>
  <c r="BY168" i="51"/>
  <c r="BY170" i="51" s="1"/>
  <c r="BY143" i="3"/>
  <c r="CA108" i="51"/>
  <c r="CA109" i="51" s="1"/>
  <c r="BZ167" i="51"/>
  <c r="CC113" i="51"/>
  <c r="CD110" i="51"/>
  <c r="CD117" i="51" s="1"/>
  <c r="CC169" i="51"/>
  <c r="CC109" i="51"/>
  <c r="CC108" i="51" s="1"/>
  <c r="BF208" i="51"/>
  <c r="BF140" i="51"/>
  <c r="BF141" i="51" s="1"/>
  <c r="BF143" i="51" s="1"/>
  <c r="AP207" i="51"/>
  <c r="AP134" i="51"/>
  <c r="AP135" i="51" s="1"/>
  <c r="AP137" i="51" s="1"/>
  <c r="AY208" i="51"/>
  <c r="AY140" i="51"/>
  <c r="AY141" i="51" s="1"/>
  <c r="AY143" i="51" s="1"/>
  <c r="AP208" i="51"/>
  <c r="AP140" i="51"/>
  <c r="AW207" i="51"/>
  <c r="AW208" i="51"/>
  <c r="BC337" i="51"/>
  <c r="BC207" i="51" s="1"/>
  <c r="BS43" i="51"/>
  <c r="BS45" i="51" s="1"/>
  <c r="BY44" i="51"/>
  <c r="BS56" i="51"/>
  <c r="BS188" i="51" s="1"/>
  <c r="BT120" i="51"/>
  <c r="AW26" i="119" s="1"/>
  <c r="AW51" i="119" s="1"/>
  <c r="BX47" i="51"/>
  <c r="BS226" i="51"/>
  <c r="BY155" i="51"/>
  <c r="CC151" i="51"/>
  <c r="BS179" i="51"/>
  <c r="BY115" i="51"/>
  <c r="BY195" i="51" s="1"/>
  <c r="BO116" i="51"/>
  <c r="BO194" i="51"/>
  <c r="BT178" i="51"/>
  <c r="BC338" i="51"/>
  <c r="BU119" i="51"/>
  <c r="BO192" i="51"/>
  <c r="BX60" i="51"/>
  <c r="BO193" i="51"/>
  <c r="BO196" i="51"/>
  <c r="BT165" i="51"/>
  <c r="BU165" i="51" s="1"/>
  <c r="BT176" i="51"/>
  <c r="BT195" i="51"/>
  <c r="BT192" i="51"/>
  <c r="BT116" i="51"/>
  <c r="BT118" i="51" s="1"/>
  <c r="BU118" i="51" s="1"/>
  <c r="BT193" i="51"/>
  <c r="BT196" i="51"/>
  <c r="BT194" i="51"/>
  <c r="BX195" i="51"/>
  <c r="BX116" i="51"/>
  <c r="BX118" i="51" s="1"/>
  <c r="BX194" i="51"/>
  <c r="BX192" i="51"/>
  <c r="BX196" i="51"/>
  <c r="BX193" i="51"/>
  <c r="BX58" i="51"/>
  <c r="BU115" i="51"/>
  <c r="BY157" i="51"/>
  <c r="BO98" i="3"/>
  <c r="BO99" i="3" s="1"/>
  <c r="CJ99" i="3" s="1"/>
  <c r="BN151" i="3"/>
  <c r="BU102" i="51"/>
  <c r="AV5" i="119"/>
  <c r="AV82" i="119"/>
  <c r="AV91" i="119" s="1"/>
  <c r="AV92" i="119" s="1"/>
  <c r="AV55" i="119" s="1"/>
  <c r="BR188" i="51"/>
  <c r="BR186" i="51"/>
  <c r="BR189" i="51"/>
  <c r="BR187" i="51"/>
  <c r="BR185" i="51"/>
  <c r="BR57" i="51"/>
  <c r="BR59" i="51" s="1"/>
  <c r="BU158" i="51"/>
  <c r="AW18" i="119"/>
  <c r="AW76" i="119" s="1"/>
  <c r="AW85" i="119"/>
  <c r="AW97" i="119" s="1"/>
  <c r="AW98" i="119" s="1"/>
  <c r="AW58" i="119" s="1"/>
  <c r="BO161" i="51"/>
  <c r="BU162" i="51"/>
  <c r="BU164" i="51"/>
  <c r="BU35" i="51"/>
  <c r="BU117" i="51"/>
  <c r="BS160" i="51"/>
  <c r="AV64" i="119" s="1"/>
  <c r="CF39" i="51"/>
  <c r="CE40" i="51"/>
  <c r="BO141" i="3"/>
  <c r="CC94" i="51"/>
  <c r="BT153" i="51"/>
  <c r="BS227" i="51"/>
  <c r="BN200" i="51"/>
  <c r="BN201" i="51"/>
  <c r="BN155" i="106"/>
  <c r="BN199" i="51"/>
  <c r="BN203" i="51"/>
  <c r="AS69" i="119"/>
  <c r="BN202" i="51"/>
  <c r="BN175" i="51"/>
  <c r="BO174" i="51"/>
  <c r="BM163" i="3"/>
  <c r="BZ101" i="51"/>
  <c r="BW35" i="51"/>
  <c r="BO156" i="51"/>
  <c r="BT42" i="51"/>
  <c r="BZ46" i="51" s="1"/>
  <c r="BE337" i="51"/>
  <c r="BS154" i="51"/>
  <c r="CA103" i="51"/>
  <c r="BZ117" i="51"/>
  <c r="BM194" i="3"/>
  <c r="BM192" i="3"/>
  <c r="BM196" i="3"/>
  <c r="BM198" i="3"/>
  <c r="BM190" i="3"/>
  <c r="BM250" i="51"/>
  <c r="BM251" i="51"/>
  <c r="BM249" i="51"/>
  <c r="BM237" i="51"/>
  <c r="BM238" i="51"/>
  <c r="AW339" i="51"/>
  <c r="M283" i="51"/>
  <c r="M285" i="51" s="1"/>
  <c r="AP339" i="51"/>
  <c r="BQ103" i="3"/>
  <c r="BQ10" i="3"/>
  <c r="BL337" i="51"/>
  <c r="CG52" i="51"/>
  <c r="BE338" i="51"/>
  <c r="AV337" i="51"/>
  <c r="BI296" i="51"/>
  <c r="BL338" i="51"/>
  <c r="AV338" i="51"/>
  <c r="CD148" i="51"/>
  <c r="AU60" i="119"/>
  <c r="AU103" i="119"/>
  <c r="CD150" i="51"/>
  <c r="AW46" i="119"/>
  <c r="AW165" i="119"/>
  <c r="BK345" i="51"/>
  <c r="BK346" i="51" s="1"/>
  <c r="CC131" i="51"/>
  <c r="CC31" i="51"/>
  <c r="BZ29" i="51"/>
  <c r="BZ28" i="51" s="1"/>
  <c r="BZ53" i="51"/>
  <c r="BY54" i="51"/>
  <c r="BY171" i="51"/>
  <c r="BY172" i="51" s="1"/>
  <c r="CE71" i="51"/>
  <c r="CD72" i="51"/>
  <c r="CD130" i="51"/>
  <c r="CD143" i="51" s="1"/>
  <c r="CE97" i="51"/>
  <c r="CD95" i="51"/>
  <c r="CF13" i="51"/>
  <c r="CG12" i="51"/>
  <c r="BB345" i="51"/>
  <c r="BB346" i="51" s="1"/>
  <c r="AY207" i="51"/>
  <c r="AY339" i="51"/>
  <c r="CE88" i="51"/>
  <c r="CE87" i="51" s="1"/>
  <c r="CE92" i="51"/>
  <c r="CF89" i="51"/>
  <c r="CG89" i="51" s="1"/>
  <c r="CE103" i="51"/>
  <c r="BY146" i="51"/>
  <c r="BY216" i="51" s="1"/>
  <c r="BH343" i="51"/>
  <c r="BI345" i="51"/>
  <c r="BI346" i="51" s="1"/>
  <c r="CG49" i="51"/>
  <c r="BY38" i="51"/>
  <c r="BX36" i="51"/>
  <c r="BF207" i="51"/>
  <c r="BF339" i="51"/>
  <c r="BH344" i="51"/>
  <c r="BX147" i="51"/>
  <c r="BX149" i="51" s="1"/>
  <c r="BX219" i="51"/>
  <c r="BQ86" i="107" l="1"/>
  <c r="BO338" i="51"/>
  <c r="BO317" i="51"/>
  <c r="BO264" i="51"/>
  <c r="BO269" i="51" s="1"/>
  <c r="BO337" i="51"/>
  <c r="BN338" i="51"/>
  <c r="CC98" i="51"/>
  <c r="BN337" i="51"/>
  <c r="BZ105" i="51"/>
  <c r="CA98" i="51"/>
  <c r="BZ99" i="51"/>
  <c r="BY106" i="51"/>
  <c r="BO296" i="51"/>
  <c r="CF11" i="51"/>
  <c r="CF24" i="51" s="1"/>
  <c r="CC210" i="51"/>
  <c r="CC211" i="51"/>
  <c r="CE18" i="51"/>
  <c r="CE17" i="51" s="1"/>
  <c r="CE9" i="51"/>
  <c r="CE8" i="51" s="1"/>
  <c r="CD126" i="51"/>
  <c r="CD127" i="51" s="1"/>
  <c r="CD129" i="51" s="1"/>
  <c r="BM164" i="3"/>
  <c r="BM165" i="3" s="1"/>
  <c r="BM172" i="3"/>
  <c r="BM173" i="3" s="1"/>
  <c r="BM174" i="3" s="1"/>
  <c r="BR175" i="51"/>
  <c r="BR177" i="51" s="1"/>
  <c r="CE84" i="51"/>
  <c r="CE78" i="51"/>
  <c r="CE83" i="51"/>
  <c r="CE77" i="51"/>
  <c r="CA211" i="51"/>
  <c r="CA210" i="51"/>
  <c r="BR203" i="51"/>
  <c r="CA129" i="51"/>
  <c r="CA136" i="51" s="1"/>
  <c r="BQ103" i="106"/>
  <c r="BQ27" i="107" s="1"/>
  <c r="BQ31" i="107" s="1"/>
  <c r="BQ155" i="106"/>
  <c r="BM31" i="107"/>
  <c r="CA166" i="3"/>
  <c r="BX165" i="51"/>
  <c r="BQ190" i="3"/>
  <c r="BQ196" i="3"/>
  <c r="BR151" i="3"/>
  <c r="BR152" i="3" s="1"/>
  <c r="BR153" i="3" s="1"/>
  <c r="BQ26" i="106"/>
  <c r="BQ54" i="3"/>
  <c r="BQ177" i="51"/>
  <c r="BZ136" i="51"/>
  <c r="BQ147" i="3"/>
  <c r="BX176" i="51"/>
  <c r="BX48" i="3" s="1"/>
  <c r="BQ38" i="3"/>
  <c r="BQ39" i="3"/>
  <c r="BQ47" i="3"/>
  <c r="BQ192" i="3"/>
  <c r="BQ10" i="106"/>
  <c r="BQ13" i="106"/>
  <c r="BQ198" i="3"/>
  <c r="BQ180" i="51"/>
  <c r="BR102" i="3"/>
  <c r="BR103" i="3" s="1"/>
  <c r="BQ194" i="3"/>
  <c r="BX178" i="51"/>
  <c r="BR201" i="51"/>
  <c r="AU69" i="119"/>
  <c r="BR8" i="3"/>
  <c r="BW179" i="51"/>
  <c r="BR200" i="51"/>
  <c r="BR202" i="51"/>
  <c r="BR146" i="3"/>
  <c r="BQ163" i="3"/>
  <c r="BQ164" i="3" s="1"/>
  <c r="BQ165" i="3" s="1"/>
  <c r="BQ152" i="3"/>
  <c r="BQ153" i="3" s="1"/>
  <c r="CG128" i="51"/>
  <c r="AW171" i="119"/>
  <c r="CG112" i="51"/>
  <c r="BN177" i="51"/>
  <c r="BM50" i="3"/>
  <c r="CG96" i="51"/>
  <c r="CA95" i="51"/>
  <c r="BS49" i="3"/>
  <c r="BS51" i="3" s="1"/>
  <c r="BO202" i="51"/>
  <c r="Y17" i="51"/>
  <c r="Y19" i="51" s="1"/>
  <c r="BT227" i="51"/>
  <c r="AQ140" i="51"/>
  <c r="AQ141" i="51" s="1"/>
  <c r="AQ143" i="51" s="1"/>
  <c r="AP141" i="51"/>
  <c r="AP143" i="51" s="1"/>
  <c r="CC136" i="51"/>
  <c r="CC142" i="51"/>
  <c r="AQ134" i="51"/>
  <c r="AQ135" i="51" s="1"/>
  <c r="AQ137" i="51" s="1"/>
  <c r="AQ22" i="51"/>
  <c r="AQ23" i="51" s="1"/>
  <c r="AQ25" i="51" s="1"/>
  <c r="AP23" i="51"/>
  <c r="AP25" i="51" s="1"/>
  <c r="AQ16" i="51"/>
  <c r="AQ17" i="51" s="1"/>
  <c r="AQ19" i="51" s="1"/>
  <c r="AP17" i="51"/>
  <c r="AP19" i="51" s="1"/>
  <c r="CD137" i="51"/>
  <c r="AQ81" i="51"/>
  <c r="AQ82" i="51" s="1"/>
  <c r="AQ84" i="51" s="1"/>
  <c r="AP82" i="51"/>
  <c r="AP84" i="51" s="1"/>
  <c r="AQ75" i="51"/>
  <c r="AQ76" i="51" s="1"/>
  <c r="AQ78" i="51" s="1"/>
  <c r="AP76" i="51"/>
  <c r="AP78" i="51" s="1"/>
  <c r="Y23" i="51"/>
  <c r="Y25" i="51" s="1"/>
  <c r="AE23" i="51"/>
  <c r="AE25" i="51" s="1"/>
  <c r="CG25" i="51"/>
  <c r="CG19" i="51"/>
  <c r="CF70" i="51"/>
  <c r="CE68" i="51"/>
  <c r="CE67" i="51" s="1"/>
  <c r="BE81" i="51"/>
  <c r="BE82" i="51" s="1"/>
  <c r="BE84" i="51" s="1"/>
  <c r="BE22" i="51"/>
  <c r="BE23" i="51" s="1"/>
  <c r="BE25" i="51" s="1"/>
  <c r="BL75" i="51"/>
  <c r="BL16" i="51"/>
  <c r="BE16" i="51"/>
  <c r="BE17" i="51" s="1"/>
  <c r="BE19" i="51" s="1"/>
  <c r="BE75" i="51"/>
  <c r="BE76" i="51" s="1"/>
  <c r="BE78" i="51" s="1"/>
  <c r="AV22" i="51"/>
  <c r="AV81" i="51"/>
  <c r="BL22" i="51"/>
  <c r="BL23" i="51" s="1"/>
  <c r="BL25" i="51" s="1"/>
  <c r="BL81" i="51"/>
  <c r="BL82" i="51" s="1"/>
  <c r="BL84" i="51" s="1"/>
  <c r="AV75" i="51"/>
  <c r="AV16" i="51"/>
  <c r="CC167" i="51"/>
  <c r="CC231" i="51" s="1"/>
  <c r="CE110" i="51"/>
  <c r="CE117" i="51" s="1"/>
  <c r="CD113" i="51"/>
  <c r="CD169" i="51"/>
  <c r="CD109" i="51"/>
  <c r="CD108" i="51" s="1"/>
  <c r="CG111" i="51"/>
  <c r="BZ231" i="51"/>
  <c r="BZ100" i="3"/>
  <c r="CA100" i="3" s="1"/>
  <c r="CA167" i="51"/>
  <c r="BZ143" i="3"/>
  <c r="CA143" i="3" s="1"/>
  <c r="BZ230" i="51"/>
  <c r="BZ168" i="51"/>
  <c r="BZ170" i="51" s="1"/>
  <c r="CA170" i="51" s="1"/>
  <c r="BY154" i="3"/>
  <c r="BM207" i="51"/>
  <c r="AV208" i="51"/>
  <c r="AV140" i="51"/>
  <c r="AV141" i="51" s="1"/>
  <c r="AV143" i="51" s="1"/>
  <c r="BL208" i="51"/>
  <c r="BL140" i="51"/>
  <c r="BL141" i="51" s="1"/>
  <c r="BL143" i="51" s="1"/>
  <c r="BE208" i="51"/>
  <c r="BE140" i="51"/>
  <c r="BE141" i="51" s="1"/>
  <c r="BE143" i="51" s="1"/>
  <c r="BL207" i="51"/>
  <c r="BL134" i="51"/>
  <c r="BL135" i="51" s="1"/>
  <c r="BL137" i="51" s="1"/>
  <c r="BC208" i="51"/>
  <c r="AV207" i="51"/>
  <c r="AV134" i="51"/>
  <c r="BE207" i="51"/>
  <c r="BE134" i="51"/>
  <c r="BE135" i="51" s="1"/>
  <c r="BE137" i="51" s="1"/>
  <c r="BC339" i="51"/>
  <c r="BU120" i="51"/>
  <c r="BS189" i="51"/>
  <c r="BS187" i="51"/>
  <c r="BS57" i="51"/>
  <c r="BS59" i="51" s="1"/>
  <c r="BY60" i="51"/>
  <c r="BS186" i="51"/>
  <c r="BS185" i="51"/>
  <c r="AV30" i="119"/>
  <c r="AV73" i="119"/>
  <c r="BY58" i="51"/>
  <c r="BY47" i="51"/>
  <c r="BY194" i="51"/>
  <c r="BY192" i="51"/>
  <c r="BY196" i="51"/>
  <c r="BY193" i="51"/>
  <c r="BY116" i="51"/>
  <c r="BY118" i="51" s="1"/>
  <c r="BT154" i="51"/>
  <c r="AV24" i="119"/>
  <c r="BT226" i="51"/>
  <c r="BZ155" i="51"/>
  <c r="BU153" i="51"/>
  <c r="BY158" i="51"/>
  <c r="BT160" i="51"/>
  <c r="BT98" i="3" s="1"/>
  <c r="BZ157" i="51"/>
  <c r="AV87" i="119"/>
  <c r="AV101" i="119" s="1"/>
  <c r="AV104" i="119" s="1"/>
  <c r="AV105" i="119" s="1"/>
  <c r="BX61" i="51"/>
  <c r="BT56" i="51"/>
  <c r="BT188" i="51" s="1"/>
  <c r="BT43" i="51"/>
  <c r="BT45" i="51" s="1"/>
  <c r="BU45" i="51" s="1"/>
  <c r="BS141" i="3"/>
  <c r="BS145" i="3" s="1"/>
  <c r="BS161" i="51"/>
  <c r="BS163" i="51" s="1"/>
  <c r="BS174" i="51"/>
  <c r="BY162" i="51"/>
  <c r="BS98" i="3"/>
  <c r="BO93" i="3"/>
  <c r="BO94" i="3" s="1"/>
  <c r="BM252" i="51"/>
  <c r="BM253" i="51" s="1"/>
  <c r="CA37" i="51"/>
  <c r="BU36" i="51"/>
  <c r="CA39" i="51"/>
  <c r="CA40" i="51"/>
  <c r="BO102" i="3"/>
  <c r="BO103" i="3" s="1"/>
  <c r="CJ103" i="3" s="1"/>
  <c r="BX35" i="51"/>
  <c r="BW42" i="51"/>
  <c r="CC44" i="51" s="1"/>
  <c r="BN180" i="51"/>
  <c r="BN237" i="51"/>
  <c r="BN196" i="3"/>
  <c r="BN250" i="51"/>
  <c r="BO250" i="51" s="1"/>
  <c r="BO8" i="3"/>
  <c r="BN238" i="51"/>
  <c r="BN251" i="51"/>
  <c r="BO251" i="51" s="1"/>
  <c r="BN47" i="3"/>
  <c r="BN39" i="3"/>
  <c r="BN198" i="3"/>
  <c r="BN249" i="51"/>
  <c r="BN192" i="3"/>
  <c r="BN194" i="3"/>
  <c r="BN190" i="3"/>
  <c r="BO142" i="3"/>
  <c r="CJ142" i="3" s="1"/>
  <c r="BO133" i="3"/>
  <c r="BO134" i="3" s="1"/>
  <c r="CF40" i="51"/>
  <c r="AW151" i="119"/>
  <c r="AW43" i="119"/>
  <c r="BO151" i="3"/>
  <c r="BN152" i="3"/>
  <c r="BN153" i="3" s="1"/>
  <c r="BN163" i="3"/>
  <c r="BN157" i="3"/>
  <c r="BN158" i="3" s="1"/>
  <c r="BU194" i="51"/>
  <c r="BU116" i="51"/>
  <c r="BU192" i="51"/>
  <c r="BU196" i="51"/>
  <c r="BU193" i="51"/>
  <c r="CA117" i="51"/>
  <c r="BW153" i="51"/>
  <c r="BM239" i="51"/>
  <c r="BM240" i="51" s="1"/>
  <c r="BZ44" i="51"/>
  <c r="BZ47" i="51" s="1"/>
  <c r="BU42" i="51"/>
  <c r="BO145" i="3"/>
  <c r="CC101" i="51"/>
  <c r="CD94" i="51"/>
  <c r="BZ102" i="51"/>
  <c r="BZ104" i="51" s="1"/>
  <c r="CA104" i="51" s="1"/>
  <c r="BZ115" i="51"/>
  <c r="CA101" i="51"/>
  <c r="CA102" i="51" s="1"/>
  <c r="BT48" i="3"/>
  <c r="BT179" i="51"/>
  <c r="AW82" i="119"/>
  <c r="AW91" i="119" s="1"/>
  <c r="AW92" i="119" s="1"/>
  <c r="AW55" i="119" s="1"/>
  <c r="AW5" i="119"/>
  <c r="BS156" i="51"/>
  <c r="BY164" i="51"/>
  <c r="BO203" i="51"/>
  <c r="BO200" i="51"/>
  <c r="BO201" i="51"/>
  <c r="BO199" i="51"/>
  <c r="BU178" i="51"/>
  <c r="BO175" i="51"/>
  <c r="BU176" i="51"/>
  <c r="AW67" i="119"/>
  <c r="BU195" i="51"/>
  <c r="CG13" i="51"/>
  <c r="BL339" i="51"/>
  <c r="AV339" i="51"/>
  <c r="BE339" i="51"/>
  <c r="CD151" i="51"/>
  <c r="BK338" i="51"/>
  <c r="BQ158" i="3"/>
  <c r="BR54" i="3"/>
  <c r="BR147" i="3"/>
  <c r="BR26" i="106"/>
  <c r="BQ104" i="3"/>
  <c r="BQ53" i="3"/>
  <c r="BQ37" i="3"/>
  <c r="BQ14" i="3"/>
  <c r="BQ9" i="3"/>
  <c r="S302" i="51"/>
  <c r="S283" i="51"/>
  <c r="S308" i="51" s="1"/>
  <c r="CC19" i="106"/>
  <c r="CC174" i="106" s="1"/>
  <c r="BB338" i="51"/>
  <c r="CC53" i="51"/>
  <c r="BZ54" i="51"/>
  <c r="CA54" i="51" s="1"/>
  <c r="BZ171" i="51"/>
  <c r="BZ172" i="51" s="1"/>
  <c r="CA172" i="51" s="1"/>
  <c r="CD131" i="51"/>
  <c r="CA53" i="51"/>
  <c r="BI338" i="51"/>
  <c r="CG50" i="51"/>
  <c r="BH345" i="51"/>
  <c r="BH346" i="51" s="1"/>
  <c r="CF71" i="51"/>
  <c r="CE72" i="51"/>
  <c r="CE130" i="51"/>
  <c r="CE143" i="51" s="1"/>
  <c r="BY147" i="51"/>
  <c r="BY149" i="51" s="1"/>
  <c r="BY219" i="51"/>
  <c r="CF97" i="51"/>
  <c r="CE95" i="51"/>
  <c r="BZ38" i="51"/>
  <c r="BY36" i="51"/>
  <c r="CE148" i="51"/>
  <c r="BB337" i="51"/>
  <c r="CA28" i="51"/>
  <c r="CD31" i="51"/>
  <c r="CC29" i="51"/>
  <c r="CC28" i="51" s="1"/>
  <c r="CE150" i="51"/>
  <c r="CF88" i="51"/>
  <c r="CF87" i="51" s="1"/>
  <c r="CF92" i="51"/>
  <c r="CG92" i="51" s="1"/>
  <c r="CF103" i="51"/>
  <c r="BZ146" i="51"/>
  <c r="CF150" i="51" s="1"/>
  <c r="BI337" i="51"/>
  <c r="BK337" i="51"/>
  <c r="BQ156" i="106" l="1"/>
  <c r="BQ158" i="106" s="1"/>
  <c r="BQ159" i="106" s="1"/>
  <c r="BQ160" i="106" s="1"/>
  <c r="CC99" i="51"/>
  <c r="BO339" i="51"/>
  <c r="BN339" i="51"/>
  <c r="CD98" i="51"/>
  <c r="BO275" i="51"/>
  <c r="BO273" i="51"/>
  <c r="CA99" i="51"/>
  <c r="CC105" i="51"/>
  <c r="CC119" i="51" s="1"/>
  <c r="CC120" i="51" s="1"/>
  <c r="CD99" i="51"/>
  <c r="BZ106" i="51"/>
  <c r="CA106" i="51" s="1"/>
  <c r="BZ119" i="51"/>
  <c r="CA105" i="51"/>
  <c r="CF18" i="51"/>
  <c r="CF17" i="51" s="1"/>
  <c r="BO125" i="3"/>
  <c r="BO126" i="3" s="1"/>
  <c r="BO104" i="106"/>
  <c r="BN75" i="51"/>
  <c r="BN16" i="51"/>
  <c r="BN134" i="51"/>
  <c r="CD210" i="51"/>
  <c r="CD211" i="51"/>
  <c r="CG11" i="51"/>
  <c r="CG18" i="51" s="1"/>
  <c r="CF9" i="51"/>
  <c r="CF8" i="51" s="1"/>
  <c r="CG8" i="51" s="1"/>
  <c r="CG9" i="51" s="1"/>
  <c r="CE126" i="51"/>
  <c r="CE210" i="51" s="1"/>
  <c r="BQ50" i="3"/>
  <c r="CF83" i="51"/>
  <c r="CF77" i="51"/>
  <c r="BL17" i="51"/>
  <c r="BL19" i="51" s="1"/>
  <c r="BR16" i="51"/>
  <c r="BL76" i="51"/>
  <c r="BL78" i="51" s="1"/>
  <c r="BR75" i="51"/>
  <c r="BR81" i="51" s="1"/>
  <c r="BR82" i="51" s="1"/>
  <c r="BR85" i="51" s="1"/>
  <c r="CF84" i="51"/>
  <c r="CF78" i="51"/>
  <c r="CA142" i="51"/>
  <c r="BN164" i="3"/>
  <c r="BN165" i="3" s="1"/>
  <c r="BN172" i="3"/>
  <c r="BN173" i="3" s="1"/>
  <c r="BN174" i="3" s="1"/>
  <c r="BR163" i="3"/>
  <c r="BR164" i="3" s="1"/>
  <c r="BR165" i="3" s="1"/>
  <c r="BQ20" i="107"/>
  <c r="BR47" i="3"/>
  <c r="BR155" i="106"/>
  <c r="BQ85" i="107"/>
  <c r="BQ87" i="107" s="1"/>
  <c r="BQ88" i="107" s="1"/>
  <c r="BO155" i="106"/>
  <c r="BO27" i="107"/>
  <c r="BO31" i="107" s="1"/>
  <c r="BQ22" i="107"/>
  <c r="BO22" i="107"/>
  <c r="BM16" i="51"/>
  <c r="BM75" i="51"/>
  <c r="BM134" i="51"/>
  <c r="BM135" i="51" s="1"/>
  <c r="BM137" i="51" s="1"/>
  <c r="BM81" i="51"/>
  <c r="BM82" i="51" s="1"/>
  <c r="BM84" i="51" s="1"/>
  <c r="BM22" i="51"/>
  <c r="BM23" i="51" s="1"/>
  <c r="BM25" i="51" s="1"/>
  <c r="BM140" i="51"/>
  <c r="BM141" i="51" s="1"/>
  <c r="BM143" i="51" s="1"/>
  <c r="Y283" i="51"/>
  <c r="Y285" i="51" s="1"/>
  <c r="BR157" i="3"/>
  <c r="BR158" i="3" s="1"/>
  <c r="BX179" i="51"/>
  <c r="BR192" i="3"/>
  <c r="BR38" i="3"/>
  <c r="BR198" i="3"/>
  <c r="BR10" i="3"/>
  <c r="BR53" i="3" s="1"/>
  <c r="BR180" i="51"/>
  <c r="BR103" i="106"/>
  <c r="BR27" i="107" s="1"/>
  <c r="BR196" i="3"/>
  <c r="BR194" i="3"/>
  <c r="BW49" i="3"/>
  <c r="BW51" i="3" s="1"/>
  <c r="BR13" i="106"/>
  <c r="BR22" i="107" s="1"/>
  <c r="BR190" i="3"/>
  <c r="BR10" i="106"/>
  <c r="BR39" i="3"/>
  <c r="AW157" i="119"/>
  <c r="BU48" i="3"/>
  <c r="BS8" i="3"/>
  <c r="BR50" i="3"/>
  <c r="BN50" i="3"/>
  <c r="BO177" i="51"/>
  <c r="BU154" i="51"/>
  <c r="BT156" i="51"/>
  <c r="CD136" i="51"/>
  <c r="CD142" i="51"/>
  <c r="AW140" i="51"/>
  <c r="AW141" i="51" s="1"/>
  <c r="AW143" i="51" s="1"/>
  <c r="AW75" i="51"/>
  <c r="AW76" i="51" s="1"/>
  <c r="AW78" i="51" s="1"/>
  <c r="AV76" i="51"/>
  <c r="AV78" i="51" s="1"/>
  <c r="AW81" i="51"/>
  <c r="AW82" i="51" s="1"/>
  <c r="AW84" i="51" s="1"/>
  <c r="AV82" i="51"/>
  <c r="AV84" i="51" s="1"/>
  <c r="CE137" i="51"/>
  <c r="AW134" i="51"/>
  <c r="AW135" i="51" s="1"/>
  <c r="AW137" i="51" s="1"/>
  <c r="AV135" i="51"/>
  <c r="AV137" i="51" s="1"/>
  <c r="AW16" i="51"/>
  <c r="AW17" i="51" s="1"/>
  <c r="AW19" i="51" s="1"/>
  <c r="AV17" i="51"/>
  <c r="AV19" i="51" s="1"/>
  <c r="AW22" i="51"/>
  <c r="AW23" i="51" s="1"/>
  <c r="AW25" i="51" s="1"/>
  <c r="AV23" i="51"/>
  <c r="AV25" i="51" s="1"/>
  <c r="CF68" i="51"/>
  <c r="CF67" i="51" s="1"/>
  <c r="CG70" i="51"/>
  <c r="BM208" i="51"/>
  <c r="BK134" i="51"/>
  <c r="BK16" i="51"/>
  <c r="BK75" i="51"/>
  <c r="BB22" i="51"/>
  <c r="BB81" i="51"/>
  <c r="BK81" i="51"/>
  <c r="BK82" i="51" s="1"/>
  <c r="BK84" i="51" s="1"/>
  <c r="BK22" i="51"/>
  <c r="BK23" i="51" s="1"/>
  <c r="BK25" i="51" s="1"/>
  <c r="BB134" i="51"/>
  <c r="BB75" i="51"/>
  <c r="BB16" i="51"/>
  <c r="CA101" i="3"/>
  <c r="BN207" i="51"/>
  <c r="BY155" i="3"/>
  <c r="BY156" i="3" s="1"/>
  <c r="CA231" i="51"/>
  <c r="CA168" i="51"/>
  <c r="CA230" i="51"/>
  <c r="CD167" i="51"/>
  <c r="CD231" i="51" s="1"/>
  <c r="CA135" i="3"/>
  <c r="CA136" i="3" s="1"/>
  <c r="CA144" i="3"/>
  <c r="BZ154" i="3"/>
  <c r="BZ155" i="3" s="1"/>
  <c r="BZ156" i="3" s="1"/>
  <c r="CE113" i="51"/>
  <c r="CF110" i="51"/>
  <c r="CF117" i="51" s="1"/>
  <c r="CE109" i="51"/>
  <c r="CE108" i="51" s="1"/>
  <c r="CE169" i="51"/>
  <c r="CC100" i="3"/>
  <c r="CC143" i="3"/>
  <c r="CC230" i="51"/>
  <c r="CC168" i="51"/>
  <c r="CC170" i="51" s="1"/>
  <c r="BB208" i="51"/>
  <c r="BB140" i="51"/>
  <c r="BI208" i="51"/>
  <c r="BK208" i="51"/>
  <c r="BK140" i="51"/>
  <c r="BY61" i="51"/>
  <c r="AW30" i="119"/>
  <c r="AW73" i="119"/>
  <c r="AV49" i="119"/>
  <c r="AV78" i="119"/>
  <c r="CC46" i="51"/>
  <c r="CC47" i="51" s="1"/>
  <c r="BW43" i="51"/>
  <c r="BW45" i="51" s="1"/>
  <c r="BW56" i="51"/>
  <c r="CC58" i="51" s="1"/>
  <c r="AV102" i="119"/>
  <c r="AV60" i="119" s="1"/>
  <c r="BU226" i="51"/>
  <c r="CA155" i="51"/>
  <c r="BU227" i="51"/>
  <c r="BT186" i="51"/>
  <c r="BT189" i="51"/>
  <c r="BT185" i="51"/>
  <c r="BZ60" i="51"/>
  <c r="BU56" i="51"/>
  <c r="BU185" i="51" s="1"/>
  <c r="BT57" i="51"/>
  <c r="BT59" i="51" s="1"/>
  <c r="BU59" i="51" s="1"/>
  <c r="BT187" i="51"/>
  <c r="BT174" i="51"/>
  <c r="CA157" i="51"/>
  <c r="BZ158" i="51"/>
  <c r="BU160" i="51"/>
  <c r="BU161" i="51" s="1"/>
  <c r="BT161" i="51"/>
  <c r="BT163" i="51" s="1"/>
  <c r="BU163" i="51" s="1"/>
  <c r="BT141" i="3"/>
  <c r="BT145" i="3" s="1"/>
  <c r="BU145" i="3" s="1"/>
  <c r="AW64" i="119"/>
  <c r="BX153" i="51"/>
  <c r="BZ164" i="51"/>
  <c r="BZ162" i="51"/>
  <c r="BX42" i="51"/>
  <c r="CD44" i="51" s="1"/>
  <c r="BW226" i="51"/>
  <c r="BW160" i="51"/>
  <c r="BW98" i="3" s="1"/>
  <c r="CA47" i="51"/>
  <c r="BS151" i="3"/>
  <c r="BS157" i="3" s="1"/>
  <c r="BS158" i="3" s="1"/>
  <c r="BY176" i="51"/>
  <c r="BO157" i="3"/>
  <c r="BO457" i="51" s="1"/>
  <c r="BS199" i="51"/>
  <c r="AV69" i="119"/>
  <c r="BS201" i="51"/>
  <c r="BS200" i="51"/>
  <c r="BS203" i="51"/>
  <c r="BS175" i="51"/>
  <c r="BS202" i="51"/>
  <c r="BS102" i="3"/>
  <c r="BS10" i="3" s="1"/>
  <c r="BO95" i="3"/>
  <c r="BY165" i="51"/>
  <c r="BZ58" i="51"/>
  <c r="CG71" i="51"/>
  <c r="BT49" i="3"/>
  <c r="BT51" i="3" s="1"/>
  <c r="AW87" i="119"/>
  <c r="AW101" i="119" s="1"/>
  <c r="AW24" i="119"/>
  <c r="BY35" i="51"/>
  <c r="BM186" i="3"/>
  <c r="CD101" i="51"/>
  <c r="BO137" i="3"/>
  <c r="BO138" i="3" s="1"/>
  <c r="BO146" i="3"/>
  <c r="CJ146" i="3" s="1"/>
  <c r="BO13" i="106"/>
  <c r="BO87" i="106" s="1"/>
  <c r="BO10" i="3"/>
  <c r="BN37" i="3"/>
  <c r="BN53" i="3"/>
  <c r="CC157" i="51"/>
  <c r="BY178" i="51"/>
  <c r="CC155" i="51"/>
  <c r="BN54" i="3"/>
  <c r="BN38" i="3"/>
  <c r="BO11" i="3"/>
  <c r="BN252" i="51"/>
  <c r="BN253" i="51" s="1"/>
  <c r="BO10" i="106"/>
  <c r="BW227" i="51"/>
  <c r="CE94" i="51"/>
  <c r="BO196" i="3"/>
  <c r="BO190" i="3"/>
  <c r="BO194" i="3"/>
  <c r="BO47" i="3"/>
  <c r="BO192" i="3"/>
  <c r="BO39" i="3"/>
  <c r="BO180" i="51"/>
  <c r="BO198" i="3"/>
  <c r="BW154" i="51"/>
  <c r="CF95" i="51"/>
  <c r="BZ194" i="51"/>
  <c r="BZ195" i="51"/>
  <c r="BZ116" i="51"/>
  <c r="BZ118" i="51" s="1"/>
  <c r="CA118" i="51" s="1"/>
  <c r="CA115" i="51"/>
  <c r="BZ196" i="51"/>
  <c r="BZ192" i="51"/>
  <c r="BZ193" i="51"/>
  <c r="CA46" i="51"/>
  <c r="BU43" i="51"/>
  <c r="CA44" i="51"/>
  <c r="BO163" i="3"/>
  <c r="BO152" i="3"/>
  <c r="BU179" i="51"/>
  <c r="CC102" i="51"/>
  <c r="CC104" i="51" s="1"/>
  <c r="CC115" i="51"/>
  <c r="BN239" i="51"/>
  <c r="BN240" i="51" s="1"/>
  <c r="BO243" i="51"/>
  <c r="BQ243" i="51" s="1"/>
  <c r="BQ237" i="51" s="1"/>
  <c r="BO249" i="51"/>
  <c r="BO252" i="51" s="1"/>
  <c r="BO253" i="51" s="1"/>
  <c r="BQ36" i="3"/>
  <c r="BQ52" i="3"/>
  <c r="BQ11" i="106"/>
  <c r="BQ23" i="106"/>
  <c r="CF148" i="51"/>
  <c r="CF151" i="51" s="1"/>
  <c r="BS11" i="3"/>
  <c r="BS86" i="107" s="1"/>
  <c r="BS146" i="3"/>
  <c r="BQ55" i="3"/>
  <c r="AT178" i="119" s="1"/>
  <c r="BQ42" i="3"/>
  <c r="BQ159" i="3"/>
  <c r="BQ186" i="3"/>
  <c r="BQ41" i="3"/>
  <c r="BQ63" i="106"/>
  <c r="BU98" i="3"/>
  <c r="BT102" i="3"/>
  <c r="S285" i="51"/>
  <c r="CC145" i="106"/>
  <c r="CD146" i="106" s="1"/>
  <c r="CD23" i="3" s="1"/>
  <c r="CD14" i="107" s="1"/>
  <c r="CA29" i="51"/>
  <c r="CG30" i="51"/>
  <c r="CG32" i="51"/>
  <c r="CA146" i="51"/>
  <c r="CE31" i="51"/>
  <c r="CD29" i="51"/>
  <c r="CD28" i="51" s="1"/>
  <c r="CF72" i="51"/>
  <c r="CF130" i="51"/>
  <c r="CF143" i="51" s="1"/>
  <c r="CE151" i="51"/>
  <c r="CG97" i="51"/>
  <c r="CE131" i="51"/>
  <c r="CG33" i="51"/>
  <c r="BZ147" i="51"/>
  <c r="BZ149" i="51" s="1"/>
  <c r="CA149" i="51" s="1"/>
  <c r="BZ219" i="51"/>
  <c r="BI207" i="51"/>
  <c r="BI339" i="51"/>
  <c r="CG103" i="51"/>
  <c r="BH337" i="51"/>
  <c r="BB207" i="51"/>
  <c r="BB339" i="51"/>
  <c r="CA171" i="51"/>
  <c r="CC38" i="51"/>
  <c r="BZ36" i="51"/>
  <c r="CC146" i="51"/>
  <c r="CC216" i="51" s="1"/>
  <c r="CD53" i="51"/>
  <c r="CC54" i="51"/>
  <c r="CC171" i="51"/>
  <c r="BK207" i="51"/>
  <c r="BK339" i="51"/>
  <c r="BH338" i="51"/>
  <c r="BZ216" i="51"/>
  <c r="CG87" i="51"/>
  <c r="CA38" i="51"/>
  <c r="AE283" i="51"/>
  <c r="AE285" i="51" s="1"/>
  <c r="CE98" i="51" l="1"/>
  <c r="CC106" i="51"/>
  <c r="CD105" i="51"/>
  <c r="CD119" i="51" s="1"/>
  <c r="CF98" i="51"/>
  <c r="CE105" i="51"/>
  <c r="CE119" i="51" s="1"/>
  <c r="CE120" i="51" s="1"/>
  <c r="CD106" i="51"/>
  <c r="CA119" i="51"/>
  <c r="BZ120" i="51"/>
  <c r="CA120" i="51" s="1"/>
  <c r="CG24" i="51"/>
  <c r="BK141" i="51"/>
  <c r="BK143" i="51" s="1"/>
  <c r="BK135" i="51"/>
  <c r="BK137" i="51" s="1"/>
  <c r="BO134" i="51"/>
  <c r="BN81" i="51"/>
  <c r="BN22" i="51"/>
  <c r="BN140" i="51"/>
  <c r="BO140" i="51" s="1"/>
  <c r="BQ338" i="51" s="1"/>
  <c r="CE211" i="51"/>
  <c r="CE127" i="51"/>
  <c r="CE129" i="51" s="1"/>
  <c r="CE136" i="51" s="1"/>
  <c r="CD155" i="51"/>
  <c r="CJ152" i="3"/>
  <c r="BO153" i="3"/>
  <c r="BN156" i="106"/>
  <c r="BN158" i="106" s="1"/>
  <c r="BN159" i="106" s="1"/>
  <c r="BN160" i="106" s="1"/>
  <c r="BO11" i="107"/>
  <c r="BO424" i="51"/>
  <c r="BO441" i="51"/>
  <c r="BO433" i="51"/>
  <c r="BO444" i="51"/>
  <c r="BO447" i="51"/>
  <c r="BO430" i="51"/>
  <c r="BO450" i="51"/>
  <c r="BO453" i="51"/>
  <c r="BO427" i="51"/>
  <c r="BO436" i="51"/>
  <c r="BM76" i="51"/>
  <c r="BM78" i="51" s="1"/>
  <c r="BS75" i="51"/>
  <c r="BS81" i="51" s="1"/>
  <c r="BS82" i="51" s="1"/>
  <c r="BS85" i="51" s="1"/>
  <c r="BQ187" i="3"/>
  <c r="AT179" i="119"/>
  <c r="AT180" i="119" s="1"/>
  <c r="BM17" i="51"/>
  <c r="BM19" i="51" s="1"/>
  <c r="BS16" i="51"/>
  <c r="BR22" i="51"/>
  <c r="BR23" i="51" s="1"/>
  <c r="BR26" i="51" s="1"/>
  <c r="BX16" i="51"/>
  <c r="BK76" i="51"/>
  <c r="BK78" i="51" s="1"/>
  <c r="BQ75" i="51"/>
  <c r="BK17" i="51"/>
  <c r="BK19" i="51" s="1"/>
  <c r="BQ16" i="51"/>
  <c r="CG84" i="51"/>
  <c r="CG78" i="51"/>
  <c r="CG83" i="51"/>
  <c r="CG77" i="51"/>
  <c r="BO158" i="3"/>
  <c r="CJ158" i="3" s="1"/>
  <c r="BS39" i="3"/>
  <c r="BS155" i="106"/>
  <c r="BO86" i="107"/>
  <c r="BQ11" i="107"/>
  <c r="BR31" i="107"/>
  <c r="BO20" i="107"/>
  <c r="BR20" i="107"/>
  <c r="CD15" i="107"/>
  <c r="BN208" i="51"/>
  <c r="BS103" i="106"/>
  <c r="BS27" i="107" s="1"/>
  <c r="BS31" i="107" s="1"/>
  <c r="BX49" i="3"/>
  <c r="BX51" i="3" s="1"/>
  <c r="BR37" i="3"/>
  <c r="CA162" i="51"/>
  <c r="BR104" i="3"/>
  <c r="BR14" i="3"/>
  <c r="BR9" i="3"/>
  <c r="BX227" i="51"/>
  <c r="BS10" i="106"/>
  <c r="BS180" i="51"/>
  <c r="BS192" i="3"/>
  <c r="BS47" i="3"/>
  <c r="BS194" i="3"/>
  <c r="BS198" i="3"/>
  <c r="BS13" i="106"/>
  <c r="BS22" i="107" s="1"/>
  <c r="BS190" i="3"/>
  <c r="BS196" i="3"/>
  <c r="BU156" i="51"/>
  <c r="BY48" i="3"/>
  <c r="BT203" i="51"/>
  <c r="BO50" i="3"/>
  <c r="BS177" i="51"/>
  <c r="BX160" i="51"/>
  <c r="BX154" i="51"/>
  <c r="CA158" i="51"/>
  <c r="BC140" i="51"/>
  <c r="BC141" i="51" s="1"/>
  <c r="BC143" i="51" s="1"/>
  <c r="BB141" i="51"/>
  <c r="BB143" i="51" s="1"/>
  <c r="CF137" i="51"/>
  <c r="BC75" i="51"/>
  <c r="BC76" i="51" s="1"/>
  <c r="BC78" i="51" s="1"/>
  <c r="BB76" i="51"/>
  <c r="BB78" i="51" s="1"/>
  <c r="BC81" i="51"/>
  <c r="BC82" i="51" s="1"/>
  <c r="BC84" i="51" s="1"/>
  <c r="BB82" i="51"/>
  <c r="BB84" i="51" s="1"/>
  <c r="BC16" i="51"/>
  <c r="BC17" i="51" s="1"/>
  <c r="BC19" i="51" s="1"/>
  <c r="BB17" i="51"/>
  <c r="BB19" i="51" s="1"/>
  <c r="BC134" i="51"/>
  <c r="BC135" i="51" s="1"/>
  <c r="BC137" i="51" s="1"/>
  <c r="BB135" i="51"/>
  <c r="BB137" i="51" s="1"/>
  <c r="BC22" i="51"/>
  <c r="BC23" i="51" s="1"/>
  <c r="BC25" i="51" s="1"/>
  <c r="BB23" i="51"/>
  <c r="BB25" i="51" s="1"/>
  <c r="CG67" i="51"/>
  <c r="CG68" i="51" s="1"/>
  <c r="CF126" i="51"/>
  <c r="BH134" i="51"/>
  <c r="BN135" i="51" s="1"/>
  <c r="BN137" i="51" s="1"/>
  <c r="BH75" i="51"/>
  <c r="BO75" i="51" s="1"/>
  <c r="BH16" i="51"/>
  <c r="BO16" i="51" s="1"/>
  <c r="BH22" i="51"/>
  <c r="BH81" i="51"/>
  <c r="CC154" i="3"/>
  <c r="CC155" i="3" s="1"/>
  <c r="CC156" i="3" s="1"/>
  <c r="CE167" i="51"/>
  <c r="CF109" i="51"/>
  <c r="CF108" i="51" s="1"/>
  <c r="CF169" i="51"/>
  <c r="CG169" i="51" s="1"/>
  <c r="CF113" i="51"/>
  <c r="CG113" i="51" s="1"/>
  <c r="CG110" i="51"/>
  <c r="CD100" i="3"/>
  <c r="CD168" i="51"/>
  <c r="CD170" i="51" s="1"/>
  <c r="CD143" i="3"/>
  <c r="CD230" i="51"/>
  <c r="CA154" i="3"/>
  <c r="CA155" i="3" s="1"/>
  <c r="CA156" i="3" s="1"/>
  <c r="BH208" i="51"/>
  <c r="BH140" i="51"/>
  <c r="BW185" i="51"/>
  <c r="BW57" i="51"/>
  <c r="BW59" i="51" s="1"/>
  <c r="BW188" i="51"/>
  <c r="AW49" i="119"/>
  <c r="AW78" i="119"/>
  <c r="BX43" i="51"/>
  <c r="BX45" i="51" s="1"/>
  <c r="BX56" i="51"/>
  <c r="BX189" i="51" s="1"/>
  <c r="CC60" i="51"/>
  <c r="CC61" i="51" s="1"/>
  <c r="BW186" i="51"/>
  <c r="BW189" i="51"/>
  <c r="BW187" i="51"/>
  <c r="BU57" i="51"/>
  <c r="AV103" i="119"/>
  <c r="BT175" i="51"/>
  <c r="BT199" i="51"/>
  <c r="BT202" i="51"/>
  <c r="BU99" i="3"/>
  <c r="BT8" i="3"/>
  <c r="BZ178" i="51"/>
  <c r="BZ165" i="51"/>
  <c r="BZ176" i="51"/>
  <c r="BU174" i="51"/>
  <c r="BT200" i="51"/>
  <c r="BT11" i="3"/>
  <c r="AW69" i="119"/>
  <c r="BT201" i="51"/>
  <c r="CA60" i="51"/>
  <c r="BU188" i="51"/>
  <c r="BU187" i="51"/>
  <c r="BU186" i="51"/>
  <c r="BU189" i="51"/>
  <c r="CA58" i="51"/>
  <c r="BT151" i="3"/>
  <c r="BT157" i="3" s="1"/>
  <c r="BT158" i="3" s="1"/>
  <c r="CD46" i="51"/>
  <c r="CD47" i="51" s="1"/>
  <c r="BU141" i="3"/>
  <c r="BU133" i="3" s="1"/>
  <c r="BU134" i="3" s="1"/>
  <c r="CA164" i="51"/>
  <c r="BW174" i="51"/>
  <c r="BT146" i="3"/>
  <c r="BW161" i="51"/>
  <c r="BW163" i="51" s="1"/>
  <c r="CD157" i="51"/>
  <c r="BX226" i="51"/>
  <c r="BS163" i="3"/>
  <c r="BS164" i="3" s="1"/>
  <c r="BS165" i="3" s="1"/>
  <c r="BY153" i="51"/>
  <c r="BW141" i="3"/>
  <c r="BW151" i="3" s="1"/>
  <c r="CC164" i="51"/>
  <c r="BY42" i="51"/>
  <c r="CE44" i="51" s="1"/>
  <c r="BQ199" i="3"/>
  <c r="BZ61" i="51"/>
  <c r="CA61" i="51" s="1"/>
  <c r="BY179" i="51"/>
  <c r="BS152" i="3"/>
  <c r="BS153" i="3" s="1"/>
  <c r="CE106" i="51"/>
  <c r="BS103" i="3"/>
  <c r="CG150" i="51"/>
  <c r="CG117" i="51"/>
  <c r="BO244" i="51"/>
  <c r="BQ244" i="51" s="1"/>
  <c r="BR244" i="51" s="1"/>
  <c r="BQ258" i="51"/>
  <c r="BR258" i="51" s="1"/>
  <c r="BR243" i="51"/>
  <c r="BR237" i="51" s="1"/>
  <c r="BO240" i="51"/>
  <c r="BO245" i="51"/>
  <c r="BQ245" i="51" s="1"/>
  <c r="BR245" i="51" s="1"/>
  <c r="BS245" i="51" s="1"/>
  <c r="BT245" i="51" s="1"/>
  <c r="BQ259" i="51"/>
  <c r="BR259" i="51" s="1"/>
  <c r="BS259" i="51" s="1"/>
  <c r="BT259" i="51" s="1"/>
  <c r="BQ256" i="51"/>
  <c r="BR256" i="51" s="1"/>
  <c r="BQ257" i="51"/>
  <c r="BR257" i="51" s="1"/>
  <c r="CC162" i="51"/>
  <c r="CC195" i="51"/>
  <c r="CC116" i="51"/>
  <c r="CC118" i="51" s="1"/>
  <c r="CC194" i="51"/>
  <c r="CC192" i="51"/>
  <c r="CC193" i="51"/>
  <c r="CC196" i="51"/>
  <c r="BO74" i="106"/>
  <c r="CE101" i="51"/>
  <c r="CF99" i="51"/>
  <c r="BU49" i="3"/>
  <c r="BU51" i="3" s="1"/>
  <c r="BO10" i="107"/>
  <c r="BN186" i="3"/>
  <c r="BN41" i="3"/>
  <c r="AS179" i="119" s="1"/>
  <c r="AS180" i="119" s="1"/>
  <c r="BN42" i="3"/>
  <c r="BN159" i="3"/>
  <c r="BN55" i="3"/>
  <c r="AS178" i="119" s="1"/>
  <c r="BM27" i="106"/>
  <c r="CA193" i="51"/>
  <c r="CA194" i="51"/>
  <c r="CA195" i="51"/>
  <c r="CA116" i="51"/>
  <c r="CA192" i="51"/>
  <c r="CA196" i="51"/>
  <c r="BO54" i="3"/>
  <c r="BO38" i="3"/>
  <c r="BO147" i="3"/>
  <c r="CC158" i="51"/>
  <c r="CD115" i="51"/>
  <c r="CD102" i="51"/>
  <c r="CD104" i="51" s="1"/>
  <c r="AW102" i="119"/>
  <c r="AW104" i="119"/>
  <c r="AW105" i="119" s="1"/>
  <c r="BZ35" i="51"/>
  <c r="BU102" i="106"/>
  <c r="BO26" i="106"/>
  <c r="BO88" i="106" s="1"/>
  <c r="BO53" i="3"/>
  <c r="BO14" i="3"/>
  <c r="BO104" i="3"/>
  <c r="BO37" i="3"/>
  <c r="BO164" i="3"/>
  <c r="BO165" i="3" s="1"/>
  <c r="CF94" i="51"/>
  <c r="BW156" i="51"/>
  <c r="BO9" i="3"/>
  <c r="BN36" i="3"/>
  <c r="BN52" i="3"/>
  <c r="BQ21" i="107"/>
  <c r="BO23" i="107"/>
  <c r="BM199" i="3"/>
  <c r="BU93" i="3"/>
  <c r="BU94" i="3" s="1"/>
  <c r="BU95" i="3" s="1"/>
  <c r="BS37" i="3"/>
  <c r="BS53" i="3"/>
  <c r="BS104" i="3"/>
  <c r="BS14" i="3"/>
  <c r="BS156" i="106" s="1"/>
  <c r="BS9" i="3"/>
  <c r="BU102" i="3"/>
  <c r="BT103" i="3"/>
  <c r="BT10" i="3"/>
  <c r="BS38" i="3"/>
  <c r="BS147" i="3"/>
  <c r="BS54" i="3"/>
  <c r="BS26" i="106"/>
  <c r="BU137" i="3"/>
  <c r="BU138" i="3" s="1"/>
  <c r="BW102" i="3"/>
  <c r="BQ27" i="106"/>
  <c r="BQ32" i="106" s="1"/>
  <c r="CG72" i="51"/>
  <c r="CA147" i="51"/>
  <c r="CA219" i="51"/>
  <c r="CC36" i="51"/>
  <c r="CD38" i="51"/>
  <c r="CF131" i="51"/>
  <c r="CG131" i="51" s="1"/>
  <c r="CG130" i="51"/>
  <c r="CG143" i="51" s="1"/>
  <c r="CD146" i="51"/>
  <c r="CD216" i="51" s="1"/>
  <c r="CG148" i="51"/>
  <c r="CD120" i="51"/>
  <c r="BH339" i="51"/>
  <c r="BH207" i="51"/>
  <c r="CG151" i="51"/>
  <c r="CG88" i="51"/>
  <c r="CC172" i="51"/>
  <c r="CF31" i="51"/>
  <c r="CF29" i="51" s="1"/>
  <c r="CF28" i="51" s="1"/>
  <c r="CE29" i="51"/>
  <c r="CE28" i="51" s="1"/>
  <c r="CC147" i="51"/>
  <c r="CC149" i="51" s="1"/>
  <c r="CC219" i="51"/>
  <c r="CA216" i="51"/>
  <c r="CE53" i="51"/>
  <c r="CD54" i="51"/>
  <c r="CD171" i="51"/>
  <c r="CD172" i="51" s="1"/>
  <c r="CE99" i="51" l="1"/>
  <c r="CF105" i="51"/>
  <c r="CF119" i="51" s="1"/>
  <c r="CG119" i="51" s="1"/>
  <c r="CG98" i="51"/>
  <c r="BN23" i="51"/>
  <c r="BN25" i="51" s="1"/>
  <c r="CE142" i="51"/>
  <c r="BN82" i="51"/>
  <c r="BN84" i="51" s="1"/>
  <c r="BN76" i="51"/>
  <c r="BN78" i="51" s="1"/>
  <c r="BN17" i="51"/>
  <c r="BN19" i="51" s="1"/>
  <c r="BU103" i="3"/>
  <c r="CL103" i="3" s="1"/>
  <c r="BN141" i="51"/>
  <c r="BN143" i="51" s="1"/>
  <c r="CD162" i="51"/>
  <c r="BM32" i="106"/>
  <c r="BM69" i="106"/>
  <c r="BM70" i="106"/>
  <c r="BO88" i="107"/>
  <c r="BT155" i="106"/>
  <c r="BQ188" i="3"/>
  <c r="BS22" i="51"/>
  <c r="BS23" i="51" s="1"/>
  <c r="BS26" i="51" s="1"/>
  <c r="BY16" i="51"/>
  <c r="BT16" i="51"/>
  <c r="BO22" i="51"/>
  <c r="BT75" i="51"/>
  <c r="BT81" i="51" s="1"/>
  <c r="BQ22" i="51"/>
  <c r="BQ23" i="51" s="1"/>
  <c r="BQ26" i="51" s="1"/>
  <c r="BW16" i="51"/>
  <c r="CD16" i="51"/>
  <c r="CD22" i="51" s="1"/>
  <c r="BX22" i="51"/>
  <c r="BX23" i="51" s="1"/>
  <c r="BX26" i="51" s="1"/>
  <c r="BQ81" i="51"/>
  <c r="BX79" i="51"/>
  <c r="BW76" i="51"/>
  <c r="BW75" i="51" s="1"/>
  <c r="BS158" i="106"/>
  <c r="BS159" i="106" s="1"/>
  <c r="BS160" i="106" s="1"/>
  <c r="BS85" i="107"/>
  <c r="BS87" i="107" s="1"/>
  <c r="BS88" i="107" s="1"/>
  <c r="BS11" i="107" s="1"/>
  <c r="BO85" i="107"/>
  <c r="BO87" i="107" s="1"/>
  <c r="BO156" i="106"/>
  <c r="BU11" i="3"/>
  <c r="BT86" i="107"/>
  <c r="BR11" i="106"/>
  <c r="BR21" i="107" s="1"/>
  <c r="BR85" i="107"/>
  <c r="BR87" i="107" s="1"/>
  <c r="BR88" i="107" s="1"/>
  <c r="BR156" i="106"/>
  <c r="BR158" i="106" s="1"/>
  <c r="BR159" i="106" s="1"/>
  <c r="BR160" i="106" s="1"/>
  <c r="BQ23" i="107"/>
  <c r="BQ19" i="107" s="1"/>
  <c r="BS20" i="107"/>
  <c r="BM19" i="107"/>
  <c r="BM24" i="107" s="1"/>
  <c r="BR23" i="106"/>
  <c r="BR23" i="107" s="1"/>
  <c r="BR63" i="106"/>
  <c r="BR52" i="3"/>
  <c r="BR186" i="3"/>
  <c r="BR199" i="3" s="1"/>
  <c r="BR36" i="3"/>
  <c r="BR42" i="3"/>
  <c r="BR55" i="3"/>
  <c r="AU178" i="119" s="1"/>
  <c r="BR159" i="3"/>
  <c r="BR41" i="3"/>
  <c r="BX156" i="51"/>
  <c r="BX141" i="3"/>
  <c r="BX145" i="3" s="1"/>
  <c r="BX11" i="3" s="1"/>
  <c r="BX86" i="107" s="1"/>
  <c r="BX174" i="51"/>
  <c r="BX175" i="51" s="1"/>
  <c r="BX98" i="3"/>
  <c r="BX102" i="3" s="1"/>
  <c r="BX161" i="51"/>
  <c r="BX163" i="51" s="1"/>
  <c r="BW8" i="3"/>
  <c r="BZ48" i="3"/>
  <c r="BT177" i="51"/>
  <c r="BU177" i="51" s="1"/>
  <c r="BU200" i="51"/>
  <c r="BY49" i="3"/>
  <c r="BY51" i="3" s="1"/>
  <c r="BS50" i="3"/>
  <c r="BM188" i="3"/>
  <c r="BN187" i="3"/>
  <c r="BI140" i="51"/>
  <c r="BO141" i="51" s="1"/>
  <c r="BO143" i="51" s="1"/>
  <c r="BH141" i="51"/>
  <c r="BH143" i="51" s="1"/>
  <c r="CG137" i="51"/>
  <c r="BI22" i="51"/>
  <c r="BH23" i="51"/>
  <c r="BH25" i="51" s="1"/>
  <c r="BI16" i="51"/>
  <c r="BH17" i="51"/>
  <c r="BH19" i="51" s="1"/>
  <c r="AS10" i="119"/>
  <c r="BI134" i="51"/>
  <c r="BO135" i="51" s="1"/>
  <c r="BO137" i="51" s="1"/>
  <c r="BH135" i="51"/>
  <c r="BH137" i="51" s="1"/>
  <c r="BI81" i="51"/>
  <c r="BH82" i="51"/>
  <c r="BH84" i="51" s="1"/>
  <c r="BI75" i="51"/>
  <c r="AS13" i="119"/>
  <c r="BH76" i="51"/>
  <c r="BH78" i="51" s="1"/>
  <c r="CF210" i="51"/>
  <c r="CG126" i="51"/>
  <c r="CF127" i="51"/>
  <c r="CF129" i="51" s="1"/>
  <c r="CF142" i="51" s="1"/>
  <c r="CF211" i="51"/>
  <c r="BX187" i="51"/>
  <c r="BY160" i="51"/>
  <c r="BY98" i="3" s="1"/>
  <c r="CE155" i="51"/>
  <c r="CE157" i="51"/>
  <c r="BX57" i="51"/>
  <c r="BX59" i="51" s="1"/>
  <c r="BX188" i="51"/>
  <c r="CD58" i="51"/>
  <c r="BO208" i="51"/>
  <c r="CD154" i="3"/>
  <c r="CD155" i="3" s="1"/>
  <c r="CD156" i="3" s="1"/>
  <c r="CG108" i="51"/>
  <c r="CG109" i="51" s="1"/>
  <c r="CF167" i="51"/>
  <c r="BR338" i="51"/>
  <c r="BQ208" i="51"/>
  <c r="BQ140" i="51"/>
  <c r="BQ141" i="51" s="1"/>
  <c r="BQ144" i="51" s="1"/>
  <c r="CE143" i="3"/>
  <c r="CE168" i="51"/>
  <c r="CE170" i="51" s="1"/>
  <c r="CE100" i="3"/>
  <c r="CE230" i="51"/>
  <c r="CE231" i="51"/>
  <c r="CA35" i="51"/>
  <c r="BX185" i="51"/>
  <c r="BX186" i="51"/>
  <c r="BT198" i="3"/>
  <c r="CD164" i="51"/>
  <c r="BT9" i="3"/>
  <c r="CD60" i="51"/>
  <c r="BW202" i="51"/>
  <c r="CC178" i="51"/>
  <c r="BW175" i="51"/>
  <c r="BW203" i="51"/>
  <c r="BT192" i="3"/>
  <c r="BT194" i="3"/>
  <c r="BT13" i="106"/>
  <c r="BT22" i="107" s="1"/>
  <c r="BU22" i="107" s="1"/>
  <c r="BT10" i="106"/>
  <c r="BT20" i="107" s="1"/>
  <c r="BT103" i="106"/>
  <c r="BT27" i="107" s="1"/>
  <c r="BT31" i="107" s="1"/>
  <c r="BU201" i="51"/>
  <c r="CA176" i="51"/>
  <c r="BZ153" i="51"/>
  <c r="BT196" i="3"/>
  <c r="BU142" i="3"/>
  <c r="CA165" i="51"/>
  <c r="BZ42" i="51"/>
  <c r="CF46" i="51" s="1"/>
  <c r="BU8" i="3"/>
  <c r="BT47" i="3"/>
  <c r="BT180" i="51"/>
  <c r="BT190" i="3"/>
  <c r="BZ179" i="51"/>
  <c r="BT39" i="3"/>
  <c r="BU203" i="51"/>
  <c r="BT26" i="106"/>
  <c r="BU26" i="106" s="1"/>
  <c r="CA178" i="51"/>
  <c r="BT38" i="3"/>
  <c r="BU199" i="51"/>
  <c r="BT54" i="3"/>
  <c r="BT147" i="3"/>
  <c r="BU146" i="3"/>
  <c r="CL146" i="3" s="1"/>
  <c r="BU175" i="51"/>
  <c r="BT152" i="3"/>
  <c r="BT153" i="3" s="1"/>
  <c r="BU202" i="51"/>
  <c r="BU151" i="3"/>
  <c r="BU163" i="3" s="1"/>
  <c r="BW200" i="51"/>
  <c r="BW199" i="51"/>
  <c r="CE46" i="51"/>
  <c r="CE47" i="51" s="1"/>
  <c r="BW145" i="3"/>
  <c r="BW11" i="3" s="1"/>
  <c r="BW86" i="107" s="1"/>
  <c r="CC176" i="51"/>
  <c r="BY43" i="51"/>
  <c r="BY45" i="51" s="1"/>
  <c r="BT163" i="3"/>
  <c r="BT164" i="3" s="1"/>
  <c r="BT165" i="3" s="1"/>
  <c r="BW201" i="51"/>
  <c r="CD158" i="51"/>
  <c r="BY227" i="51"/>
  <c r="BQ203" i="3"/>
  <c r="BY226" i="51"/>
  <c r="BY154" i="51"/>
  <c r="BQ200" i="3"/>
  <c r="BQ201" i="3" s="1"/>
  <c r="AT181" i="119" s="1"/>
  <c r="BY56" i="51"/>
  <c r="BY187" i="51" s="1"/>
  <c r="CC165" i="51"/>
  <c r="BQ250" i="51"/>
  <c r="BQ238" i="51"/>
  <c r="BQ239" i="51" s="1"/>
  <c r="BQ240" i="51" s="1"/>
  <c r="BQ251" i="51"/>
  <c r="BS243" i="51"/>
  <c r="BT243" i="51" s="1"/>
  <c r="BT237" i="51" s="1"/>
  <c r="BQ249" i="51"/>
  <c r="BM168" i="106"/>
  <c r="CF101" i="51"/>
  <c r="CG101" i="51" s="1"/>
  <c r="CG102" i="51" s="1"/>
  <c r="CD194" i="51"/>
  <c r="CD193" i="51"/>
  <c r="CD195" i="51"/>
  <c r="CD116" i="51"/>
  <c r="CD118" i="51" s="1"/>
  <c r="CD192" i="51"/>
  <c r="CD196" i="51"/>
  <c r="BN199" i="3"/>
  <c r="BO52" i="3"/>
  <c r="BO36" i="3"/>
  <c r="BO42" i="3"/>
  <c r="BO63" i="106"/>
  <c r="BO186" i="3"/>
  <c r="BO55" i="3"/>
  <c r="BO159" i="3"/>
  <c r="BO41" i="3"/>
  <c r="BO187" i="3" s="1"/>
  <c r="BM200" i="3"/>
  <c r="BM203" i="3"/>
  <c r="CG94" i="51"/>
  <c r="BQ110" i="106"/>
  <c r="CG31" i="51"/>
  <c r="BU157" i="3"/>
  <c r="BU158" i="3" s="1"/>
  <c r="BO23" i="106"/>
  <c r="AW60" i="119"/>
  <c r="AW103" i="119"/>
  <c r="BQ102" i="106"/>
  <c r="CE102" i="51"/>
  <c r="CE104" i="51" s="1"/>
  <c r="CE115" i="51"/>
  <c r="CC35" i="51"/>
  <c r="BO11" i="106"/>
  <c r="CG99" i="51"/>
  <c r="CG105" i="51"/>
  <c r="BW163" i="3"/>
  <c r="BW164" i="3" s="1"/>
  <c r="BW165" i="3" s="1"/>
  <c r="BW152" i="3"/>
  <c r="BW153" i="3" s="1"/>
  <c r="BW157" i="3"/>
  <c r="BW10" i="3"/>
  <c r="BW103" i="3"/>
  <c r="BS186" i="3"/>
  <c r="BS41" i="3"/>
  <c r="BS55" i="3"/>
  <c r="AV178" i="119" s="1"/>
  <c r="BS159" i="3"/>
  <c r="BS42" i="3"/>
  <c r="BS63" i="106"/>
  <c r="BU10" i="3"/>
  <c r="BT104" i="3"/>
  <c r="BT37" i="3"/>
  <c r="BT53" i="3"/>
  <c r="BT14" i="3"/>
  <c r="BT156" i="106" s="1"/>
  <c r="BT158" i="106" s="1"/>
  <c r="BT159" i="106" s="1"/>
  <c r="BS23" i="106"/>
  <c r="BS36" i="3"/>
  <c r="BS11" i="106"/>
  <c r="BS52" i="3"/>
  <c r="AK302" i="51"/>
  <c r="AK283" i="51"/>
  <c r="AK285" i="51" s="1"/>
  <c r="CD19" i="106"/>
  <c r="CD174" i="106" s="1"/>
  <c r="BN81" i="3"/>
  <c r="BR238" i="51"/>
  <c r="BR239" i="51" s="1"/>
  <c r="BR240" i="51" s="1"/>
  <c r="BS244" i="51"/>
  <c r="BS256" i="51"/>
  <c r="BR249" i="51"/>
  <c r="BR250" i="51"/>
  <c r="BS257" i="51"/>
  <c r="BS258" i="51"/>
  <c r="BR251" i="51"/>
  <c r="CD147" i="51"/>
  <c r="CD149" i="51" s="1"/>
  <c r="CD219" i="51"/>
  <c r="CF146" i="51"/>
  <c r="CF216" i="51" s="1"/>
  <c r="CF53" i="51"/>
  <c r="CG53" i="51" s="1"/>
  <c r="CE54" i="51"/>
  <c r="CE171" i="51"/>
  <c r="CE172" i="51" s="1"/>
  <c r="CE146" i="51"/>
  <c r="CG28" i="51"/>
  <c r="CD36" i="51"/>
  <c r="CE38" i="51"/>
  <c r="CF120" i="51" l="1"/>
  <c r="CG120" i="51" s="1"/>
  <c r="CF106" i="51"/>
  <c r="CG106" i="51" s="1"/>
  <c r="BO78" i="51"/>
  <c r="CD165" i="51"/>
  <c r="BT160" i="106"/>
  <c r="BO89" i="107"/>
  <c r="BU54" i="3"/>
  <c r="AS11" i="119"/>
  <c r="AS116" i="119" s="1"/>
  <c r="BR19" i="107"/>
  <c r="BT82" i="51"/>
  <c r="BT85" i="51" s="1"/>
  <c r="BS187" i="3"/>
  <c r="BS188" i="3" s="1"/>
  <c r="AV179" i="119"/>
  <c r="AV180" i="119" s="1"/>
  <c r="CD23" i="51"/>
  <c r="CD26" i="51" s="1"/>
  <c r="BZ16" i="51"/>
  <c r="BT22" i="51"/>
  <c r="BT23" i="51" s="1"/>
  <c r="BT26" i="51" s="1"/>
  <c r="BU88" i="106"/>
  <c r="CC16" i="51"/>
  <c r="CC22" i="51" s="1"/>
  <c r="BW22" i="51"/>
  <c r="BW23" i="51" s="1"/>
  <c r="BW26" i="51" s="1"/>
  <c r="CE16" i="51"/>
  <c r="CE22" i="51" s="1"/>
  <c r="BY22" i="51"/>
  <c r="BY23" i="51" s="1"/>
  <c r="BY26" i="51" s="1"/>
  <c r="AT11" i="119"/>
  <c r="AT36" i="119" s="1"/>
  <c r="BU75" i="51"/>
  <c r="BU76" i="51" s="1"/>
  <c r="BU79" i="51" s="1"/>
  <c r="AS14" i="119"/>
  <c r="AS119" i="119" s="1"/>
  <c r="BO81" i="51"/>
  <c r="BO82" i="51" s="1"/>
  <c r="BQ82" i="51"/>
  <c r="BQ85" i="51" s="1"/>
  <c r="AT14" i="119" s="1"/>
  <c r="AT119" i="119" s="1"/>
  <c r="BU81" i="51"/>
  <c r="BR187" i="3"/>
  <c r="BR188" i="3" s="1"/>
  <c r="AU179" i="119"/>
  <c r="AU180" i="119" s="1"/>
  <c r="BU155" i="106"/>
  <c r="BU147" i="3"/>
  <c r="BW81" i="51"/>
  <c r="BY79" i="51"/>
  <c r="BX76" i="51"/>
  <c r="BX75" i="51" s="1"/>
  <c r="BW103" i="106"/>
  <c r="BW27" i="107" s="1"/>
  <c r="BW31" i="107" s="1"/>
  <c r="BW155" i="106"/>
  <c r="BT36" i="3"/>
  <c r="BT85" i="107"/>
  <c r="BT87" i="107" s="1"/>
  <c r="BT88" i="107" s="1"/>
  <c r="BT11" i="107" s="1"/>
  <c r="BU86" i="107"/>
  <c r="BR11" i="107"/>
  <c r="BO21" i="107"/>
  <c r="BO19" i="107" s="1"/>
  <c r="BU27" i="107"/>
  <c r="BU31" i="107" s="1"/>
  <c r="BU20" i="107"/>
  <c r="BM55" i="107"/>
  <c r="BM56" i="107" s="1"/>
  <c r="BM57" i="107" s="1"/>
  <c r="BM48" i="107"/>
  <c r="BM51" i="107" s="1"/>
  <c r="BN50" i="107" s="1"/>
  <c r="BN51" i="107" s="1"/>
  <c r="BS21" i="107"/>
  <c r="BS27" i="106"/>
  <c r="BS32" i="106" s="1"/>
  <c r="BS23" i="107"/>
  <c r="BR27" i="106"/>
  <c r="BR32" i="106" s="1"/>
  <c r="BU10" i="106"/>
  <c r="BU74" i="106" s="1"/>
  <c r="BX200" i="51"/>
  <c r="BY174" i="51"/>
  <c r="CD176" i="51"/>
  <c r="CD48" i="3" s="1"/>
  <c r="BW190" i="3"/>
  <c r="BX201" i="51"/>
  <c r="BW194" i="3"/>
  <c r="CD178" i="51"/>
  <c r="BX199" i="51"/>
  <c r="BX202" i="51"/>
  <c r="BX203" i="51"/>
  <c r="BW13" i="106"/>
  <c r="BW22" i="107" s="1"/>
  <c r="BW180" i="51"/>
  <c r="BW10" i="106"/>
  <c r="BW20" i="107" s="1"/>
  <c r="BW192" i="3"/>
  <c r="BW198" i="3"/>
  <c r="BW47" i="3"/>
  <c r="BW39" i="3"/>
  <c r="BW196" i="3"/>
  <c r="BN188" i="3"/>
  <c r="AS118" i="119"/>
  <c r="AS38" i="119"/>
  <c r="AS130" i="119" s="1"/>
  <c r="AS115" i="119"/>
  <c r="AS35" i="119"/>
  <c r="AS127" i="119" s="1"/>
  <c r="BY141" i="3"/>
  <c r="BY145" i="3" s="1"/>
  <c r="BY11" i="3" s="1"/>
  <c r="BY86" i="107" s="1"/>
  <c r="BX151" i="3"/>
  <c r="BX163" i="3" s="1"/>
  <c r="BX164" i="3" s="1"/>
  <c r="BX165" i="3" s="1"/>
  <c r="BW177" i="51"/>
  <c r="BX146" i="3"/>
  <c r="BT50" i="3"/>
  <c r="CA48" i="3"/>
  <c r="BU50" i="3"/>
  <c r="BX177" i="51"/>
  <c r="CC48" i="3"/>
  <c r="BZ49" i="3"/>
  <c r="BZ51" i="3" s="1"/>
  <c r="BX8" i="3"/>
  <c r="CE154" i="3"/>
  <c r="CE155" i="3" s="1"/>
  <c r="CE156" i="3" s="1"/>
  <c r="BY156" i="51"/>
  <c r="CG37" i="51"/>
  <c r="BI141" i="51"/>
  <c r="BI143" i="51" s="1"/>
  <c r="CG40" i="51"/>
  <c r="CG129" i="51"/>
  <c r="CF136" i="51"/>
  <c r="BI76" i="51"/>
  <c r="BI78" i="51" s="1"/>
  <c r="BO76" i="51"/>
  <c r="BI82" i="51"/>
  <c r="BI84" i="51" s="1"/>
  <c r="BO19" i="51"/>
  <c r="BI17" i="51"/>
  <c r="BO17" i="51"/>
  <c r="BO84" i="51"/>
  <c r="BI135" i="51"/>
  <c r="BI137" i="51" s="1"/>
  <c r="BO23" i="51"/>
  <c r="BI23" i="51"/>
  <c r="BI25" i="51" s="1"/>
  <c r="BO25" i="51"/>
  <c r="CA36" i="51"/>
  <c r="CG210" i="51"/>
  <c r="CG127" i="51"/>
  <c r="CG166" i="3"/>
  <c r="CG211" i="51"/>
  <c r="CG39" i="51"/>
  <c r="CE164" i="51"/>
  <c r="BY161" i="51"/>
  <c r="BY163" i="51" s="1"/>
  <c r="CE162" i="51"/>
  <c r="CE158" i="51"/>
  <c r="CD61" i="51"/>
  <c r="AU14" i="119"/>
  <c r="AU11" i="119"/>
  <c r="BS338" i="51"/>
  <c r="BR208" i="51"/>
  <c r="BR140" i="51"/>
  <c r="BR141" i="51" s="1"/>
  <c r="BR144" i="51" s="1"/>
  <c r="CF143" i="3"/>
  <c r="CG143" i="3" s="1"/>
  <c r="CF168" i="51"/>
  <c r="CF170" i="51" s="1"/>
  <c r="CG170" i="51" s="1"/>
  <c r="CF100" i="3"/>
  <c r="CF230" i="51"/>
  <c r="CF231" i="51"/>
  <c r="CG167" i="51"/>
  <c r="BZ226" i="51"/>
  <c r="BZ227" i="51"/>
  <c r="BZ154" i="51"/>
  <c r="BT11" i="106"/>
  <c r="BT21" i="107" s="1"/>
  <c r="BT23" i="106"/>
  <c r="BU9" i="3"/>
  <c r="BT52" i="3"/>
  <c r="BZ56" i="51"/>
  <c r="BZ188" i="51" s="1"/>
  <c r="BW146" i="3"/>
  <c r="BU13" i="106"/>
  <c r="BU87" i="106" s="1"/>
  <c r="CF157" i="51"/>
  <c r="CA153" i="51"/>
  <c r="BZ160" i="51"/>
  <c r="BZ161" i="51" s="1"/>
  <c r="BZ163" i="51" s="1"/>
  <c r="BU47" i="3"/>
  <c r="BU103" i="106"/>
  <c r="BU104" i="106" s="1"/>
  <c r="CA179" i="51"/>
  <c r="BU38" i="3"/>
  <c r="BU198" i="3"/>
  <c r="BU180" i="51"/>
  <c r="BU190" i="3"/>
  <c r="BU194" i="3"/>
  <c r="CF155" i="51"/>
  <c r="BZ43" i="51"/>
  <c r="BZ45" i="51" s="1"/>
  <c r="CA45" i="51" s="1"/>
  <c r="CA42" i="51"/>
  <c r="CG46" i="51" s="1"/>
  <c r="CF44" i="51"/>
  <c r="CF47" i="51" s="1"/>
  <c r="BU192" i="3"/>
  <c r="BU196" i="3"/>
  <c r="BU39" i="3"/>
  <c r="BU152" i="3"/>
  <c r="BY186" i="51"/>
  <c r="CE60" i="51"/>
  <c r="CE58" i="51"/>
  <c r="BY57" i="51"/>
  <c r="BY59" i="51" s="1"/>
  <c r="CC179" i="51"/>
  <c r="BY185" i="51"/>
  <c r="BY188" i="51"/>
  <c r="BY189" i="51"/>
  <c r="BR203" i="3"/>
  <c r="BR200" i="3"/>
  <c r="BR201" i="3" s="1"/>
  <c r="AU181" i="119" s="1"/>
  <c r="BQ252" i="51"/>
  <c r="BQ253" i="51" s="1"/>
  <c r="BQ202" i="3"/>
  <c r="BS237" i="51"/>
  <c r="BU237" i="51" s="1"/>
  <c r="BS199" i="3"/>
  <c r="BO199" i="3"/>
  <c r="CD35" i="51"/>
  <c r="BO75" i="106"/>
  <c r="CE195" i="51"/>
  <c r="CE116" i="51"/>
  <c r="CE118" i="51" s="1"/>
  <c r="CE194" i="51"/>
  <c r="CE192" i="51"/>
  <c r="CE196" i="51"/>
  <c r="CE193" i="51"/>
  <c r="BO13" i="3"/>
  <c r="CF115" i="51"/>
  <c r="CF102" i="51"/>
  <c r="CF104" i="51" s="1"/>
  <c r="CG104" i="51" s="1"/>
  <c r="CC42" i="51"/>
  <c r="CC43" i="51" s="1"/>
  <c r="CC45" i="51" s="1"/>
  <c r="BO27" i="106"/>
  <c r="BO32" i="106" s="1"/>
  <c r="BO76" i="106"/>
  <c r="BO188" i="3"/>
  <c r="BM201" i="3"/>
  <c r="CC153" i="51"/>
  <c r="BQ111" i="106"/>
  <c r="BQ10" i="107" s="1"/>
  <c r="BQ108" i="106"/>
  <c r="BN203" i="3"/>
  <c r="BN200" i="3"/>
  <c r="CG95" i="51"/>
  <c r="BU37" i="3"/>
  <c r="BU53" i="3"/>
  <c r="BU104" i="3"/>
  <c r="BU14" i="3"/>
  <c r="BY102" i="3"/>
  <c r="BX10" i="3"/>
  <c r="BX103" i="3"/>
  <c r="BW53" i="3"/>
  <c r="BW104" i="3"/>
  <c r="BW37" i="3"/>
  <c r="BW14" i="3"/>
  <c r="BW156" i="106" s="1"/>
  <c r="BW158" i="106" s="1"/>
  <c r="BW159" i="106" s="1"/>
  <c r="BW9" i="3"/>
  <c r="BW85" i="107" s="1"/>
  <c r="BW87" i="107" s="1"/>
  <c r="BW88" i="107" s="1"/>
  <c r="BT55" i="3"/>
  <c r="AW178" i="119" s="1"/>
  <c r="BT159" i="3"/>
  <c r="BT186" i="3"/>
  <c r="BT42" i="3"/>
  <c r="BT41" i="3"/>
  <c r="BT63" i="106"/>
  <c r="BX54" i="3"/>
  <c r="BX147" i="3"/>
  <c r="BX26" i="106"/>
  <c r="BU164" i="3"/>
  <c r="BU165" i="3" s="1"/>
  <c r="BW38" i="3"/>
  <c r="BW54" i="3"/>
  <c r="BW147" i="3"/>
  <c r="BW26" i="106"/>
  <c r="BW158" i="3"/>
  <c r="AQ302" i="51"/>
  <c r="AQ283" i="51"/>
  <c r="AQ285" i="51" s="1"/>
  <c r="BM81" i="3"/>
  <c r="CD145" i="106"/>
  <c r="CE146" i="106" s="1"/>
  <c r="BT257" i="51"/>
  <c r="BT250" i="51" s="1"/>
  <c r="BS250" i="51"/>
  <c r="BT244" i="51"/>
  <c r="BT238" i="51" s="1"/>
  <c r="BT239" i="51" s="1"/>
  <c r="BT240" i="51" s="1"/>
  <c r="BS238" i="51"/>
  <c r="BT258" i="51"/>
  <c r="BT251" i="51" s="1"/>
  <c r="BS251" i="51"/>
  <c r="BR252" i="51"/>
  <c r="BR253" i="51" s="1"/>
  <c r="BT256" i="51"/>
  <c r="BT249" i="51" s="1"/>
  <c r="BS249" i="51"/>
  <c r="CE147" i="51"/>
  <c r="CE149" i="51" s="1"/>
  <c r="CE219" i="51"/>
  <c r="CG146" i="51"/>
  <c r="CF147" i="51"/>
  <c r="CF149" i="51" s="1"/>
  <c r="CF219" i="51"/>
  <c r="CF38" i="51"/>
  <c r="CE36" i="51"/>
  <c r="CG29" i="51"/>
  <c r="CF54" i="51"/>
  <c r="CG54" i="51" s="1"/>
  <c r="CF171" i="51"/>
  <c r="CF172" i="51" s="1"/>
  <c r="CG172" i="51" s="1"/>
  <c r="CE216" i="51"/>
  <c r="AW283" i="51"/>
  <c r="AW285" i="51" s="1"/>
  <c r="BO79" i="51" l="1"/>
  <c r="BU153" i="3"/>
  <c r="BI19" i="51"/>
  <c r="AR181" i="119"/>
  <c r="AT39" i="119"/>
  <c r="AT131" i="119" s="1"/>
  <c r="CC23" i="51"/>
  <c r="CC26" i="51" s="1"/>
  <c r="AT116" i="119"/>
  <c r="CF16" i="51"/>
  <c r="CF22" i="51" s="1"/>
  <c r="BZ22" i="51"/>
  <c r="BZ23" i="51" s="1"/>
  <c r="BZ26" i="51" s="1"/>
  <c r="AS39" i="119"/>
  <c r="AS131" i="119" s="1"/>
  <c r="CE23" i="51"/>
  <c r="CE26" i="51" s="1"/>
  <c r="BT187" i="3"/>
  <c r="BT188" i="3" s="1"/>
  <c r="AW179" i="119"/>
  <c r="AW180" i="119" s="1"/>
  <c r="BU82" i="51"/>
  <c r="BU85" i="51" s="1"/>
  <c r="BW160" i="106"/>
  <c r="BU156" i="106"/>
  <c r="BU88" i="107"/>
  <c r="AS36" i="119"/>
  <c r="AS128" i="119" s="1"/>
  <c r="BU85" i="107"/>
  <c r="BU87" i="107" s="1"/>
  <c r="BX81" i="51"/>
  <c r="BX82" i="51" s="1"/>
  <c r="BX85" i="51" s="1"/>
  <c r="BZ79" i="51"/>
  <c r="BY76" i="51"/>
  <c r="BY75" i="51" s="1"/>
  <c r="BW82" i="51"/>
  <c r="BW85" i="51" s="1"/>
  <c r="BX38" i="3"/>
  <c r="BX155" i="106"/>
  <c r="BU11" i="107"/>
  <c r="BW11" i="107"/>
  <c r="BU21" i="107"/>
  <c r="BS19" i="107"/>
  <c r="BU23" i="106"/>
  <c r="BU27" i="106" s="1"/>
  <c r="BU32" i="106" s="1"/>
  <c r="BT23" i="107"/>
  <c r="BU23" i="107" s="1"/>
  <c r="BQ13" i="3"/>
  <c r="BQ62" i="106" s="1"/>
  <c r="BU52" i="3"/>
  <c r="BY201" i="51"/>
  <c r="BY200" i="51"/>
  <c r="CE178" i="51"/>
  <c r="BY202" i="51"/>
  <c r="BY175" i="51"/>
  <c r="BY199" i="51"/>
  <c r="BY8" i="3"/>
  <c r="BY203" i="51"/>
  <c r="CE176" i="51"/>
  <c r="CE48" i="3" s="1"/>
  <c r="CD179" i="51"/>
  <c r="CD49" i="3" s="1"/>
  <c r="CD51" i="3" s="1"/>
  <c r="CA226" i="51"/>
  <c r="AU116" i="119"/>
  <c r="AU36" i="119"/>
  <c r="AU128" i="119" s="1"/>
  <c r="AU119" i="119"/>
  <c r="AU39" i="119"/>
  <c r="AU131" i="119" s="1"/>
  <c r="AT128" i="119"/>
  <c r="CE165" i="51"/>
  <c r="BY146" i="3"/>
  <c r="BY151" i="3"/>
  <c r="BY163" i="3" s="1"/>
  <c r="BY164" i="3" s="1"/>
  <c r="BY165" i="3" s="1"/>
  <c r="BO20" i="51"/>
  <c r="BX157" i="3"/>
  <c r="BX158" i="3" s="1"/>
  <c r="CA49" i="3"/>
  <c r="CA51" i="3" s="1"/>
  <c r="BX152" i="3"/>
  <c r="BX153" i="3" s="1"/>
  <c r="CC49" i="3"/>
  <c r="CC51" i="3" s="1"/>
  <c r="BX190" i="3"/>
  <c r="BX13" i="106"/>
  <c r="BX194" i="3"/>
  <c r="BX103" i="106"/>
  <c r="BX27" i="107" s="1"/>
  <c r="BX180" i="51"/>
  <c r="BX192" i="3"/>
  <c r="BX39" i="3"/>
  <c r="BX196" i="3"/>
  <c r="BX198" i="3"/>
  <c r="BX10" i="106"/>
  <c r="BX20" i="107" s="1"/>
  <c r="BX47" i="3"/>
  <c r="BX50" i="3"/>
  <c r="CF158" i="51"/>
  <c r="BZ186" i="51"/>
  <c r="CA163" i="51"/>
  <c r="BO26" i="51"/>
  <c r="BW50" i="3"/>
  <c r="BU11" i="106"/>
  <c r="BU75" i="106" s="1"/>
  <c r="BZ156" i="51"/>
  <c r="CG136" i="51"/>
  <c r="CG142" i="51"/>
  <c r="BO85" i="51"/>
  <c r="CA227" i="51"/>
  <c r="AV14" i="119"/>
  <c r="AV11" i="119"/>
  <c r="CF154" i="3"/>
  <c r="CG100" i="3"/>
  <c r="CG101" i="3" s="1"/>
  <c r="CG144" i="3"/>
  <c r="CG135" i="3"/>
  <c r="CG136" i="3" s="1"/>
  <c r="CG168" i="51"/>
  <c r="CG231" i="51"/>
  <c r="CG230" i="51"/>
  <c r="BT338" i="51"/>
  <c r="BS208" i="51"/>
  <c r="BS140" i="51"/>
  <c r="BS141" i="51" s="1"/>
  <c r="BS144" i="51" s="1"/>
  <c r="BT27" i="106"/>
  <c r="BT32" i="106" s="1"/>
  <c r="CF60" i="51"/>
  <c r="CF162" i="51"/>
  <c r="BU36" i="3"/>
  <c r="CG157" i="51"/>
  <c r="BZ189" i="51"/>
  <c r="BZ141" i="3"/>
  <c r="BZ145" i="3" s="1"/>
  <c r="BZ11" i="3" s="1"/>
  <c r="BZ86" i="107" s="1"/>
  <c r="CA56" i="51"/>
  <c r="CA187" i="51" s="1"/>
  <c r="BZ185" i="51"/>
  <c r="BZ98" i="3"/>
  <c r="CA98" i="3" s="1"/>
  <c r="BZ187" i="51"/>
  <c r="CA160" i="51"/>
  <c r="CA161" i="51" s="1"/>
  <c r="BZ174" i="51"/>
  <c r="BZ57" i="51"/>
  <c r="BZ59" i="51" s="1"/>
  <c r="CA59" i="51" s="1"/>
  <c r="CE61" i="51"/>
  <c r="CG47" i="51"/>
  <c r="CF164" i="51"/>
  <c r="CG155" i="51"/>
  <c r="BU108" i="106"/>
  <c r="CA102" i="106" s="1"/>
  <c r="CA154" i="51"/>
  <c r="CF58" i="51"/>
  <c r="CA43" i="51"/>
  <c r="CG44" i="51"/>
  <c r="CD42" i="51"/>
  <c r="CD56" i="51" s="1"/>
  <c r="CD188" i="51" s="1"/>
  <c r="CD153" i="51"/>
  <c r="BR202" i="3"/>
  <c r="BS239" i="51"/>
  <c r="BS240" i="51" s="1"/>
  <c r="BO77" i="106"/>
  <c r="BM80" i="3"/>
  <c r="BS200" i="3"/>
  <c r="BS201" i="3" s="1"/>
  <c r="AV181" i="119" s="1"/>
  <c r="BO203" i="3"/>
  <c r="BS203" i="3"/>
  <c r="BT199" i="3"/>
  <c r="BO200" i="3"/>
  <c r="CC226" i="51"/>
  <c r="BM202" i="3"/>
  <c r="BQ114" i="106"/>
  <c r="BR110" i="106" s="1"/>
  <c r="CC56" i="51"/>
  <c r="CC188" i="51" s="1"/>
  <c r="BN201" i="3"/>
  <c r="BR102" i="106"/>
  <c r="CF195" i="51"/>
  <c r="CG115" i="51"/>
  <c r="CF116" i="51"/>
  <c r="CF118" i="51" s="1"/>
  <c r="CG118" i="51" s="1"/>
  <c r="CF196" i="51"/>
  <c r="CF192" i="51"/>
  <c r="CF194" i="51"/>
  <c r="CF193" i="51"/>
  <c r="BN40" i="3"/>
  <c r="BN56" i="3"/>
  <c r="CE35" i="51"/>
  <c r="CC160" i="51"/>
  <c r="CC141" i="3" s="1"/>
  <c r="BO40" i="3"/>
  <c r="BO56" i="3"/>
  <c r="BO62" i="106"/>
  <c r="BU110" i="106"/>
  <c r="BO117" i="106"/>
  <c r="CG38" i="51"/>
  <c r="CC227" i="51"/>
  <c r="CC154" i="51"/>
  <c r="BN117" i="106"/>
  <c r="BY103" i="3"/>
  <c r="BY10" i="3"/>
  <c r="BX37" i="3"/>
  <c r="BX53" i="3"/>
  <c r="BX104" i="3"/>
  <c r="BX14" i="3"/>
  <c r="BX156" i="106" s="1"/>
  <c r="BX9" i="3"/>
  <c r="BX85" i="107" s="1"/>
  <c r="BX87" i="107" s="1"/>
  <c r="BX88" i="107" s="1"/>
  <c r="BX11" i="107" s="1"/>
  <c r="CG171" i="51"/>
  <c r="BW11" i="106"/>
  <c r="BW21" i="107" s="1"/>
  <c r="BW36" i="3"/>
  <c r="BW52" i="3"/>
  <c r="BW23" i="106"/>
  <c r="BU55" i="3"/>
  <c r="BU41" i="3"/>
  <c r="BU42" i="3"/>
  <c r="BU186" i="3"/>
  <c r="BU159" i="3"/>
  <c r="BU63" i="106"/>
  <c r="BY147" i="3"/>
  <c r="BY54" i="3"/>
  <c r="BY26" i="106"/>
  <c r="BW186" i="3"/>
  <c r="BW41" i="3"/>
  <c r="BW159" i="3"/>
  <c r="BW55" i="3"/>
  <c r="AX178" i="119" s="1"/>
  <c r="BW42" i="3"/>
  <c r="BW63" i="106"/>
  <c r="BU238" i="51"/>
  <c r="BU239" i="51" s="1"/>
  <c r="BU250" i="51"/>
  <c r="CE23" i="3"/>
  <c r="CE14" i="107" s="1"/>
  <c r="BO81" i="3"/>
  <c r="BU251" i="51"/>
  <c r="BT252" i="51"/>
  <c r="BT253" i="51" s="1"/>
  <c r="CG149" i="51"/>
  <c r="CF36" i="51"/>
  <c r="CG216" i="51"/>
  <c r="BS252" i="51"/>
  <c r="BS253" i="51" s="1"/>
  <c r="BU249" i="51"/>
  <c r="CG147" i="51"/>
  <c r="CG219" i="51"/>
  <c r="BC283" i="51"/>
  <c r="BC285" i="51" s="1"/>
  <c r="AS181" i="119" l="1"/>
  <c r="CF23" i="51"/>
  <c r="CF26" i="51" s="1"/>
  <c r="BW187" i="3"/>
  <c r="BW188" i="3" s="1"/>
  <c r="AX179" i="119"/>
  <c r="AX180" i="119" s="1"/>
  <c r="BU89" i="107"/>
  <c r="BY81" i="51"/>
  <c r="CC79" i="51"/>
  <c r="BZ76" i="51"/>
  <c r="BZ75" i="51" s="1"/>
  <c r="BU76" i="106"/>
  <c r="BU77" i="106" s="1"/>
  <c r="BY196" i="3"/>
  <c r="BY155" i="106"/>
  <c r="BX158" i="106"/>
  <c r="BX159" i="106" s="1"/>
  <c r="BX160" i="106" s="1"/>
  <c r="BQ40" i="3"/>
  <c r="BU19" i="107"/>
  <c r="BX31" i="107"/>
  <c r="BW27" i="106"/>
  <c r="BW32" i="106" s="1"/>
  <c r="BW23" i="107"/>
  <c r="BQ56" i="3"/>
  <c r="BX22" i="107"/>
  <c r="BT19" i="107"/>
  <c r="CE15" i="107"/>
  <c r="BY103" i="106"/>
  <c r="BY27" i="107" s="1"/>
  <c r="BY31" i="107" s="1"/>
  <c r="BY39" i="3"/>
  <c r="BY192" i="3"/>
  <c r="BY177" i="51"/>
  <c r="BY50" i="3" s="1"/>
  <c r="BY47" i="3"/>
  <c r="BY194" i="3"/>
  <c r="BY10" i="106"/>
  <c r="BY38" i="3"/>
  <c r="BY13" i="106"/>
  <c r="CE179" i="51"/>
  <c r="CE49" i="3" s="1"/>
  <c r="CE51" i="3" s="1"/>
  <c r="BY190" i="3"/>
  <c r="BY180" i="51"/>
  <c r="BY198" i="3"/>
  <c r="BY152" i="3"/>
  <c r="BY153" i="3" s="1"/>
  <c r="BY157" i="3"/>
  <c r="BY158" i="3" s="1"/>
  <c r="AV116" i="119"/>
  <c r="AV36" i="119"/>
  <c r="BU187" i="3"/>
  <c r="AV119" i="119"/>
  <c r="AV39" i="119"/>
  <c r="CG158" i="51"/>
  <c r="CD154" i="51"/>
  <c r="BZ8" i="3"/>
  <c r="CA156" i="51"/>
  <c r="CF61" i="51"/>
  <c r="CG61" i="51" s="1"/>
  <c r="BW338" i="51"/>
  <c r="BT208" i="51"/>
  <c r="BT140" i="51"/>
  <c r="CG154" i="3"/>
  <c r="CG155" i="3" s="1"/>
  <c r="CF155" i="3"/>
  <c r="CF156" i="3" s="1"/>
  <c r="CD160" i="51"/>
  <c r="CD98" i="3" s="1"/>
  <c r="CD226" i="51"/>
  <c r="BZ203" i="51"/>
  <c r="CD227" i="51"/>
  <c r="CG162" i="51"/>
  <c r="CA141" i="3"/>
  <c r="CA142" i="3" s="1"/>
  <c r="CA57" i="51"/>
  <c r="CG164" i="51"/>
  <c r="BZ151" i="3"/>
  <c r="CA151" i="3" s="1"/>
  <c r="CA152" i="3" s="1"/>
  <c r="CA153" i="3" s="1"/>
  <c r="CF176" i="51"/>
  <c r="CA145" i="3"/>
  <c r="CA137" i="3" s="1"/>
  <c r="CA138" i="3" s="1"/>
  <c r="CG60" i="51"/>
  <c r="CA189" i="51"/>
  <c r="CA188" i="51"/>
  <c r="BZ201" i="51"/>
  <c r="CA185" i="51"/>
  <c r="CA186" i="51"/>
  <c r="BZ175" i="51"/>
  <c r="BZ102" i="3"/>
  <c r="CA102" i="3" s="1"/>
  <c r="CD43" i="51"/>
  <c r="CD45" i="51" s="1"/>
  <c r="CA93" i="3"/>
  <c r="CA94" i="3" s="1"/>
  <c r="CA95" i="3" s="1"/>
  <c r="CA99" i="3"/>
  <c r="BZ146" i="3"/>
  <c r="BZ202" i="51"/>
  <c r="CA174" i="51"/>
  <c r="CF165" i="51"/>
  <c r="CG165" i="51" s="1"/>
  <c r="BZ200" i="51"/>
  <c r="BZ199" i="51"/>
  <c r="CF178" i="51"/>
  <c r="CC187" i="51"/>
  <c r="CC186" i="51"/>
  <c r="CC185" i="51"/>
  <c r="BM82" i="106"/>
  <c r="CG58" i="51"/>
  <c r="CC189" i="51"/>
  <c r="CC57" i="51"/>
  <c r="CC59" i="51" s="1"/>
  <c r="CE153" i="51"/>
  <c r="CE42" i="51"/>
  <c r="CE43" i="51" s="1"/>
  <c r="CE45" i="51" s="1"/>
  <c r="BW199" i="3"/>
  <c r="BM41" i="106"/>
  <c r="BM97" i="106" s="1"/>
  <c r="BU199" i="3"/>
  <c r="BT200" i="3"/>
  <c r="BO201" i="3"/>
  <c r="BT203" i="3"/>
  <c r="BS202" i="3"/>
  <c r="BQ116" i="106"/>
  <c r="BQ16" i="106" s="1"/>
  <c r="BQ59" i="106" s="1"/>
  <c r="BR108" i="106"/>
  <c r="BR111" i="106"/>
  <c r="BR10" i="107" s="1"/>
  <c r="CG194" i="51"/>
  <c r="CG193" i="51"/>
  <c r="CG196" i="51"/>
  <c r="CG195" i="51"/>
  <c r="CG116" i="51"/>
  <c r="CG192" i="51"/>
  <c r="CC174" i="51"/>
  <c r="CC98" i="3"/>
  <c r="CC151" i="3" s="1"/>
  <c r="BO16" i="106"/>
  <c r="BO59" i="106" s="1"/>
  <c r="BN202" i="3"/>
  <c r="CC156" i="51"/>
  <c r="CC161" i="51"/>
  <c r="CC163" i="51" s="1"/>
  <c r="CF35" i="51"/>
  <c r="BU257" i="51"/>
  <c r="BW257" i="51" s="1"/>
  <c r="BW250" i="51" s="1"/>
  <c r="BU244" i="51"/>
  <c r="BW244" i="51" s="1"/>
  <c r="BX244" i="51" s="1"/>
  <c r="BZ147" i="3"/>
  <c r="BZ54" i="3"/>
  <c r="BZ26" i="106"/>
  <c r="CA11" i="3"/>
  <c r="BX36" i="3"/>
  <c r="BX23" i="106"/>
  <c r="BX23" i="107" s="1"/>
  <c r="BX52" i="3"/>
  <c r="BX11" i="106"/>
  <c r="BY37" i="3"/>
  <c r="BY53" i="3"/>
  <c r="BY104" i="3"/>
  <c r="BY14" i="3"/>
  <c r="BY156" i="106" s="1"/>
  <c r="BY158" i="106" s="1"/>
  <c r="BY159" i="106" s="1"/>
  <c r="BY9" i="3"/>
  <c r="BY85" i="107" s="1"/>
  <c r="BY87" i="107" s="1"/>
  <c r="BY88" i="107" s="1"/>
  <c r="BY11" i="107" s="1"/>
  <c r="BU258" i="51"/>
  <c r="BW258" i="51" s="1"/>
  <c r="BX258" i="51" s="1"/>
  <c r="BX42" i="3"/>
  <c r="BX41" i="3"/>
  <c r="BX55" i="3"/>
  <c r="AY178" i="119" s="1"/>
  <c r="BX186" i="3"/>
  <c r="BX159" i="3"/>
  <c r="BX63" i="106"/>
  <c r="CC145" i="3"/>
  <c r="BU243" i="51"/>
  <c r="BW243" i="51" s="1"/>
  <c r="BW237" i="51" s="1"/>
  <c r="BR81" i="3"/>
  <c r="BO32" i="3"/>
  <c r="BQ81" i="3"/>
  <c r="BO38" i="106"/>
  <c r="BQ38" i="106"/>
  <c r="BO92" i="106"/>
  <c r="BU245" i="51"/>
  <c r="BW245" i="51" s="1"/>
  <c r="BX245" i="51" s="1"/>
  <c r="BY245" i="51" s="1"/>
  <c r="BZ245" i="51" s="1"/>
  <c r="BU240" i="51"/>
  <c r="BU252" i="51"/>
  <c r="BU256" i="51"/>
  <c r="BW256" i="51" s="1"/>
  <c r="CD57" i="51"/>
  <c r="CD59" i="51" s="1"/>
  <c r="CD189" i="51"/>
  <c r="CD185" i="51"/>
  <c r="CD186" i="51"/>
  <c r="CD187" i="51"/>
  <c r="BI283" i="51"/>
  <c r="BI285" i="51" s="1"/>
  <c r="BO283" i="51" l="1"/>
  <c r="BO285" i="51" s="1"/>
  <c r="CG156" i="3"/>
  <c r="BM98" i="106"/>
  <c r="BM96" i="106"/>
  <c r="BO96" i="106" s="1"/>
  <c r="BY160" i="106"/>
  <c r="BX187" i="3"/>
  <c r="BX188" i="3" s="1"/>
  <c r="AY179" i="119"/>
  <c r="AY180" i="119" s="1"/>
  <c r="BZ81" i="51"/>
  <c r="BZ82" i="51" s="1"/>
  <c r="BZ85" i="51" s="1"/>
  <c r="CD79" i="51"/>
  <c r="CC76" i="51"/>
  <c r="CC75" i="51" s="1"/>
  <c r="CA75" i="51"/>
  <c r="CA76" i="51" s="1"/>
  <c r="CA79" i="51" s="1"/>
  <c r="BY82" i="51"/>
  <c r="BY85" i="51" s="1"/>
  <c r="CA8" i="3"/>
  <c r="BZ155" i="106"/>
  <c r="CA86" i="107"/>
  <c r="BM44" i="106"/>
  <c r="BM170" i="106"/>
  <c r="BX21" i="107"/>
  <c r="BY22" i="107"/>
  <c r="BY20" i="107"/>
  <c r="BW19" i="107"/>
  <c r="BR13" i="3"/>
  <c r="BZ192" i="3"/>
  <c r="BU188" i="3"/>
  <c r="BZ38" i="3"/>
  <c r="BZ103" i="106"/>
  <c r="BZ27" i="107" s="1"/>
  <c r="BZ13" i="106"/>
  <c r="BZ22" i="107" s="1"/>
  <c r="BZ198" i="3"/>
  <c r="BZ47" i="3"/>
  <c r="AV131" i="119"/>
  <c r="AV128" i="119"/>
  <c r="BZ39" i="3"/>
  <c r="BZ180" i="51"/>
  <c r="BZ196" i="3"/>
  <c r="BZ194" i="3"/>
  <c r="BZ10" i="106"/>
  <c r="BZ20" i="107" s="1"/>
  <c r="BZ190" i="3"/>
  <c r="BZ177" i="51"/>
  <c r="CA201" i="51"/>
  <c r="CC8" i="3"/>
  <c r="CD156" i="51"/>
  <c r="CF48" i="3"/>
  <c r="CF153" i="51"/>
  <c r="CE226" i="51"/>
  <c r="BU140" i="51"/>
  <c r="BT141" i="51"/>
  <c r="BT144" i="51" s="1"/>
  <c r="AW14" i="119"/>
  <c r="BU22" i="51"/>
  <c r="BU23" i="51" s="1"/>
  <c r="BU26" i="51" s="1"/>
  <c r="CD174" i="51"/>
  <c r="CD141" i="3"/>
  <c r="CD145" i="3" s="1"/>
  <c r="CD11" i="3" s="1"/>
  <c r="CD86" i="107" s="1"/>
  <c r="CD161" i="51"/>
  <c r="CD163" i="51" s="1"/>
  <c r="BZ10" i="3"/>
  <c r="CA10" i="3" s="1"/>
  <c r="CF179" i="51"/>
  <c r="BX338" i="51"/>
  <c r="BW208" i="51"/>
  <c r="BW140" i="51"/>
  <c r="BW141" i="51" s="1"/>
  <c r="BW144" i="51" s="1"/>
  <c r="CE160" i="51"/>
  <c r="CE98" i="3" s="1"/>
  <c r="CE102" i="3" s="1"/>
  <c r="CE154" i="51"/>
  <c r="BZ163" i="3"/>
  <c r="BZ164" i="3" s="1"/>
  <c r="BZ165" i="3" s="1"/>
  <c r="CA133" i="3"/>
  <c r="CA134" i="3" s="1"/>
  <c r="BZ152" i="3"/>
  <c r="BZ153" i="3" s="1"/>
  <c r="CA163" i="3"/>
  <c r="CA203" i="51"/>
  <c r="BZ103" i="3"/>
  <c r="BZ157" i="3"/>
  <c r="BZ158" i="3" s="1"/>
  <c r="CA202" i="51"/>
  <c r="CA199" i="51"/>
  <c r="CG176" i="51"/>
  <c r="CA146" i="3"/>
  <c r="CA103" i="3"/>
  <c r="CA175" i="51"/>
  <c r="CA200" i="51"/>
  <c r="CG178" i="51"/>
  <c r="CC200" i="51"/>
  <c r="BM81" i="106"/>
  <c r="BM80" i="106"/>
  <c r="CE227" i="51"/>
  <c r="CE56" i="51"/>
  <c r="CE188" i="51" s="1"/>
  <c r="BW203" i="3"/>
  <c r="BW200" i="3"/>
  <c r="CC201" i="51"/>
  <c r="BX199" i="3"/>
  <c r="BT201" i="3"/>
  <c r="BU200" i="3"/>
  <c r="BU203" i="3"/>
  <c r="BW238" i="51"/>
  <c r="BW239" i="51" s="1"/>
  <c r="BW240" i="51" s="1"/>
  <c r="BX257" i="51"/>
  <c r="BY257" i="51" s="1"/>
  <c r="BR114" i="106"/>
  <c r="BS110" i="106" s="1"/>
  <c r="BO202" i="3"/>
  <c r="BQ117" i="106"/>
  <c r="BS102" i="106"/>
  <c r="CC199" i="51"/>
  <c r="CC203" i="51"/>
  <c r="CC202" i="51"/>
  <c r="CC175" i="51"/>
  <c r="CF42" i="51"/>
  <c r="CC102" i="3"/>
  <c r="CC103" i="3" s="1"/>
  <c r="CG35" i="51"/>
  <c r="CD102" i="3"/>
  <c r="BX27" i="106"/>
  <c r="BX32" i="106" s="1"/>
  <c r="CC152" i="3"/>
  <c r="CC153" i="3" s="1"/>
  <c r="CC163" i="3"/>
  <c r="CC164" i="3" s="1"/>
  <c r="CC165" i="3" s="1"/>
  <c r="CC157" i="3"/>
  <c r="BY23" i="106"/>
  <c r="BY23" i="107" s="1"/>
  <c r="BY36" i="3"/>
  <c r="BY52" i="3"/>
  <c r="BY11" i="106"/>
  <c r="CA147" i="3"/>
  <c r="CA54" i="3"/>
  <c r="BY159" i="3"/>
  <c r="BY55" i="3"/>
  <c r="AZ178" i="119" s="1"/>
  <c r="BY186" i="3"/>
  <c r="BY41" i="3"/>
  <c r="BY42" i="3"/>
  <c r="BY63" i="106"/>
  <c r="CA26" i="106"/>
  <c r="CA88" i="106" s="1"/>
  <c r="BW251" i="51"/>
  <c r="BX243" i="51"/>
  <c r="BX237" i="51" s="1"/>
  <c r="CC11" i="3"/>
  <c r="CC86" i="107" s="1"/>
  <c r="CC146" i="3"/>
  <c r="BO31" i="3"/>
  <c r="CE19" i="106"/>
  <c r="CE174" i="106" s="1"/>
  <c r="BR38" i="106"/>
  <c r="BQ92" i="106"/>
  <c r="BQ71" i="3"/>
  <c r="BX256" i="51"/>
  <c r="BW249" i="51"/>
  <c r="BX251" i="51"/>
  <c r="BY258" i="51"/>
  <c r="BX238" i="51"/>
  <c r="BY244" i="51"/>
  <c r="BU259" i="51"/>
  <c r="BW259" i="51" s="1"/>
  <c r="BX259" i="51" s="1"/>
  <c r="BY259" i="51" s="1"/>
  <c r="BZ259" i="51" s="1"/>
  <c r="BU253" i="51"/>
  <c r="BM65" i="106" l="1"/>
  <c r="BM56" i="106"/>
  <c r="BT202" i="3"/>
  <c r="AW181" i="119"/>
  <c r="BY187" i="3"/>
  <c r="BY188" i="3" s="1"/>
  <c r="AZ179" i="119"/>
  <c r="AZ180" i="119" s="1"/>
  <c r="CA194" i="3"/>
  <c r="CA180" i="51"/>
  <c r="CA198" i="3"/>
  <c r="CA39" i="3"/>
  <c r="CA190" i="3"/>
  <c r="CA155" i="106"/>
  <c r="CA38" i="3"/>
  <c r="CA192" i="3"/>
  <c r="CA47" i="3"/>
  <c r="CA196" i="3"/>
  <c r="CA81" i="51"/>
  <c r="CA82" i="51" s="1"/>
  <c r="CA85" i="51" s="1"/>
  <c r="CC81" i="51"/>
  <c r="CE79" i="51"/>
  <c r="CD76" i="51"/>
  <c r="CD75" i="51" s="1"/>
  <c r="CD81" i="51" s="1"/>
  <c r="CD82" i="51" s="1"/>
  <c r="CD85" i="51" s="1"/>
  <c r="AW11" i="119"/>
  <c r="AW36" i="119" s="1"/>
  <c r="BM46" i="106"/>
  <c r="CC190" i="3"/>
  <c r="CC155" i="106"/>
  <c r="CA22" i="107"/>
  <c r="BX19" i="107"/>
  <c r="BZ31" i="107"/>
  <c r="CA27" i="107"/>
  <c r="CA31" i="107" s="1"/>
  <c r="CA20" i="107"/>
  <c r="BY21" i="107"/>
  <c r="BY19" i="107" s="1"/>
  <c r="BR56" i="3"/>
  <c r="BR40" i="3"/>
  <c r="BR62" i="106"/>
  <c r="CC13" i="106"/>
  <c r="CC39" i="3"/>
  <c r="CC198" i="3"/>
  <c r="CC180" i="51"/>
  <c r="CC196" i="3"/>
  <c r="CC103" i="106"/>
  <c r="CC27" i="107" s="1"/>
  <c r="CC47" i="3"/>
  <c r="CC194" i="3"/>
  <c r="CC192" i="3"/>
  <c r="CC10" i="106"/>
  <c r="CC20" i="107" s="1"/>
  <c r="CA13" i="106"/>
  <c r="CA87" i="106" s="1"/>
  <c r="CF226" i="51"/>
  <c r="CA103" i="106"/>
  <c r="CA104" i="106" s="1"/>
  <c r="CA10" i="106"/>
  <c r="CA74" i="106" s="1"/>
  <c r="AW39" i="119"/>
  <c r="AW119" i="119"/>
  <c r="BZ37" i="3"/>
  <c r="CE156" i="51"/>
  <c r="CF227" i="51"/>
  <c r="BZ9" i="3"/>
  <c r="CC177" i="51"/>
  <c r="BZ50" i="3"/>
  <c r="CA177" i="51"/>
  <c r="CD8" i="3"/>
  <c r="CD203" i="51"/>
  <c r="CD202" i="51"/>
  <c r="CF49" i="3"/>
  <c r="CF51" i="3" s="1"/>
  <c r="CD175" i="51"/>
  <c r="CD200" i="51"/>
  <c r="CD151" i="3"/>
  <c r="CD163" i="3" s="1"/>
  <c r="CD164" i="3" s="1"/>
  <c r="CD165" i="3" s="1"/>
  <c r="CG48" i="3"/>
  <c r="CF160" i="51"/>
  <c r="CF174" i="51" s="1"/>
  <c r="CF199" i="51" s="1"/>
  <c r="CF154" i="51"/>
  <c r="CG153" i="51"/>
  <c r="CA164" i="3"/>
  <c r="CA165" i="3" s="1"/>
  <c r="BU338" i="51"/>
  <c r="BU208" i="51" s="1"/>
  <c r="BU141" i="51"/>
  <c r="BU144" i="51" s="1"/>
  <c r="CD201" i="51"/>
  <c r="CD199" i="51"/>
  <c r="CD146" i="3"/>
  <c r="BZ53" i="3"/>
  <c r="CG179" i="51"/>
  <c r="BZ14" i="3"/>
  <c r="BZ104" i="3"/>
  <c r="CE161" i="51"/>
  <c r="CE163" i="51" s="1"/>
  <c r="CE141" i="3"/>
  <c r="CE145" i="3" s="1"/>
  <c r="BY338" i="51"/>
  <c r="BX208" i="51"/>
  <c r="BX140" i="51"/>
  <c r="BX141" i="51" s="1"/>
  <c r="BX144" i="51" s="1"/>
  <c r="CE174" i="51"/>
  <c r="CA157" i="3"/>
  <c r="CA158" i="3" s="1"/>
  <c r="CE189" i="51"/>
  <c r="CE185" i="51"/>
  <c r="BW201" i="3"/>
  <c r="CE57" i="51"/>
  <c r="CE59" i="51" s="1"/>
  <c r="CE186" i="51"/>
  <c r="CE187" i="51"/>
  <c r="BX200" i="3"/>
  <c r="BX201" i="3" s="1"/>
  <c r="AY181" i="119" s="1"/>
  <c r="BX203" i="3"/>
  <c r="CG36" i="51"/>
  <c r="BU201" i="3"/>
  <c r="BX250" i="51"/>
  <c r="BY199" i="3"/>
  <c r="BR116" i="106"/>
  <c r="BR117" i="106" s="1"/>
  <c r="CC10" i="3"/>
  <c r="CC104" i="3" s="1"/>
  <c r="CG42" i="51"/>
  <c r="CG43" i="51" s="1"/>
  <c r="CF43" i="51"/>
  <c r="CF45" i="51" s="1"/>
  <c r="CG45" i="51" s="1"/>
  <c r="CF56" i="51"/>
  <c r="BS108" i="106"/>
  <c r="BS111" i="106"/>
  <c r="BS10" i="107" s="1"/>
  <c r="BX239" i="51"/>
  <c r="BX240" i="51" s="1"/>
  <c r="CC38" i="3"/>
  <c r="CC54" i="3"/>
  <c r="CC147" i="3"/>
  <c r="CC26" i="106"/>
  <c r="CD103" i="3"/>
  <c r="CD10" i="3"/>
  <c r="BY243" i="51"/>
  <c r="BY237" i="51" s="1"/>
  <c r="CC158" i="3"/>
  <c r="BY27" i="106"/>
  <c r="BY32" i="106" s="1"/>
  <c r="CE10" i="3"/>
  <c r="CA37" i="3"/>
  <c r="CA53" i="3"/>
  <c r="CA104" i="3"/>
  <c r="CA14" i="3"/>
  <c r="CD147" i="3"/>
  <c r="CD54" i="3"/>
  <c r="CD26" i="106"/>
  <c r="BS81" i="3"/>
  <c r="BM83" i="106"/>
  <c r="BQ72" i="3"/>
  <c r="BU71" i="3"/>
  <c r="CE145" i="106"/>
  <c r="CF146" i="106" s="1"/>
  <c r="BR92" i="106"/>
  <c r="BZ257" i="51"/>
  <c r="BZ250" i="51" s="1"/>
  <c r="BY250" i="51"/>
  <c r="BW252" i="51"/>
  <c r="BW253" i="51" s="1"/>
  <c r="BY238" i="51"/>
  <c r="BZ244" i="51"/>
  <c r="BZ238" i="51" s="1"/>
  <c r="BZ258" i="51"/>
  <c r="BZ251" i="51" s="1"/>
  <c r="BY251" i="51"/>
  <c r="BY256" i="51"/>
  <c r="BX249" i="51"/>
  <c r="BO30" i="3" l="1"/>
  <c r="BW202" i="3"/>
  <c r="AX181" i="119"/>
  <c r="CA156" i="106"/>
  <c r="CE76" i="51"/>
  <c r="CE75" i="51" s="1"/>
  <c r="CE81" i="51" s="1"/>
  <c r="CE82" i="51" s="1"/>
  <c r="CE85" i="51" s="1"/>
  <c r="CF79" i="51"/>
  <c r="CF76" i="51" s="1"/>
  <c r="CF75" i="51" s="1"/>
  <c r="CF81" i="51" s="1"/>
  <c r="CF82" i="51" s="1"/>
  <c r="CF85" i="51" s="1"/>
  <c r="CC82" i="51"/>
  <c r="CC85" i="51" s="1"/>
  <c r="AW116" i="119"/>
  <c r="CD180" i="51"/>
  <c r="CD155" i="106"/>
  <c r="CA9" i="3"/>
  <c r="BZ85" i="107"/>
  <c r="BZ87" i="107" s="1"/>
  <c r="BZ88" i="107" s="1"/>
  <c r="BZ41" i="3"/>
  <c r="BZ156" i="106"/>
  <c r="BZ158" i="106" s="1"/>
  <c r="BZ159" i="106" s="1"/>
  <c r="BZ160" i="106" s="1"/>
  <c r="BM52" i="107"/>
  <c r="BM173" i="106"/>
  <c r="CC31" i="107"/>
  <c r="CC22" i="107"/>
  <c r="CD13" i="106"/>
  <c r="CD157" i="3"/>
  <c r="CD158" i="3" s="1"/>
  <c r="CD152" i="3"/>
  <c r="CD153" i="3" s="1"/>
  <c r="BZ36" i="3"/>
  <c r="BZ52" i="3"/>
  <c r="CA108" i="106"/>
  <c r="CG102" i="106" s="1"/>
  <c r="BZ11" i="106"/>
  <c r="AW128" i="119"/>
  <c r="AW131" i="119"/>
  <c r="CF141" i="3"/>
  <c r="CF145" i="3" s="1"/>
  <c r="CG145" i="3" s="1"/>
  <c r="BZ23" i="106"/>
  <c r="CF201" i="51"/>
  <c r="CF203" i="51"/>
  <c r="CG160" i="51"/>
  <c r="CG161" i="51" s="1"/>
  <c r="CF200" i="51"/>
  <c r="CF175" i="51"/>
  <c r="CF177" i="51" s="1"/>
  <c r="CG226" i="51"/>
  <c r="CF156" i="51"/>
  <c r="CF202" i="51"/>
  <c r="CE151" i="3"/>
  <c r="CE163" i="3" s="1"/>
  <c r="CE164" i="3" s="1"/>
  <c r="CE165" i="3" s="1"/>
  <c r="CG227" i="51"/>
  <c r="CF98" i="3"/>
  <c r="CF102" i="3" s="1"/>
  <c r="CG154" i="51"/>
  <c r="CF161" i="51"/>
  <c r="CF163" i="51" s="1"/>
  <c r="CG163" i="51" s="1"/>
  <c r="CC50" i="3"/>
  <c r="CD196" i="3"/>
  <c r="CD194" i="3"/>
  <c r="CD39" i="3"/>
  <c r="CD47" i="3"/>
  <c r="CD198" i="3"/>
  <c r="CD10" i="106"/>
  <c r="CA50" i="3"/>
  <c r="CE8" i="3"/>
  <c r="BZ186" i="3"/>
  <c r="CD192" i="3"/>
  <c r="CD177" i="51"/>
  <c r="BZ55" i="3"/>
  <c r="BA178" i="119" s="1"/>
  <c r="CD190" i="3"/>
  <c r="CG49" i="3"/>
  <c r="CG51" i="3" s="1"/>
  <c r="CD38" i="3"/>
  <c r="CD103" i="106"/>
  <c r="CD27" i="107" s="1"/>
  <c r="CD31" i="107" s="1"/>
  <c r="CF8" i="3"/>
  <c r="CF155" i="106" s="1"/>
  <c r="BZ42" i="3"/>
  <c r="BZ63" i="106"/>
  <c r="BZ159" i="3"/>
  <c r="CE200" i="51"/>
  <c r="BZ338" i="51"/>
  <c r="BY208" i="51"/>
  <c r="BY140" i="51"/>
  <c r="BY141" i="51" s="1"/>
  <c r="BY144" i="51" s="1"/>
  <c r="CG174" i="51"/>
  <c r="CE203" i="51"/>
  <c r="CE202" i="51"/>
  <c r="CE201" i="51"/>
  <c r="CE199" i="51"/>
  <c r="CE175" i="51"/>
  <c r="CE103" i="3"/>
  <c r="BU202" i="3"/>
  <c r="BY200" i="3"/>
  <c r="CC9" i="3"/>
  <c r="CC85" i="107" s="1"/>
  <c r="CC87" i="107" s="1"/>
  <c r="CC88" i="107" s="1"/>
  <c r="CC14" i="3"/>
  <c r="CC37" i="3"/>
  <c r="CC53" i="3"/>
  <c r="BX202" i="3"/>
  <c r="BX252" i="51"/>
  <c r="BX253" i="51" s="1"/>
  <c r="BY203" i="3"/>
  <c r="BR16" i="106"/>
  <c r="BR59" i="106" s="1"/>
  <c r="BZ243" i="51"/>
  <c r="BZ237" i="51" s="1"/>
  <c r="BZ239" i="51" s="1"/>
  <c r="BZ240" i="51" s="1"/>
  <c r="BS13" i="3"/>
  <c r="BS114" i="106"/>
  <c r="BT110" i="106" s="1"/>
  <c r="BM14" i="106"/>
  <c r="BT102" i="106"/>
  <c r="CF187" i="51"/>
  <c r="CG56" i="51"/>
  <c r="CF186" i="51"/>
  <c r="CF57" i="51"/>
  <c r="CF59" i="51" s="1"/>
  <c r="CG59" i="51" s="1"/>
  <c r="CF189" i="51"/>
  <c r="CF185" i="51"/>
  <c r="CF188" i="51"/>
  <c r="CA250" i="51"/>
  <c r="CE146" i="3"/>
  <c r="CE11" i="3"/>
  <c r="CD104" i="3"/>
  <c r="CD37" i="3"/>
  <c r="CD53" i="3"/>
  <c r="CD14" i="3"/>
  <c r="CD156" i="106" s="1"/>
  <c r="CD158" i="106" s="1"/>
  <c r="CD159" i="106" s="1"/>
  <c r="CD9" i="3"/>
  <c r="CD85" i="107" s="1"/>
  <c r="CD87" i="107" s="1"/>
  <c r="CD88" i="107" s="1"/>
  <c r="CD11" i="107" s="1"/>
  <c r="CA251" i="51"/>
  <c r="CA42" i="3"/>
  <c r="CA186" i="3"/>
  <c r="CA41" i="3"/>
  <c r="CA187" i="3" s="1"/>
  <c r="CA159" i="3"/>
  <c r="CA55" i="3"/>
  <c r="CA63" i="106"/>
  <c r="CE104" i="3"/>
  <c r="CE53" i="3"/>
  <c r="BS38" i="106"/>
  <c r="BS92" i="106" s="1"/>
  <c r="BQ31" i="3"/>
  <c r="BQ30" i="3" s="1"/>
  <c r="BQ32" i="3"/>
  <c r="BR71" i="3"/>
  <c r="BT81" i="3"/>
  <c r="CF23" i="3"/>
  <c r="CF14" i="107" s="1"/>
  <c r="CG146" i="106"/>
  <c r="BY239" i="51"/>
  <c r="BY240" i="51" s="1"/>
  <c r="BY249" i="51"/>
  <c r="BZ256" i="51"/>
  <c r="BZ249" i="51" s="1"/>
  <c r="BZ252" i="51" s="1"/>
  <c r="BZ253" i="51" s="1"/>
  <c r="CA238" i="51"/>
  <c r="BM71" i="106" l="1"/>
  <c r="BM68" i="106"/>
  <c r="BZ187" i="3"/>
  <c r="BA179" i="119"/>
  <c r="BA180" i="119" s="1"/>
  <c r="CD160" i="106"/>
  <c r="CA52" i="3"/>
  <c r="CA36" i="3"/>
  <c r="CG81" i="51"/>
  <c r="CG82" i="51" s="1"/>
  <c r="CG85" i="51" s="1"/>
  <c r="CG75" i="51"/>
  <c r="CG76" i="51" s="1"/>
  <c r="CG79" i="51" s="1"/>
  <c r="CE192" i="3"/>
  <c r="CE155" i="106"/>
  <c r="CC11" i="107"/>
  <c r="BZ11" i="107"/>
  <c r="CA11" i="107" s="1"/>
  <c r="CA88" i="107"/>
  <c r="CE14" i="3"/>
  <c r="CE156" i="106" s="1"/>
  <c r="CE158" i="106" s="1"/>
  <c r="CE159" i="106" s="1"/>
  <c r="CE86" i="107"/>
  <c r="CC186" i="3"/>
  <c r="CC156" i="106"/>
  <c r="CA85" i="107"/>
  <c r="CA87" i="107" s="1"/>
  <c r="BM177" i="106"/>
  <c r="BM180" i="106" s="1"/>
  <c r="BM58" i="106" s="1"/>
  <c r="BM176" i="106"/>
  <c r="BM179" i="106" s="1"/>
  <c r="CD20" i="107"/>
  <c r="BZ27" i="106"/>
  <c r="BZ32" i="106" s="1"/>
  <c r="BZ23" i="107"/>
  <c r="CA23" i="107" s="1"/>
  <c r="BZ21" i="107"/>
  <c r="CD22" i="107"/>
  <c r="CF15" i="107"/>
  <c r="CG15" i="107" s="1"/>
  <c r="CG14" i="107"/>
  <c r="CG156" i="51"/>
  <c r="CA23" i="106"/>
  <c r="CA76" i="106" s="1"/>
  <c r="CG141" i="3"/>
  <c r="CG142" i="3" s="1"/>
  <c r="CA11" i="106"/>
  <c r="CA75" i="106" s="1"/>
  <c r="BZ199" i="3"/>
  <c r="BZ200" i="3" s="1"/>
  <c r="BZ201" i="3" s="1"/>
  <c r="BA181" i="119" s="1"/>
  <c r="CE9" i="3"/>
  <c r="CE196" i="3"/>
  <c r="CE13" i="106"/>
  <c r="CE22" i="107" s="1"/>
  <c r="CE103" i="106"/>
  <c r="CE27" i="107" s="1"/>
  <c r="CE10" i="106"/>
  <c r="CE180" i="51"/>
  <c r="CE37" i="3"/>
  <c r="CE157" i="3"/>
  <c r="CE158" i="3" s="1"/>
  <c r="CE39" i="3"/>
  <c r="CE198" i="3"/>
  <c r="CE152" i="3"/>
  <c r="CE153" i="3" s="1"/>
  <c r="CF151" i="3"/>
  <c r="CF157" i="3" s="1"/>
  <c r="CG98" i="3"/>
  <c r="CG99" i="3" s="1"/>
  <c r="CG8" i="3"/>
  <c r="CE194" i="3"/>
  <c r="CE190" i="3"/>
  <c r="CE47" i="3"/>
  <c r="CG202" i="51"/>
  <c r="CE177" i="51"/>
  <c r="CF50" i="3"/>
  <c r="CF196" i="3"/>
  <c r="CF198" i="3"/>
  <c r="CF47" i="3"/>
  <c r="CF192" i="3"/>
  <c r="CF10" i="106"/>
  <c r="CG10" i="106" s="1"/>
  <c r="CF194" i="3"/>
  <c r="CF39" i="3"/>
  <c r="CF190" i="3"/>
  <c r="CF180" i="51"/>
  <c r="CF103" i="106"/>
  <c r="CF27" i="107" s="1"/>
  <c r="CF31" i="107" s="1"/>
  <c r="CF13" i="106"/>
  <c r="CG13" i="106" s="1"/>
  <c r="CD50" i="3"/>
  <c r="CG199" i="51"/>
  <c r="CG200" i="51"/>
  <c r="CC338" i="51"/>
  <c r="BZ208" i="51"/>
  <c r="BZ140" i="51"/>
  <c r="CG201" i="51"/>
  <c r="CG203" i="51"/>
  <c r="CG175" i="51"/>
  <c r="CC63" i="106"/>
  <c r="CC23" i="106"/>
  <c r="CC159" i="3"/>
  <c r="CC36" i="3"/>
  <c r="CC11" i="106"/>
  <c r="BY201" i="3"/>
  <c r="CC52" i="3"/>
  <c r="CC42" i="3"/>
  <c r="CC55" i="3"/>
  <c r="BB178" i="119" s="1"/>
  <c r="CC41" i="3"/>
  <c r="CA237" i="51"/>
  <c r="CA239" i="51" s="1"/>
  <c r="CA244" i="51" s="1"/>
  <c r="CC244" i="51" s="1"/>
  <c r="BS116" i="106"/>
  <c r="BS117" i="106" s="1"/>
  <c r="BS40" i="3"/>
  <c r="BS56" i="3"/>
  <c r="BS62" i="106"/>
  <c r="CG185" i="51"/>
  <c r="CG187" i="51"/>
  <c r="CG186" i="51"/>
  <c r="CG188" i="51"/>
  <c r="CG57" i="51"/>
  <c r="CG189" i="51"/>
  <c r="BM20" i="106"/>
  <c r="BM57" i="106" s="1"/>
  <c r="BT108" i="106"/>
  <c r="BT111" i="106"/>
  <c r="BT10" i="107" s="1"/>
  <c r="BU10" i="107" s="1"/>
  <c r="CG146" i="3"/>
  <c r="CG137" i="3"/>
  <c r="CG138" i="3" s="1"/>
  <c r="CA188" i="3"/>
  <c r="CD11" i="106"/>
  <c r="CD36" i="3"/>
  <c r="CD52" i="3"/>
  <c r="CD23" i="106"/>
  <c r="CE38" i="3"/>
  <c r="CE54" i="3"/>
  <c r="CE147" i="3"/>
  <c r="CE26" i="106"/>
  <c r="CD42" i="3"/>
  <c r="CD55" i="3"/>
  <c r="BC178" i="119" s="1"/>
  <c r="CD186" i="3"/>
  <c r="CD41" i="3"/>
  <c r="CD159" i="3"/>
  <c r="CD63" i="106"/>
  <c r="CF103" i="3"/>
  <c r="CF10" i="3"/>
  <c r="CG102" i="3"/>
  <c r="CG103" i="3" s="1"/>
  <c r="CF11" i="3"/>
  <c r="CF86" i="107" s="1"/>
  <c r="CF146" i="3"/>
  <c r="BT38" i="106"/>
  <c r="BT92" i="106" s="1"/>
  <c r="BU92" i="106" s="1"/>
  <c r="CG23" i="3"/>
  <c r="BW81" i="3"/>
  <c r="BR72" i="3"/>
  <c r="BR31" i="3" s="1"/>
  <c r="BR30" i="3" s="1"/>
  <c r="BU81" i="3"/>
  <c r="BY252" i="51"/>
  <c r="BY253" i="51" s="1"/>
  <c r="CA249" i="51"/>
  <c r="CC199" i="3" l="1"/>
  <c r="CG74" i="106"/>
  <c r="BZ188" i="3"/>
  <c r="BY202" i="3"/>
  <c r="AZ181" i="119"/>
  <c r="CD187" i="3"/>
  <c r="BC179" i="119"/>
  <c r="BC180" i="119" s="1"/>
  <c r="CC187" i="3"/>
  <c r="BB179" i="119"/>
  <c r="BB180" i="119" s="1"/>
  <c r="CE160" i="106"/>
  <c r="CG155" i="106"/>
  <c r="CE55" i="3"/>
  <c r="BD178" i="119" s="1"/>
  <c r="CE42" i="3"/>
  <c r="CE63" i="106"/>
  <c r="CE186" i="3"/>
  <c r="CE199" i="3" s="1"/>
  <c r="CE41" i="3"/>
  <c r="CC158" i="106"/>
  <c r="CC159" i="106" s="1"/>
  <c r="CC160" i="106" s="1"/>
  <c r="CA89" i="107"/>
  <c r="CE52" i="3"/>
  <c r="CE85" i="107"/>
  <c r="CE87" i="107" s="1"/>
  <c r="CE88" i="107" s="1"/>
  <c r="CD23" i="107"/>
  <c r="CD21" i="107"/>
  <c r="CF20" i="107"/>
  <c r="CF22" i="107"/>
  <c r="CG22" i="107" s="1"/>
  <c r="CC21" i="107"/>
  <c r="CE31" i="107"/>
  <c r="CG27" i="107"/>
  <c r="CG31" i="107" s="1"/>
  <c r="CC27" i="106"/>
  <c r="CC32" i="106" s="1"/>
  <c r="CC23" i="107"/>
  <c r="CE20" i="107"/>
  <c r="BZ19" i="107"/>
  <c r="CA21" i="107"/>
  <c r="CA19" i="107" s="1"/>
  <c r="CG198" i="3"/>
  <c r="BZ203" i="3"/>
  <c r="CE23" i="106"/>
  <c r="CE23" i="107" s="1"/>
  <c r="CA27" i="106"/>
  <c r="CA32" i="106" s="1"/>
  <c r="CA199" i="3"/>
  <c r="CG133" i="3"/>
  <c r="CG134" i="3" s="1"/>
  <c r="CG151" i="3"/>
  <c r="CG163" i="3" s="1"/>
  <c r="CF163" i="3"/>
  <c r="CF164" i="3" s="1"/>
  <c r="CF165" i="3" s="1"/>
  <c r="CF152" i="3"/>
  <c r="CF153" i="3" s="1"/>
  <c r="CG93" i="3"/>
  <c r="CG94" i="3" s="1"/>
  <c r="CG95" i="3" s="1"/>
  <c r="CE11" i="106"/>
  <c r="CE21" i="107" s="1"/>
  <c r="CE36" i="3"/>
  <c r="CG192" i="3"/>
  <c r="CE159" i="3"/>
  <c r="CG87" i="106"/>
  <c r="CG180" i="51"/>
  <c r="CG190" i="3"/>
  <c r="CG196" i="3"/>
  <c r="CG47" i="3"/>
  <c r="CG39" i="3"/>
  <c r="CG194" i="3"/>
  <c r="CE50" i="3"/>
  <c r="CG177" i="51"/>
  <c r="CG103" i="106"/>
  <c r="CG104" i="106" s="1"/>
  <c r="CA140" i="51"/>
  <c r="BZ141" i="51"/>
  <c r="BZ144" i="51" s="1"/>
  <c r="CA22" i="51"/>
  <c r="CA23" i="51" s="1"/>
  <c r="CA26" i="51" s="1"/>
  <c r="CD338" i="51"/>
  <c r="CC208" i="51"/>
  <c r="CC140" i="51"/>
  <c r="CC141" i="51" s="1"/>
  <c r="CC144" i="51" s="1"/>
  <c r="CD199" i="3"/>
  <c r="BZ202" i="3"/>
  <c r="BS16" i="106"/>
  <c r="BS59" i="106" s="1"/>
  <c r="BT114" i="106"/>
  <c r="BW110" i="106" s="1"/>
  <c r="BU111" i="106"/>
  <c r="CA243" i="51"/>
  <c r="CC243" i="51" s="1"/>
  <c r="CC237" i="51" s="1"/>
  <c r="BM48" i="106"/>
  <c r="BO17" i="3"/>
  <c r="BW102" i="106"/>
  <c r="CF54" i="3"/>
  <c r="CF147" i="3"/>
  <c r="CF38" i="3"/>
  <c r="CF26" i="106"/>
  <c r="CG11" i="3"/>
  <c r="CF37" i="3"/>
  <c r="CF53" i="3"/>
  <c r="CF104" i="3"/>
  <c r="CF14" i="3"/>
  <c r="CF156" i="106" s="1"/>
  <c r="CF158" i="106" s="1"/>
  <c r="CF159" i="106" s="1"/>
  <c r="CF160" i="106" s="1"/>
  <c r="CF9" i="3"/>
  <c r="CF85" i="107" s="1"/>
  <c r="CF87" i="107" s="1"/>
  <c r="CF88" i="107" s="1"/>
  <c r="CF11" i="107" s="1"/>
  <c r="CG10" i="3"/>
  <c r="CD27" i="106"/>
  <c r="CD32" i="106" s="1"/>
  <c r="CF158" i="3"/>
  <c r="CG157" i="3"/>
  <c r="CG158" i="3" s="1"/>
  <c r="CA77" i="106"/>
  <c r="BU38" i="106"/>
  <c r="BW38" i="106"/>
  <c r="BW92" i="106" s="1"/>
  <c r="BS71" i="3"/>
  <c r="BS72" i="3" s="1"/>
  <c r="BR32" i="3"/>
  <c r="CD244" i="51"/>
  <c r="CC238" i="51"/>
  <c r="CA252" i="51"/>
  <c r="CA256" i="51"/>
  <c r="CC256" i="51" s="1"/>
  <c r="CA240" i="51"/>
  <c r="CA245" i="51"/>
  <c r="CC245" i="51" s="1"/>
  <c r="CD245" i="51" s="1"/>
  <c r="CE245" i="51" s="1"/>
  <c r="CF245" i="51" s="1"/>
  <c r="CA257" i="51"/>
  <c r="CC257" i="51" s="1"/>
  <c r="CA258" i="51"/>
  <c r="CC258" i="51" s="1"/>
  <c r="BO16" i="3" l="1"/>
  <c r="BO151" i="106"/>
  <c r="CC200" i="3"/>
  <c r="CC201" i="3" s="1"/>
  <c r="BB181" i="119" s="1"/>
  <c r="CC203" i="3"/>
  <c r="BN43" i="3"/>
  <c r="CD188" i="3"/>
  <c r="CE187" i="3"/>
  <c r="BD179" i="119"/>
  <c r="BD180" i="119" s="1"/>
  <c r="CC188" i="3"/>
  <c r="CG20" i="107"/>
  <c r="CG86" i="107"/>
  <c r="CD19" i="107"/>
  <c r="CE11" i="107"/>
  <c r="CG11" i="107" s="1"/>
  <c r="CG88" i="107"/>
  <c r="CE19" i="107"/>
  <c r="CC19" i="107"/>
  <c r="CE27" i="106"/>
  <c r="CE32" i="106" s="1"/>
  <c r="CA200" i="3"/>
  <c r="CG152" i="3"/>
  <c r="CA203" i="3"/>
  <c r="CG108" i="106"/>
  <c r="CG50" i="3"/>
  <c r="CA338" i="51"/>
  <c r="CA208" i="51" s="1"/>
  <c r="CA141" i="51"/>
  <c r="CA144" i="51" s="1"/>
  <c r="CE338" i="51"/>
  <c r="CD208" i="51"/>
  <c r="CD140" i="51"/>
  <c r="CD141" i="51" s="1"/>
  <c r="CD144" i="51" s="1"/>
  <c r="CD203" i="3"/>
  <c r="CD200" i="3"/>
  <c r="CE203" i="3"/>
  <c r="CE200" i="3"/>
  <c r="CE201" i="3" s="1"/>
  <c r="BD181" i="119" s="1"/>
  <c r="CD243" i="51"/>
  <c r="CE243" i="51" s="1"/>
  <c r="BT116" i="106"/>
  <c r="BU114" i="106"/>
  <c r="BU112" i="106"/>
  <c r="BW108" i="106"/>
  <c r="BW111" i="106"/>
  <c r="BW10" i="107" s="1"/>
  <c r="BO20" i="3"/>
  <c r="BT13" i="3"/>
  <c r="BU13" i="3"/>
  <c r="CG164" i="3"/>
  <c r="CG165" i="3" s="1"/>
  <c r="CG38" i="3"/>
  <c r="CG54" i="3"/>
  <c r="CG147" i="3"/>
  <c r="CG37" i="3"/>
  <c r="CG104" i="3"/>
  <c r="CG53" i="3"/>
  <c r="CG14" i="3"/>
  <c r="CF55" i="3"/>
  <c r="BE178" i="119" s="1"/>
  <c r="CF42" i="3"/>
  <c r="CF159" i="3"/>
  <c r="CF41" i="3"/>
  <c r="CF186" i="3"/>
  <c r="CF63" i="106"/>
  <c r="CF11" i="106"/>
  <c r="CF21" i="107" s="1"/>
  <c r="CF23" i="106"/>
  <c r="CF23" i="107" s="1"/>
  <c r="CG23" i="107" s="1"/>
  <c r="CF36" i="3"/>
  <c r="CF52" i="3"/>
  <c r="CG9" i="3"/>
  <c r="CG26" i="106"/>
  <c r="CG88" i="106" s="1"/>
  <c r="BX38" i="106"/>
  <c r="BX92" i="106" s="1"/>
  <c r="BS31" i="3"/>
  <c r="BS30" i="3" s="1"/>
  <c r="BS32" i="3"/>
  <c r="BT71" i="3"/>
  <c r="CF19" i="106"/>
  <c r="CF174" i="106" s="1"/>
  <c r="CD238" i="51"/>
  <c r="CE244" i="51"/>
  <c r="CA253" i="51"/>
  <c r="CA259" i="51"/>
  <c r="CC259" i="51" s="1"/>
  <c r="CD259" i="51" s="1"/>
  <c r="CE259" i="51" s="1"/>
  <c r="CF259" i="51" s="1"/>
  <c r="CC251" i="51"/>
  <c r="CD258" i="51"/>
  <c r="CC239" i="51"/>
  <c r="CC240" i="51" s="1"/>
  <c r="CC250" i="51"/>
  <c r="CD257" i="51"/>
  <c r="CC249" i="51"/>
  <c r="CD256" i="51"/>
  <c r="CC202" i="3" l="1"/>
  <c r="CG153" i="3"/>
  <c r="BO22" i="3"/>
  <c r="BO24" i="3" s="1"/>
  <c r="CF187" i="3"/>
  <c r="CF188" i="3" s="1"/>
  <c r="BE179" i="119"/>
  <c r="BE180" i="119" s="1"/>
  <c r="CE188" i="3"/>
  <c r="CG156" i="106"/>
  <c r="CG85" i="107"/>
  <c r="CG87" i="107" s="1"/>
  <c r="CG89" i="107" s="1"/>
  <c r="CG21" i="107"/>
  <c r="CG19" i="107" s="1"/>
  <c r="CF19" i="107"/>
  <c r="CA201" i="3"/>
  <c r="CF338" i="51"/>
  <c r="CE208" i="51"/>
  <c r="CE140" i="51"/>
  <c r="CE141" i="51" s="1"/>
  <c r="CE144" i="51" s="1"/>
  <c r="CD201" i="3"/>
  <c r="BW114" i="106"/>
  <c r="BX110" i="106" s="1"/>
  <c r="CE202" i="3"/>
  <c r="CF199" i="3"/>
  <c r="CD237" i="51"/>
  <c r="CD239" i="51" s="1"/>
  <c r="CD240" i="51" s="1"/>
  <c r="BX102" i="106"/>
  <c r="CA110" i="106"/>
  <c r="BU116" i="106"/>
  <c r="BU117" i="106" s="1"/>
  <c r="BU40" i="3"/>
  <c r="BU56" i="3"/>
  <c r="BU62" i="106"/>
  <c r="BT16" i="106"/>
  <c r="BT117" i="106"/>
  <c r="BO43" i="3"/>
  <c r="BT56" i="3"/>
  <c r="BT40" i="3"/>
  <c r="BT62" i="106"/>
  <c r="CG23" i="106"/>
  <c r="CF27" i="106"/>
  <c r="CF32" i="106" s="1"/>
  <c r="CG186" i="3"/>
  <c r="CG42" i="3"/>
  <c r="CG159" i="3"/>
  <c r="CG55" i="3"/>
  <c r="CG41" i="3"/>
  <c r="CG187" i="3" s="1"/>
  <c r="CG63" i="106"/>
  <c r="CG36" i="3"/>
  <c r="CG52" i="3"/>
  <c r="CG11" i="106"/>
  <c r="CG75" i="106" s="1"/>
  <c r="BX81" i="3"/>
  <c r="BT72" i="3"/>
  <c r="BT31" i="3" s="1"/>
  <c r="CF145" i="106"/>
  <c r="CG19" i="106"/>
  <c r="CD251" i="51"/>
  <c r="CE258" i="51"/>
  <c r="CE256" i="51"/>
  <c r="CD249" i="51"/>
  <c r="CF244" i="51"/>
  <c r="CF238" i="51" s="1"/>
  <c r="CE238" i="51"/>
  <c r="CE237" i="51"/>
  <c r="CF243" i="51"/>
  <c r="CF237" i="51" s="1"/>
  <c r="CC252" i="51"/>
  <c r="CC253" i="51" s="1"/>
  <c r="CD250" i="51"/>
  <c r="CE257" i="51"/>
  <c r="BO21" i="3" l="1"/>
  <c r="CD202" i="3"/>
  <c r="BC181" i="119"/>
  <c r="CA202" i="3"/>
  <c r="CG145" i="106"/>
  <c r="CG147" i="106" s="1"/>
  <c r="CG174" i="106"/>
  <c r="BW13" i="3"/>
  <c r="CF208" i="51"/>
  <c r="CF140" i="51"/>
  <c r="CF203" i="3"/>
  <c r="CF200" i="3"/>
  <c r="CG199" i="3"/>
  <c r="CD252" i="51"/>
  <c r="CD253" i="51" s="1"/>
  <c r="BW116" i="106"/>
  <c r="BW16" i="106" s="1"/>
  <c r="BW59" i="106" s="1"/>
  <c r="CG188" i="3"/>
  <c r="BT59" i="106"/>
  <c r="BU16" i="106"/>
  <c r="BU59" i="106" s="1"/>
  <c r="BX108" i="106"/>
  <c r="BX111" i="106"/>
  <c r="BX10" i="107" s="1"/>
  <c r="CG76" i="106"/>
  <c r="CG27" i="106"/>
  <c r="CG32" i="106" s="1"/>
  <c r="CG238" i="51"/>
  <c r="CE239" i="51"/>
  <c r="CE240" i="51" s="1"/>
  <c r="BU31" i="3"/>
  <c r="BT30" i="3"/>
  <c r="BZ81" i="3"/>
  <c r="BT32" i="3"/>
  <c r="BU32" i="3" s="1"/>
  <c r="BU72" i="3"/>
  <c r="BW71" i="3"/>
  <c r="CF239" i="51"/>
  <c r="CF240" i="51" s="1"/>
  <c r="CF257" i="51"/>
  <c r="CF250" i="51" s="1"/>
  <c r="CE250" i="51"/>
  <c r="CE249" i="51"/>
  <c r="CF256" i="51"/>
  <c r="CF249" i="51" s="1"/>
  <c r="CF258" i="51"/>
  <c r="CF251" i="51" s="1"/>
  <c r="CE251" i="51"/>
  <c r="CG237" i="51"/>
  <c r="BO157" i="106" l="1"/>
  <c r="BO158" i="106" s="1"/>
  <c r="BO159" i="106" s="1"/>
  <c r="BO160" i="106" s="1"/>
  <c r="BW40" i="3"/>
  <c r="BW62" i="106"/>
  <c r="BW56" i="3"/>
  <c r="CG140" i="51"/>
  <c r="CF141" i="51"/>
  <c r="CF144" i="51" s="1"/>
  <c r="CG22" i="51"/>
  <c r="CG23" i="51" s="1"/>
  <c r="CG26" i="51" s="1"/>
  <c r="CF201" i="3"/>
  <c r="CG200" i="3"/>
  <c r="CG201" i="3" s="1"/>
  <c r="CG203" i="3"/>
  <c r="BW117" i="106"/>
  <c r="CG250" i="51"/>
  <c r="BX13" i="3"/>
  <c r="BX114" i="106"/>
  <c r="BY110" i="106" s="1"/>
  <c r="BY102" i="106"/>
  <c r="BN44" i="3"/>
  <c r="BN57" i="3"/>
  <c r="BO25" i="3"/>
  <c r="CG77" i="106"/>
  <c r="CG251" i="51"/>
  <c r="BY81" i="3"/>
  <c r="BY38" i="106"/>
  <c r="BU30" i="3"/>
  <c r="BW72" i="3"/>
  <c r="CA71" i="3"/>
  <c r="CF252" i="51"/>
  <c r="CF253" i="51" s="1"/>
  <c r="CE252" i="51"/>
  <c r="CE253" i="51" s="1"/>
  <c r="CG239" i="51"/>
  <c r="CG249" i="51"/>
  <c r="CF202" i="3" l="1"/>
  <c r="BE181" i="119"/>
  <c r="BO43" i="106"/>
  <c r="BO168" i="106" s="1"/>
  <c r="BN168" i="106"/>
  <c r="BO8" i="107"/>
  <c r="BO24" i="107" s="1"/>
  <c r="BN58" i="3"/>
  <c r="CG338" i="51"/>
  <c r="CG208" i="51" s="1"/>
  <c r="CG141" i="51"/>
  <c r="CG144" i="51" s="1"/>
  <c r="CG252" i="51"/>
  <c r="CG253" i="51" s="1"/>
  <c r="CG257" i="51"/>
  <c r="CG202" i="3"/>
  <c r="BX116" i="106"/>
  <c r="BX40" i="3"/>
  <c r="BX62" i="106"/>
  <c r="BX56" i="3"/>
  <c r="BO26" i="3"/>
  <c r="BO27" i="3"/>
  <c r="BY108" i="106"/>
  <c r="BY111" i="106"/>
  <c r="BY10" i="107" s="1"/>
  <c r="BQ91" i="106"/>
  <c r="BN80" i="3"/>
  <c r="CG243" i="51"/>
  <c r="CA81" i="3"/>
  <c r="BZ38" i="106"/>
  <c r="BY92" i="106"/>
  <c r="BW32" i="3"/>
  <c r="BX71" i="3"/>
  <c r="BW31" i="3"/>
  <c r="BW30" i="3" s="1"/>
  <c r="CG256" i="51"/>
  <c r="CG244" i="51"/>
  <c r="CG245" i="51"/>
  <c r="CG240" i="51"/>
  <c r="CG258" i="51"/>
  <c r="BN55" i="107" l="1"/>
  <c r="BO55" i="107"/>
  <c r="BO48" i="107"/>
  <c r="BO51" i="107" s="1"/>
  <c r="CG259" i="51"/>
  <c r="BZ102" i="106"/>
  <c r="BO57" i="3"/>
  <c r="BO44" i="3"/>
  <c r="BO33" i="3"/>
  <c r="BO67" i="3"/>
  <c r="BO39" i="106"/>
  <c r="BO41" i="106" s="1"/>
  <c r="BY114" i="106"/>
  <c r="BZ110" i="106" s="1"/>
  <c r="BX16" i="106"/>
  <c r="BX59" i="106" s="1"/>
  <c r="BX117" i="106"/>
  <c r="BZ92" i="106"/>
  <c r="CA92" i="106" s="1"/>
  <c r="CA38" i="106"/>
  <c r="BX72" i="3"/>
  <c r="BX31" i="3" s="1"/>
  <c r="BX30" i="3" s="1"/>
  <c r="BN56" i="107" l="1"/>
  <c r="BN82" i="106"/>
  <c r="BO56" i="107"/>
  <c r="BO57" i="107" s="1"/>
  <c r="BO44" i="106"/>
  <c r="BO56" i="106" s="1"/>
  <c r="BO170" i="106"/>
  <c r="BN170" i="106"/>
  <c r="BQ50" i="107"/>
  <c r="BU50" i="107" s="1"/>
  <c r="BY13" i="3"/>
  <c r="BO81" i="106"/>
  <c r="BO58" i="3"/>
  <c r="BZ108" i="106"/>
  <c r="BZ111" i="106"/>
  <c r="BZ10" i="107" s="1"/>
  <c r="CA10" i="107" s="1"/>
  <c r="BO93" i="106"/>
  <c r="BO97" i="106" s="1"/>
  <c r="BO80" i="3"/>
  <c r="BO68" i="3"/>
  <c r="BY116" i="106"/>
  <c r="CC38" i="106"/>
  <c r="CC81" i="3"/>
  <c r="BX32" i="3"/>
  <c r="BY71" i="3"/>
  <c r="BN57" i="107" l="1"/>
  <c r="BN83" i="106"/>
  <c r="BO65" i="106"/>
  <c r="BO46" i="106"/>
  <c r="BZ114" i="106"/>
  <c r="CC110" i="106" s="1"/>
  <c r="BY62" i="106"/>
  <c r="BY56" i="3"/>
  <c r="BY40" i="3"/>
  <c r="BY16" i="106"/>
  <c r="BY59" i="106" s="1"/>
  <c r="BY117" i="106"/>
  <c r="BO98" i="106"/>
  <c r="BU91" i="106"/>
  <c r="CA111" i="106"/>
  <c r="CC102" i="106"/>
  <c r="BO80" i="106"/>
  <c r="BO82" i="106"/>
  <c r="CC92" i="106"/>
  <c r="CD81" i="3"/>
  <c r="BY72" i="3"/>
  <c r="BY31" i="3" s="1"/>
  <c r="BY30" i="3" s="1"/>
  <c r="BZ116" i="106" l="1"/>
  <c r="BZ117" i="106" s="1"/>
  <c r="BN52" i="107"/>
  <c r="BN173" i="106"/>
  <c r="CA114" i="106"/>
  <c r="CA112" i="106"/>
  <c r="CC108" i="106"/>
  <c r="CC111" i="106"/>
  <c r="CC10" i="107" s="1"/>
  <c r="CA13" i="3"/>
  <c r="BZ13" i="3"/>
  <c r="BQ151" i="106"/>
  <c r="BQ17" i="3" s="1"/>
  <c r="BQ16" i="3" s="1"/>
  <c r="BO9" i="106"/>
  <c r="BO150" i="106" s="1"/>
  <c r="BO152" i="106" s="1"/>
  <c r="BO83" i="106"/>
  <c r="CD38" i="106"/>
  <c r="CD92" i="106" s="1"/>
  <c r="BZ71" i="3"/>
  <c r="BY32" i="3"/>
  <c r="CE81" i="3"/>
  <c r="BQ20" i="3" l="1"/>
  <c r="BZ16" i="106"/>
  <c r="CA16" i="106" s="1"/>
  <c r="CA59" i="106" s="1"/>
  <c r="BO52" i="107"/>
  <c r="BO173" i="106"/>
  <c r="BN177" i="106"/>
  <c r="BN176" i="106"/>
  <c r="BZ56" i="3"/>
  <c r="BZ62" i="106"/>
  <c r="BZ40" i="3"/>
  <c r="CD102" i="106"/>
  <c r="CA116" i="106"/>
  <c r="CA117" i="106" s="1"/>
  <c r="CG110" i="106"/>
  <c r="CA62" i="106"/>
  <c r="CA56" i="3"/>
  <c r="CA40" i="3"/>
  <c r="CC13" i="3"/>
  <c r="CC114" i="106"/>
  <c r="CD110" i="106" s="1"/>
  <c r="BO86" i="106"/>
  <c r="BO14" i="106"/>
  <c r="BO69" i="106"/>
  <c r="BO52" i="106"/>
  <c r="BO70" i="106"/>
  <c r="CE38" i="106"/>
  <c r="CE92" i="106" s="1"/>
  <c r="BQ22" i="3"/>
  <c r="BQ43" i="3"/>
  <c r="BZ72" i="3"/>
  <c r="BZ31" i="3" s="1"/>
  <c r="BZ59" i="106" l="1"/>
  <c r="BO176" i="106"/>
  <c r="BN179" i="106"/>
  <c r="BO179" i="106"/>
  <c r="BO177" i="106"/>
  <c r="BN180" i="106"/>
  <c r="BO180" i="106"/>
  <c r="BO58" i="106" s="1"/>
  <c r="CC116" i="106"/>
  <c r="BO64" i="106"/>
  <c r="BO53" i="106"/>
  <c r="CD111" i="106"/>
  <c r="CD10" i="107" s="1"/>
  <c r="CD108" i="106"/>
  <c r="BO20" i="106"/>
  <c r="BO68" i="106"/>
  <c r="BO71" i="106"/>
  <c r="BN48" i="106"/>
  <c r="CC62" i="106"/>
  <c r="CC56" i="3"/>
  <c r="CC40" i="3"/>
  <c r="CA31" i="3"/>
  <c r="BZ30" i="3"/>
  <c r="CA30" i="3" s="1"/>
  <c r="CA72" i="3"/>
  <c r="BZ32" i="3"/>
  <c r="CA32" i="3" s="1"/>
  <c r="CC71" i="3"/>
  <c r="BQ24" i="3"/>
  <c r="BN58" i="106" l="1"/>
  <c r="CE102" i="106"/>
  <c r="CD114" i="106"/>
  <c r="CE110" i="106" s="1"/>
  <c r="BO48" i="106"/>
  <c r="BO57" i="106"/>
  <c r="CC16" i="106"/>
  <c r="CC59" i="106" s="1"/>
  <c r="CC117" i="106"/>
  <c r="CF81" i="3"/>
  <c r="CF38" i="106"/>
  <c r="BQ25" i="3"/>
  <c r="BQ43" i="106" s="1"/>
  <c r="BQ168" i="106" s="1"/>
  <c r="CC72" i="3"/>
  <c r="CC31" i="3" s="1"/>
  <c r="CG71" i="3"/>
  <c r="CD13" i="3" l="1"/>
  <c r="CD116" i="106"/>
  <c r="CE108" i="106"/>
  <c r="CE111" i="106"/>
  <c r="CE10" i="107" s="1"/>
  <c r="CF92" i="106"/>
  <c r="CG92" i="106" s="1"/>
  <c r="CG38" i="106"/>
  <c r="CG81" i="3"/>
  <c r="CC30" i="3"/>
  <c r="CD71" i="3"/>
  <c r="CC32" i="3"/>
  <c r="BQ27" i="3"/>
  <c r="CD62" i="106" l="1"/>
  <c r="CD40" i="3"/>
  <c r="CD56" i="3"/>
  <c r="CF102" i="106"/>
  <c r="CD16" i="106"/>
  <c r="CD59" i="106" s="1"/>
  <c r="CD117" i="106"/>
  <c r="CE114" i="106"/>
  <c r="CF110" i="106" s="1"/>
  <c r="CD72" i="3"/>
  <c r="CD31" i="3" s="1"/>
  <c r="CD30" i="3" s="1"/>
  <c r="BQ33" i="3"/>
  <c r="BQ44" i="3"/>
  <c r="BQ57" i="3"/>
  <c r="BQ67" i="3"/>
  <c r="BQ8" i="107" s="1"/>
  <c r="BQ58" i="3" l="1"/>
  <c r="BQ24" i="107"/>
  <c r="CE13" i="3"/>
  <c r="CE116" i="106"/>
  <c r="CF108" i="106"/>
  <c r="CF111" i="106"/>
  <c r="CF10" i="107" s="1"/>
  <c r="CG10" i="107" s="1"/>
  <c r="BQ93" i="106"/>
  <c r="BQ97" i="106" s="1"/>
  <c r="BQ68" i="3"/>
  <c r="BQ80" i="3"/>
  <c r="BQ39" i="106"/>
  <c r="CE71" i="3"/>
  <c r="CD32" i="3"/>
  <c r="BQ55" i="107" l="1"/>
  <c r="BQ56" i="107" s="1"/>
  <c r="BQ57" i="107" s="1"/>
  <c r="BQ48" i="107"/>
  <c r="BQ51" i="107" s="1"/>
  <c r="CE56" i="3"/>
  <c r="CE62" i="106"/>
  <c r="CE40" i="3"/>
  <c r="CE16" i="106"/>
  <c r="CE59" i="106" s="1"/>
  <c r="CE117" i="106"/>
  <c r="CG111" i="106"/>
  <c r="CF114" i="106"/>
  <c r="CF116" i="106" s="1"/>
  <c r="BR91" i="106"/>
  <c r="BQ41" i="106"/>
  <c r="CE72" i="3"/>
  <c r="BQ44" i="106" l="1"/>
  <c r="BQ65" i="106" s="1"/>
  <c r="BQ170" i="106"/>
  <c r="BR50" i="107"/>
  <c r="CF16" i="106"/>
  <c r="CF117" i="106"/>
  <c r="CF13" i="3"/>
  <c r="CG13" i="3"/>
  <c r="CG112" i="106"/>
  <c r="CG114" i="106"/>
  <c r="CG116" i="106" s="1"/>
  <c r="CG117" i="106" s="1"/>
  <c r="BQ98" i="106"/>
  <c r="CF71" i="3"/>
  <c r="CE32" i="3"/>
  <c r="BQ81" i="106"/>
  <c r="CE31" i="3"/>
  <c r="BQ56" i="106" l="1"/>
  <c r="BQ46" i="106"/>
  <c r="CF62" i="106"/>
  <c r="CF56" i="3"/>
  <c r="CF40" i="3"/>
  <c r="CG56" i="3"/>
  <c r="CG62" i="106"/>
  <c r="CG40" i="3"/>
  <c r="CG16" i="106"/>
  <c r="CG59" i="106" s="1"/>
  <c r="CF59" i="106"/>
  <c r="CE30" i="3"/>
  <c r="BQ80" i="106"/>
  <c r="CF72" i="3"/>
  <c r="CF31" i="3" s="1"/>
  <c r="CG31" i="3" s="1"/>
  <c r="BQ82" i="106"/>
  <c r="BQ83" i="106" l="1"/>
  <c r="CG72" i="3"/>
  <c r="CF32" i="3"/>
  <c r="CG32" i="3" s="1"/>
  <c r="BQ9" i="106"/>
  <c r="CF30" i="3"/>
  <c r="CG30" i="3" s="1"/>
  <c r="BQ52" i="107" l="1"/>
  <c r="BQ173" i="106"/>
  <c r="BQ86" i="106"/>
  <c r="BQ150" i="106"/>
  <c r="BR151" i="106" s="1"/>
  <c r="BQ14" i="106"/>
  <c r="BQ69" i="106"/>
  <c r="BQ70" i="106"/>
  <c r="BQ52" i="106"/>
  <c r="BQ177" i="106" l="1"/>
  <c r="BQ180" i="106" s="1"/>
  <c r="BQ58" i="106" s="1"/>
  <c r="BQ176" i="106"/>
  <c r="BQ179" i="106" s="1"/>
  <c r="BQ71" i="106"/>
  <c r="BQ68" i="106"/>
  <c r="BQ20" i="106"/>
  <c r="BR17" i="3"/>
  <c r="BQ64" i="106"/>
  <c r="BQ53" i="106"/>
  <c r="BQ57" i="106" l="1"/>
  <c r="BQ48" i="106"/>
  <c r="BR16" i="3"/>
  <c r="BR20" i="3" s="1"/>
  <c r="BR43" i="3" l="1"/>
  <c r="BR22" i="3"/>
  <c r="BR24" i="3" l="1"/>
  <c r="BR25" i="3" s="1"/>
  <c r="BR27" i="3" l="1"/>
  <c r="BR43" i="106"/>
  <c r="BR168" i="106" s="1"/>
  <c r="BR67" i="3" l="1"/>
  <c r="BR8" i="107" s="1"/>
  <c r="BR44" i="3"/>
  <c r="BR57" i="3"/>
  <c r="BR33" i="3"/>
  <c r="BR58" i="3" s="1"/>
  <c r="BR24" i="107" l="1"/>
  <c r="BR93" i="106"/>
  <c r="BR97" i="106" s="1"/>
  <c r="BR68" i="3"/>
  <c r="BR80" i="3"/>
  <c r="BR39" i="106"/>
  <c r="BR55" i="107" l="1"/>
  <c r="BR56" i="107" s="1"/>
  <c r="BR57" i="107" s="1"/>
  <c r="BR48" i="107"/>
  <c r="BR51" i="107" s="1"/>
  <c r="BR41" i="106"/>
  <c r="BS91" i="106"/>
  <c r="BR44" i="106" l="1"/>
  <c r="BR46" i="106" s="1"/>
  <c r="BR170" i="106"/>
  <c r="BS50" i="107"/>
  <c r="BR98" i="106"/>
  <c r="BR81" i="106"/>
  <c r="BR56" i="106" l="1"/>
  <c r="BR65" i="106"/>
  <c r="BR80" i="106"/>
  <c r="BR82" i="106"/>
  <c r="BR83" i="106" l="1"/>
  <c r="BR9" i="106"/>
  <c r="BR52" i="107" l="1"/>
  <c r="BR173" i="106"/>
  <c r="BR86" i="106"/>
  <c r="BR150" i="106"/>
  <c r="BS151" i="106" s="1"/>
  <c r="BR14" i="106"/>
  <c r="BR69" i="106"/>
  <c r="BR70" i="106"/>
  <c r="BR52" i="106"/>
  <c r="BR176" i="106" l="1"/>
  <c r="BR179" i="106" s="1"/>
  <c r="BR177" i="106"/>
  <c r="BR180" i="106" s="1"/>
  <c r="BR58" i="106" s="1"/>
  <c r="BR53" i="106"/>
  <c r="BR64" i="106"/>
  <c r="BR71" i="106"/>
  <c r="BR68" i="106"/>
  <c r="BR20" i="106"/>
  <c r="BS17" i="3"/>
  <c r="BR57" i="106" l="1"/>
  <c r="BR48" i="106"/>
  <c r="BS16" i="3"/>
  <c r="BS20" i="3" s="1"/>
  <c r="BS22" i="3" l="1"/>
  <c r="BS43" i="3"/>
  <c r="BS24" i="3" l="1"/>
  <c r="BS25" i="3" l="1"/>
  <c r="BS43" i="106" s="1"/>
  <c r="BS168" i="106" s="1"/>
  <c r="BS27" i="3" l="1"/>
  <c r="BS67" i="3" l="1"/>
  <c r="BS8" i="107" s="1"/>
  <c r="BS33" i="3"/>
  <c r="BS58" i="3" s="1"/>
  <c r="BS44" i="3"/>
  <c r="BS57" i="3"/>
  <c r="BS24" i="107" l="1"/>
  <c r="BS93" i="106"/>
  <c r="BS97" i="106" s="1"/>
  <c r="BS68" i="3"/>
  <c r="BS80" i="3"/>
  <c r="BS39" i="106"/>
  <c r="BS55" i="107" l="1"/>
  <c r="BS56" i="107" s="1"/>
  <c r="BS57" i="107" s="1"/>
  <c r="BS48" i="107"/>
  <c r="BS51" i="107" s="1"/>
  <c r="BT91" i="106"/>
  <c r="BS41" i="106"/>
  <c r="BS44" i="106" l="1"/>
  <c r="BS65" i="106" s="1"/>
  <c r="BS170" i="106"/>
  <c r="BT50" i="107"/>
  <c r="BS81" i="106"/>
  <c r="BS98" i="106"/>
  <c r="BS46" i="106" l="1"/>
  <c r="BS56" i="106"/>
  <c r="BS80" i="106"/>
  <c r="BS82" i="106"/>
  <c r="BS9" i="106" l="1"/>
  <c r="BS83" i="106"/>
  <c r="BS52" i="107" l="1"/>
  <c r="BS173" i="106"/>
  <c r="BS86" i="106"/>
  <c r="BS150" i="106"/>
  <c r="BT151" i="106" s="1"/>
  <c r="BS14" i="106"/>
  <c r="BS70" i="106"/>
  <c r="BS69" i="106"/>
  <c r="BS52" i="106"/>
  <c r="BS177" i="106" l="1"/>
  <c r="BS180" i="106" s="1"/>
  <c r="BS58" i="106" s="1"/>
  <c r="BS176" i="106"/>
  <c r="BS179" i="106" s="1"/>
  <c r="BT17" i="3"/>
  <c r="BU151" i="106"/>
  <c r="BS53" i="106"/>
  <c r="BS64" i="106"/>
  <c r="BS68" i="106"/>
  <c r="BS71" i="106"/>
  <c r="BS20" i="106"/>
  <c r="BS57" i="106" l="1"/>
  <c r="BS48" i="106"/>
  <c r="BT16" i="3"/>
  <c r="BT20" i="3" s="1"/>
  <c r="BU17" i="3"/>
  <c r="BU16" i="3" s="1"/>
  <c r="BT43" i="3" l="1"/>
  <c r="BT22" i="3"/>
  <c r="BU20" i="3"/>
  <c r="BU43" i="3" l="1"/>
  <c r="BT24" i="3"/>
  <c r="BU22" i="3"/>
  <c r="BU21" i="3" s="1"/>
  <c r="BU157" i="106" l="1"/>
  <c r="BU158" i="106" s="1"/>
  <c r="BU159" i="106" s="1"/>
  <c r="BU160" i="106" s="1"/>
  <c r="BU75" i="3"/>
  <c r="BU24" i="3"/>
  <c r="BT25" i="3"/>
  <c r="BT27" i="3" s="1"/>
  <c r="BT44" i="3" l="1"/>
  <c r="BT57" i="3"/>
  <c r="BT67" i="3"/>
  <c r="BT8" i="107" s="1"/>
  <c r="BT33" i="3"/>
  <c r="BT58" i="3" s="1"/>
  <c r="BU25" i="3"/>
  <c r="BU26" i="3" s="1"/>
  <c r="BT43" i="106"/>
  <c r="BT168" i="106" s="1"/>
  <c r="BT24" i="107" l="1"/>
  <c r="BU8" i="107"/>
  <c r="BU24" i="107" s="1"/>
  <c r="BU43" i="106"/>
  <c r="BU168" i="106" s="1"/>
  <c r="BT93" i="106"/>
  <c r="BT97" i="106" s="1"/>
  <c r="BT80" i="3"/>
  <c r="BT68" i="3"/>
  <c r="BT39" i="106"/>
  <c r="BU27" i="3"/>
  <c r="BU55" i="107" l="1"/>
  <c r="BU48" i="107"/>
  <c r="BU51" i="107" s="1"/>
  <c r="BT55" i="107"/>
  <c r="BT56" i="107" s="1"/>
  <c r="BT57" i="107" s="1"/>
  <c r="BT48" i="107"/>
  <c r="BT51" i="107" s="1"/>
  <c r="BU39" i="106"/>
  <c r="BU41" i="106" s="1"/>
  <c r="BT41" i="106"/>
  <c r="BU57" i="3"/>
  <c r="BU67" i="3"/>
  <c r="BU44" i="3"/>
  <c r="BU33" i="3"/>
  <c r="BW91" i="106"/>
  <c r="BU56" i="107" l="1"/>
  <c r="BU57" i="107" s="1"/>
  <c r="BU44" i="106"/>
  <c r="BU56" i="106" s="1"/>
  <c r="BU170" i="106"/>
  <c r="BT44" i="106"/>
  <c r="BT46" i="106" s="1"/>
  <c r="BT170" i="106"/>
  <c r="BW50" i="107"/>
  <c r="CA50" i="107" s="1"/>
  <c r="BT98" i="106"/>
  <c r="BU58" i="3"/>
  <c r="BT81" i="106"/>
  <c r="BU81" i="106"/>
  <c r="BU93" i="106"/>
  <c r="BU97" i="106" s="1"/>
  <c r="BU80" i="3"/>
  <c r="BU68" i="3"/>
  <c r="BU59" i="107" l="1"/>
  <c r="BT65" i="106"/>
  <c r="BU46" i="106"/>
  <c r="BT56" i="106"/>
  <c r="BU65" i="106"/>
  <c r="BT82" i="106"/>
  <c r="BU80" i="106"/>
  <c r="CA91" i="106"/>
  <c r="BU98" i="106"/>
  <c r="BU82" i="106"/>
  <c r="BT80" i="106"/>
  <c r="BU83" i="106" l="1"/>
  <c r="BT9" i="106"/>
  <c r="BT83" i="106"/>
  <c r="BT52" i="107" l="1"/>
  <c r="BT173" i="106"/>
  <c r="BU9" i="106"/>
  <c r="BT86" i="106"/>
  <c r="BT150" i="106"/>
  <c r="BW151" i="106" s="1"/>
  <c r="BW17" i="3" s="1"/>
  <c r="BT14" i="106"/>
  <c r="BT69" i="106"/>
  <c r="BT70" i="106"/>
  <c r="BT52" i="106"/>
  <c r="BU52" i="107" l="1"/>
  <c r="BU173" i="106"/>
  <c r="BT176" i="106"/>
  <c r="BT177" i="106"/>
  <c r="BU150" i="106"/>
  <c r="BU152" i="106" s="1"/>
  <c r="BU86" i="106"/>
  <c r="BU14" i="106"/>
  <c r="BU69" i="106"/>
  <c r="BU70" i="106"/>
  <c r="BU52" i="106"/>
  <c r="BT53" i="106"/>
  <c r="BT64" i="106"/>
  <c r="BT71" i="106"/>
  <c r="BT68" i="106"/>
  <c r="BT20" i="106"/>
  <c r="BW16" i="3"/>
  <c r="BW20" i="3" s="1"/>
  <c r="BU177" i="106" l="1"/>
  <c r="BT180" i="106"/>
  <c r="BT58" i="106" s="1"/>
  <c r="BU180" i="106"/>
  <c r="BU58" i="106" s="1"/>
  <c r="BT179" i="106"/>
  <c r="BU176" i="106"/>
  <c r="BU179" i="106"/>
  <c r="BW43" i="3"/>
  <c r="BW22" i="3"/>
  <c r="BW24" i="3" s="1"/>
  <c r="BW25" i="3" s="1"/>
  <c r="BU71" i="106"/>
  <c r="BU68" i="106"/>
  <c r="BU20" i="106"/>
  <c r="BU64" i="106"/>
  <c r="BU53" i="106"/>
  <c r="BT57" i="106"/>
  <c r="BT48" i="106"/>
  <c r="BW27" i="3" l="1"/>
  <c r="BW43" i="106"/>
  <c r="BW168" i="106" s="1"/>
  <c r="BU57" i="106"/>
  <c r="BU48" i="106"/>
  <c r="BW44" i="3" l="1"/>
  <c r="BW57" i="3"/>
  <c r="BW67" i="3"/>
  <c r="BW8" i="107" s="1"/>
  <c r="BW33" i="3"/>
  <c r="BW58" i="3" s="1"/>
  <c r="BW24" i="107" l="1"/>
  <c r="BW93" i="106"/>
  <c r="BW97" i="106" s="1"/>
  <c r="BW80" i="3"/>
  <c r="BW68" i="3"/>
  <c r="BW39" i="106"/>
  <c r="BW55" i="107" l="1"/>
  <c r="BW56" i="107" s="1"/>
  <c r="BW57" i="107" s="1"/>
  <c r="BW48" i="107"/>
  <c r="BW51" i="107" s="1"/>
  <c r="BX91" i="106"/>
  <c r="BW41" i="106"/>
  <c r="BW44" i="106" l="1"/>
  <c r="BW46" i="106" s="1"/>
  <c r="BW170" i="106"/>
  <c r="BX50" i="107"/>
  <c r="BW98" i="106"/>
  <c r="BW81" i="106"/>
  <c r="BW56" i="106" l="1"/>
  <c r="BW65" i="106"/>
  <c r="BW80" i="106"/>
  <c r="BW82" i="106"/>
  <c r="BW83" i="106" l="1"/>
  <c r="BW9" i="106"/>
  <c r="BW52" i="107" l="1"/>
  <c r="BW173" i="106"/>
  <c r="BW86" i="106"/>
  <c r="BW150" i="106"/>
  <c r="BX151" i="106" s="1"/>
  <c r="BX17" i="3" s="1"/>
  <c r="BW14" i="106"/>
  <c r="BW69" i="106"/>
  <c r="BW70" i="106"/>
  <c r="BW52" i="106"/>
  <c r="BW176" i="106" l="1"/>
  <c r="BW179" i="106" s="1"/>
  <c r="BW177" i="106"/>
  <c r="BW180" i="106" s="1"/>
  <c r="BW58" i="106" s="1"/>
  <c r="BX16" i="3"/>
  <c r="BX20" i="3" s="1"/>
  <c r="BW68" i="106"/>
  <c r="BW71" i="106"/>
  <c r="BW20" i="106"/>
  <c r="BW64" i="106"/>
  <c r="BW53" i="106"/>
  <c r="BW57" i="106" l="1"/>
  <c r="BW48" i="106"/>
  <c r="BX22" i="3"/>
  <c r="BX24" i="3" s="1"/>
  <c r="BX43" i="3"/>
  <c r="BX25" i="3" l="1"/>
  <c r="BX43" i="106" l="1"/>
  <c r="BX168" i="106" s="1"/>
  <c r="BX27" i="3"/>
  <c r="BX44" i="3" l="1"/>
  <c r="BX57" i="3"/>
  <c r="BX67" i="3"/>
  <c r="BX8" i="107" s="1"/>
  <c r="BX33" i="3"/>
  <c r="BX58" i="3" s="1"/>
  <c r="BX24" i="107" l="1"/>
  <c r="BX93" i="106"/>
  <c r="BX97" i="106" s="1"/>
  <c r="BX80" i="3"/>
  <c r="BX68" i="3"/>
  <c r="BX39" i="106"/>
  <c r="BX55" i="107" l="1"/>
  <c r="BX56" i="107" s="1"/>
  <c r="BX57" i="107" s="1"/>
  <c r="BX48" i="107"/>
  <c r="BX51" i="107" s="1"/>
  <c r="BX41" i="106"/>
  <c r="BY91" i="106"/>
  <c r="BX44" i="106" l="1"/>
  <c r="BX65" i="106" s="1"/>
  <c r="BX170" i="106"/>
  <c r="BY50" i="107"/>
  <c r="BX98" i="106"/>
  <c r="BX81" i="106"/>
  <c r="BX46" i="106" l="1"/>
  <c r="BX56" i="106"/>
  <c r="BX80" i="106"/>
  <c r="BX82" i="106"/>
  <c r="BX83" i="106" l="1"/>
  <c r="BX9" i="106"/>
  <c r="BX52" i="107" l="1"/>
  <c r="BX173" i="106"/>
  <c r="BX86" i="106"/>
  <c r="BX150" i="106"/>
  <c r="BY151" i="106" s="1"/>
  <c r="BY17" i="3" s="1"/>
  <c r="BX14" i="106"/>
  <c r="BX70" i="106"/>
  <c r="BX69" i="106"/>
  <c r="BX52" i="106"/>
  <c r="BX176" i="106" l="1"/>
  <c r="BX179" i="106" s="1"/>
  <c r="BX177" i="106"/>
  <c r="BX180" i="106" s="1"/>
  <c r="BX58" i="106" s="1"/>
  <c r="BY16" i="3"/>
  <c r="BY20" i="3" s="1"/>
  <c r="BX53" i="106"/>
  <c r="BX64" i="106"/>
  <c r="BX71" i="106"/>
  <c r="BX68" i="106"/>
  <c r="BX20" i="106"/>
  <c r="BX57" i="106" l="1"/>
  <c r="BX48" i="106"/>
  <c r="BY43" i="3"/>
  <c r="BY22" i="3"/>
  <c r="BY24" i="3" s="1"/>
  <c r="BY25" i="3" s="1"/>
  <c r="BY27" i="3" l="1"/>
  <c r="BY43" i="106"/>
  <c r="BY168" i="106" s="1"/>
  <c r="BY67" i="3" l="1"/>
  <c r="BY8" i="107" s="1"/>
  <c r="BY44" i="3"/>
  <c r="BY57" i="3"/>
  <c r="BY33" i="3"/>
  <c r="BY58" i="3" s="1"/>
  <c r="BY24" i="107" l="1"/>
  <c r="BY93" i="106"/>
  <c r="BY97" i="106" s="1"/>
  <c r="BY80" i="3"/>
  <c r="BY68" i="3"/>
  <c r="BY39" i="106"/>
  <c r="BY55" i="107" l="1"/>
  <c r="BY56" i="107" s="1"/>
  <c r="BY57" i="107" s="1"/>
  <c r="BY48" i="107"/>
  <c r="BY51" i="107" s="1"/>
  <c r="BY41" i="106"/>
  <c r="BZ91" i="106"/>
  <c r="BY44" i="106" l="1"/>
  <c r="BY46" i="106" s="1"/>
  <c r="BY170" i="106"/>
  <c r="BZ50" i="107"/>
  <c r="BY98" i="106"/>
  <c r="BY81" i="106"/>
  <c r="BY65" i="106" l="1"/>
  <c r="BY56" i="106"/>
  <c r="BY80" i="106"/>
  <c r="BY82" i="106"/>
  <c r="BY9" i="106" l="1"/>
  <c r="BY83" i="106"/>
  <c r="BY52" i="107" l="1"/>
  <c r="BY173" i="106"/>
  <c r="BY150" i="106"/>
  <c r="BZ151" i="106" s="1"/>
  <c r="BY86" i="106"/>
  <c r="BY14" i="106"/>
  <c r="BY70" i="106"/>
  <c r="BY69" i="106"/>
  <c r="BY52" i="106"/>
  <c r="BY177" i="106" l="1"/>
  <c r="BY180" i="106" s="1"/>
  <c r="BY58" i="106" s="1"/>
  <c r="BY176" i="106"/>
  <c r="BY179" i="106" s="1"/>
  <c r="BY64" i="106"/>
  <c r="BY53" i="106"/>
  <c r="CA151" i="106"/>
  <c r="BZ17" i="3"/>
  <c r="BY68" i="106"/>
  <c r="BY71" i="106"/>
  <c r="BY20" i="106"/>
  <c r="BY57" i="106" l="1"/>
  <c r="BY48" i="106"/>
  <c r="BZ16" i="3"/>
  <c r="BZ20" i="3" s="1"/>
  <c r="CA17" i="3"/>
  <c r="CA16" i="3" s="1"/>
  <c r="CA20" i="3" l="1"/>
  <c r="BZ43" i="3"/>
  <c r="BZ22" i="3"/>
  <c r="CA22" i="3" s="1"/>
  <c r="CA21" i="3" l="1"/>
  <c r="BZ24" i="3"/>
  <c r="CA43" i="3"/>
  <c r="CA24" i="3"/>
  <c r="CA157" i="106" l="1"/>
  <c r="CA158" i="106" s="1"/>
  <c r="CA159" i="106" s="1"/>
  <c r="CA75" i="3"/>
  <c r="BZ25" i="3"/>
  <c r="CA160" i="106" l="1"/>
  <c r="CA25" i="3"/>
  <c r="BZ43" i="106"/>
  <c r="BZ168" i="106" s="1"/>
  <c r="BZ27" i="3"/>
  <c r="CA43" i="106" l="1"/>
  <c r="CA168" i="106" s="1"/>
  <c r="BZ44" i="3"/>
  <c r="BZ57" i="3"/>
  <c r="BZ67" i="3"/>
  <c r="BZ8" i="107" s="1"/>
  <c r="BZ33" i="3"/>
  <c r="BZ58" i="3" s="1"/>
  <c r="CA26" i="3"/>
  <c r="CA27" i="3"/>
  <c r="BZ24" i="107" l="1"/>
  <c r="CA8" i="107"/>
  <c r="CA24" i="107" s="1"/>
  <c r="BZ93" i="106"/>
  <c r="BZ97" i="106" s="1"/>
  <c r="BZ80" i="3"/>
  <c r="BZ68" i="3"/>
  <c r="BZ39" i="106"/>
  <c r="CA57" i="3"/>
  <c r="CA44" i="3"/>
  <c r="CA67" i="3"/>
  <c r="CA33" i="3"/>
  <c r="CA55" i="107" l="1"/>
  <c r="CA48" i="107"/>
  <c r="CA51" i="107" s="1"/>
  <c r="BZ55" i="107"/>
  <c r="BZ56" i="107" s="1"/>
  <c r="BZ57" i="107" s="1"/>
  <c r="BZ48" i="107"/>
  <c r="BZ51" i="107" s="1"/>
  <c r="CA39" i="106"/>
  <c r="CA41" i="106" s="1"/>
  <c r="BZ41" i="106"/>
  <c r="CC91" i="106"/>
  <c r="CA58" i="3"/>
  <c r="CA93" i="106"/>
  <c r="CA97" i="106" s="1"/>
  <c r="CA80" i="3"/>
  <c r="CA68" i="3"/>
  <c r="CA56" i="107" l="1"/>
  <c r="CA57" i="107" s="1"/>
  <c r="BZ44" i="106"/>
  <c r="BZ46" i="106" s="1"/>
  <c r="BZ170" i="106"/>
  <c r="CA44" i="106"/>
  <c r="CA65" i="106" s="1"/>
  <c r="CA170" i="106"/>
  <c r="CC50" i="107"/>
  <c r="CG50" i="107" s="1"/>
  <c r="BZ98" i="106"/>
  <c r="CA81" i="106"/>
  <c r="BZ81" i="106"/>
  <c r="CG91" i="106"/>
  <c r="CA98" i="106"/>
  <c r="CA59" i="107" l="1"/>
  <c r="CA46" i="106"/>
  <c r="BZ65" i="106"/>
  <c r="CA56" i="106"/>
  <c r="BZ56" i="106"/>
  <c r="CA80" i="106"/>
  <c r="CA82" i="106"/>
  <c r="BZ82" i="106"/>
  <c r="BZ80" i="106"/>
  <c r="BZ83" i="106" l="1"/>
  <c r="CA83" i="106"/>
  <c r="BZ9" i="106"/>
  <c r="BZ52" i="107" l="1"/>
  <c r="BZ173" i="106"/>
  <c r="CA9" i="106"/>
  <c r="BZ150" i="106"/>
  <c r="CC151" i="106" s="1"/>
  <c r="CC17" i="3" s="1"/>
  <c r="BZ86" i="106"/>
  <c r="BZ14" i="106"/>
  <c r="BZ69" i="106"/>
  <c r="BZ70" i="106"/>
  <c r="BZ52" i="106"/>
  <c r="BZ177" i="106" l="1"/>
  <c r="BZ176" i="106"/>
  <c r="CA52" i="107"/>
  <c r="CA173" i="106"/>
  <c r="CC16" i="3"/>
  <c r="CC20" i="3" s="1"/>
  <c r="BZ53" i="106"/>
  <c r="BZ64" i="106"/>
  <c r="BZ71" i="106"/>
  <c r="BZ68" i="106"/>
  <c r="BZ20" i="106"/>
  <c r="CA86" i="106"/>
  <c r="CA150" i="106"/>
  <c r="CA152" i="106" s="1"/>
  <c r="CA14" i="106"/>
  <c r="CA69" i="106"/>
  <c r="CA70" i="106"/>
  <c r="CA52" i="106"/>
  <c r="BZ179" i="106" l="1"/>
  <c r="CA176" i="106"/>
  <c r="CA179" i="106"/>
  <c r="CA177" i="106"/>
  <c r="BZ180" i="106"/>
  <c r="BZ58" i="106" s="1"/>
  <c r="CA180" i="106"/>
  <c r="CA58" i="106" s="1"/>
  <c r="CA53" i="106"/>
  <c r="CA64" i="106"/>
  <c r="BZ57" i="106"/>
  <c r="BZ48" i="106"/>
  <c r="CA68" i="106"/>
  <c r="CA71" i="106"/>
  <c r="CA20" i="106"/>
  <c r="CC22" i="3"/>
  <c r="CC43" i="3"/>
  <c r="CA57" i="106" l="1"/>
  <c r="CA48" i="106"/>
  <c r="CC24" i="3"/>
  <c r="CC25" i="3" l="1"/>
  <c r="CC27" i="3" s="1"/>
  <c r="CC44" i="3" l="1"/>
  <c r="CC67" i="3"/>
  <c r="CC8" i="107" s="1"/>
  <c r="CC57" i="3"/>
  <c r="CC33" i="3"/>
  <c r="CC58" i="3" s="1"/>
  <c r="CC43" i="106"/>
  <c r="CC168" i="106" s="1"/>
  <c r="CC24" i="107" l="1"/>
  <c r="CC93" i="106"/>
  <c r="CC97" i="106" s="1"/>
  <c r="CC80" i="3"/>
  <c r="CC68" i="3"/>
  <c r="CC39" i="106"/>
  <c r="CC55" i="107" l="1"/>
  <c r="CC56" i="107" s="1"/>
  <c r="CC57" i="107" s="1"/>
  <c r="CC48" i="107"/>
  <c r="CC51" i="107" s="1"/>
  <c r="CD91" i="106"/>
  <c r="CC41" i="106"/>
  <c r="CC44" i="106" l="1"/>
  <c r="CC46" i="106" s="1"/>
  <c r="CC170" i="106"/>
  <c r="CD50" i="107"/>
  <c r="CC81" i="106"/>
  <c r="CC98" i="106"/>
  <c r="CC56" i="106" l="1"/>
  <c r="CC65" i="106"/>
  <c r="CC80" i="106"/>
  <c r="CC82" i="106"/>
  <c r="CC83" i="106" l="1"/>
  <c r="CC9" i="106"/>
  <c r="CC52" i="107" l="1"/>
  <c r="CC173" i="106"/>
  <c r="CC86" i="106"/>
  <c r="CC150" i="106"/>
  <c r="CD151" i="106" s="1"/>
  <c r="CD17" i="3" s="1"/>
  <c r="CC14" i="106"/>
  <c r="CC69" i="106"/>
  <c r="CC70" i="106"/>
  <c r="CC52" i="106"/>
  <c r="CC176" i="106" l="1"/>
  <c r="CC179" i="106" s="1"/>
  <c r="CC177" i="106"/>
  <c r="CC180" i="106" s="1"/>
  <c r="CC58" i="106" s="1"/>
  <c r="CD16" i="3"/>
  <c r="CD20" i="3" s="1"/>
  <c r="CC71" i="106"/>
  <c r="CC68" i="106"/>
  <c r="CC20" i="106"/>
  <c r="CC53" i="106"/>
  <c r="CC64" i="106"/>
  <c r="CC57" i="106" l="1"/>
  <c r="CC48" i="106"/>
  <c r="CD22" i="3"/>
  <c r="CD24" i="3" s="1"/>
  <c r="CD43" i="3"/>
  <c r="CD25" i="3" l="1"/>
  <c r="CD27" i="3" s="1"/>
  <c r="CD67" i="3" l="1"/>
  <c r="CD8" i="107" s="1"/>
  <c r="CD57" i="3"/>
  <c r="CD44" i="3"/>
  <c r="CD33" i="3"/>
  <c r="CD58" i="3" s="1"/>
  <c r="CD43" i="106"/>
  <c r="CD168" i="106" s="1"/>
  <c r="CD24" i="107" l="1"/>
  <c r="CD93" i="106"/>
  <c r="CD97" i="106" s="1"/>
  <c r="CD80" i="3"/>
  <c r="CD68" i="3"/>
  <c r="CD39" i="106"/>
  <c r="CD55" i="107" l="1"/>
  <c r="CD56" i="107" s="1"/>
  <c r="CD57" i="107" s="1"/>
  <c r="CD48" i="107"/>
  <c r="CD51" i="107" s="1"/>
  <c r="CE91" i="106"/>
  <c r="CD41" i="106"/>
  <c r="CD44" i="106" l="1"/>
  <c r="CD65" i="106" s="1"/>
  <c r="CD170" i="106"/>
  <c r="CE50" i="107"/>
  <c r="CD81" i="106"/>
  <c r="CD98" i="106"/>
  <c r="CD46" i="106" l="1"/>
  <c r="CD56" i="106"/>
  <c r="CD80" i="106"/>
  <c r="CD82" i="106"/>
  <c r="CD83" i="106" l="1"/>
  <c r="CD9" i="106"/>
  <c r="CD52" i="107" l="1"/>
  <c r="CD173" i="106"/>
  <c r="CD86" i="106"/>
  <c r="CD150" i="106"/>
  <c r="CE151" i="106" s="1"/>
  <c r="CD14" i="106"/>
  <c r="CD69" i="106"/>
  <c r="CD70" i="106"/>
  <c r="CD52" i="106"/>
  <c r="CD176" i="106" l="1"/>
  <c r="CD179" i="106" s="1"/>
  <c r="CD177" i="106"/>
  <c r="CD180" i="106" s="1"/>
  <c r="CD58" i="106" s="1"/>
  <c r="CE17" i="3"/>
  <c r="CD53" i="106"/>
  <c r="CD64" i="106"/>
  <c r="CD71" i="106"/>
  <c r="CD68" i="106"/>
  <c r="CD20" i="106"/>
  <c r="CE16" i="3" l="1"/>
  <c r="CE20" i="3" s="1"/>
  <c r="CD57" i="106"/>
  <c r="CD48" i="106"/>
  <c r="CE22" i="3" l="1"/>
  <c r="CE24" i="3" s="1"/>
  <c r="CE43" i="3"/>
  <c r="CE25" i="3" l="1"/>
  <c r="CE27" i="3" s="1"/>
  <c r="CE44" i="3" l="1"/>
  <c r="CE57" i="3"/>
  <c r="CE67" i="3"/>
  <c r="CE8" i="107" s="1"/>
  <c r="CE33" i="3"/>
  <c r="CE58" i="3" s="1"/>
  <c r="CE43" i="106"/>
  <c r="CE168" i="106" s="1"/>
  <c r="CE24" i="107" l="1"/>
  <c r="CE93" i="106"/>
  <c r="CE97" i="106" s="1"/>
  <c r="CE80" i="3"/>
  <c r="CE68" i="3"/>
  <c r="CE39" i="106"/>
  <c r="CE55" i="107" l="1"/>
  <c r="CE56" i="107" s="1"/>
  <c r="CE57" i="107" s="1"/>
  <c r="CE48" i="107"/>
  <c r="CE51" i="107" s="1"/>
  <c r="CE41" i="106"/>
  <c r="CF91" i="106"/>
  <c r="CE44" i="106" l="1"/>
  <c r="CE65" i="106" s="1"/>
  <c r="CE170" i="106"/>
  <c r="CF50" i="107"/>
  <c r="CE98" i="106"/>
  <c r="CE81" i="106"/>
  <c r="CE56" i="106" l="1"/>
  <c r="CE46" i="106"/>
  <c r="CE80" i="106"/>
  <c r="CE82" i="106"/>
  <c r="CE83" i="106" l="1"/>
  <c r="CE9" i="106"/>
  <c r="CE52" i="107" l="1"/>
  <c r="CE173" i="106"/>
  <c r="CE150" i="106"/>
  <c r="CF151" i="106" s="1"/>
  <c r="CE86" i="106"/>
  <c r="CE14" i="106"/>
  <c r="CE69" i="106"/>
  <c r="CE70" i="106"/>
  <c r="CE52" i="106"/>
  <c r="CE177" i="106" l="1"/>
  <c r="CE180" i="106" s="1"/>
  <c r="CE58" i="106" s="1"/>
  <c r="CE176" i="106"/>
  <c r="CE179" i="106" s="1"/>
  <c r="CF17" i="3"/>
  <c r="CG151" i="106"/>
  <c r="CE53" i="106"/>
  <c r="CE64" i="106"/>
  <c r="CE68" i="106"/>
  <c r="CE71" i="106"/>
  <c r="CE20" i="106"/>
  <c r="CE57" i="106" l="1"/>
  <c r="CE48" i="106"/>
  <c r="CF16" i="3"/>
  <c r="CF20" i="3" s="1"/>
  <c r="CG17" i="3"/>
  <c r="CG16" i="3" s="1"/>
  <c r="CG20" i="3" l="1"/>
  <c r="CF22" i="3"/>
  <c r="CF43" i="3"/>
  <c r="CG43" i="3" l="1"/>
  <c r="CF24" i="3"/>
  <c r="CF25" i="3" s="1"/>
  <c r="CG22" i="3"/>
  <c r="CG21" i="3" s="1"/>
  <c r="CG157" i="106" s="1"/>
  <c r="CG158" i="106" s="1"/>
  <c r="CG159" i="106" s="1"/>
  <c r="CG160" i="106" l="1"/>
  <c r="CG75" i="3"/>
  <c r="CG24" i="3"/>
  <c r="CF27" i="3"/>
  <c r="CG25" i="3"/>
  <c r="CF43" i="106"/>
  <c r="CG43" i="106" l="1"/>
  <c r="CG168" i="106" s="1"/>
  <c r="CF168" i="106"/>
  <c r="CG26" i="3"/>
  <c r="CF67" i="3"/>
  <c r="CF8" i="107" s="1"/>
  <c r="CF44" i="3"/>
  <c r="CF57" i="3"/>
  <c r="CF33" i="3"/>
  <c r="CF58" i="3" s="1"/>
  <c r="CG27" i="3"/>
  <c r="CF24" i="107" l="1"/>
  <c r="CG8" i="107"/>
  <c r="CG24" i="107" s="1"/>
  <c r="CF93" i="106"/>
  <c r="CF97" i="106" s="1"/>
  <c r="CF80" i="3"/>
  <c r="CF68" i="3"/>
  <c r="CF39" i="106"/>
  <c r="CG44" i="3"/>
  <c r="CG57" i="3"/>
  <c r="CG67" i="3"/>
  <c r="CG33" i="3"/>
  <c r="CG55" i="107" l="1"/>
  <c r="CG48" i="107"/>
  <c r="CG51" i="107" s="1"/>
  <c r="CF55" i="107"/>
  <c r="CF56" i="107" s="1"/>
  <c r="CF57" i="107" s="1"/>
  <c r="CF48" i="107"/>
  <c r="CF51" i="107" s="1"/>
  <c r="CG39" i="106"/>
  <c r="CG41" i="106" s="1"/>
  <c r="CF41" i="106"/>
  <c r="CG58" i="3"/>
  <c r="CG93" i="106"/>
  <c r="CG97" i="106" s="1"/>
  <c r="CG80" i="3"/>
  <c r="CG68" i="3"/>
  <c r="CG56" i="107" l="1"/>
  <c r="CF44" i="106"/>
  <c r="CF46" i="106" s="1"/>
  <c r="CF170" i="106"/>
  <c r="CG44" i="106"/>
  <c r="CG46" i="106" s="1"/>
  <c r="CG170" i="106"/>
  <c r="CF98" i="106"/>
  <c r="CG98" i="106"/>
  <c r="CG81" i="106"/>
  <c r="CF81" i="106"/>
  <c r="CG57" i="107" l="1"/>
  <c r="CJ56" i="107"/>
  <c r="CG59" i="107"/>
  <c r="CF65" i="106"/>
  <c r="CG56" i="106"/>
  <c r="CG65" i="106"/>
  <c r="CF56" i="106"/>
  <c r="CF80" i="106"/>
  <c r="CG80" i="106"/>
  <c r="CF82" i="106"/>
  <c r="CG82" i="106"/>
  <c r="CF83" i="106" l="1"/>
  <c r="CF9" i="106"/>
  <c r="CG83" i="106"/>
  <c r="CF52" i="107" l="1"/>
  <c r="CF173" i="106"/>
  <c r="CG9" i="106"/>
  <c r="CF86" i="106"/>
  <c r="CF150" i="106"/>
  <c r="CF14" i="106"/>
  <c r="CF70" i="106"/>
  <c r="CF69" i="106"/>
  <c r="CF52" i="106"/>
  <c r="CG52" i="107" l="1"/>
  <c r="CG173" i="106"/>
  <c r="CF176" i="106"/>
  <c r="CF177" i="106"/>
  <c r="CF53" i="106"/>
  <c r="CF64" i="106"/>
  <c r="CF68" i="106"/>
  <c r="CF71" i="106"/>
  <c r="CF20" i="106"/>
  <c r="CG150" i="106"/>
  <c r="CG152" i="106" s="1"/>
  <c r="CG86" i="106"/>
  <c r="CG14" i="106"/>
  <c r="CG69" i="106"/>
  <c r="CG70" i="106"/>
  <c r="CG52" i="106"/>
  <c r="CG177" i="106" l="1"/>
  <c r="CF180" i="106"/>
  <c r="CF58" i="106" s="1"/>
  <c r="CG180" i="106"/>
  <c r="CG58" i="106" s="1"/>
  <c r="CG176" i="106"/>
  <c r="CF179" i="106"/>
  <c r="CG179" i="106"/>
  <c r="CG68" i="106"/>
  <c r="CG71" i="106"/>
  <c r="CG20" i="106"/>
  <c r="CF57" i="106"/>
  <c r="CF48" i="106"/>
  <c r="CG64" i="106"/>
  <c r="CG53" i="106"/>
  <c r="CG57" i="106" l="1"/>
  <c r="CG48" i="106"/>
  <c r="BQ339" i="51" l="1"/>
  <c r="BR339" i="51" s="1"/>
  <c r="BS339" i="51" s="1"/>
  <c r="BT339" i="51" s="1"/>
  <c r="BW339" i="51" s="1"/>
  <c r="BX339" i="51" s="1"/>
  <c r="BY339" i="51" s="1"/>
  <c r="BZ339" i="51" s="1"/>
  <c r="CC339" i="51" s="1"/>
  <c r="CD339" i="51" s="1"/>
  <c r="CE339" i="51" s="1"/>
  <c r="CF339" i="51" s="1"/>
  <c r="BQ337" i="51" l="1"/>
  <c r="BO207" i="51"/>
  <c r="BQ134" i="51" l="1"/>
  <c r="BQ135" i="51" s="1"/>
  <c r="BQ138" i="51" s="1"/>
  <c r="AT10" i="119"/>
  <c r="BQ207" i="51"/>
  <c r="AT13" i="119"/>
  <c r="BR337" i="51"/>
  <c r="AU10" i="119" s="1"/>
  <c r="AT118" i="119" l="1"/>
  <c r="AT38" i="119"/>
  <c r="AU115" i="119"/>
  <c r="AU35" i="119"/>
  <c r="AU127" i="119" s="1"/>
  <c r="AT115" i="119"/>
  <c r="AT35" i="119"/>
  <c r="BR134" i="51"/>
  <c r="BR135" i="51" s="1"/>
  <c r="BR138" i="51" s="1"/>
  <c r="AU13" i="119"/>
  <c r="BR207" i="51"/>
  <c r="BS337" i="51"/>
  <c r="AV10" i="119" s="1"/>
  <c r="AV35" i="119" l="1"/>
  <c r="AV127" i="119" s="1"/>
  <c r="AV115" i="119"/>
  <c r="AU118" i="119"/>
  <c r="AU38" i="119"/>
  <c r="AU130" i="119" s="1"/>
  <c r="AT130" i="119"/>
  <c r="AT127" i="119"/>
  <c r="BS134" i="51"/>
  <c r="BS135" i="51" s="1"/>
  <c r="BS138" i="51" s="1"/>
  <c r="AV13" i="119"/>
  <c r="BT337" i="51"/>
  <c r="AW10" i="119" s="1"/>
  <c r="BS207" i="51"/>
  <c r="BT134" i="51" l="1"/>
  <c r="BT135" i="51" s="1"/>
  <c r="BT138" i="51" s="1"/>
  <c r="AW115" i="119"/>
  <c r="AW35" i="119"/>
  <c r="AV118" i="119"/>
  <c r="AV38" i="119"/>
  <c r="BU16" i="51"/>
  <c r="BU17" i="51" s="1"/>
  <c r="BU20" i="51" s="1"/>
  <c r="BT207" i="51"/>
  <c r="BW337" i="51"/>
  <c r="BU134" i="51" l="1"/>
  <c r="BU337" i="51" s="1"/>
  <c r="BU207" i="51" s="1"/>
  <c r="AW127" i="119"/>
  <c r="AV130" i="119"/>
  <c r="AW13" i="119"/>
  <c r="BW134" i="51"/>
  <c r="BW135" i="51" s="1"/>
  <c r="BW138" i="51" s="1"/>
  <c r="BX337" i="51"/>
  <c r="BX134" i="51" s="1"/>
  <c r="BX135" i="51" s="1"/>
  <c r="BX138" i="51" s="1"/>
  <c r="BW207" i="51"/>
  <c r="BU135" i="51" l="1"/>
  <c r="BU138" i="51" s="1"/>
  <c r="AW118" i="119"/>
  <c r="AW38" i="119"/>
  <c r="BU339" i="51"/>
  <c r="BY337" i="51"/>
  <c r="BX207" i="51"/>
  <c r="AW130" i="119" l="1"/>
  <c r="BZ337" i="51"/>
  <c r="BY207" i="51"/>
  <c r="BY134" i="51"/>
  <c r="BY135" i="51" s="1"/>
  <c r="BY138" i="51" s="1"/>
  <c r="CC337" i="51" l="1"/>
  <c r="BZ134" i="51"/>
  <c r="CA134" i="51" s="1"/>
  <c r="CA16" i="51"/>
  <c r="CA17" i="51" s="1"/>
  <c r="CA20" i="51" s="1"/>
  <c r="BZ207" i="51"/>
  <c r="CC207" i="51" l="1"/>
  <c r="CC134" i="51"/>
  <c r="CC135" i="51" s="1"/>
  <c r="CC138" i="51" s="1"/>
  <c r="CD337" i="51"/>
  <c r="CD207" i="51" s="1"/>
  <c r="BZ135" i="51"/>
  <c r="BZ138" i="51" s="1"/>
  <c r="CA337" i="51"/>
  <c r="CA135" i="51"/>
  <c r="CA138" i="51" s="1"/>
  <c r="CE337" i="51" l="1"/>
  <c r="CD134" i="51"/>
  <c r="CD135" i="51" s="1"/>
  <c r="CD138" i="51" s="1"/>
  <c r="CA207" i="51"/>
  <c r="CA339" i="51"/>
  <c r="CF337" i="51" l="1"/>
  <c r="CF207" i="51" s="1"/>
  <c r="CE207" i="51"/>
  <c r="CE134" i="51"/>
  <c r="CE135" i="51" s="1"/>
  <c r="CE138" i="51" s="1"/>
  <c r="CF134" i="51" l="1"/>
  <c r="CF135" i="51" s="1"/>
  <c r="CF138" i="51" s="1"/>
  <c r="CG16" i="51"/>
  <c r="CG17" i="51" s="1"/>
  <c r="CG20" i="51" s="1"/>
  <c r="CG134" i="51" l="1"/>
  <c r="CG337" i="51" s="1"/>
  <c r="CG135" i="51" l="1"/>
  <c r="CG138" i="51" s="1"/>
  <c r="CG339" i="51"/>
  <c r="CG207" i="51"/>
  <c r="BO172" i="3" l="1"/>
  <c r="BO173" i="3" s="1"/>
  <c r="BO170" i="3"/>
  <c r="BU170" i="3" s="1"/>
  <c r="BO174" i="3" l="1"/>
  <c r="BU169" i="3"/>
  <c r="CA170" i="3"/>
  <c r="CG170" i="3" l="1"/>
  <c r="CA169" i="3"/>
  <c r="BU172" i="3"/>
  <c r="CA172" i="3" l="1"/>
  <c r="BU173" i="3"/>
  <c r="CG169" i="3"/>
  <c r="CG172" i="3" l="1"/>
  <c r="BU174" i="3"/>
  <c r="CA173" i="3"/>
  <c r="CA174" i="3" l="1"/>
  <c r="CG173" i="3"/>
  <c r="CG174" i="3" l="1"/>
</calcChain>
</file>

<file path=xl/comments1.xml><?xml version="1.0" encoding="utf-8"?>
<comments xmlns="http://schemas.openxmlformats.org/spreadsheetml/2006/main">
  <authors>
    <author>carlilew</author>
  </authors>
  <commentList>
    <comment ref="A1" authorId="0">
      <text>
        <r>
          <rPr>
            <b/>
            <sz val="8"/>
            <color indexed="81"/>
            <rFont val="Tahoma"/>
            <family val="2"/>
          </rPr>
          <t>卟䙄_x0003_＀＀㝾䷻ 剁奁䥞彂䅐䝖㐨ㄯ㈯〰ⰷ⼶〳㈯〰⤷ ＀＀ ＀＀_x0008_＀＀_x0008_＀＀_x0001_＀＀_x0001_＀＀_x0001_＀＀薲ܠ谥䀷䆣丯@〳㐮常䕆䕟呓䵉呁⡅䔧卐Ⱗ䴧䅅❎✬䅃㑌Ⱗ㈧㄰✲丬坏Ⱜ✬䘬㈱㴳䅍ⱊ⤧_x001D_＀＀ ＀＀_x0005_＀＀_x0004_＀＀_x0001_＀＀_x0001_＀＀_x0008_＀＀乀A찀䆡丯_x0017_呁䍅䙞彆䅓䕌⡓䅃ⱌㄭ奃착ō＀＀ ＀＀ĵ＀＀_x0008_＀＀_x0001_＀＀_x0001_＀＀_x0001_＀＀䖢蓽䁠摦畳㩰⼯楤敲瑣潩獮䘯呁嘠敩敷㽲捡楴湯唽䑐呁♅牣慥潴㵲慦瑣敳♴奄彎剁升吽啒♅佄彃䅎䕍䘽呁䘺䱑䅟䑕呉义彇䱃䕉呎呟䵅䱐呁⹅䅆♔楤灳慬役瑳楲杮䄽摵瑩嘦剁䬺奅圽奘奖奌䍆♔䅖㩒啑剅㵙歒晚さ䵆噒潍け䵆䍌砰ㅑ火圦义佄㵗䥆卒彔佐啐♐䕈䝉呈㐽〵圦䑉䡔㐽〵匦䅔呒䵟塁䵉婉䑅䘽䱁䕓嘦剁䌺䱁久䅄㵒单嘦剁区䵙佂㵌呁䍅嘦剁䤺䑎塅〽찀䆢丯@䍋幉䕆䕟呓䵉呁⡅匧䱁卅Ⱗ䴧䅅❎✬䅃㑌Ⱗ㈧㄰✲丬坏Ⱜ✬䘬㈱㴳䅍ⱊ⤧!＀＀ ＀＀	＀＀_x0008_＀＀_x0001_＀＀_x0001_＀＀_x0001_＀＀譄ܻ䂡찀펚䷨ 呁䍅䥞彂䅐䝖㔨ㄯ㈯〰ⰷ⼷ㄳ㈯〰⤷ ＀＀ ＀＀_x0008_＀＀_x0008_＀＀_x0001_＀＀_x0001_＀＀_x0001_＀＀ነ뚻箷䀍䆛丯_x0017_䱁乇䙞彆䅓䕌⡓䅃ⱌㄭ奃착ō＀＀ ＀＀ĵ＀＀_x0008_＀＀_x0001_＀＀_x0001_＀＀_x0001_＀＀_xD917_蕓䁳摦畳㩰⼯楤敲瑣潩獮䘯呁嘠敩敷㽲捡楴湯唽䑐呁♅牣慥潴㵲慦瑣敳♴奄彎剁升吽啒♅佄彃䅎䕍䘽呁䘺䱑䅟䑕呉义彇䱃䕉呎呟䵅䱐呁⹅䅆♔楤灳慬役瑳楲杮䄽摵瑩嘦剁䬺奅儽䅔䕒坎䍊♎䅖㩒啑剅㵙歒晚さ䵆噒潍け䵆䍌砰ㅑ火圦义佄㵗䥆卒彔佐啐♐䕈䝉呈㐽〵圦䑉䡔㐽〵匦䅔呒䵟塁䵉婉䑅䘽䱁䕓嘦剁䌺䱁久䅄㵒单嘦剁区䵙佂㵌䱁乇嘦剁䤺䑎塅〽찀䆣丯@㈴㤮帹䕆䕟呓䵉呁⡅䔧卐Ⱗ䴧䅅❎✬䅃㑌Ⱗ㈧㄰✲丬坏Ⱜ✬䘬㈱㴳䅍ⱊ⤧_x001D_＀＀ ＀＀_x0005_＀＀_x0004_＀＀_x0001_＀＀_x0001_＀＀_x0008_＀＀乀A찀䆡丯_x0016_佖䍌䙞彆䅓䕌⡓䅃ⱌ䌰⥙ō＀＀ ＀＀ĵ＀＀_x0008_＀＀_x0001_＀＀_x0001_＀＀_x0001_＀＀鍵И扖䁲摦畳㩰⼯楤敲瑣潩獮䘯呁嘠敩敷㽲捡楴湯唽䑐呁♅牣慥潴㵲慦瑣敳♴奄彎剁升吽啒♅佄彃䅎䕍䘽呁䘺䱑䅟䑕呉义彇䱃䕉呎呟䵅䱐呁⹅䅆♔楤灳慬役瑳楲杮䄽摵瑩嘦剁䬺奅䬽䝒坐啂佘♔䅖㩒啑剅㵙歒晚さ䵆噒潍け䵆䑌䑂南㵫圦义佄㵗䥆卒彔佐啐♐䕈䝉呈㐽〵圦䑉䡔㐽〵匦䅔呒䵟塁䵉婉䑅䘽䱁䕓嘦剁䌺䱁久䅄㵒单嘦剁区䵙佂㵌佖䍌嘦剁䤺䑎塅〽찀됪丞 剘奁䥞彂䅐䝖㐨ㄯ㈯〰ⰷ⼶〳㈯〰⤷ ＀＀ ＀＀_x0008_＀＀_x0008_＀＀_x0001_＀＀_x0001_＀＀_x0001_＀＀롼룤뉓䁁剝䷰ 䅖幒䉉偟噁⡇⼱ㄳ㈯〰ⰷ⼳ㄳ㈯〰⤷ ＀＀ ＀＀_x0008_＀＀_x0008_＀＀_x0001_＀＀_x0001_＀＀_x0001_＀＀剪먊첽䁇暍䷰_x001F_䅖幒䉉偟噁⡇⼴⼱〲㤰㜬㌯⼱〲㤰착 ＀＀ ＀＀_x0008_＀＀_x0008_＀＀_x0001_＀＀_x0001_＀＀_x0001_＀＀瀻裎㻒䁁䆣丯@㐳㤮帳䕆䕟呓䵉呁⡅䔧卐Ⱗ䴧䅅❎✬䅃㑌Ⱗ㈧㄰✲丬坏Ⱜ✬䘬㈱㴳䅍ⱊ⤧_x001D_＀＀ ＀＀_x0005_＀＀_x0004_＀＀_x0001_＀＀_x0001_＀＀_x0008_＀＀乀A찀퐶䷨ 呁䍅䥞彂䅐䝖㈨ㄯ㈯㄰ⰱ⼴〳㈯㄰⤱ ＀＀ ＀＀_x0008_＀＀_x0008_＀＀_x0001_＀＀_x0001_＀＀_x0001_＀＀桄ᬄῗ䀆㟛䷻"剁奁䥞彂䅐䝖ㄨ⼰⼱〲㠰ㄬ⼲ㄳ㈯〰⤸ ＀＀ ＀＀_x0008_＀＀_x0008_＀＀_x0001_＀＀_x0001_＀＀_x0001_＀＀䥷ᖜ卑䀕䆞丯_x0013_佐䑄偞偟䥒䕃㐨㜰〵착!＀＀ ＀＀	＀＀_x0008_＀＀_x0001_＀＀_x0001_＀＀_x0001_＀＀馚香妙䀴찀☬䵿!呁䍅䥞彂䅐䝖ㄨㄯ㈯㄰ⰰ㈱㌯⼱〲〱착 ＀＀ ＀＀_x0008_＀＀_x0008_＀＀_x0001_＀＀_x0001_＀＀_x0001_＀＀_xDEC5_例䀐紹丁 剁奁䥞彂䅐䝖㜨ㄯ㈯〰ⰹ⼹〳㈯〰⤹ ＀＀ ＀＀_x0008_＀＀_x0008_＀＀_x0001_＀＀_x0001_＀＀_x0001_＀＀爩袈䀚䆣丯@㌳㘮帵䕆䕟呓䵉呁⡅䔧卐Ⱗ䴧䅅❎✬䅃㑌Ⱗ㈧㄰✲丬坏Ⱜ✬䘬㈱㴳䅍ⱊ⤧_x001D_＀＀ ＀＀_x0005_＀＀_x0004_＀＀_x0001_＀＀_x0001_＀＀_x0008_＀＀乀A찀㝾䷻ 剁奁䥞彂䅐䝖㘨ㄯ㈯〰ⰶ⼹〳㈯〰⤶ ＀＀ ＀＀_x0008_＀＀_x0008_＀＀_x0001_＀＀_x0001_＀＀_x0001_＀＀豀碵꼝쐕㝾䷻"剁奁䥞彂䅐䝖ㄨ⼰⼱〲㘰ㄬ⼲ㄳ㈯〰⤶ ＀＀ ＀＀_x0008_＀＀_x0008_＀＀_x0001_＀＀_x0001_＀＀_x0001_＀＀豀碵꼝쐕☬䵿"呁䍅䥞彂䅐䝖ㄨ⼰⼱〲〱ㄬ⼲ㄳ㈯㄰⤰ ＀＀ ＀＀_x0008_＀＀_x0008_＀＀_x0001_＀＀_x0001_＀＀_x0001_＀＀Վ叜䀂☬䵿 呁䍅䥞彂䅐䝖㜨ㄯ㈯㄰ⰰ⼹〳㈯㄰⤰ ＀＀ ＀＀_x0008_＀＀_x0008_＀＀_x0001_＀＀_x0001_＀＀_x0001_＀＀됗肐藑䀈䆠丯?剁䍔䙞彅卅䥔䅍䕔✨偅❓✬䕍乁Ⱗ䌧䱁✴✬〲ㄱⰧ低ⱗⰬⰧㅆ㌲䴽䩁✬착!＀＀ ＀＀	＀＀_x0008_＀＀_x0001_＀＀_x0001_＀＀_x0001_＀＀竡긔㿲찀䆢丯_x0013_剘奁偞偟䥒䕃㐨㜰〵착!＀＀ ＀＀	＀＀_x0008_＀＀_x0001_＀＀_x0001_＀＀_x0001_＀＀롑攞䁃찀됪丞"剘奁䥞彂䅐䝖ㄨ⼰⼱〲〱ㄬ⼲ㄳ㈯㄰⤰ ＀＀ ＀＀_x0008_＀＀_x0008_＀＀_x0001_＀＀_x0001_＀＀_x0001_＀＀ꪏ蠦⾺䁀䆛丯_x0016_䥓佒䙞彆䅓䕌⡓䅃ⱌ䌰⥙ō＀＀ ＀＀ĵ＀＀_x0008_＀＀_x0001_＀＀_x0001_＀＀_x0001_＀＀ቮ삃룊䂈摦畳㩰⼯楤敲瑣潩獮䘯呁嘠敩敷㽲捡楴湯唽䑐呁♅牣慥潴㵲慦瑣敳♴奄彎剁升吽啒♅佄彃䅎䕍䘽呁䘺䱑䅟䑕呉义彇䱃䕉呎呟䵅䱐呁⹅䅆♔楤灳慬役瑳楲杮䄽摵瑩嘦剁䬺奅䌽啎啄䵘䝔♎䅖㩒啑剅㵙歒晚さ䵆噒潍け䵆䑌䑂南㵫圦义佄㵗䥆卒彔佐啐♐䕈䝉呈㐽〵圦䑉䡔㐽〵匦䅔呒䵟塁䵉婉䑅䘽䱁䕓嘦剁䌺䱁久䅄㵒单嘦剁区䵙佂㵌䥓佒嘦剁䤺䑎塅〽찀暍䷰!䅖幒䉉偟噁⡇〱ㄯ㈯㄰ⰰ㈱㌯⼱〲〱착 ＀＀ ＀＀_x0008_＀＀_x0008_＀＀_x0001_＀＀_x0001_＀＀_x0001_＀＀뛮촋䱵䁐䆡丯?䙏塉䙞彅卅䥔䅍䕔✨偅❓✬䕍乁Ⱗ䌧䱁✴✬〲ㄱⰧ低ⱗⰬⰧㅆ㌲䴽䩁✬착!＀＀ ＀＀	＀＀_x0008_＀＀_x0001_＀＀_x0001_＀＀_x0001_＀＀塞ǵ_xDE50_㾨찀됪丞 剘奁䥞彂䅐䝖㜨ㄯ㈯〰ⰹ⼹〳㈯〰⤹ ＀＀ ＀＀_x0008_＀＀_x0008_＀＀_x0001_＀＀_x0001_＀＀_x0001_＀＀琕䥻っ䁀䆞丯_x0013_剁䍔偞偟䥒䕃㐨㜰〵착!＀＀ ＀＀	＀＀_x0008_＀＀_x0001_＀＀_x0001_＀＀_x0001_＀＀㌳㌳팳䁀찀䆝丯_x0012_偃協䙞彆偅⡓乁ⱎ⤰!＀＀ ＀＀	＀＀_x0008_＀＀_x0001_＀＀_x0001_＀＀_x0001_＀＀Ẹ롑䀄찀䆞丯_x0013_偃協偞偟䥒䕃㐨㜰〵착!＀＀ ＀＀	＀＀_x0008_＀＀_x0001_＀＀_x0001_＀＀_x0001_＀＀蔟凫麸䀦찀☬䵿"呁䍅䥞彂䅐䝖ㄨ⼰⼱〲㤰ㄬ⼲ㄳ㈯〰⤹ ＀＀ ＀＀_x0008_＀＀_x0008_＀＀_x0001_＀＀_x0001_＀＀_x0001_＀＀幆쓖⼂䀓䆝丯_x0016_呈剗䙞彆䅓䕌⡓䅃ⱌ䌰⥙ō＀＀ ＀＀ĵ＀＀_x0008_＀＀_x0001_＀＀_x0001_＀＀_x0001_＀＀_xDAE8_퀗锋䁋摦畳㩰⼯楤敲瑣潩獮䘯呁嘠敩敷㽲捡楴湯唽䑐呁♅牣慥潴㵲慦瑣敳♴奄彎剁升吽啒♅佄彃䅎䕍䘽呁䘺䱑䅟䑕呉义彇䱃䕉呎呟䵅䱐呁⹅䅆♔楤灳慬役瑳楲杮䄽摵瑩嘦剁䬺奅䤽䥊䅒䝎䍌♐䅖㩒啑剅㵙歒晚さ䵆噒潍け䵆䑌䑂南㵫圦义佄㵗䥆卒彔佐啐♐䕈䝉呈㐽〵圦䑉䡔㐽〵匦䅔呒䵟塁䵉婉䑅䘽䱁䕓嘦剁䌺䱁久䅄㵒单嘦剁区䵙佂㵌呈剗嘦剁䤺䑎塅〽찀됪丞"剘奁䥞彂䅐䝖ㄨ⼰⼱〲㤰ㄬ⼲ㄳ㈯〰⤹ ＀＀ ＀＀_x0008_＀＀_x0008_＀＀_x0001_＀＀_x0001_＀＀_x0001_＀＀Ỏը䂆䁁☬䵿!呁䍅䥞彂䅐䝖ㄨㄯ㈯〰ⰷ㈱㌯⼱〲㜰착 ＀＀ ＀＀_x0008_＀＀_x0008_＀＀_x0001_＀＀_x0001_＀＀_x0001_＀＀丅膶퀻䀏暍䷰ 䅖幒䉉偟噁⡇〱ㄯ㈯〰ⰹ⼹〳㈯㄰⤰ ＀＀ ＀＀_x0008_＀＀_x0008_＀＀_x0001_＀＀_x0001_＀＀_x0001_＀＀曐歪䁉䆝丯P䱁乇⡞䙆䑟䉅⡔瑱Ⱳ⤰䘭彆䅃䡓卟⡔呑ⱒ⤰䀩䘨彆䕄呂儨剔⴬䘱⥑䘭彆䅃䡓卟⡔呑ⱒㄭ兆⤩Ɲ＀＀ ＀＀ƅ＀＀_x0008_＀＀_x0001_＀＀_x0001_＀＀_x0001_＀＀뙆ﷳ仔쁴摦畳㩰⼯楤敲瑣潩獮䘯呁嘠敩敷㽲捡楴湯唽䑐呁♅牣慥潴㵲慦瑣敳♴奄彎剁升吽啒♅佄彃䅎䕍䘽呁䘺䱑䅟䑕呉义彇䱃䕉呎呟䵅䱐呁⹅䅆♔楤灳慬役瑳楲杮䄽摵瑩嘦剁䬺奅䴽䝘奘䥐坖♄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䱁乇嘦剁䤺䑎塅〽찀䆝丯_x0017_偃協䙞彆䅓䕌⡓䅃ⱌㄭ奃착ō＀＀ ＀＀ĵ＀＀_x0008_＀＀_x0001_＀＀_x0001_＀＀_x0001_＀＀⼛ⓝ洆䁠摦畳㩰⼯楤敲瑣潩獮䘯呁嘠敩敷㽲捡楴湯唽䑐呁♅牣慥潴㵲慦瑣敳♴奄彎剁升吽啒♅佄彃䅎䕍䘽呁䘺䱑䅟䑕呉义彇䱃䕉呎呟䵅䱐呁⹅䅆♔楤灳慬役瑳楲杮䄽摵瑩嘦剁䬺奅䄽佘䵌佈奚♘䅖㩒啑剅㵙歒晚さ䵆噒潍け䵆䍌砰ㅑ火圦义佄㵗䥆卒彔佐啐♐䕈䝉呈㐽〵圦䑉䡔㐽〵匦䅔呒䵟塁䵉婉䑅䘽䱁䕓嘦剁䌺䱁久䅄㵒单嘦剁区䵙佂㵌偃協嘦剁䤺䑎塅〽찀틍䷨_x000F_䅖幒䝆偟䥒䕃〨착 ＀＀ ＀＀_x0008_＀＀_x0008_＀＀_x0001_＀＀_x0001_＀＀_x0001_＀＀롒蔞釫䁐☬䵿"呁䍅䥞彂䅐䝖ㄨ⼰⼱〲㜰ㄬ⼲ㄳ㈯〰⤷ ＀＀ ＀＀_x0008_＀＀_x0008_＀＀_x0001_＀＀_x0001_＀＀_x0001_＀＀Ẋ᣸墬䀑䆢丯_x0016_剘奁䙞彆䅓䕌⡓䅃ⱌ䌰⥙ō＀＀ ＀＀ĵ＀＀_x0008_＀＀_x0001_＀＀_x0001_＀＀_x0001_＀＀ొ⬂娇䂡摦畳㩰⼯楤敲瑣潩獮䘯呁嘠敩敷㽲捡楴湯唽䑐呁♅牣慥潴㵲慦瑣敳♴奄彎剁升吽啒♅佄彃䅎䕍䘽呁䘺䱑䅟䑕呉义彇䱃䕉呎呟䵅䱐呁⹅䅆♔楤灳慬役瑳楲杮䄽摵瑩嘦剁䬺奅匽䝈䅊啄坎♘䅖㩒啑剅㵙歒晚さ䵆噒潍け䵆䑌䑂南㵫圦义佄㵗䥆卒彔佐啐♐䕈䝉呈㐽〵圦䑉䡔㐽〵匦䅔呒䵟塁䵉婉䑅䘽䱁䕓嘦剁䌺䱁久䅄㵒单嘦剁区䵙佂㵌剘奁嘦剁䤺䑎塅〽찀䆢丯A䙏塉䙞彅卅䥔䅍䕔✨䅓䕌❓✬䕍乁Ⱗ䌧䱁✴✬〲㈱Ⱗ低ⱗⰬⰧㅆ㌲䴽䩁✬착!＀＀ ＀＀	＀＀_x0008_＀＀_x0001_＀＀_x0001_＀＀_x0001_＀＀馚香䊙䂃찀䆡丯?佖䍌䙞彅卅䥔䅍䕔✨偅❓✬䕍乁Ⱗ䌧䱁✴✬〲ㄱⰧ低ⱗⰬⰧㅆ㌲䴽䩁✬착!＀＀ ＀＀	＀＀_x0008_＀＀_x0001_＀＀_x0001_＀＀_x0001_＀＀ᒓ䛽든㿊찀暍䷰_x001F_䅖幒䉉偟噁⡇⼴⼱〲〱㜬㌯⼱〲〱착 ＀＀ ＀＀_x0008_＀＀_x0008_＀＀_x0001_＀＀_x0001_＀＀_x0001_＀＀䞮竡긔䁊튢䷨_x000F_䭎幅䝆偟䥒䕃〨착 ＀＀ ＀＀_x0008_＀＀_x0008_＀＀_x0001_＀＀_x0001_＀＀_x0001_＀＀馚香䦙䁔됪丞"剘奁䥞彂䅐䝖ㄨ⼰⼱〲㜰ㄬ⼲ㄳ㈯〰⤷ ＀＀ ＀＀_x0008_＀＀_x0008_＀＀_x0001_＀＀_x0001_＀＀_x0001_＀＀T枌胐䁅䆠丯_x0012_呁䍅䙞彆偅⡓乁ⱎ⤰!＀＀ ＀＀	＀＀_x0008_＀＀_x0001_＀＀_x0001_＀＀_x0001_＀＀휊炣਽뿇찀䆞丯_x0011_坅偞偟䥒䕃㐨㜰〵착!＀＀ ＀＀	＀＀_x0008_＀＀_x0001_＀＀_x0001_＀＀_x0001_＀＀蔟凫纸䁒찀䆝丯S低乂䌭幈䘨彆䕄呂焨牴〬⴩䙆䍟十彈呓儨剔〬⤩⡀䙆䑟䉅⡔呑ⱒㄭ兆⴩䙆䍟十彈呓儨剔⴬䘱⥑착Ɵ＀＀ ＀＀Ƈ＀＀_x0008_＀＀_x0001_＀＀_x0001_＀＀_x0001_＀＀㥀剂ꥼ쀟摦畳㩰⼯楤敲瑣潩獮䘯呁嘠敩敷㽲捡楴湯唽䑐呁♅牣慥潴㵲慦瑣敳♴奄彎剁升吽啒♅佄彃䅎䕍䘽呁䘺䱑䅟䑕呉义彇䱃䕉呎呟䵅䱐呁⹅䅆♔楤灳慬役瑳楲杮䄽摵瑩嘦剁䬺奅䬽䅄䝘兂啐♈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㔸㈷嘦剁䤺䑎塅〽찀删䷰ 䅖幒䉉偟噁⡇ㄱㄯ㈯〰ⰶ⼱ㄳ㈯〰⤷ ＀＀ ＀＀_x0008_＀＀_x0008_＀＀_x0001_＀＀_x0001_＀＀_x0001_＀＀둹쑱뱚䁈☬䵿!呁䍅䥞彂䅐䝖ㄨㄯ㈯〰ⰹ㈱㌯⼱〲㤰착 ＀＀ ＀＀_x0008_＀＀_x0008_＀＀_x0001_＀＀_x0001_＀＀_x0001_＀＀㙋갞䀊䆡丯_x0012_啎䅖䙞彆偅⡓乁ⱎ⤰!＀＀ ＀＀	＀＀_x0008_＀＀_x0001_＀＀_x0001_＀＀_x0001_＀＀롑蔞㿻찀昦䷰!䅖幒䉉偟噁⡇〱ㄯ㈯〰ⰷ㈱㌯⼱〲㜰착 ＀＀ ＀＀_x0008_＀＀_x0008_＀＀_x0001_＀＀_x0001_＀＀_x0001_＀＀鉺쵴䁇䆡丯_x0016_䡔剏䙞彆䅓䕌⡓䅃ⱌ䌰⥙ō＀＀ ＀＀ĵ＀＀_x0008_＀＀_x0001_＀＀_x0001_＀＀_x0001_＀＀뀡桲䁷摦畳㩰⼯楤敲瑣潩獮䘯呁嘠敩敷㽲捡楴湯唽䑐呁♅牣慥潴㵲慦瑣敳♴奄彎剁升吽啒♅佄彃䅎䕍䘽呁䘺䱑䅟䑕呉义彇䱃䕉呎呟䵅䱐呁⹅䅆♔楤灳慬役瑳楲杮䄽摵瑩嘦剁䬺奅䤽䵔䥒児䵒♚䅖㩒啑剅㵙歒晚さ䵆噒潍け䵆䑌䑂南㵫圦义佄㵗䥆卒彔佐啐♐䕈䝉呈㐽〵圦䑉䡔㐽〵匦䅔呒䵟塁䵉婉䑅䘽䱁䕓嘦剁䌺䱁久䅄㵒单嘦剁区䵙佂㵌䡔剏嘦剁䤺䑎塅〽찀䆞丯_x0013_啎䅖偞偟䥒䕃㐨㜰〵착!＀＀ ＀＀	＀＀_x0008_＀＀_x0001_＀＀_x0001_＀＀_x0001_＀＀ᑻ䞮竡䀾찀䆛丯A䱁乇䙞彅卅䥔䅍䕔✨䅓䕌❓✬䕍乁Ⱗ䌧䱁✴✬〲㈱Ⱗ低ⱗⰬⰧㅆ㌲䴽䩁✬착!＀＀ ＀＀	＀＀_x0008_＀＀_x0001_＀＀_x0001_＀＀_x0001_＀＀ᛰ偈㡼䂀찀䆞丯_x0013_䙏塉偞偟䥒䕃㐨㜰〵착!＀＀ ＀＀	＀＀_x0008_＀＀_x0001_＀＀_x0001_＀＀_x0001_＀＀蔟凫纸䁅찀紸丁 剁奁䥞彂䅐䝖㜨ㄯ㈯㄰ⰰ⼹〳㈯㄰⤰ ＀＀ ＀＀_x0008_＀＀_x0008_＀＀_x0001_＀＀_x0001_＀＀_x0001_＀＀漻덣産䀙☬䵿 呁䍅䥞彂䅐䝖㜨ㄯ㈯〰ⰸ⼹〳㈯〰⤸ ＀＀ ＀＀_x0008_＀＀_x0008_＀＀_x0001_＀＀_x0001_＀＀_x0001_＀＀뼦ᝅ䀒䆢丯A佖䍌䙞彅卅䥔䅍䕔✨䅓䕌❓✬䕍乁Ⱗ䌧䱁✴✬〲㈱Ⱗ低ⱗⰬⰧㅆ㌲䴽䩁✬착!＀＀ ＀＀	＀＀_x0008_＀＀_x0001_＀＀_x0001_＀＀_x0001_＀＀즅䁹찀䆢丯A啎䅖䙞彅卅䥔䅍䕔✨䅓䕌❓✬䕍乁Ⱗ䌧䱁✴✬〲㈱Ⱗ低ⱗⰬⰧㅆ㌲䴽䩁✬착!＀＀ ＀＀	＀＀_x0008_＀＀_x0001_＀＀_x0001_＀＀_x0001_＀＀_xD980_礽뗘䂂찀䆠丯P呁䍅⡞䙆䑟䉅⡔瑱Ⱳ⤰䘭彆䅃䡓卟⡔呑ⱒ⤰䀩䘨彆䕄呂儨剔⴬䘱⥑䘭彆䅃䡓卟⡔呑ⱒㄭ兆⤩Ɲ＀＀ ＀＀ƅ＀＀_x0008_＀＀_x0001_＀＀_x0001_＀＀_x0001_＀＀퓽楸䀨摦畳㩰⼯楤敲瑣潩獮䘯呁嘠敩敷㽲捡楴湯唽䑐呁♅牣慥潴㵲慦瑣敳♴奄彎剁升吽啒♅佄彃䅎䕍䘽呁䘺䱑䅟䑕呉义彇䱃䕉呎呟䵅䱐呁⹅䅆♔楤灳慬役瑳楲杮䄽摵瑩嘦剁䬺奅䌽䥄佐䕔䍊♚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呁䍅嘦剁䤺䑎塅〽찀㝾䷻ 剁奁䥞彂䅐䝖㔨ㄯ㈯〰ⰶ⼶〳㈯〰⤷ ＀＀ ＀＀_x0008_＀＀_x0008_＀＀_x0001_＀＀_x0001_＀＀_x0001_＀＀鉺쵴⏤䀸暍䷰ 䅖幒䉉偟噁⡇〱ㄯ㈯〰ⰷ⼹〳㈯〰⤸ ＀＀ ＀＀_x0008_＀＀_x0008_＀＀_x0001_＀＀_x0001_＀＀_x0001_＀＀ᆇ쟂䁉㠹䷻ 剁奁䥞彂䅐䝖ㄨㄯ㈯㄰ⰱ⼳ㄳ㈯㄰⤱ ＀＀ ＀＀_x0008_＀＀_x0008_＀＀_x0001_＀＀_x0001_＀＀_x0001_＀＀驳_xDA05_初䀡暍䷰!䅖幒䉉偟噁⡇〱ㄯ㈯〰ⰹ㈱㌯⼱〲㤰착 ＀＀ ＀＀_x0008_＀＀_x0008_＀＀_x0001_＀＀_x0001_＀＀_x0001_＀＀䪢ọᥨ䁆퐟䷨!呁䍅䥞彂䅐䝖㠨ㄯ㈯㄰ⰰ〱㌯⼱〲〱착 ＀＀ ＀＀_x0008_＀＀_x0008_＀＀_x0001_＀＀_x0001_＀＀_x0001_＀＀猕琐઴䀃☬䵿 呁䍅䥞彂䅐䝖ㄨㄯ㈯〰ⰹ⼳ㄳ㈯〰⤹ ＀＀ ＀＀_x0008_＀＀_x0008_＀＀_x0001_＀＀_x0001_＀＀_x0001_＀＀艚肌✊䀀펚䷨!呁䍅䥞彂䅐䝖ㄨ⼱⼱〲㘰ㄬ㌯⼱〲㜰착 ＀＀ ＀＀_x0008_＀＀_x0008_＀＀_x0001_＀＀_x0001_＀＀_x0001_＀＀拏鈩ү䀎䆝丯S呓乍䌭幈䘨彆䕄呂焨牴〬⴩䙆䍟十彈呓儨剔〬⤩⡀䙆䑟䉅⡔呑ⱒㄭ兆⴩䙆䍟十彈呓儨剔⴬䘱⥑착Ɵ＀＀ ＀＀Ƈ＀＀_x0008_＀＀_x0001_＀＀_x0001_＀＀_x0001_＀＀豀碵꼝쐕摦畳㩰⼯楤敲瑣潩獮䘯呁嘠敩敷㽲捡楴湯唽䑐呁♅牣慥潴㵲慦瑣敳♴奄彎剁升吽啒♅佄彃䅎䕍䘽呁䘺䱑䅟䑕呉义彇䱃䕉呎呟䵅䱐呁⹅䅆♔楤灳慬役瑳楲杮䄽摵瑩嘦剁䬺奅圽䝒䭚䵄啎♎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ㄷ㘵㌸嘦剁䤺䑎塅〽찀폵䷨ 呁䍅䥞彂䅐䝖㈨ㄯ㈯〰ⰹ⼴〳㈯〰⤹ ＀＀ ＀＀_x0008_＀＀_x0008_＀＀_x0001_＀＀_x0001_＀＀_x0001_＀＀⤟쌢鸪㿼暍䷰ 䅖幒䉉偟噁⡇⼸⼱〲〱ㄬ⼰ㄳ㈯㄰⤰ ＀＀ ＀＀_x0008_＀＀_x0008_＀＀_x0001_＀＀_x0001_＀＀_x0001_＀＀펚ㅥᶱ䁍䆣丯?⸴㈹䙞彅卅䥔䅍䕔✨偅❓✬䕍乁Ⱗ䌧䱁✴✬〲㈱Ⱗ低ⱗⰬⰧㅆ㌲䴽䩁✬착_x001D_＀＀ ＀＀_x0005_＀＀_x0004_＀＀_x0001_＀＀_x0001_＀＀_x0008_＀＀乀A찀틶䷨"呁䍅䥞彂䅐䝖ㄨ⼱⼱〲㜰ㄬ⼰ㄳ㈯〰⤷ ＀＀ ＀＀_x0008_＀＀_x0008_＀＀_x0001_＀＀_x0001_＀＀_x0001_＀＀⣶轜䀐됪丞 剘奁䥞彂䅐䝖㜨ㄯ㈯㄰ⰰ⼹〳㈯㄰⤰ ＀＀ ＀＀_x0008_＀＀_x0008_＀＀_x0001_＀＀_x0001_＀＀_x0001_＀＀㍞曹᎛䀾䆡丯_x0012_協乏䙞彆偅⡓乁ⱎ⤰!＀＀ ＀＀	＀＀_x0008_＀＀_x0001_＀＀_x0001_＀＀_x0001_＀＀긔ᑺ뿮찀䆢丯A呁䍅䙞彅卅䥔䅍䕔✨䅓䕌❓✬䕍乁Ⱗ䌧䱁✴✬〲㈱Ⱗ低ⱗⰬⰧㅆ㌲䴽䩁✬착!＀＀ ＀＀	＀＀_x0008_＀＀_x0001_＀＀_x0001_＀＀_x0001_＀＀ꊝ뤣䟼䁫찀䆝丯P䱅塇⡞䙆䑟䉅⡔瑱Ⱳ⤰䘭彆䅃䡓卟⡔呑ⱒ⤰䀩䘨彆䕄呂儨剔⴬䘱⥑䘭彆䅃䡓卟⡔呑ⱒㄭ兆⤩Ɲ＀＀ ＀＀ƅ＀＀_x0008_＀＀_x0001_＀＀_x0001_＀＀_x0001_＀＀才堐␹쁁摦畳㩰⼯楤敲瑣潩獮䘯呁嘠敩敷㽲捡楴湯唽䑐呁♅牣慥潴㵲慦瑣敳♴奄彎剁升吽啒♅佄彃䅎䕍䘽呁䘺䱑䅟䑕呉义彇䱃䕉呎呟䵅䱐呁⹅䅆♔楤灳慬役瑳楲杮䄽摵瑩嘦剁䬺奅䬽䍐党佒䥒♆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䱅塇嘦剁䤺䑎塅〽찀폵䷨!呁䍅䥞彂䅐䝖㠨ㄯ㈯〰ⰹ〱㌯⼱〲㤰착 ＀＀ ＀＀_x0008_＀＀_x0008_＀＀_x0001_＀＀_x0001_＀＀_x0001_＀＀ꫣ肊䀒䆡丯P啎䅖⡞䙆䑟䉅⡔瑱Ⱳ⤰䘭彆䅃䡓卟⡔呑ⱒ⤰䀩䘨彆䕄呂儨剔⴬䘱⥑䘭彆䅃䡓卟⡔呑ⱒㄭ兆⤩Ɲ＀＀ ＀＀ƅ＀＀_x0008_＀＀_x0001_＀＀_x0001_＀＀_x0001_＀＀픀ᄦ䀸摦畳㩰⼯楤敲瑣潩獮䘯呁嘠敩敷㽲捡楴湯唽䑐呁♅牣慥潴㵲慦瑣敳♴奄彎剁升吽啒♅佄彃䅎䕍䘽呁䘺䱑䅟䑕呉义彇䱃䕉呎呟䵅䱐呁⹅䅆♔楤灳慬役瑳楲杮䄽摵瑩嘦剁䬺奅匽䕔卄兂䍆♒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啎䅖嘦剁䤺䑎塅〽찀됪丞 剘奁䥞彂䅐䝖ㄨㄯ㈯㄰ⰱ⼳ㄳ㈯㄰⤱ ＀＀ ＀＀_x0008_＀＀_x0008_＀＀_x0001_＀＀_x0001_＀＀_x0001_＀＀⊒갲᧢䁂䆝丯_x0016_呓乍䌭幈䝆䵟呋噟䱁䕕⤨!＀＀ ＀＀	＀＀_x0008_＀＀_x0001_＀＀_x0001_＀＀_x0001_＀＀ꐿ惿䂧찀㠛䷻ 剁奁䥞彂䅐䝖㘨ㄯ㈯〰ⰹ⼹〳㈯〰⤹ ＀＀ ＀＀_x0008_＀＀_x0008_＀＀_x0001_＀＀_x0001_＀＀_x0001_＀＀볟䀚暍䷰ 䅖幒䉉偟噁⡇⼸⼱〲㤰ㄬ⼰ㄳ㈯〰⤹ ＀＀ ＀＀_x0008_＀＀_x0008_＀＀_x0001_＀＀_x0001_＀＀_x0001_＀＀䥢䁄䆠丯P剁䍔⡞䙆䑟䉅⡔瑱Ⱳ⤰䘭彆䅃䡓卟⡔呑ⱒ⤰䀩䘨彆䕄呂儨剔⴬䘱⥑䘭彆䅃䡓卟⡔呑ⱒㄭ兆⤩Ɲ＀＀ ＀＀ƅ＀＀_x0008_＀＀_x0001_＀＀_x0001_＀＀_x0001_＀＀犰酨热쁢摦畳㩰⼯楤敲瑣潩獮䘯呁嘠敩敷㽲捡楴湯唽䑐呁♅牣慥潴㵲慦瑣敳♴奄彎剁升吽啒♅佄彃䅎䕍䘽呁䘺䱑䅟䑕呉义彇䱃䕉呎呟䵅䱐呁⹅䅆♔楤灳慬役瑳楲杮䄽摵瑩嘦剁䬺奅䔽佘半䕆児♚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剁䍔嘦剁䤺䑎塅〽찀䆡丯_x0017_䙏塉䙞彆䅓䕌⡓䅃ⱌㄭ奃착ō＀＀ ＀＀ĵ＀＀_x0008_＀＀_x0001_＀＀_x0001_＀＀_x0001_＀＀䞯竡ഔ䂁摦畳㩰⼯楤敲瑣潩獮䘯呁嘠敩敷㽲捡楴湯唽䑐呁♅牣慥潴㵲慦瑣敳♴奄彎剁升吽啒♅佄彃䅎䕍䘽呁䘺䱑䅟䑕呉义彇䱃䕉呎呟䵅䱐呁⹅䅆♔楤灳慬役瑳楲杮䄽摵瑩嘦剁䬺奅儽䭒䭐坄䥄♂䅖㩒啑剅㵙歒晚さ䵆噒潍け䵆䍌砰ㅑ火圦义佄㵗䥆卒彔佐啐♐䕈䝉呈㐽〵圦䑉䡔㐽〵匦䅔呒䵟塁䵉婉䑅䘽䱁䕓嘦剁䌺䱁久䅄㵒单嘦剁区䵙佂㵌䙏塉嘦剁䤺䑎塅〽찀☬䵿 呁䍅䥞彂䅐䝖㐨ㄯ㈯〰ⰹ⼶〳㈯〰⤹ ＀＀ ＀＀_x0008_＀＀_x0008_＀＀_x0001_＀＀_x0001_＀＀_x0001_＀＀鮦⃄犰䀂펚䷨!呁䍅䥞彂䅐䝖㠨ㄯ㈯〰ⰷ〱㌯⼱〲㜰착 ＀＀ ＀＀_x0008_＀＀_x0008_＀＀_x0001_＀＀_x0001_＀＀_x0001_＀＀밴荙헷䀎᥋丈 剁奁䥞彂䅐䝖㜨ㄯ㈯〰ⰸ⼶〳㈯〰⤹ ＀＀ ＀＀_x0008_＀＀_x0008_＀＀_x0001_＀＀_x0001_＀＀_x0001_＀＀ᝮ숴䀘䆝丯_x0017_䱅塇䙞彆䅓䕌⡓䅃ⱌㄭ奃착ō＀＀ ＀＀ĵ＀＀_x0008_＀＀_x0001_＀＀_x0001_＀＀_x0001_＀＀쒜뀠㡲䁊摦畳㩰⼯楤敲瑣潩獮䘯呁嘠敩敷㽲捡楴湯唽䑐呁♅牣慥潴㵲慦瑣敳♴奄彎剁升吽啒♅佄彃䅎䕍䘽呁䘺䱑䅟䑕呉义彇䱃䕉呎呟䵅䱐呁⹅䅆♔楤灳慬役瑳楲杮䄽摵瑩嘦剁䬺奅䄽䝎卖䥐啐♐䅖㩒啑剅㵙歒晚さ䵆噒潍け䵆䍌砰ㅑ火圦义佄㵗䥆卒彔佐啐♐䕈䝉呈㐽〵圦䑉䡔㐽〵匦䅔呒䵟塁䵉婉䑅䘽䱁䕓嘦剁䌺䱁久䅄㵒单嘦剁区䵙佂㵌䱅塇嘦剁䤺䑎塅〽찀폄䷨"呁䍅䥞彂䅐䝖ㄨ⼱⼱〲㜰ㄬ⼰ㄳ㈯〰⤸ ＀＀ ＀＀_x0008_＀＀_x0008_＀＀_x0001_＀＀_x0001_＀＀_x0001_＀＀噹諒࡯䀓䆢丯A剘奁䙞彅卅䥔䅍䕔✨䅓䕌❓✬䕍乁Ⱗ䌧䱁✴✬〲ㄱⰧ低ⱗⰬⰧㅆ㌲䴽䩁✬착!＀＀ ＀＀	＀＀_x0008_＀＀_x0001_＀＀_x0001_＀＀_x0001_＀＀䎖沋눧䂡찀劌䷰ 䅖幒䉉偟噁⡇⼸⼱〲㜰ㄬ⼰ㄳ㈯〰⤷ ＀＀ ＀＀_x0008_＀＀_x0008_＀＀_x0001_＀＀_x0001_＀＀_x0001_＀＀_xDDEC_䁄䆛丯_x0013_䥓佒偞偟䥒䕃㐨㜰〵착!＀＀ ＀＀	＀＀_x0008_＀＀_x0001_＀＀_x0001_＀＀_x0001_＀＀ᑺ䞮䁊찀䆢丯@䍋幉䕆䕟呓䵉呁⡅匧䱁卅Ⱗ䴧䅅❎✬䅃㑌Ⱗ㈧㄰✱丬坏Ⱜ✬䘬㈱㴳䅍ⱊ⤧!＀＀ ＀＀	＀＀_x0008_＀＀_x0001_＀＀_x0001_＀＀_x0001_＀＀譄夻䂠찀劌䷰_x001F_䅖幒䉉偟噁⡇⼱⼱〲㜰㌬㌯⼱〲㜰착 ＀＀ ＀＀_x0008_＀＀_x0008_＀＀_x0001_＀＀_x0001_＀＀_x0001_＀＀╜᱘䁇됪丞!剘奁䥞彂䅐䝖ㄨㄯ㈯〰ⰸ㈱㌯⼱〲㠰착 ＀＀ ＀＀_x0008_＀＀_x0008_＀＀_x0001_＀＀_x0001_＀＀_x0001_＀＀༓鬨畲䁂䆞丯_x0013_䱅塇偞偟䥒䕃㐨㜰〵착!＀＀ ＀＀	＀＀_x0008_＀＀_x0001_＀＀_x0001_＀＀_x0001_＀＀ꏗ㵰휊䀡찀䆡丯_x0016_䙏塉䙞彆䅓䕌⡓䅃ⱌ䌰⥙ō＀＀ ＀＀ĵ＀＀_x0008_＀＀_x0001_＀＀_x0001_＀＀_x0001_＀＀尨슏ꋵ䂁摦畳㩰⼯楤敲瑣潩獮䘯呁嘠敩敷㽲捡楴湯唽䑐呁♅牣慥潴㵲慦瑣敳♴奄彎剁升吽啒♅佄彃䅎䕍䘽呁䘺䱑䅟䑕呉义彇䱃䕉呎呟䵅䱐呁⹅䅆♔楤灳慬役瑳楲杮䄽摵瑩嘦剁䬺奅䤽䥆䭔啖䵎♘䅖㩒啑剅㵙歒晚さ䵆噒潍け䵆䑌䑂南㵫圦义佄㵗䥆卒彔佐啐♐䕈䝉呈㐽〵圦䑉䡔㐽〵匦䅔呒䵟塁䵉婉䑅䘽䱁䕓嘦剁䌺䱁久䅄㵒单嘦剁区䵙佂㵌䙏塉嘦剁䤺䑎塅〽찀䆟丯_x0012_䍋幉䝆䵟呋噟䱁䕕⤨!＀＀ ＀＀	＀＀_x0008_＀＀_x0001_＀＀_x0001_＀＀_x0001_＀＀凬Ẹ孵䂳찀昦䷰_x001F_䅖幒䉉偟噁⡇⼴⼱〲㠰㜬㌯⼱〲㠰착 ＀＀ ＀＀_x0008_＀＀_x0008_＀＀_x0001_＀＀_x0001_＀＀_x0001_＀＀犰酨곭䁈䆝丯_x0016_偃協䙞彆䅓䕌⡓䅃ⱌ䌰⥙ō＀＀ ＀＀ĵ＀＀_x0008_＀＀_x0001_＀＀_x0001_＀＀_x0001_＀＀롑锞䁡摦畳㩰⼯楤敲瑣潩獮䘯呁嘠敩敷㽲捡楴湯唽䑐呁♅牣慥潴㵲慦瑣敳♴奄彎剁升吽啒♅佄彃䅎䕍䘽呁䘺䱑䅟䑕呉义彇䱃䕉呎呟䵅䱐呁⹅䅆♔楤灳慬役瑳楲杮䄽摵瑩嘦剁䬺奅䜽協䝎䅌協♈䅖㩒啑剅㵙歒晚さ䵆噒潍け䵆䑌䑂南㵫圦义佄㵗䥆卒彔佐啐♐䕈䝉呈㐽〵圦䑉䡔㐽〵匦䅔呒䵟塁䵉婉䑅䘽䱁䕓嘦剁䌺䱁久䅄㵒单嘦剁区䵙佂㵌偃協嘦剁䤺䑎塅〽찀퐟䷨ 呁䍅䥞彂䅐䝖㈨ㄯ㈯㄰ⰰ⼴〳㈯㄰⤰ ＀＀ ＀＀_x0008_＀＀_x0008_＀＀_x0001_＀＀_x0001_＀＀_x0001_＀＀_xDE09_䚐ฅ䀗䆞丯_x0013_䉁䑍偞偟䥒䕃㐨㜰〵착!＀＀ ＀＀	＀＀_x0008_＀＀_x0001_＀＀_x0001_＀＀_x0001_＀＀馚香妙䀰찀紹丁 剁奁䥞彂䅐䝖㜨ㄯ㈯〰ⰸ⼹〳㈯〰⤸ ＀＀ ＀＀_x0008_＀＀_x0008_＀＀_x0001_＀＀_x0001_＀＀_x0001_＀＀ᚘ䧵î䀠䆡丯P協乏⡞䙆䑟䉅⡔瑱Ⱳ⤰䘭彆䅃䡓卟⡔呑ⱒ⤰䀩䘨彆䕄呂儨剔⴬䘱⥑䘭彆䅃䡓卟⡔呑ⱒㄭ兆⤩Ɲ＀＀ ＀＀ƅ＀＀_x0008_＀＀_x0001_＀＀_x0001_＀＀_x0001_＀＀퓾䄦쁂摦畳㩰⼯楤敲瑣潩獮䘯呁嘠敩敷㽲捡楴湯唽䑐呁♅牣慥潴㵲慦瑣敳♴奄彎剁升吽啒♅佄彃䅎䕍䘽呁䘺䱑䅟䑕呉义彇䱃䕉呎呟䵅䱐呁⹅䅆♔楤灳慬役瑳楲杮䄽摵瑩嘦剁䬺奅䄽卐䥌䕄佊♚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協乏嘦剁䤺䑎塅〽찀㟛䷻ 剁奁䥞彂䅐䝖ㄨㄯ㈯〰ⰹ⼳ㄳ㈯〰⤹ ＀＀ ＀＀_x0008_＀＀_x0008_＀＀_x0001_＀＀_x0001_＀＀_x0001_＀＀䄭䁆펅䀔䆛丯A䥓佒䙞彅卅䥔䅍䕔✨䅓䕌❓✬䕍乁Ⱗ䌧䱁✴✬〲㈱Ⱗ低ⱗⰬⰧㅆ㌲䴽䩁✬착!＀＀ ＀＀	＀＀_x0008_＀＀_x0001_＀＀_x0001_＀＀_x0001_＀＀묰༧ﮋ䂍찀㠸䷻ 剁奁䥞彂䅐䝖㘨ㄯ㈯㄰ⰰ⼹〳㈯㄰⤰ ＀＀ ＀＀_x0008_＀＀_x0008_＀＀_x0001_＀＀_x0001_＀＀_x0001_＀＀脸듩덮䀙䆡丯_x0017_佐䑄䙞彆䅓䕌⡓䅃ⱌㄭ奃착ō＀＀ ＀＀ĵ＀＀_x0008_＀＀_x0001_＀＀_x0001_＀＀_x0001_＀＀帵䦺舌䁐摦畳㩰⼯楤敲瑣潩獮䘯呁嘠敩敷㽲捡楴湯唽䑐呁♅牣慥潴㵲慦瑣敳♴奄彎剁升吽啒♅佄彃䅎䕍䘽呁䘺䱑䅟䑕呉义彇䱃䕉呎呟䵅䱐呁⹅䅆♔楤灳慬役瑳楲杮䄽摵瑩嘦剁䬺奅䬽䥚䍘䥐啎♆䅖㩒啑剅㵙歒晚さ䵆噒潍け䵆䍌砰ㅑ火圦义佄㵗䥆卒彔佐啐♐䕈䝉呈㐽〵圦䑉䡔㐽〵匦䅔呒䵟塁䵉婉䑅䘽䱁䕓嘦剁䌺䱁久䅄㵒单嘦剁区䵙佂㵌佐䑄嘦剁䤺䑎塅〽찀䆠丯_x0012_呈剗䙞彆偅⡓乁ⱎ⤰!＀＀ ＀＀	＀＀_x0008_＀＀_x0001_＀＀_x0001_＀＀_x0001_＀＀轜尨쀁찀폵䷨ 呁䍅䥞彂䅐䝖㔨ㄯ㈯〰ⰹ⼷ㄳ㈯〰⤹ ＀＀ ＀＀_x0008_＀＀_x0008_＀＀_x0001_＀＀_x0001_＀＀_x0001_＀＀䄃ಀ묝䀆䆠丯_x0013_佖䍌䙞彇䭍彔䅖啌⡅착!＀＀ ＀＀	＀＀_x0008_＀＀_x0001_＀＀_x0001_＀＀_x0001_＀＀ῲ㛒䂚찀䆞丯A呈剗䙞彅卅䥔䅍䕔✨䅓䕌❓✬䕍乁Ⱗ䌧䱁✴✬〲ㄱⰧ低ⱗⰬⰧㅆ㌲䴽䩁✬착!＀＀ ＀＀	＀＀_x0008_＀＀_x0001_＀＀_x0001_＀＀_x0001_＀＀福렧潘䁕찀☬䵿 呁䍅䥞彂䅐䝖ㄨㄯ㈯㄰ⰰ⼳ㄳ㈯㄰⤰ ＀＀ ＀＀_x0008_＀＀_x0008_＀＀_x0001_＀＀_x0001_＀＀_x0001_＀＀✗_xDABE_䱑䀕䆡丯_x0016_啎䅖䙞彆䅓䕌⡓䅃ⱌ䌰⥙ō＀＀ ＀＀ĵ＀＀_x0008_＀＀_x0001_＀＀_x0001_＀＀_x0001_＀＀ቯ삃䁽摦畳㩰⼯楤敲瑣潩獮䘯呁嘠敩敷㽲捡楴湯唽䑐呁♅牣慥潴㵲慦瑣敳♴奄彎剁升吽啒♅佄彃䅎䕍䘽呁䘺䱑䅟䑕呉义彇䱃䕉呎呟䵅䱐呁⹅䅆♔楤灳慬役瑳楲杮䄽摵瑩嘦剁䬺奅䔽啎佌児坔♔䅖㩒啑剅㵙歒晚さ䵆噒潍け䵆䑌䑂南㵫圦义佄㵗䥆卒彔佐啐♐䕈䝉呈㐽〵圦䑉䡔㐽〵匦䅔呒䵟塁䵉婉䑅䘽䱁䕓嘦剁䌺䱁久䅄㵒单嘦剁区䵙佂㵌啎䅖嘦剁䤺䑎塅〽찀됪丞 剘奁䥞彂䅐䝖㜨ㄯ㈯〰ⰸ⼹〳㈯〰⤸ ＀＀ ＀＀_x0008_＀＀_x0008_＀＀_x0001_＀＀_x0001_＀＀_x0001_＀＀銣ĺ衍䁃م䵿_x0010_呁䍅䙞彇剐䍉⡅⤰ ＀＀ ＀＀_x0008_＀＀_x0008_＀＀_x0001_＀＀_x0001_＀＀_x0001_＀＀竡긔䀄䆡丯_x0017_協乏䙞彆䅓䕌⡓䅃ⱌㄭ奃착ō＀＀ ＀＀ĵ＀＀_x0008_＀＀_x0001_＀＀_x0001_＀＀_x0001_＀＀_xDF3B_赏캗䀽摦畳㩰⼯楤敲瑣潩獮䘯呁嘠敩敷㽲捡楴湯唽䑐呁♅牣慥潴㵲慦瑣敳♴奄彎剁升吽啒♅佄彃䅎䕍䘽呁䘺䱑䅟䑕呉义彇䱃䕉呎呟䵅䱐呁⹅䅆♔楤灳慬役瑳楲杮䄽摵瑩嘦剁䬺奅夽卄䵆䕖坈♐䅖㩒啑剅㵙歒晚さ䵆噒潍け䵆䍌砰ㅑ火圦义佄㵗䥆卒彔佐啐♐䕈䝉呈㐽〵圦䑉䡔㐽〵匦䅔呒䵟塁䵉婉䑅䘽䱁䕓嘦剁䌺䱁久䅄㵒单嘦剁区䵙佂㵌協乏嘦剁䤺䑎塅〽찀䆝丯A偃協䙞彅卅䥔䅍䕔✨䅓䕌❓✬䕍乁Ⱗ䌧䱁✴✬〲㈱Ⱗ低ⱗⰬⰧㅆ㌲䴽䩁✬착!＀＀ ＀＀	＀＀_x0008_＀＀_x0001_＀＀_x0001_＀＀_x0001_＀＀_xDD2F_ؤ鶁䁡찀䆢丯A䙏塉䙞彅卅䥔䅍䕔✨䅓䕌❓✬䕍乁Ⱗ䌧䱁✴✬〲ㄱⰧ低ⱗⰬⰧㅆ㌲䴽䩁✬착!＀＀ ＀＀	＀＀_x0008_＀＀_x0001_＀＀_x0001_＀＀_x0001_＀＀冃鵉Ⰰ䂂찀됪丞 剘奁䥞彂䅐䝖ㄨㄯ㈯〰ⰹ⼳ㄳ㈯〰⤹ ＀＀ ＀＀_x0008_＀＀_x0008_＀＀_x0001_＀＀_x0001_＀＀_x0001_＀＀㪨曤䀹䆢丯A剁䍔䙞彅卅䥔䅍䕔✨䅓䕌❓✬䕍乁Ⱗ䌧䱁✴✬〲㈱Ⱗ低ⱗⰬⰧㅆ㌲䴽䩁✬착!＀＀ ＀＀	＀＀_x0008_＀＀_x0001_＀＀_x0001_＀＀_x0001_＀＀즅꥔䁸찀䆞丯_x0013_呁䍅偞偟䥒䕃㐨㜰〵착!＀＀ ＀＀	＀＀_x0008_＀＀_x0001_＀＀_x0001_＀＀_x0001_＀＀㵱휊炣䀇찀䆠丯&gt;䍋幉䕆䕟呓䵉呁⡅䔧卐Ⱗ䴧䅅❎✬䅃㑌Ⱗ㈧㄰✱丬坏Ⱜ✬䘬㈱㴳䅍ⱊ⤧!＀＀ ＀＀	＀＀_x0008_＀＀_x0001_＀＀_x0001_＀＀_x0001_＀＀ొ⬂ᚇ䀔찀䆛丯A䱁乇䙞彅卅䥔䅍䕔✨䅓䕌❓✬䕍乁Ⱗ䌧䱁✴✬〲ㄱⰧ低ⱗⰬⰧㅆ㌲䴽䩁✬착!＀＀ ＀＀	＀＀_x0008_＀＀_x0001_＀＀_x0001_＀＀_x0001_＀＀ꦓ冂彉䁼찀䆞丯_x0013_協乏偞偟䥒䕃㐨㜰〵착!＀＀ ＀＀	＀＀_x0008_＀＀_x0001_＀＀_x0001_＀＀_x0001_＀＀䞮竡긔䀓찀㟛䷻ 剁奁䥞彂䅐䝖㐨ㄯ㈯〰ⰹ⼶〳㈯〰⤹ ＀＀ ＀＀_x0008_＀＀_x0008_＀＀_x0001_＀＀_x0001_＀＀_x0001_＀＀됃暭솝䀘䆝丯?䱅塇䙞彅卅䥔䅍䕔✨偅❓✬䕍乁Ⱗ䌧䱁✴✬〲ㄱⰧ低ⱗⰬⰧㅆ㌲䴽䩁✬착!＀＀ ＀＀	＀＀_x0008_＀＀_x0001_＀＀_x0001_＀＀_x0001_＀＀긕ᑺ뿞찀퐵䷨!呁䍅䥞彂䅐䝖ㄨ⼱⼱〲〱ㄬ㌯⼱〲ㄱ착 ＀＀ ＀＀_x0008_＀＀_x0008_＀＀_x0001_＀＀_x0001_＀＀_x0001_＀＀岉ٰ὿䀃䆠丯?䡔剏䙞彅卅䥔䅍䕔✨偅❓✬䕍乁Ⱗ䌧䱁✴✬〲ㄱⰧ低ⱗⰬⰧㅆ㌲䴽䩁✬착!＀＀ ＀＀	＀＀_x0008_＀＀_x0001_＀＀_x0001_＀＀_x0001_＀＀䁨ᦽ鼵㿶찀☬䵿 呁䍅䥞彂䅐䝖㐨ㄯ㈯㄰ⰰ⼶〳㈯㄰⤰ ＀＀ ＀＀_x0008_＀＀_x0008_＀＀_x0001_＀＀_x0001_＀＀_x0001_＀＀⺭ҧ쓄䀖䆞丯_x0013_呈剗偞偟䥒䕃㐨㜰〵착!＀＀ ＀＀	＀＀_x0008_＀＀_x0001_＀＀_x0001_＀＀_x0001_＀＀尩슏_xD8F5_䁑찀䆢丯A協乏䙞彅卅䥔䅍䕔✨䅓䕌❓✬䕍乁Ⱗ䌧䱁✴✬〲㈱Ⱗ低ⱗⰬⰧㅆ㌲䴽䩁✬착!＀＀ ＀＀	＀＀_x0008_＀＀_x0001_＀＀_x0001_＀＀_x0001_＀＀嘄ⴎ඲䀼찀䆝丯N坅⡞䙆䑟䉅⡔瑱Ⱳ⤰䘭彆䅃䡓卟⡔呑ⱒ⤰䀩䘨彆䕄呂儨剔⴬䘱⥑䘭彆䅃䡓卟⡔呑ⱒㄭ兆⤩ƛ＀＀ ＀＀ƃ＀＀_x0008_＀＀_x0001_＀＀_x0001_＀＀_x0001_＀＀晦晦噦쁲摦畳㩰⼯楤敲瑣潩獮䘯呁嘠敩敷㽲捡楴湯唽䑐呁♅牣慥潴㵲慦瑣敳♴奄彎剁升吽啒♅佄彃䅎䕍䘽呁䘺䱑䅟䑕呉义彇䱃䕉呎呟䵅䱐呁⹅䅆♔楤灳慬役瑳楲杮䄽摵瑩嘦剁䬺奅䜽䝊䍂䍎卖♆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坅嘦剁䤺䑎塅〽찀旲䷰!呁䍅䥞彂䅐䝖ㄨ⼰⼱〲㘰㤬㌯⼰〲㜰착 ＀＀ ＀＀_x0008_＀＀_x0008_＀＀_x0001_＀＀_x0001_＀＀_x0001_＀＀Ḉ_xDEDF_蠵䀎䆣丯@㈳㈮帴䕆䕟呓䵉呁⡅䔧卐Ⱗ䴧䅅❎✬䅃㑌Ⱗ㈧㄰✲丬坏Ⱜ✬䘬㈱㴳䅍ⱊ⤧_x001D_＀＀ ＀＀_x0005_＀＀_x0004_＀＀_x0001_＀＀_x0001_＀＀_x0008_＀＀乀A찀䆝丯_x0012_䱅塇䙞彆偅⡓乁ⱎ⤰!＀＀ ＀＀	＀＀_x0008_＀＀_x0001_＀＀_x0001_＀＀_x0001_＀＀竡긔㿊찀旾䷰ 䅖幒䉉偟噁⡇〱ㄯ㈯〰ⰶ⼹〳㈯〰⤷ ＀＀ ＀＀_x0008_＀＀_x0008_＀＀_x0001_＀＀_x0001_＀＀_x0001_＀＀၎ή䁆됪丞 剘奁䥞彂䅐䝖㐨ㄯ㈯〰ⰹ⼶〳㈯〰⤹ ＀＀ ＀＀_x0008_＀＀_x0008_＀＀_x0001_＀＀_x0001_＀＀_x0001_＀＀̳華䀼䆡丯A䡔剏䙞彅卅䥔䅍䕔✨䅓䕌❓✬䕍乁Ⱗ䌧䱁✴✬〲㈱Ⱗ低ⱗⰬⰧㅆ㌲䴽䩁✬착!＀＀ ＀＀	＀＀_x0008_＀＀_x0001_＀＀_x0001_＀＀_x0001_＀＀꾸벌䁼찀㠛䷻ 剁奁䥞彂䅐䝖ㄨㄯ㈯㄰ⰰ⼳ㄳ㈯㄰⤰ ＀＀ ＀＀_x0008_＀＀_x0008_＀＀_x0001_＀＀_x0001_＀＀_x0001_＀＀ఛ塵웡䀚☬䵿 呁䍅䥞彂䅐䝖ㄨㄯ㈯〰ⰸ⼳ㄳ㈯〰⤸ ＀＀ ＀＀_x0008_＀＀_x0008_＀＀_x0001_＀＀_x0001_＀＀_x0001_＀＀꼔뚲ษ䀕᥂丈 剁奁䥞彂䅐䝖㜨ㄯ㈯〰ⰹ⼶〳㈯㄰⤰ ＀＀ ＀＀_x0008_＀＀_x0008_＀＀_x0001_＀＀_x0001_＀＀_x0001_＀＀띖乺轺䀙폄䷨ 呁䍅䥞彂䅐䝖㈨ㄯ㈯〰ⰸ⼴〳㈯〰⤸ ＀＀ ＀＀_x0008_＀＀_x0008_＀＀_x0001_＀＀_x0001_＀＀_x0001_＀＀ꧼ틱㉍䀕䆡丯_x0017_䡔剏䙞彆䅓䕌⡓䅃ⱌㄭ奃착ō＀＀ ＀＀ĵ＀＀_x0008_＀＀_x0001_＀＀_x0001_＀＀_x0001_＀＀䖢廽䁷摦畳㩰⼯楤敲瑣潩獮䘯呁嘠敩敷㽲捡楴湯唽䑐呁♅牣慥潴㵲慦瑣敳♴奄彎剁升吽啒♅佄彃䅎䕍䘽呁䘺䱑䅟䑕呉义彇䱃䕉呎呟䵅䱐呁⹅䅆♔楤灳慬役瑳楲杮䄽摵瑩嘦剁䬺奅匽䍂佂兔䅐♚䅖㩒啑剅㵙歒晚さ䵆噒潍け䵆䍌砰ㅑ火圦义佄㵗䥆卒彔佐啐♐䕈䝉呈㐽〵圦䑉䡔㐽〵匦䅔呒䵟塁䵉婉䑅䘽䱁䕓嘦剁䌺䱁久䅄㵒单嘦剁区䵙佂㵌䡔剏嘦剁䤺䑎塅〽찀䆛丯_x0013_䱁乇偞偟䥒䕃㐨㜰〵착!＀＀ ＀＀	＀＀_x0008_＀＀_x0001_＀＀_x0001_＀＀_x0001_＀＀쳍쳌ೌ䀷찀䆢丯A佖䍌䙞彅卅䥔䅍䕔✨䅓䕌❓✬䕍乁Ⱗ䌧䱁✴✬〲ㄱⰧ低ⱗⰬⰧㅆ㌲䴽䩁✬착!＀＀ ＀＀	＀＀_x0008_＀＀_x0001_＀＀_x0001_＀＀_x0001_＀＀桳ꥼ䁵찀䆢丯A啎䅖䙞彅卅䥔䅍䕔✨䅓䕌❓✬䕍乁Ⱗ䌧䱁✴✬〲ㄱⰧ低ⱗⰬⰧㅆ㌲䴽䩁✬착!＀＀ ＀＀	＀＀_x0008_＀＀_x0001_＀＀_x0001_＀＀_x0001_＀＀鞍ቮ솃䂀찀䆝丯_x0017_呈剗䙞彆䅓䕌⡓䅃ⱌㄭ奃착ō＀＀ ＀＀ĵ＀＀_x0008_＀＀_x0001_＀＀_x0001_＀＀_x0001_＀＀ȿ⯹䀸摦畳㩰⼯楤敲瑣潩獮䘯呁嘠敩敷㽲捡楴湯唽䑐呁♅牣慥潴㵲慦瑣敳♴奄彎剁升吽啒♅佄彃䅎䕍䘽呁䘺䱑䅟䑕呉义彇䱃䕉呎呟䵅䱐呁⹅䅆♔楤灳慬役瑳楲杮䄽摵瑩嘦剁䬺奅夽卒䵄䭄䕔♌䅖㩒啑剅㵙歒晚さ䵆噒潍け䵆䍌砰ㅑ火圦义佄㵗䥆卒彔佐啐♐䕈䝉呈㐽〵圦䑉䡔㐽〵匦䅔呒䵟塁䵉婉䑅䘽䱁䕓嘦剁䌺䱁久䅄㵒单嘦剁区䵙佂㵌呈剗嘦剁䤺䑎塅〽찀䆟丯_x0013_佐䑄䙞彇䭍彔䅖啌⡅착!＀＀ ＀＀	＀＀_x0008_＀＀_x0001_＀＀_x0001_＀＀_x0001_＀＀脆䎕㬋䂍찀䆡丯_x0016_呁䍅䙞彆䅓䕌⡓䅃ⱌ䌰⥙ō＀＀ ＀＀ĵ＀＀_x0008_＀＀_x0001_＀＀_x0001_＀＀_x0001_＀＀凬Ẹ玅䁥摦畳㩰⼯楤敲瑣潩獮䘯呁嘠敩敷㽲捡楴湯唽䑐呁♅牣慥潴㵲慦瑣敳♴奄彎剁升吽啒♅佄彃䅎䕍䘽呁䘺䱑䅟䑕呉义彇䱃䕉呎呟䵅䱐呁⹅䅆♔楤灳慬役瑳楲杮䄽摵瑩嘦剁䬺奅䴽兒兒䅚坖♎䅖㩒啑剅㵙歒晚さ䵆噒潍け䵆䑌䑂南㵫圦义佄㵗䥆卒彔佐啐♐䕈䝉呈㐽〵圦䑉䡔㐽〵匦䅔呒䵟塁䵉婉䑅䘽䱁䕓嘦剁䌺䱁久䅄㵒单嘦剁区䵙佂㵌呁䍅嘦剁䤺䑎塅〽찀됪丞 剘奁䥞彂䅐䝖ㄨㄯ㈯㄰ⰰ⼳ㄳ㈯㄰⤰ ＀＀ ＀＀_x0008_＀＀_x0008_＀＀_x0001_＀＀_x0001_＀＀_x0001_＀＀祽◑䁁☬䵿 呁䍅䥞彂䅐䝖㜨ㄯ㈯〰ⰷ⼹〳㈯〰⤷ ＀＀ ＀＀_x0008_＀＀_x0008_＀＀_x0001_＀＀_x0001_＀＀_x0001_＀＀㱹㼭異䀎暍䷰_x001F_䅖幒䉉偟噁⡇⼱⼱〲ㄱ㌬㌯⼱〲ㄱ착 ＀＀ ＀＀_x0008_＀＀_x0008_＀＀_x0001_＀＀_x0001_＀＀_x0001_＀＀_xFFFF_ｄᜄ⸫䁑䆝丯_x0016_低乂䌭幈彐剐䍉⡅〴㔷⤰!＀＀ ＀＀	＀＀_x0008_＀＀_x0001_＀＀_x0001_＀＀_x0001_＀＀ᑺ䞮䀰찀䆡丯_x0016_佐䑄䙞彆䅓䕌⡓䅃ⱌ䌰⥙ō＀＀ ＀＀ĵ＀＀_x0008_＀＀_x0001_＀＀_x0001_＀＀_x0001_＀＀ﯧ㷒䁘摦畳㩰⼯楤敲瑣潩獮䘯呁嘠敩敷㽲捡楴湯唽䑐呁♅牣慥潴㵲慦瑣敳♴奄彎剁升吽啒♅佄彃䅎䕍䘽呁䘺䱑䅟䑕呉义彇䱃䕉呎呟䵅䱐呁⹅䅆♔楤灳慬役瑳楲杮䄽摵瑩嘦剁䬺奅䴽䵈䝂䝚䭒♆䅖㩒啑剅㵙歒晚さ䵆噒潍け䵆䑌䑂南㵫圦义佄㵗䥆卒彔佐啐♐䕈䝉呈㐽〵圦䑉䡔㐽〵匦䅔呒䵟塁䵉婉䑅䘽䱁䕓嘦剁䌺䱁久䅄㵒单嘦剁区䵙佂㵌佐䑄嘦剁䤺䑎塅〽찀㟛䷻ 剁奁䥞彂䅐䝖㘨ㄯ㈯〰ⰸ⼹〳㈯〰⤸ ＀＀ ＀＀_x0008_＀＀_x0008_＀＀_x0001_＀＀_x0001_＀＀_x0001_＀＀㦊㨈啚䀠㠹䷻"剁奁䥞彂䅐䝖ㄨ⼰⼱〲〱ㄬ⼲ㄳ㈯㄰⤰ ＀＀ ＀＀_x0008_＀＀_x0008_＀＀_x0001_＀＀_x0001_＀＀_x0001_＀＀懋᷷揃䀙䆠丯P佐䑄⡞䙆䑟䉅⡔瑱Ⱳ⤰䘭彆䅃䡓卟⡔呑ⱒ⤰䀩䘨彆䕄呂儨剔⴬䘱⥑䘭彆䅃䡓卟⡔呑ⱒㄭ兆⤩Ɲ＀＀ ＀＀ƅ＀＀_x0008_＀＀_x0001_＀＀_x0001_＀＀_x0001_＀＀鮥탄쁀摦畳㩰⼯楤敲瑣潩獮䘯呁嘠敩敷㽲捡楴湯唽䑐呁♅牣慥潴㵲慦瑣敳♴奄彎剁升吽啒♅佄彃䅎䕍䘽呁䘺䱑䅟䑕呉义彇䱃䕉呎呟䵅䱐呁⹅䅆♔楤灳慬役瑳楲杮䄽摵瑩嘦剁䬺奅䜽䍘䥈䵔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佐䑄嘦剁䤺䑎塅〽찀㠛䷻ 剁奁䥞彂䅐䝖㐨ㄯ㈯㄰ⰰ⼶〳㈯㄰⤰ ＀＀ ＀＀_x0008_＀＀_x0008_＀＀_x0001_＀＀_x0001_＀＀_x0001_＀＀㦎_xD8CF_鲗䀙䆢丯_x0013_剘奁䙞彇䭍彔䅖啌⡅착!＀＀ ＀＀	＀＀_x0008_＀＀_x0001_＀＀_x0001_＀＀_x0001_＀＀䉚咮䂵찀᥋丈 剁奁䥞彂䅐䝖㜨ㄯ㈯〰ⰷ⼶〳㈯〰⤸ ＀＀ ＀＀_x0008_＀＀_x0008_＀＀_x0001_＀＀_x0001_＀＀_x0001_＀＀㏎◶弛䀫퐟䷨ 呁䍅䥞彂䅐䝖㔨ㄯ㈯㄰ⰰ⼷ㄳ㈯㄰⤰ ＀＀ ＀＀_x0008_＀＀_x0008_＀＀_x0001_＀＀_x0001_＀＀_x0001_＀＀骢겒凃䀔䆢丯A呁䍅䙞彅卅䥔䅍䕔✨䅓䕌❓✬䕍乁Ⱗ䌧䱁✴✬〲ㄱⰧ低ⱗⰬⰧㅆ㌲䴽䩁✬착!＀＀ ＀＀	＀＀_x0008_＀＀_x0001_＀＀_x0001_＀＀_x0001_＀＀⢌⏭䁩찀䆞丯_x0013_䡔剏偞偟䥒䕃㐨㜰〵착!＀＀ ＀＀	＀＀_x0008_＀＀_x0001_＀＀_x0001_＀＀_x0001_＀＀ꏗ㵰眊䁁찀ᢩ丈_x0010_剁奁䙞彇剐䍉⡅⤰ ＀＀ ＀＀_x0008_＀＀_x0008_＀＀_x0001_＀＀_x0001_＀＀_x0001_＀＀䞮竡긔䀞䆝丯P偃協⡞䙆䑟䉅⡔瑱Ⱳ⤰䘭彆䅃䡓卟⡔呑ⱒ⤰䀩䘨彆䕄呂儨剔⴬䘱⥑䘭彆䅃䡓卟⡔呑ⱒㄭ兆⤩Ɲ＀＀ ＀＀ƅ＀＀_x0008_＀＀_x0001_＀＀_x0001_＀＀_x0001_＀＀눰䚧䀚摦畳㩰⼯楤敲瑣潩獮䘯呁嘠敩敷㽲捡楴湯唽䑐呁♅牣慥潴㵲慦瑣敳♴奄彎剁升吽啒♅佄彃䅎䕍䘽呁䘺䱑䅟䑕呉义彇䱃䕉呎呟䵅䱐呁⹅䅆♔楤灳慬役瑳楲杮䄽摵瑩嘦剁䬺奅䄽䝒䥐坐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偃協嘦剁䤺䑎塅〽찀䆝丯A䱅塇䙞彅卅䥔䅍䕔✨䅓䕌❓✬䕍乁Ⱗ䌧䱁✴✬〲㈱Ⱗ低ⱗⰬⰧㅆ㌲䴽䩁✬착!＀＀ ＀＀	＀＀_x0008_＀＀_x0001_＀＀_x0001_＀＀_x0001_＀＀ᬳ鉤辑䁙찀䆟丯_x0013_剁䍔䙞彇䭍彔䅖啌⡅착!＀＀ ＀＀	＀＀_x0008_＀＀_x0001_＀＀_x0001_＀＀_x0001_＀＀▯菤촞䂌찀㠛䷻"剁奁䥞彂䅐䝖ㄨ⼰⼱〲㤰ㄬ⼲ㄳ㈯〰⤹ ＀＀ ＀＀_x0008_＀＀_x0008_＀＀_x0001_＀＀_x0001_＀＀_x0001_＀＀햡ᧉ宊䀗䆞丯_x0013_偃協䙞彇䭍彔䅖啌⡅착!＀＀ ＀＀	＀＀_x0008_＀＀_x0001_＀＀_x0001_＀＀_x0001_＀＀点␠ఋ䁶찀㟛䷻ 剁奁䥞彂䅐䝖㔨ㄯ㈯〰ⰸ⼶〳㈯〰⤹ ＀＀ ＀＀_x0008_＀＀_x0008_＀＀_x0001_＀＀_x0001_＀＀_x0001_＀＀ᐖ攆崚䀚䆡丯_x0012_䙏塉䙞彆偅⡓乁ⱎ⤰!＀＀ ＀＀	＀＀_x0008_＀＀_x0001_＀＀_x0001_＀＀_x0001_＀＀긔ᑺ䀄찀됪丞 剘奁䥞彂䅐䝖㐨ㄯ㈯㄰ⰰ⼶〳㈯㄰⤰ ＀＀ ＀＀_x0008_＀＀_x0008_＀＀_x0001_＀＀_x0001_＀＀_x0001_＀＀ᣨ붐퇞䁀뗄䷹!剁奁䥞彂䅐䝖㜨ㄯ㈯〰ⰷ㤰㌯⼰〲㜰착 ＀＀ ＀＀_x0008_＀＀_x0008_＀＀_x0001_＀＀_x0001_＀＀_x0001_＀＀죊_xD859_䛓䀱劌䷰_x001F_䅖幒䉉偟噁⡇⼴⼱〲㜰㜬㌯⼱〲㜰착 ＀＀ ＀＀_x0008_＀＀_x0008_＀＀_x0001_＀＀_x0001_＀＀_x0001_＀＀ᑑᏨ鉹䁅폵䷨!呁䍅䥞彂䅐䝖ㄨ⼱⼱〲㠰ㄬ㌯⼱〲㤰착 ＀＀ ＀＀_x0008_＀＀_x0008_＀＀_x0001_＀＀_x0001_＀＀_x0001_＀＀쯄맓钢䀄㞵䷻"剁奁䥞彂䅐䝖ㄨ⼰⼱〲㜰ㄬ⼲ㄳ㈯〰⤷ ＀＀ ＀＀_x0008_＀＀_x0008_＀＀_x0001_＀＀_x0001_＀＀_x0001_＀＀剪먊벽䀰☬䵿 呁䍅䥞彂䅐䝖㐨ㄯ㈯〰ⰸ⼶〳㈯〰⤸ ＀＀ ＀＀_x0008_＀＀_x0008_＀＀_x0001_＀＀_x0001_＀＀_x0001_＀＀䄩ꅿ䱇䀓☬䵿"呁䍅䥞彂䅐䝖ㄨ⼰⼱〲㠰ㄬ⼲ㄳ㈯〰⤸ ＀＀ ＀＀_x0008_＀＀_x0008_＀＀_x0001_＀＀_x0001_＀＀_x0001_＀＀戬懘婌䀉䆝丯P䥓佒⡞䙆䑟䉅⡔瑱Ⱳ⤰䘭彆䅃䡓卟⡔呑ⱒ⤰䀩䘨彆䕄呂儨剔⴬䘱⥑䘭彆䅃䡓卟⡔呑ⱒㄭ兆⤩Ɲ＀＀ ＀＀ƅ＀＀_x0008_＀＀_x0001_＀＀_x0001_＀＀_x0001_＀＀ꗤ쒛堠䁔摦畳㩰⼯楤敲瑣潩獮䘯呁嘠敩敷㽲捡楴湯唽䑐呁♅牣慥潴㵲慦瑣敳♴奄彎剁升吽啒♅佄彃䅎䕍䘽呁䘺䱑䅟䑕呉义彇䱃䕉呎呟䵅䱐呁⹅䅆♔楤灳慬役瑳楲杮䄽摵瑩嘦剁䬺奅夽䭖兆䵄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䥓佒嘦剁䤺䑎塅〽찀됪丞"剘奁䥞彂䅐䝖ㄨ⼰⼱〲㠰ㄬ⼲ㄳ㈯〰⤸ ＀＀ ＀＀_x0008_＀＀_x0008_＀＀_x0001_＀＀_x0001_＀＀_x0001_＀＀濽㬥숶䀼䆞丯_x0011_坅䙞彇䭍彔䅖啌⡅착!＀＀ ＀＀	＀＀_x0008_＀＀_x0001_＀＀_x0001_＀＀_x0001_＀＀긔釺䃀찀䆛丯A䥓佒䙞彅卅䥔䅍䕔✨䅓䕌❓✬䕍乁Ⱗ䌧䱁✴✬〲ㄱⰧ低ⱗⰬⰧㅆ㌲䴽䩁✬착!＀＀ ＀＀	＀＀_x0008_＀＀_x0001_＀＀_x0001_＀＀_x0001_＀＀桳㏼䂌찀級丁 剁奁䥞彂䅐䝖㜨ㄯ㈯〰ⰷ⼹〳㈯〰⤷ ＀＀ ＀＀_x0008_＀＀_x0008_＀＀_x0001_＀＀_x0001_＀＀_x0001_＀＀죊_xD859_䛓䀱䆟丯_x0013_啎䅖䙞彇䭍彔䅖啌⡅착!＀＀ ＀＀	＀＀_x0008_＀＀_x0001_＀＀_x0001_＀＀_x0001_＀＀漀ҁ䂒찀䆠丯O䍋幉䘨彆䕄呂焨牴〬⴩䙆䍟十彈呓儨剔〬⤩⡀䙆䑟䉅⡔呑ⱒㄭ兆⴩䙆䍟十彈呓儨剔⴬䘱⥑착Ɯ＀＀ ＀＀Ƅ＀＀_x0008_＀＀_x0001_＀＀_x0001_＀＀_x0001_＀＀⋒率鑾䂃摦畳㩰⼯楤敲瑣潩獮䘯呁嘠敩敷㽲捡楴湯唽䑐呁♅牣慥潴㵲慦瑣敳♴奄彎剁升吽啒♅佄彃䅎䕍䘽呁䘺䱑䅟䑕呉义彇䱃䕉呎呟䵅䱐呁⹅䅆♔楤灳慬役瑳楲杮䄽摵瑩嘦剁䬺奅䌽䭂䍖䍖䕂♐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䍋♉䅖㩒义䕄㵘0䆟丯_x0013_䙏塉䙞彇䭍彔䅖啌⡅착!＀＀ ＀＀	＀＀_x0008_＀＀_x0001_＀＀_x0001_＀＀_x0001_＀＀뗝粄㛐䂈찀㞵䷻ 剁奁䥞彂䅐䝖ㄨㄯ㈯〰ⰸ⼳ㄳ㈯〰⤸ ＀＀ ＀＀_x0008_＀＀_x0008_＀＀_x0001_＀＀_x0001_＀＀_x0001_＀＀剺㔦ᆴ䀨䆠丯?佐䑄䙞彅卅䥔䅍䕔✨偅❓✬䕍乁Ⱗ䌧䱁✴✬〲ㄱⰧ低ⱗⰬⰧㅆ㌲䴽䩁✬착!＀＀ ＀＀	＀＀_x0008_＀＀_x0001_＀＀_x0001_＀＀_x0001_＀＀霋_xD855_「뿧찀䆛丯_x0016_䱁乇䙞彆䅓䕌⡓䅃ⱌ䌰⥙ō＀＀ ＀＀ĵ＀＀_x0008_＀＀_x0001_＀＀_x0001_＀＀_x0001_＀＀璼ᢓ㈄䁸摦畳㩰⼯楤敲瑣潩獮䘯呁嘠敩敷㽲捡楴湯唽䑐呁♅牣慥潴㵲慦瑣敳♴奄彎剁升吽啒♅佄彃䅎䕍䘽呁䘺䱑䅟䑕呉义彇䱃䕉呎呟䵅䱐呁⹅䅆♔楤灳慬役瑳楲杮䄽摵瑩嘦剁䬺奅䜽䭂但䭐䵖♖䅖㩒啑剅㵙歒晚さ䵆噒潍け䵆䑌䑂南㵫圦义佄㵗䥆卒彔佐啐♐䕈䝉呈㐽〵圦䑉䡔㐽〵匦䅔呒䵟塁䵉婉䑅䘽䱁䕓嘦剁䌺䱁久䅄㵒单嘦剁区䵙佂㵌䱁乇嘦剁䤺䑎塅〽찀☬䵿!呁䍅䥞彂䅐䝖ㄨㄯ㈯〰ⰸ㈱㌯⼱〲㠰착 ＀＀ ＀＀_x0008_＀＀_x0008_＀＀_x0001_＀＀_x0001_＀＀_x0001_＀＀藤硴쌈䀑䆢丯_x0017_剘奁䙞彆䅓䕌⡓䅃ⱌㄭ奃착ō＀＀ ＀＀ĵ＀＀_x0008_＀＀_x0001_＀＀_x0001_＀＀_x0001_＀＀뙆ﷳ_xDFD4_䂠摦畳㩰⼯楤敲瑣潩獮䘯呁嘠敩敷㽲捡楴湯唽䑐呁♅牣慥潴㵲慦瑣敳♴奄彎剁升吽啒♅佄彃䅎䕍䘽呁䘺䱑䅟䑕呉义彇䱃䕉呎呟䵅䱐呁⹅䅆♔楤灳慬役瑳楲杮䄽摵瑩嘦剁䬺奅夽兘䵄児䍊♂䅖㩒啑剅㵙歒晚さ䵆噒潍け䵆䍌砰ㅑ火圦义佄㵗䥆卒彔佐啐♐䕈䝉呈㐽〵圦䑉䡔㐽〵匦䅔呒䵟塁䵉婉䑅䘽䱁䕓嘦剁䌺䱁久䅄㵒单嘦剁区䵙佂㵌剘奁嘦剁䤺䑎塅〽찀됪丞 剘奁䥞彂䅐䝖㜨ㄯ㈯〰ⰷ⼹〳㈯〰⤷ ＀＀ ＀＀_x0008_＀＀_x0008_＀＀_x0001_＀＀_x0001_＀＀_x0001_＀＀៬蛬杭䁃䆢丯A剁䍔䙞彅卅䥔䅍䕔✨䅓䕌❓✬䕍乁Ⱗ䌧䱁✴✬〲ㄱⰧ低ⱗⰬⰧㅆ㌲䴽䩁✬착!＀＀ ＀＀	＀＀_x0008_＀＀_x0001_＀＀_x0001_＀＀_x0001_＀＀⭫韶⇝䁷찀䆡丯_x0016_䍋幉䙆卟䱁卅䌨䱁⴬䌱⥙Ō＀＀ ＀＀Ĵ＀＀_x0008_＀＀_x0001_＀＀_x0001_＀＀_x0001_＀＀橿璼⊓䂟摦畳㩰⼯楤敲瑣潩獮䘯呁嘠敩敷㽲捡楴湯唽䑐呁♅牣慥潴㵲慦瑣敳♴奄彎剁升吽啒♅佄彃䅎䕍䘽呁䘺䱑䅟䑕呉义彇䱃䕉呎呟䵅䱐呁⹅䅆♔楤灳慬役瑳楲杮䄽摵瑩嘦剁䬺奅匽半䵂啈䥒♂䅖㩒啑剅㵙歒晚さ䵆噒潍け䵆䍌砰ㅑ火圦义佄㵗䥆卒彔佐啐♐䕈䝉呈㐽〵圦䑉䡔㐽〵匦䅔呒䵟塁䵉婉䑅䘽䱁䕓嘦剁䌺䱁久䅄㵒单嘦剁区䵙佂㵌䍋♉䅖㩒义䕄㵘0됪丞 剘奁䥞彂䅐䝖ㄨㄯ㈯〰ⰸ⼳ㄳ㈯〰⤸ ＀＀ ＀＀_x0008_＀＀_x0008_＀＀_x0001_＀＀_x0001_＀＀_x0001_＀＀ꈊϮ庐䁄䆝丯_x0013_䥓佒䙞彇䭍彔䅖啌⡅착!＀＀ ＀＀	＀＀_x0008_＀＀_x0001_＀＀_x0001_＀＀_x0001_＀＀긔䂦찀暍䷰!䅖幒䉉偟噁⡇〱ㄯ㈯〰ⰸ㈱㌯⼱〲㠰착 ＀＀ ＀＀_x0008_＀＀_x0008_＀＀_x0001_＀＀_x0001_＀＀_x0001_＀＀휵ꑩ媥䁄暍䷰_x001F_䅖幒䉉偟噁⡇⼱⼱〲㤰㌬㌯⼱〲㤰착 ＀＀ ＀＀_x0008_＀＀_x0008_＀＀_x0001_＀＀_x0001_＀＀_x0001_＀＀Ⓣ朣ꝡ䁀䆠丯_x0012_䡔剏䙞彆偅⡓乁ⱎ⤰!＀＀ ＀＀	＀＀_x0008_＀＀_x0001_＀＀_x0001_＀＀_x0001_＀＀쳍쳌쳌㿬찀䆢丯A協乏䙞彅卅䥔䅍䕔✨䅓䕌❓✬䕍乁Ⱗ䌧䱁✴✬〲ㄱⰧ低ⱗⰬⰧㅆ㌲䴽䩁✬착!＀＀ ＀＀	＀＀_x0008_＀＀_x0001_＀＀_x0001_＀＀_x0001_＀＀䎖沋ᯧ䀵찀䆡丯_x0017_佖䍌䙞彆䅓䕌⡓䅃ⱌㄭ奃착ō＀＀ ＀＀ĵ＀＀_x0008_＀＀_x0001_＀＀_x0001_＀＀_x0001_＀＀됹盈箾䁬摦畳㩰⼯楤敲瑣潩獮䘯呁嘠敩敷㽲捡楴湯唽䑐呁♅牣慥潴㵲慦瑣敳♴奄彎剁升吽啒♅佄彃䅎䕍䘽呁䘺䱑䅟䑕呉义彇䱃䕉呎呟䵅䱐呁⹅䅆♔楤灳慬役瑳楲杮䄽摵瑩嘦剁䬺奅伽䕚坆䭄䵖♊䅖㩒啑剅㵙歒晚さ䵆噒潍け䵆䍌砰ㅑ火圦义佄㵗䥆卒彔佐啐♐䕈䝉呈㐽〵圦䑉䡔㐽〵匦䅔呒䵟塁䵉婉䑅䘽䱁䕓嘦剁䌺䱁久䅄㵒单嘦剁区䵙佂㵌佖䍌嘦剁䤺䑎塅〽찀㞵䷻ 剁奁䥞彂䅐䝖㐨ㄯ㈯〰ⰸ⼶〳㈯〰⤸ ＀＀ ＀＀_x0008_＀＀_x0008_＀＀_x0001_＀＀_x0001_＀＀_x0001_＀＀兾ﺂ⽂䀡폄䷨ 呁䍅䥞彂䅐䝖㔨ㄯ㈯〰ⰸ⼷ㄳ㈯〰⤸ ＀＀ ＀＀_x0008_＀＀_x0008_＀＀_x0001_＀＀_x0001_＀＀_x0001_＀＀ݛ笇㌓䀒䆝丯A偃協䙞彅卅䥔䅍䕔✨䅓䕌❓✬䕍乁Ⱗ䌧䱁✴✬〲ㄱⰧ低ⱗⰬⰧㅆ㌲䴽䩁✬착!＀＀ ＀＀	＀＀_x0008_＀＀_x0001_＀＀_x0001_＀＀_x0001_＀＀䔸遇䁠찀剀䷰!䅖幒䉉偟噁⡇〱ㄯ㈯〰ⰶ㈱㌯⼱〲㘰착 ＀＀ ＀＀_x0008_＀＀_x0008_＀＀_x0001_＀＀_x0001_＀＀_x0001_＀＀뇚蠑䇗䁉昦䷰ 䅖幒䉉偟噁⡇⼸⼱〲㠰ㄬ⼰ㄳ㈯〰⤸ ＀＀ ＀＀_x0008_＀＀_x0008_＀＀_x0001_＀＀_x0001_＀＀_x0001_＀＀귫궁䐒䁌퐟䷨"呁䍅䥞彂䅐䝖ㄨ⼱⼱〲㤰ㄬ⼰ㄳ㈯㄰⤰ ＀＀ ＀＀_x0008_＀＀_x0008_＀＀_x0001_＀＀_x0001_＀＀_x0001_＀＀늖焌஬䀒됪丞 剘奁䥞彂䅐䝖㐨ㄯ㈯〰ⰸ⼶〳㈯〰⤸ ＀＀ ＀＀_x0008_＀＀_x0008_＀＀_x0001_＀＀_x0001_＀＀_x0001_＀＀᏾걜馨䁃䆠丯_x0011_䍋幉䙆䕟卐䄨乎〬착!＀＀ ＀＀	＀＀_x0008_＀＀_x0001_＀＀_x0001_＀＀_x0001_＀＀슏⣵轜䀌찀䆞丯_x0013_䱅塇䙞彇䭍彔䅖啌⡅착!＀＀ ＀＀	＀＀_x0008_＀＀_x0001_＀＀_x0001_＀＀_x0001_＀＀ᒥ筴ꑉ䁿찀䆡丯P䙏塉⡞䙆䑟䉅⡔瑱Ⱳ⤰䘭彆䅃䡓卟⡔呑ⱒ⤰䀩䘨彆䕄呂儨剔⴬䘱⥑䘭彆䅃䡓卟⡔呑ⱒㄭ兆⤩Ɲ＀＀ ＀＀ƅ＀＀_x0008_＀＀_x0001_＀＀_x0001_＀＀_x0001_＀＀⛩࠱Ҭ䁥摦畳㩰⼯楤敲瑣潩獮䘯呁嘠敩敷㽲捡楴湯唽䑐呁♅牣慥潴㵲慦瑣敳♴奄彎剁升吽啒♅佄彃䅎䕍䘽呁䘺䱑䅟䑕呉义彇䱃䕉呎呟䵅䱐呁⹅䅆♔楤灳慬役瑳楲杮䄽摵瑩嘦剁䬺奅夽䭚坊兄奊♔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䙏塉嘦剁䤺䑎塅〽찀䆠丯_x0012_剁䍔䙞彆偅⡓乁ⱎ⤰!＀＀ ＀＀	＀＀_x0008_＀＀_x0001_＀＀_x0001_＀＀_x0001_＀＀ꏗ㵰휊㿳찀펚䷨ 呁䍅䥞彂䅐䝖㈨ㄯ㈯〰ⰷ⼴〳㈯〰⤷ ＀＀ ＀＀_x0008_＀＀_x0008_＀＀_x0001_＀＀_x0001_＀＀_x0001_＀＀延텼漞䀐䆠丯_x0012_佐䑄䙞彆偅⡓乁ⱎ⤰!＀＀ ＀＀	＀＀_x0008_＀＀_x0001_＀＀_x0001_＀＀_x0001_＀＀炤਽ꏗ뿸찀팧䷨"呁䍅䥞彂䅐䝖ㄨ⼱⼱〲㘰ㄬ⼰ㄳ㈯〰⤷ ＀＀ ＀＀_x0008_＀＀_x0008_＀＀_x0001_＀＀_x0001_＀＀_x0001_＀＀閯巐윒䀎䆡丯_x0016_剁䍔䙞彆䅓䕌⡓䅃ⱌ䌰⥙ō＀＀ ＀＀ĵ＀＀_x0008_＀＀_x0001_＀＀_x0001_＀＀_x0001_＀＀ㄧ갈Ⱌ䁵摦畳㩰⼯楤敲瑣潩獮䘯呁嘠敩敷㽲捡楴湯唽䑐呁♅牣慥潴㵲慦瑣敳♴奄彎剁升吽啒♅佄彃䅎䕍䘽呁䘺䱑䅟䑕呉义彇䱃䕉呎呟䵅䱐呁⹅䅆♔楤灳慬役瑳楲杮䄽摵瑩嘦剁䬺奅圽兌䥖䅔商♆䅖㩒啑剅㵙歒晚さ䵆噒潍け䵆䑌䑂南㵫圦义佄㵗䥆卒彔佐啐♐䕈䝉呈㐽〵圦䑉䡔㐽〵匦䅔呒䵟塁䵉婉䑅䘽䱁䕓嘦剁䌺䱁久䅄㵒单嘦剁区䵙佂㵌剁䍔嘦剁䤺䑎塅〽찀䆠丯?呁䍅䙞彅卅䥔䅍䕔✨偅❓✬䕍乁Ⱗ䌧䱁✴✬〲ㄱⰧ低ⱗⰬⰧㅆ㌲䴽䩁✬착!＀＀ ＀＀	＀＀_x0008_＀＀_x0001_＀＀_x0001_＀＀_x0001_＀＀ᑻ䞮竡㾔찀됪丞!剘奁䥞彂䅐䝖ㄨㄯ㈯㄰ⰰ㈱㌯⼱〲〱착 ＀＀ ＀＀_x0008_＀＀_x0008_＀＀_x0001_＀＀_x0001_＀＀_x0001_＀＀㫒骪䨠䁀䆡丯?協乏䙞彅卅䥔䅍䕔✨偅❓✬䕍乁Ⱗ䌧䱁✴✬〲ㄱⰧ低ⱗⰬⰧㅆ㌲䴽䩁✬착!＀＀ ＀＀	＀＀_x0008_＀＀_x0001_＀＀_x0001_＀＀_x0001_＀＀쳍쳌쳌뿬찀䆢丯P剘奁⡞䙆䑟䉅⡔瑱Ⱳ⤰䘭彆䅃䡓卟⡔呑ⱒ⤰䀩䘨彆䕄呂儨剔⴬䘱⥑䘭彆䅃䡓卟⡔呑ⱒㄭ兆⤩Ɲ＀＀ ＀＀ƅ＀＀_x0008_＀＀_x0001_＀＀_x0001_＀＀_x0001_＀＀눨ầ䁖摦畳㩰⼯楤敲瑣潩獮䘯呁嘠敩敷㽲捡楴湯唽䑐呁♅牣慥潴㵲慦瑣敳♴奄彎剁升吽啒♅佄彃䅎䕍䘽呁䘺䱑䅟䑕呉义彇䱃䕉呎呟䵅䱐呁⹅䅆♔楤灳慬役瑳楲杮䄽摵瑩嘦剁䬺奅夽奂䥈䭒奂♖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剘奁嘦剁䤺䑎塅〽찀䆣丯@ㄷ㌮帹䕆䕟呓䵉呁⡅䔧卐Ⱗ䴧䅅❎✬䅃㑌Ⱗ㈧㄰✲丬坏Ⱜ✬䘬㈱㴳䅍ⱊ⤧_x001D_＀＀ ＀＀_x0005_＀＀_x0004_＀＀_x0001_＀＀_x0001_＀＀_x0008_＀＀乀A찀폄䷨!呁䍅䥞彂䅐䝖㠨ㄯ㈯〰ⰸ〱㌯⼱〲㠰착 ＀＀ ＀＀_x0008_＀＀_x0008_＀＀_x0001_＀＀_x0001_＀＀_x0001_＀＀뽞㝠㭬䀒䆡丯A䡔剏䙞彅卅䥔䅍䕔✨䅓䕌❓✬䕍乁Ⱗ䌧䱁✴✬〲ㄱⰧ低ⱗⰬⰧㅆ㌲䴽䩁✬착!＀＀ ＀＀	＀＀_x0008_＀＀_x0001_＀＀_x0001_＀＀_x0001_＀＀춟쾪⇕䁺찀䆡丯_x0016_協乏䙞彆䅓䕌⡓䅃ⱌ䌰⥙ō＀＀ ＀＀ĵ＀＀_x0008_＀＀_x0001_＀＀_x0001_＀＀_x0001_＀＀閁譃❬䀺摦畳㩰⼯楤敲瑣潩獮䘯呁嘠敩敷㽲捡楴湯唽䑐呁♅牣慥潴㵲慦瑣敳♴奄彎剁升吽啒♅佄彃䅎䕍䘽呁䘺䱑䅟䑕呉义彇䱃䕉呎呟䵅䱐呁⹅䅆♔楤灳慬役瑳楲杮䄽摵瑩嘦剁䬺奅䬽䅊䭊䍐奌♘䅖㩒啑剅㵙歒晚さ䵆噒潍け䵆䑌䑂南㵫圦义佄㵗䥆卒彔佐啐♐䕈䝉呈㐽〵圦䑉䡔㐽〵匦䅔呒䵟塁䵉婉䑅䘽䱁䕓嘦剁䌺䱁久䅄㵒单嘦剁区䵙佂㵌協乏嘦剁䤺䑎塅〽찀䆛丯_x0017_䥓佒䙞彆䅓䕌⡓䅃ⱌㄭ奃착ō＀＀ ＀＀ĵ＀＀_x0008_＀＀_x0001_＀＀_x0001_＀＀_x0001_＀＀䦺Ȍ挫䂇摦畳㩰⼯楤敲瑣潩獮䘯呁嘠敩敷㽲捡楴湯唽䑐呁♅牣慥潴㵲慦瑣敳♴奄彎剁升吽啒♅佄彃䅎䕍䘽呁䘺䱑䅟䑕呉义彇䱃䕉呎呟䵅䱐呁⹅䅆♔楤灳慬役瑳楲杮䄽摵瑩嘦剁䬺奅䴽䵊䭎佄党♘䅖㩒啑剅㵙歒晚さ䵆噒潍け䵆䍌砰ㅑ火圦义佄㵗䥆卒彔佐啐♐䕈䝉呈㐽〵圦䑉䡔㐽〵匦䅔呒䵟塁䵉婉䑅䘽䱁䕓嘦剁䌺䱁久䅄㵒单嘦剁区䵙佂㵌䥓佒嘦剁䤺䑎塅〽찀䆞丯_x0013_䉁䑍䙞彇䭍彔䅖啌⡅착!＀＀ ＀＀	＀＀_x0008_＀＀_x0001_＀＀_x0001_＀＀_x0001_＀＀赐溗ꦒ䂃찀䆝丯_x0016_呓乍䌭幈彐剐䍉⡅〴㔷⤰!＀＀ ＀＀	＀＀_x0008_＀＀_x0001_＀＀_x0001_＀＀_x0001_＀＀＀＀＀＀䁧찀㠛䷻ 剁奁䥞彂䅐䝖㔨ㄯ㈯〰ⰹ⼶〳㈯㄰⤰ ＀＀ ＀＀_x0008_＀＀_x0008_＀＀_x0001_＀＀_x0001_＀＀_x0001_＀＀헜좫ꃨ䀙폵䷨"呁䍅䥞彂䅐䝖ㄨ⼱⼱〲㠰ㄬ⼰ㄳ㈯〰⤹ ＀＀ ＀＀_x0008_＀＀_x0008_＀＀_x0001_＀＀_x0001_＀＀_x0001_＀＀⭍䂅넮䀇뇓丞_x0010_剘奁䙞彇剐䍉⡅⤰ ＀＀ ＀＀_x0008_＀＀_x0008_＀＀_x0001_＀＀_x0001_＀＀_x0001_＀＀＀＀＀＀ꀀ䁃䆠丯P呈剗⡞䙆䑟䉅⡔瑱Ⱳ⤰䘭彆䅃䡓卟⡔呑ⱒ⤰䀩䘨彆䕄呂儨剔⴬䘱⥑䘭彆䅃䡓卟⡔呑ⱒㄭ兆⤩Ɲ＀＀ ＀＀ƅ＀＀_x0008_＀＀_x0001_＀＀_x0001_＀＀_x0001_＀＀賞꾚쁞摦畳㩰⼯楤敲瑣潩獮䘯呁嘠敩敷㽲捡楴湯唽䑐呁♅牣慥潴㵲慦瑣敳♴奄彎剁升吽啒♅佄彃䅎䕍䘽呁䘺䱑䅟䑕呉义彇䱃䕉呎呟䵅䱐呁⹅䅆♔楤灳慬役瑳楲杮䄽摵瑩嘦剁䬺奅夽䍌佔䝈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呈剗嘦剁䤺䑎塅〽찀㞵䷻ 剁奁䥞彂䅐䝖㘨ㄯ㈯〰ⰷ⼹〳㈯〰⤷ ＀＀ ＀＀_x0008_＀＀_x0008_＀＀_x0001_＀＀_x0001_＀＀_x0001_＀＀Ὄꂺ薾䀲퐞䷨!呁䍅䥞彂䅐䝖ㄨ⼱⼱〲㤰ㄬ㌯⼱〲〱착 ＀＀ ＀＀_x0008_＀＀_x0008_＀＀_x0001_＀＀_x0001_＀＀_x0001_＀＀嫀段穂䀓䆡丯_x0012_佖䍌䙞彆偅⡓乁ⱎ⤰!＀＀ ＀＀	＀＀_x0008_＀＀_x0001_＀＀_x0001_＀＀_x0001_＀＀馚香香㾹찀☬䵿 呁䍅䥞彂䅐䝖ㄨㄯ㈯〰ⰷ⼳ㄳ㈯〰⤷ ＀＀ ＀＀_x0008_＀＀_x0008_＀＀_x0001_＀＀_x0001_＀＀_x0001_＀＀枺ꍝ烥䀐됪丞!剘奁䥞彂䅐䝖ㄨㄯ㈯〰ⰹ㈱㌯⼱〲㤰착 ＀＀ ＀＀_x0008_＀＀_x0008_＀＀_x0001_＀＀_x0001_＀＀_x0001_＀＀꤫퀓恄䀾᥋丈 剁奁䥞彂䅐䝖㜨ㄯ㈯〰ⰶ⼶〳㈯〰⤷ ＀＀ ＀＀_x0008_＀＀_x0008_＀＀_x0001_＀＀_x0001_＀＀_x0001_＀＀鉺쵴⏤䀸䆡丯P佖䍌⡞䙆䑟䉅⡔瑱Ⱳ⤰䘭彆䅃䡓卟⡔呑ⱒ⤰䀩䘨彆䕄呂儨剔⴬䘱⥑䘭彆䅃䡓卟⡔呑ⱒㄭ兆⤩Ɲ＀＀ ＀＀ƅ＀＀_x0008_＀＀_x0001_＀＀_x0001_＀＀_x0001_＀＀䖢瓽쁜摦畳㩰⼯楤敲瑣潩獮䘯呁嘠敩敷㽲捡楴湯唽䑐呁♅牣慥潴㵲慦瑣敳♴奄彎剁升吽啒♅佄彃䅎䕍䘽呁䘺䱑䅟䑕呉义彇䱃䕉呎呟䵅䱐呁⹅䅆♔楤灳慬役瑳楲杮䄽摵瑩嘦剁䬺奅䌽奚卌䥎奈♂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佖䍌嘦剁䤺䑎塅〽찀䆡丯_x0017_啎䅖䙞彆䅓䕌⡓䅃ⱌㄭ奃착ō＀＀ ＀＀ĵ＀＀_x0008_＀＀_x0001_＀＀_x0001_＀＀_x0001_＀＀਽ꏗ╰䁷摦畳㩰⼯楤敲瑣潩獮䘯呁嘠敩敷㽲捡楴湯唽䑐呁♅牣慥潴㵲慦瑣敳♴奄彎剁升吽啒♅佄彃䅎䕍䘽呁䘺䱑䅟䑕呉义彇䱃䕉呎呟䵅䱐呁⹅䅆♔楤灳慬役瑳楲杮䄽摵瑩嘦剁䬺奅夽啚䍈䭎䅊♚䅖㩒啑剅㵙歒晚さ䵆噒潍け䵆䍌砰ㅑ火圦义佄㵗䥆卒彔佐啐♐䕈䝉呈㐽〵圦䑉䡔㐽〵匦䅔呒䵟塁䵉婉䑅䘽䱁䕓嘦剁䌺䱁久䅄㵒单嘦剁区䵙佂㵌啎䅖嘦剁䤺䑎塅〽찀됪丞!剘奁䥞彂䅐䝖ㄨㄯ㈯〰ⰷ㈱㌯⼱〲㜰착 ＀＀ ＀＀_x0008_＀＀_x0008_＀＀_x0001_＀＀_x0001_＀＀_x0001_＀＀尩슏鳵䁂䆝丯_x0016_䱅塇䙞彆䅓䕌⡓䅃ⱌ䌰⥙ō＀＀ ＀＀ĵ＀＀_x0008_＀＀_x0001_＀＀_x0001_＀＀_x0001_＀＀틲才퀐䁐摦畳㩰⼯楤敲瑣潩獮䘯呁嘠敩敷㽲捡楴湯唽䑐呁♅牣慥潴㵲慦瑣敳♴奄彎剁升吽啒♅佄彃䅎䕍䘽呁䘺䱑䅟䑕呉义彇䱃䕉呎呟䵅䱐呁⹅䅆♔楤灳慬役瑳楲杮䄽摵瑩嘦剁䬺奅䌽坘䕒奄兂♈䅖㩒啑剅㵙歒晚さ䵆噒潍け䵆䑌䑂南㵫圦义佄㵗䥆卒彔佐啐♐䕈䝉呈㐽〵圦䑉䡔㐽〵匦䅔呒䵟塁䵉婉䑅䘽䱁䕓嘦剁䌺䱁久䅄㵒单嘦剁区䵙佂㵌䱅塇嘦剁䤺䑎塅〽찀䆞丯_x0012_䍋幉彐剐䍉⡅〴㔷⤰!＀＀ ＀＀	＀＀_x0008_＀＀_x0001_＀＀_x0001_＀＀_x0001_＀＀쳍쳌ﳌ䁐찀暍䷰_x001F_䅖幒䉉偟噁⡇⼱⼱〲〱㌬㌯⼱〲〱착 ＀＀ ＀＀_x0008_＀＀_x0008_＀＀_x0001_＀＀_x0001_＀＀_x0001_＀＀጗辛᭫䁉䆣丯@〲㌮帵䕆䕟呓䵉呁⡅䔧卐Ⱗ䴧䅅❎✬䅃㑌Ⱗ㈧㄰✲丬坏Ⱜ✬䘬㈱㴳䅍ⱊ⤧_x001D_＀＀ ＀＀_x0005_＀＀_x0004_＀＀_x0001_＀＀_x0001_＀＀_x0008_＀＀乀A찀䆟丯_x0013_呁䍅䙞彇䭍彔䅖啌⡅착!＀＀ ＀＀	＀＀_x0008_＀＀_x0001_＀＀_x0001_＀＀_x0001_＀＀育_xDC09_刺䁰찀폄䷨!呁䍅䥞彂䅐䝖ㄨ⼱⼱〲㜰ㄬ㌯⼱〲㠰착 ＀＀ ＀＀_x0008_＀＀_x0008_＀＀_x0001_＀＀_x0001_＀＀_x0001_＀＀뒳獓醹䀒䆠丯_x0013_協乏䙞彇䭍彔䅖啌⡅착!＀＀ ＀＀	＀＀_x0008_＀＀_x0001_＀＀_x0001_＀＀_x0001_＀＀౴廈뗯䁙찀☬䵿 呁䍅䥞彂䅐䝖㐨ㄯ㈯〰ⰷ⼶〳㈯〰⤷ ＀＀ ＀＀_x0008_＀＀_x0008_＀＀_x0001_＀＀_x0001_＀＀_x0001_＀＀➿꧖㷲䀍䆝丯A䱅塇䙞彅卅䥔䅍䕔✨䅓䕌❓✬䕍乁Ⱗ䌧䱁✴✬〲ㄱⰧ低ⱗⰬⰧㅆ㌲䴽䩁✬착!＀＀ ＀＀	＀＀_x0008_＀＀_x0001_＀＀_x0001_＀＀_x0001_＀＀㤯铮㨎䁔찀䆠丯?呈剗䙞彅卅䥔䅍䕔✨偅❓✬䕍乁Ⱗ䌧䱁✴✬〲ㄱⰧ低ⱗⰬⰧㅆ㌲䴽䩁✬착!＀＀ ＀＀	＀＀_x0008_＀＀_x0001_＀＀_x0001_＀＀_x0001_＀＀쟳㚴䶍쀅찀䆝丯_x0013_䱁乇䙞彇䭍彔䅖啌⡅착!＀＀ ＀＀	＀＀_x0008_＀＀_x0001_＀＀_x0001_＀＀_x0001_＀＀_xFFFF_Ｎﴡڶ䂜찀䆠丯P䡔剏⡞䙆䑟䉅⡔瑱Ⱳ⤰䘭彆䅃䡓卟⡔呑ⱒ⤰䀩䘨彆䕄呂儨剔⴬䘱⥑䘭彆䅃䡓卟⡔呑ⱒㄭ兆⤩Ɲ＀＀ ＀＀ƅ＀＀_x0008_＀＀_x0001_＀＀_x0001_＀＀_x0001_＀＀䞮竡戔쁱摦畳㩰⼯楤敲瑣潩獮䘯呁嘠敩敷㽲捡楴湯唽䑐呁♅牣慥潴㵲慦瑣敳♴奄彎剁升吽啒♅佄彃䅎䕍䘽呁䘺䱑䅟䑕呉义彇䱃䕉呎呟䵅䱐呁⹅䅆♔楤灳慬役瑳楲杮䄽摵瑩嘦剁䬺奅䴽奆䕂奐䭄♎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䡔剏嘦剁䤺䑎塅〽찀䆞丯_x0013_呈剗䙞彇䭍彔䅖啌⡅착!＀＀ ＀＀	＀＀_x0008_＀＀_x0001_＀＀_x0001_＀＀_x0001_＀＀멞౉ຂ䂏찀☬䵿 呁䍅䥞彂䅐䝖㜨ㄯ㈯〰ⰹ⼹〳㈯〰⤹ ＀＀ ＀＀_x0008_＀＀_x0008_＀＀_x0001_＀＀_x0001_＀＀_x0001_＀＀⊞袇ꎛ䀐㝾䷻ 剁奁䥞彂䅐䝖ㄨㄯ㈯〰ⰷ⼳ㄳ㈯〰⤷ ＀＀ ＀＀_x0008_＀＀_x0008_＀＀_x0001_＀＀_x0001_＀＀_x0001_＀＀թ겆╮䀹㞵䷻ 剁奁䥞彂䅐䝖㔨ㄯ㈯〰ⰷ⼶〳㈯〰⤸ ＀＀ ＀＀_x0008_＀＀_x0008_＀＀_x0001_＀＀_x0001_＀＀_x0001_＀＀쎹㈦ㅳ䀮䆡丯?啎䅖䙞彅卅䥔䅍䕔✨偅❓✬䕍乁Ⱗ䌧䱁✴✬〲ㄱⰧ低ⱗⰬⰧㅆ㌲䴽䩁✬착!＀＀ ＀＀	＀＀_x0008_＀＀_x0001_＀＀_x0001_＀＀_x0001_＀＀ꐞ좧∡㿲찀䆞丯_x0013_佖䍌偞偟䥒䕃㐨㜰〵착!＀＀ ＀＀	＀＀_x0008_＀＀_x0001_＀＀_x0001_＀＀_x0001_＀＀蔟凫Ẹ䁀찀䆝丯_x0016_低乂䌭幈䝆䵟呋噟䱁䕕⤨!＀＀ ＀＀	＀＀_x0008_＀＀_x0001_＀＀_x0001_＀＀_x0001_＀＀폃攫糙䂟찀䆝丯P䉁䑍⡞䙆䑟䉅⡔瑱Ⱳ⤰䘭彆䅃䡓卟⡔呑ⱒ⤰䀩䘨彆䕄呂儨剔⴬䘱⥑䘭彆䅃䡓卟⡔呑ⱒㄭ兆⤩Ɲ＀＀ ＀＀ƅ＀＀_x0008_＀＀_x0001_＀＀_x0001_＀＀_x0001_＀＀ⴎ鶲⟯쁎摦畳㩰⼯楤敲瑣潩獮䘯呁嘠敩敷㽲捡楴湯唽䑐呁♅牣慥潴㵲慦瑣敳♴奄彎剁升吽啒♅佄彃䅎䕍䘽呁䘺䱑䅟䑕呉义彇䱃䕉呎呟䵅䱐呁⹅䅆♔楤灳慬役瑳楲杮䄽摵瑩嘦剁䬺奅䄽䥈䭆䵐単♖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䉁䑍嘦剁䤺䑎塅〽찀暍䷰ 䅖幒䉉偟噁⡇〱ㄯ㈯〰ⰸ⼹〳㈯〰⤹ ＀＀ ＀＀_x0008_＀＀_x0008_＀＀_x0001_＀＀_x0001_＀＀_x0001_＀＀ⱒ뒷戚䁂䆡丯_x0015_䍋幉䙆卟䱁卅䌨䱁〬奃착Ō＀＀ ＀＀Ĵ＀＀_x0008_＀＀_x0001_＀＀_x0001_＀＀_x0001_＀＀멞౉蜂䂟摦畳㩰⼯楤敲瑣潩獮䘯呁嘠敩敷㽲捡楴湯唽䑐呁♅牣慥潴㵲慦瑣敳♴奄彎剁升吽啒♅佄彃䅎䕍䘽呁䘺䱑䅟䑕呉义彇䱃䕉呎呟䵅䱐呁⹅䅆♔楤灳慬役瑳楲杮䄽摵瑩嘦剁䬺奅伽但䅊啊兖♈䅖㩒啑剅㵙歒晚さ䵆噒潍け䵆䑌䑂南㵫圦义佄㵗䥆卒彔佐啐♐䕈䝉呈㐽〵圦䑉䡔㐽〵匦䅔呒䵟塁䵉婉䑅䘽䱁䕓嘦剁䌺䱁久䅄㵒单嘦剁区䵙佂㵌䍋♉䅖㩒义䕄㵘0䆣丯?⸲㌹䙞彅卅䥔䅍䕔✨偅❓✬䕍乁Ⱗ䌧䱁✴✬〲㈱Ⱗ低ⱗⰬⰧㅆ㌲䴽䩁✬착_x001D_＀＀ ＀＀_x0005_＀＀_x0004_＀＀_x0001_＀＀_x0001_＀＀_x0008_＀＀乀A찀䆟丯_x0013_䡔剏䙞彇䭍彔䅖啌⡅착!＀＀ ＀＀	＀＀_x0008_＀＀_x0001_＀＀_x0001_＀＀_x0001_＀＀稐ꬶ㤾䂟찀䆡丯_x0017_剁䍔䙞彆䅓䕌⡓䅃ⱌㄭ奃착ō＀＀ ＀＀ĵ＀＀_x0008_＀＀_x0001_＀＀_x0001_＀＀_x0001_＀＀㽼밵䁳摦畳㩰⼯楤敲瑣潩獮䘯呁嘠敩敷㽲捡楴湯唽䑐呁♅牣慥潴㵲慦瑣敳♴奄彎剁升吽啒♅佄彃䅎䕍䘽呁䘺䱑䅟䑕呉义彇䱃䕉呎呟䵅䱐呁⹅䅆♔楤灳慬役瑳楲杮䄽摵瑩嘦剁䬺奅䤽䝚䭚䝆䕐♔䅖㩒啑剅㵙歒晚さ䵆噒潍け䵆䍌砰ㅑ火圦义佄㵗䥆卒彔佐啐♐䕈䝉呈㐽〵圦䑉䡔㐽〵匦䅔呒䵟塁䵉婉䑅䘽䱁䕓嘦剁䌺䱁久䅄㵒单嘦剁区䵙佂㵌剁䍔嘦剁䤺䑎塅〽찀됪丞 剘奁䥞彂䅐䝖ㄨㄯ㈯〰ⰷ⼳ㄳ㈯〰⤷ ＀＀ ＀＀_x0008_＀＀_x0008_＀＀_x0001_＀＀_x0001_＀＀_x0001_＀＀ॗ蜖輳䀿昦䷰_x001F_䅖幒䉉偟噁⡇⼱⼱〲㠰㌬㌯⼱〲㠰착 ＀＀ ＀＀_x0008_＀＀_x0008_＀＀_x0001_＀＀_x0001_＀＀_x0001_＀＀闿⚕袥䁉䆝丯?偃協䙞彅卅䥔䅍䕔✨偅❓✬䕍乁Ⱗ䌧䱁✴✬〲ㄱⰧ低ⱗⰬⰧㅆ㌲䴽䩁✬착!＀＀ ＀＀	＀＀_x0008_＀＀_x0001_＀＀_x0001_＀＀_x0001_＀＀尨슏㾕찀䆣丯@㜶㤮帵䕆䕟呓䵉呁⡅䔧卐Ⱗ䴧䅅❎✬䅃㑌Ⱗ㈧㄰✲丬坏Ⱜ✬䘬㈱㴳䅍ⱊ⤧_x001D_＀＀ ＀＀_x0005_＀＀_x0004_＀＀_x0001_＀＀_x0001_＀＀_x0008_＀＀乀A찀</t>
        </r>
      </text>
    </comment>
    <comment ref="B1" authorId="0">
      <text>
        <r>
          <rPr>
            <b/>
            <sz val="8"/>
            <color indexed="81"/>
            <rFont val="Tahoma"/>
            <family val="2"/>
          </rPr>
          <t>21062</t>
        </r>
      </text>
    </comment>
  </commentList>
</comments>
</file>

<file path=xl/sharedStrings.xml><?xml version="1.0" encoding="utf-8"?>
<sst xmlns="http://schemas.openxmlformats.org/spreadsheetml/2006/main" count="2290" uniqueCount="1120">
  <si>
    <t>M&amp;A</t>
  </si>
  <si>
    <t>Constant Currency</t>
  </si>
  <si>
    <t>715.593984</t>
  </si>
  <si>
    <t>XRAY.O,mscalc:salesConsensusMedian,2015Q1,,FYR</t>
  </si>
  <si>
    <t>XRAY.O,mscalc:epsConsensusMedian,2015Q4,,FYR</t>
  </si>
  <si>
    <t>XRAY.O,mscalc:epsConsensusMedian,2015Q1,,FYR</t>
  </si>
  <si>
    <t>XRAY.O,mscalc:epsConsensusMedian,2015Q3,,FYR</t>
  </si>
  <si>
    <t>XRAY.O,mscalc:salesConsensusMedian,2015Q4,,FYR</t>
  </si>
  <si>
    <t>XRAY.O,mscalc:salesConsensusMedian,2015Q2,,FYR</t>
  </si>
  <si>
    <t>XRAY.O,mscalc:epsConsensusMedian,2015Q2,,FYR</t>
  </si>
  <si>
    <t>XRAY.O,mscalc:salesConsensusMedian,2015FY,,FYR</t>
  </si>
  <si>
    <t>XRAY.O,mscalc:salesConsensusMedian,2015Q3,,FYR</t>
  </si>
  <si>
    <t>XRAY.O,mscalc:epsConsensusMedian,2015FY,,FYR</t>
  </si>
  <si>
    <t>Restructuring/Other</t>
  </si>
  <si>
    <t>Revenue Build</t>
  </si>
  <si>
    <t>Net from continuing ops</t>
  </si>
  <si>
    <t xml:space="preserve">Restructuring and other </t>
  </si>
  <si>
    <t>Incremental Op. Profit</t>
  </si>
  <si>
    <t>Net Income from Continuing Ops</t>
  </si>
  <si>
    <t>Retained Earnings</t>
  </si>
  <si>
    <t>XRAY.O,mscalc:salesConsensusMedian,,,FYR</t>
  </si>
  <si>
    <t>XRAY.O,mscalc:epsConsensusMedian,2011Q4,,FYR</t>
  </si>
  <si>
    <t>XRAY.O,mscalc:epsConsensusMedian,2011Q2,,FYR</t>
  </si>
  <si>
    <t>XRAY.O,mscalc:salesConsensusMedian,2011Q4,,FYR</t>
  </si>
  <si>
    <t>XRAY.O,mscalc:salesConsensusMedian,2011Q1,,FYR</t>
  </si>
  <si>
    <t>XRAY.O,mscalc:epsConsensusMedian,2011Q1,,FYR</t>
  </si>
  <si>
    <t>XRAY.O,mscalc:salesConsensusMedian,2011Q2,,FYR</t>
  </si>
  <si>
    <t>XRAY.O,mscalc:salesConsensusMedian,2011Q3,,FYR</t>
  </si>
  <si>
    <t>XRAY.O,mscalc:epsConsensusMedian,2011Q3,,FYR</t>
  </si>
  <si>
    <t>0.519999980926514</t>
  </si>
  <si>
    <t>XRAY.O,mscalc:targetPrice</t>
  </si>
  <si>
    <t>2,970.189824</t>
  </si>
  <si>
    <t>2007A</t>
  </si>
  <si>
    <t>2008A</t>
  </si>
  <si>
    <t>2009A</t>
  </si>
  <si>
    <t>ASSETS</t>
  </si>
  <si>
    <t>Total Current Assets</t>
  </si>
  <si>
    <t>Goodwill</t>
  </si>
  <si>
    <t>Other</t>
  </si>
  <si>
    <t>Total Assets</t>
  </si>
  <si>
    <t>Total Current Liabilities</t>
  </si>
  <si>
    <t>Total Liabilities</t>
  </si>
  <si>
    <t>Dollars in millions, except per share data</t>
  </si>
  <si>
    <t>AOCI</t>
  </si>
  <si>
    <t>Check</t>
  </si>
  <si>
    <t>Financial Metrics</t>
  </si>
  <si>
    <t>Total Debt</t>
  </si>
  <si>
    <t>Net debt (debt-cash)</t>
  </si>
  <si>
    <t>Net cash per share</t>
  </si>
  <si>
    <t>Returns</t>
  </si>
  <si>
    <t>Return on Equity (ROE)</t>
  </si>
  <si>
    <t>Return on Assets (ROA)</t>
  </si>
  <si>
    <t>Debt Coverage</t>
  </si>
  <si>
    <t>EBITDA Coverage</t>
  </si>
  <si>
    <t>EBIT Coverage</t>
  </si>
  <si>
    <t>Net Debt / EBITDA</t>
  </si>
  <si>
    <t>Debt / Capital</t>
  </si>
  <si>
    <t>Liquidity</t>
  </si>
  <si>
    <t>Current Ratio (CA/CL)</t>
  </si>
  <si>
    <t>Quick Ratio ((Cash+Mkt Sec+AR)/CL)</t>
  </si>
  <si>
    <t>Cash Ratio</t>
  </si>
  <si>
    <t>Acid-Test Ratio</t>
  </si>
  <si>
    <t>Working Capital Metrics</t>
  </si>
  <si>
    <t>Inventory Days (DIO)</t>
  </si>
  <si>
    <t>Days Payable Outstanding (DPO)</t>
  </si>
  <si>
    <t>Cash Conversion Cycle</t>
  </si>
  <si>
    <t>Additional balance Sheet Metrics</t>
  </si>
  <si>
    <t>Cash &amp; equivalents per share</t>
  </si>
  <si>
    <t>Changes in Shareholders' Equity</t>
  </si>
  <si>
    <t>Opening Balance</t>
  </si>
  <si>
    <t>Issue of Shares (including premium)</t>
  </si>
  <si>
    <t>Net Income</t>
  </si>
  <si>
    <t>Dividend</t>
  </si>
  <si>
    <t>Other AOCI</t>
  </si>
  <si>
    <t>Closing Balance</t>
  </si>
  <si>
    <t>ASSET SCHEDULES</t>
  </si>
  <si>
    <t>PP&amp;E</t>
  </si>
  <si>
    <t>PP&amp;E, gross - BoP</t>
  </si>
  <si>
    <t>Capex</t>
  </si>
  <si>
    <t>% of sales</t>
  </si>
  <si>
    <t>PP&amp;E, gross - EoP</t>
  </si>
  <si>
    <t>Accumulated depreciation - BoP</t>
  </si>
  <si>
    <t>Depreciation</t>
  </si>
  <si>
    <t>% of beg gross</t>
  </si>
  <si>
    <t>Accum Depreciation - EoP</t>
  </si>
  <si>
    <t>PP&amp;E, net</t>
  </si>
  <si>
    <t>Intangibles</t>
  </si>
  <si>
    <t>Intangibles - BoP</t>
  </si>
  <si>
    <t>Amortization</t>
  </si>
  <si>
    <t>% of beg bal</t>
  </si>
  <si>
    <t>Intangibles - EoP</t>
  </si>
  <si>
    <t>Beg Balance</t>
  </si>
  <si>
    <t>Ending Balance</t>
  </si>
  <si>
    <t>Cash and Cash Equivalents (BOP)</t>
  </si>
  <si>
    <t>Cash and Cash Equivalents (EOP)</t>
  </si>
  <si>
    <t>Accounts payable</t>
  </si>
  <si>
    <t>Revenues</t>
  </si>
  <si>
    <t>Interest income</t>
  </si>
  <si>
    <t>Interest expense</t>
  </si>
  <si>
    <t>EBITDA</t>
  </si>
  <si>
    <t>2010A</t>
  </si>
  <si>
    <t>days in period</t>
  </si>
  <si>
    <t>M&amp;A Accounting</t>
  </si>
  <si>
    <t>Total Purchase Price</t>
  </si>
  <si>
    <t xml:space="preserve">Total </t>
  </si>
  <si>
    <t>Options Granted</t>
  </si>
  <si>
    <t>Y/Y Growth</t>
  </si>
  <si>
    <t>2.51799988746643</t>
  </si>
  <si>
    <t>2.75</t>
  </si>
  <si>
    <t>0.75</t>
  </si>
  <si>
    <t>Exercised shares as a % of outstanding</t>
  </si>
  <si>
    <t>Options granted - Y/Y Growth</t>
  </si>
  <si>
    <t>Repurchases</t>
  </si>
  <si>
    <t>Shares repurchased</t>
  </si>
  <si>
    <t>Cost of repurchases</t>
  </si>
  <si>
    <t>Avg cost</t>
  </si>
  <si>
    <t>% change</t>
  </si>
  <si>
    <t>Free Cash Flow (FCF)</t>
  </si>
  <si>
    <t>FCF per share</t>
  </si>
  <si>
    <t>Free Cash Flow Yield</t>
  </si>
  <si>
    <t>Market Price</t>
  </si>
  <si>
    <t>This sheet contains Factset binary data for use with this workbook's =FDS codes.  Modifying the worksheet's contents may damage the workbook's =FDS functionality.</t>
  </si>
  <si>
    <t>Proceeds from stock issuance ($m)</t>
  </si>
  <si>
    <t>COGS</t>
  </si>
  <si>
    <t>SG&amp;A</t>
  </si>
  <si>
    <t>Margins</t>
  </si>
  <si>
    <t>Gross Profit</t>
  </si>
  <si>
    <t>Sales</t>
  </si>
  <si>
    <t>Basic Shares (BOP)</t>
  </si>
  <si>
    <t>Basic Shares (EOP)</t>
  </si>
  <si>
    <t>2011A</t>
  </si>
  <si>
    <t>2012A</t>
  </si>
  <si>
    <t>2013A</t>
  </si>
  <si>
    <t>USD</t>
  </si>
  <si>
    <t>Others</t>
  </si>
  <si>
    <t>Unrecorded Goodwill</t>
  </si>
  <si>
    <t>Prepaid Expenses &amp; Other (% of revenues)</t>
  </si>
  <si>
    <t>Income Statement</t>
  </si>
  <si>
    <t>Cash and cash equivalents</t>
  </si>
  <si>
    <t>Long term debt</t>
  </si>
  <si>
    <t>Common stock</t>
  </si>
  <si>
    <t>Free Cash Flow</t>
  </si>
  <si>
    <t>Tax Rate</t>
  </si>
  <si>
    <t>0.689999997615814</t>
  </si>
  <si>
    <t>0.639999985694885</t>
  </si>
  <si>
    <t>0.600000023841858</t>
  </si>
  <si>
    <t>Growth Rates</t>
  </si>
  <si>
    <t>2.03500008583069</t>
  </si>
  <si>
    <t>2,517.599232</t>
  </si>
  <si>
    <t>718.049984</t>
  </si>
  <si>
    <t>Income Taxes</t>
  </si>
  <si>
    <t>NA</t>
  </si>
  <si>
    <t>Diluted EPS</t>
  </si>
  <si>
    <t>XRAY.O,mscalc:epsConsensusMedian,2014Q3,,FYR</t>
  </si>
  <si>
    <t>XRAY.O,mscalc:epsConsensusMedian,2014Q2,,FYR</t>
  </si>
  <si>
    <t>XRAY.O,mscalc:epsConsensusMedian,2014Q1,,FYR</t>
  </si>
  <si>
    <t>XRAY.O,mscalc:epsConsensusMedian,2014FY,,FYR</t>
  </si>
  <si>
    <t>XRAY.O,mscalc:salesConsensusMedian,2014FY,,FYR</t>
  </si>
  <si>
    <t>XRAY.O,mscalc:salesConsensusMedian,2014Q3,,FYR</t>
  </si>
  <si>
    <t>2.3529999256134</t>
  </si>
  <si>
    <t>0.550000011920929</t>
  </si>
  <si>
    <t>785.12704</t>
  </si>
  <si>
    <t>Income to noncontrol. Int.</t>
  </si>
  <si>
    <t>Average Basic Shares</t>
  </si>
  <si>
    <t>Period End Basic Shares</t>
  </si>
  <si>
    <t>Pre-Tax Income</t>
  </si>
  <si>
    <t>Cost of Revenues</t>
  </si>
  <si>
    <t>Operating Income / Loss</t>
  </si>
  <si>
    <t>Income before Taxes</t>
  </si>
  <si>
    <t>Reconciliation to GAAP</t>
  </si>
  <si>
    <t>GAAP  EPS</t>
  </si>
  <si>
    <t>Days Sales Outstanding (DSO)</t>
  </si>
  <si>
    <t>Acquisitions / write-offs</t>
  </si>
  <si>
    <t>Options Outstanding BOP</t>
  </si>
  <si>
    <t>Options Exercised</t>
  </si>
  <si>
    <t>Options Outstanding EOP</t>
  </si>
  <si>
    <t>Wtd Avg Exercise Price (of exercised)</t>
  </si>
  <si>
    <t>Loss on disposal of property and equipment</t>
  </si>
  <si>
    <t>Extraordinary Items</t>
  </si>
  <si>
    <t>EPS from Continuing Operations</t>
  </si>
  <si>
    <t>GAAP Net Income / Loss</t>
  </si>
  <si>
    <t>Current Assets:</t>
  </si>
  <si>
    <t>Current Liabilities:</t>
  </si>
  <si>
    <t>Deferred income taxes</t>
  </si>
  <si>
    <t>Other noncurrent liabilities</t>
  </si>
  <si>
    <t>Noncontrolling Interests</t>
  </si>
  <si>
    <t>Cash flow from operating activities:</t>
  </si>
  <si>
    <t>Adjustments:</t>
  </si>
  <si>
    <t>Cash flows from investing activities:</t>
  </si>
  <si>
    <t>Cash flow from financing activities:</t>
  </si>
  <si>
    <t>Share-based compensation expense</t>
  </si>
  <si>
    <t>Changes in Operating Assets &amp; Liabilities, net of acquisitions</t>
  </si>
  <si>
    <t>Other income and expenses</t>
  </si>
  <si>
    <t>Other (expense) income, net</t>
  </si>
  <si>
    <t xml:space="preserve">Net Income </t>
  </si>
  <si>
    <t>Net Income Reported</t>
  </si>
  <si>
    <t>Long-term debt</t>
  </si>
  <si>
    <t>Accrued liabilities (% of OpEx)</t>
  </si>
  <si>
    <t>Statutory tax</t>
  </si>
  <si>
    <t xml:space="preserve">State </t>
  </si>
  <si>
    <t xml:space="preserve">Federal </t>
  </si>
  <si>
    <t xml:space="preserve">Foreign </t>
  </si>
  <si>
    <t>Debt Schedule</t>
  </si>
  <si>
    <t>Debt Outstanding</t>
  </si>
  <si>
    <t>Short Term Debt</t>
  </si>
  <si>
    <t>Long Term Debt</t>
  </si>
  <si>
    <t>Issuances / (Repurchases)</t>
  </si>
  <si>
    <t>Interest Rate</t>
  </si>
  <si>
    <t>Wtd Avg Interest Rate (Total Debt)</t>
  </si>
  <si>
    <t>Interest Expense - reported</t>
  </si>
  <si>
    <t>Current portion of long term debt</t>
  </si>
  <si>
    <t>Wtd Avg Interest Rate (Long term debt )</t>
  </si>
  <si>
    <t>Interest expense (Total Debt)</t>
  </si>
  <si>
    <t>Fiscal year ends Dec 31</t>
  </si>
  <si>
    <t>$ millions, except per share data</t>
  </si>
  <si>
    <t>Fully Diluted Shares</t>
  </si>
  <si>
    <t>XRAY.O,mscalc:closePriceCurrencyCalc</t>
  </si>
  <si>
    <t>XRAY.O,mscalc:targetPrice,,,,USD</t>
  </si>
  <si>
    <t>XRAY.O,mscalc:sedolCodeCalc</t>
  </si>
  <si>
    <t>FX Impact</t>
  </si>
  <si>
    <t>Quality of Income</t>
  </si>
  <si>
    <t>XRAY.O,mscalc:epsConsensusMedian,2013Q2,,FYR</t>
  </si>
  <si>
    <t>XRAY.O,mscalc:epsConsensusMedian,2011FY,,FYR</t>
  </si>
  <si>
    <t>0.649999976158142</t>
  </si>
  <si>
    <t>XRAY.O,mscalc:salesConsensusMedian,2011FY,,FYR</t>
  </si>
  <si>
    <t>XRAY.O,mscalc:salesConsensusMedian,2013Q2,,FYR</t>
  </si>
  <si>
    <t>XRAY.O,mscalc:salesConsensusMedian,2013Q3,,FYR</t>
  </si>
  <si>
    <t>XRAY.O,mscalc:epsConsensusMedian,2013Q3,,FYR</t>
  </si>
  <si>
    <t>XRAY.O,mscalc:epsConsensusMedian,2013FY,,FYR</t>
  </si>
  <si>
    <t>XRAY.O,mscalc:salesConsensusMedian,2013FY,,FYR</t>
  </si>
  <si>
    <t>Organic</t>
  </si>
  <si>
    <t>0.560000002384186</t>
  </si>
  <si>
    <t>2,956.414976</t>
  </si>
  <si>
    <t>723.20896</t>
  </si>
  <si>
    <t>2,989.899776</t>
  </si>
  <si>
    <t>717.700032</t>
  </si>
  <si>
    <t>730.757056</t>
  </si>
  <si>
    <t>769</t>
  </si>
  <si>
    <t>2014A</t>
  </si>
  <si>
    <t>Adjusted EBITDA</t>
  </si>
  <si>
    <t>Summary Cash Flow</t>
  </si>
  <si>
    <t>Net Cash Flow</t>
  </si>
  <si>
    <t>Operating Cash Flow</t>
  </si>
  <si>
    <t>FCF/Share</t>
  </si>
  <si>
    <t>2018E</t>
  </si>
  <si>
    <t>2019E</t>
  </si>
  <si>
    <t>ND</t>
  </si>
  <si>
    <t>Options granted as a % of outstanding</t>
  </si>
  <si>
    <t>Quarterly Balance Sheet,  2007A–2020E</t>
  </si>
  <si>
    <t>Quarterly Cash Flow Statement,  2007A–2020E</t>
  </si>
  <si>
    <t>MW Required Tags</t>
  </si>
  <si>
    <t>2015A</t>
  </si>
  <si>
    <t>BYNPPC6</t>
  </si>
  <si>
    <t>% reported growth y/y</t>
  </si>
  <si>
    <t>% Acquisition / other impact</t>
  </si>
  <si>
    <t>% FX impact</t>
  </si>
  <si>
    <t>% Constant currency growth</t>
  </si>
  <si>
    <t>% Organic growth</t>
  </si>
  <si>
    <t>Acquisitions</t>
  </si>
  <si>
    <t>Gross Margin (%)</t>
  </si>
  <si>
    <t>Modelware Share Calculation</t>
  </si>
  <si>
    <t>Total Gross Profit ($mn)</t>
  </si>
  <si>
    <t>69</t>
  </si>
  <si>
    <t>Henry Schein Inc.</t>
  </si>
  <si>
    <t xml:space="preserve">
Accounts receivable
 </t>
  </si>
  <si>
    <t xml:space="preserve">
Deferred income taxes 
 </t>
  </si>
  <si>
    <t>Property and equipment, net</t>
  </si>
  <si>
    <t xml:space="preserve">Other intangibles, net </t>
  </si>
  <si>
    <t xml:space="preserve">Investments and other </t>
  </si>
  <si>
    <t xml:space="preserve">Bank credit lines </t>
  </si>
  <si>
    <t xml:space="preserve">Current maturities of long-term debt </t>
  </si>
  <si>
    <t>Accrued expenses</t>
  </si>
  <si>
    <t xml:space="preserve">Additional paid-in capital </t>
  </si>
  <si>
    <t xml:space="preserve">Redeemable noncontrolling interests </t>
  </si>
  <si>
    <t xml:space="preserve">Depreciation and amortization </t>
  </si>
  <si>
    <t xml:space="preserve">Provision for losses on trade and other accounts receivable </t>
  </si>
  <si>
    <t xml:space="preserve">Distributions from equity affiliates 
 </t>
  </si>
  <si>
    <t xml:space="preserve">Equity in earnings of affiliates 
 </t>
  </si>
  <si>
    <t>Changes in unrecognized tax benefits</t>
  </si>
  <si>
    <t xml:space="preserve">Other </t>
  </si>
  <si>
    <t>Accounts receivable</t>
  </si>
  <si>
    <t>Inventories</t>
  </si>
  <si>
    <t>Other current assets</t>
  </si>
  <si>
    <t xml:space="preserve">Accounts payable and accrued expenses </t>
  </si>
  <si>
    <t xml:space="preserve">Purchases of fixed assets 
 </t>
  </si>
  <si>
    <t xml:space="preserve">Proceeds from (repayments of) bank borrowings </t>
  </si>
  <si>
    <t xml:space="preserve">Acquisitions of noncontrolling interests in subsidiaries </t>
  </si>
  <si>
    <t>Debt issuance costs</t>
  </si>
  <si>
    <t>Principal payments for long-term debt</t>
  </si>
  <si>
    <t xml:space="preserve">Proceeds from issuance of stock upon exercise of stock options </t>
  </si>
  <si>
    <t xml:space="preserve">Payments for repurchases of common stock </t>
  </si>
  <si>
    <t>Excess tax benefits related to stock-based compensation</t>
  </si>
  <si>
    <t xml:space="preserve">Distributions to noncontrolling shareholders </t>
  </si>
  <si>
    <t>Total Henry Schein, Inc. stockholders' equity</t>
  </si>
  <si>
    <t xml:space="preserve">Total liabilities, redeemable noncontrolling interests and stockholders' equity </t>
  </si>
  <si>
    <t xml:space="preserve">Proceeds from sales/maturities of available-for-sale securities 
 </t>
  </si>
  <si>
    <t xml:space="preserve">Proceeds from issuance of long-term debt </t>
  </si>
  <si>
    <t xml:space="preserve"> Inventories, net</t>
  </si>
  <si>
    <t xml:space="preserve"> Prepaid expenses and other </t>
  </si>
  <si>
    <t>Equity in earnings of affiliates</t>
  </si>
  <si>
    <t>Restructuring-Pre tax</t>
  </si>
  <si>
    <t>Tax on above items</t>
  </si>
  <si>
    <t xml:space="preserve">One-time tax benefit </t>
  </si>
  <si>
    <t>North America</t>
  </si>
  <si>
    <t>Dental revenues</t>
  </si>
  <si>
    <t>Animal Health revenues</t>
  </si>
  <si>
    <t>Medical revenues</t>
  </si>
  <si>
    <t>Total Health Care Distribution revenues</t>
  </si>
  <si>
    <t>Technology and Value-Added Services revenues</t>
  </si>
  <si>
    <t>Consolidated revenues</t>
  </si>
  <si>
    <t>International</t>
  </si>
  <si>
    <t xml:space="preserve">Global </t>
  </si>
  <si>
    <t xml:space="preserve">Gross Profit </t>
  </si>
  <si>
    <t>Health Care Distribution</t>
  </si>
  <si>
    <t xml:space="preserve">Technology and Value-Added Services </t>
  </si>
  <si>
    <t>Selling, General and Administrative expense</t>
  </si>
  <si>
    <t>Total SG&amp;A expense ($mn)</t>
  </si>
  <si>
    <t>Expense Ratio (%)</t>
  </si>
  <si>
    <t xml:space="preserve">Note payable to bank at a weighted-average interest rate of 11.00% and 8.83% </t>
  </si>
  <si>
    <t xml:space="preserve">Total long-term debt </t>
  </si>
  <si>
    <t>Private placement facilities</t>
  </si>
  <si>
    <t>U.S. trade accounts receivable securitization</t>
  </si>
  <si>
    <t xml:space="preserve">Various collateralized and uncollateralized loans payable with interest in varying installments through 2018 at interest rates ranging from 2.27% to 9.36% </t>
  </si>
  <si>
    <t xml:space="preserve">Capital lease obligations payable through 2029 with interest rates ranging from 1.38% to 16.90% </t>
  </si>
  <si>
    <t>Total</t>
  </si>
  <si>
    <t>Less current maturities</t>
  </si>
  <si>
    <t>September 2, 2010</t>
  </si>
  <si>
    <t>January 20, 2012</t>
  </si>
  <si>
    <t xml:space="preserve">January 20, 2012 </t>
  </si>
  <si>
    <t>December 24, 2012</t>
  </si>
  <si>
    <t>June 2, 2014</t>
  </si>
  <si>
    <t>Wtd Avg Interest Rate (Bank credit lines )</t>
  </si>
  <si>
    <t>Wtd Avg Interest Rate (Current portion of long term debt)</t>
  </si>
  <si>
    <t>Options Forefeited</t>
  </si>
  <si>
    <t>Invested Capital</t>
  </si>
  <si>
    <t>Return (%)</t>
  </si>
  <si>
    <t>as a % of Net Income</t>
  </si>
  <si>
    <t>Senior notes</t>
  </si>
  <si>
    <t>Convertible debt (net of discount of $4.0 million)</t>
  </si>
  <si>
    <t>Butler Schein Animal Health Supply notes payable to banks (net of discount of $0.7 million and $1.1 million) at a weighted-average interest rate of 3.84%)</t>
  </si>
  <si>
    <t>Amortization of premium/discounts</t>
  </si>
  <si>
    <t xml:space="preserve">Consolidated </t>
  </si>
  <si>
    <t>Options forefeited as a % of outstanding</t>
  </si>
  <si>
    <t>Total OpEx</t>
  </si>
  <si>
    <t>Stock Comp Expense</t>
  </si>
  <si>
    <t>Comp Exp as a % of OpEx</t>
  </si>
  <si>
    <t>Stock Reporchase / Issuances</t>
  </si>
  <si>
    <t>Stock Based Compensation</t>
  </si>
  <si>
    <t>Accumulated other comprehensive loss (AOCI)</t>
  </si>
  <si>
    <t>Total stockholders'equity</t>
  </si>
  <si>
    <t xml:space="preserve">Provision for deferred income taxes </t>
  </si>
  <si>
    <t xml:space="preserve">Payments for equity investments and business acquisitions, net of cash acquired </t>
  </si>
  <si>
    <t>Net Cash used in Operating Activities</t>
  </si>
  <si>
    <t>Net Cash used in Investing Activities</t>
  </si>
  <si>
    <t>Net Cash used in financing activities</t>
  </si>
  <si>
    <t>Effect of exchange rate changes on cash and cash equivalents</t>
  </si>
  <si>
    <t>Net change in cash and cash equivalents</t>
  </si>
  <si>
    <t>Interest Rate (%)</t>
  </si>
  <si>
    <t>HSIC.O</t>
  </si>
  <si>
    <t>Henry Schein, Inc.</t>
  </si>
  <si>
    <t>Net Issuance/repurchase</t>
  </si>
  <si>
    <t>Net from discontinued ops, net of tax</t>
  </si>
  <si>
    <t>Currency</t>
  </si>
  <si>
    <t>Current Stock Price</t>
  </si>
  <si>
    <t>Count</t>
  </si>
  <si>
    <t>HSIC.O,mscalc:sedolCodeCalc</t>
  </si>
  <si>
    <t>HSIC.O,mscalc:closePriceCurrencyCalc</t>
  </si>
  <si>
    <t>HSIC.O,mscalc:targetPrice,,,,USD</t>
  </si>
  <si>
    <t>$CB$2</t>
  </si>
  <si>
    <t>Tax rate</t>
  </si>
  <si>
    <t>+ PV of Terminal Value</t>
  </si>
  <si>
    <t>EBIT</t>
  </si>
  <si>
    <t>Comments</t>
  </si>
  <si>
    <t>Margin Analysis</t>
  </si>
  <si>
    <t>D&amp;A</t>
  </si>
  <si>
    <t>Shareholders Equity</t>
  </si>
  <si>
    <t>1Q08</t>
  </si>
  <si>
    <t>2Q08</t>
  </si>
  <si>
    <t>3Q08</t>
  </si>
  <si>
    <t>4Q08</t>
  </si>
  <si>
    <t>1Q09</t>
  </si>
  <si>
    <t>2Q09</t>
  </si>
  <si>
    <t>3Q09</t>
  </si>
  <si>
    <t>4Q09</t>
  </si>
  <si>
    <t>1Q10</t>
  </si>
  <si>
    <t>2Q10</t>
  </si>
  <si>
    <t>3Q10</t>
  </si>
  <si>
    <t>4Q10</t>
  </si>
  <si>
    <t>1Q11</t>
  </si>
  <si>
    <t>2Q11</t>
  </si>
  <si>
    <t>3Q11</t>
  </si>
  <si>
    <t>4Q11</t>
  </si>
  <si>
    <t>1Q12</t>
  </si>
  <si>
    <t>2Q12</t>
  </si>
  <si>
    <t>3Q12</t>
  </si>
  <si>
    <t>4Q12</t>
  </si>
  <si>
    <t>1Q13</t>
  </si>
  <si>
    <t>2Q13</t>
  </si>
  <si>
    <t>3Q13</t>
  </si>
  <si>
    <t>4Q13</t>
  </si>
  <si>
    <t>1Q14</t>
  </si>
  <si>
    <t>2Q14</t>
  </si>
  <si>
    <t>3Q14</t>
  </si>
  <si>
    <t>4Q14</t>
  </si>
  <si>
    <t>1Q15</t>
  </si>
  <si>
    <t>2Q15</t>
  </si>
  <si>
    <t>3Q15</t>
  </si>
  <si>
    <t>4Q15</t>
  </si>
  <si>
    <t>1Q16</t>
  </si>
  <si>
    <t>2Q16</t>
  </si>
  <si>
    <t>3Q16</t>
  </si>
  <si>
    <t>4Q16</t>
  </si>
  <si>
    <t>1Q17</t>
  </si>
  <si>
    <t>Growth</t>
  </si>
  <si>
    <t>Total Revenue</t>
  </si>
  <si>
    <t>Organic Growth Trends</t>
  </si>
  <si>
    <t>1Q07</t>
  </si>
  <si>
    <t>2Q07</t>
  </si>
  <si>
    <t>3Q07</t>
  </si>
  <si>
    <t>4Q07</t>
  </si>
  <si>
    <t>2Q18E</t>
  </si>
  <si>
    <t>3Q18E</t>
  </si>
  <si>
    <t>4Q18E</t>
  </si>
  <si>
    <t>Two-Year Growth Momentum</t>
  </si>
  <si>
    <t>Normalized Growth Trend (T2Q 2 Yr Stacked)</t>
  </si>
  <si>
    <t>NM</t>
  </si>
  <si>
    <t>2 Year Y-Y Organic $ Revenue</t>
  </si>
  <si>
    <t>T2Q TREND</t>
  </si>
  <si>
    <t>Implied Normalized Gro.</t>
  </si>
  <si>
    <t>T4Q TREND</t>
  </si>
  <si>
    <t>Revenue $</t>
  </si>
  <si>
    <t>Y-Y Organic $ Revenue Growth</t>
  </si>
  <si>
    <t>1Q18E</t>
  </si>
  <si>
    <t>EBIT Margin (%)</t>
  </si>
  <si>
    <t>Total EBIT ($mn)</t>
  </si>
  <si>
    <t>Operating Profit reported</t>
  </si>
  <si>
    <t>Operating Margins reported</t>
  </si>
  <si>
    <t xml:space="preserve">  Y/Y Change - Reported margin</t>
  </si>
  <si>
    <t>Other headwinds</t>
  </si>
  <si>
    <t>Organic Operating Margin $</t>
  </si>
  <si>
    <t>Organic Operating Margin %</t>
  </si>
  <si>
    <t xml:space="preserve">  Y/Y Change - Org margin</t>
  </si>
  <si>
    <t>Two Year Organic</t>
  </si>
  <si>
    <t>Organic incremental EBIT margin</t>
  </si>
  <si>
    <t xml:space="preserve">FX impact $ </t>
  </si>
  <si>
    <t>Rev synergies OM $</t>
  </si>
  <si>
    <t>Cost synergies $</t>
  </si>
  <si>
    <t>as % of rev</t>
  </si>
  <si>
    <t xml:space="preserve"> </t>
  </si>
  <si>
    <t>2016A</t>
  </si>
  <si>
    <t xml:space="preserve">  </t>
  </si>
  <si>
    <t>2Q17</t>
  </si>
  <si>
    <t>3Q17</t>
  </si>
  <si>
    <t>4Q17</t>
  </si>
  <si>
    <t>SHAREHOLDERS' EQUITY</t>
  </si>
  <si>
    <t>Organic Operating Profit Bridge</t>
  </si>
  <si>
    <t>LIABILITIES</t>
  </si>
  <si>
    <t>2020E</t>
  </si>
  <si>
    <t xml:space="preserve">Note payable to bank at a weighted-average interest rate of 21.37% and 8.83% </t>
  </si>
  <si>
    <t>Global Medical revenues</t>
  </si>
  <si>
    <t>Dental Distribution</t>
  </si>
  <si>
    <t>Animal Health Distribution</t>
  </si>
  <si>
    <t>Medical Distribution</t>
  </si>
  <si>
    <t>Total Distribution</t>
  </si>
  <si>
    <t>Dental EBIT</t>
  </si>
  <si>
    <t>Medical EBIT</t>
  </si>
  <si>
    <t>Animal Health EBIT</t>
  </si>
  <si>
    <t>OMI EBIT</t>
  </si>
  <si>
    <t>CAH Medical EBIT</t>
  </si>
  <si>
    <t>MWIV EBIT</t>
  </si>
  <si>
    <t>change in bps</t>
  </si>
  <si>
    <t>Geographic Revenue Mix ($)</t>
  </si>
  <si>
    <t>Geographic Revenue Mix (%)</t>
  </si>
  <si>
    <t>United States</t>
  </si>
  <si>
    <t>Europe</t>
  </si>
  <si>
    <t>Rest of World</t>
  </si>
  <si>
    <t>Global Dental revenues</t>
  </si>
  <si>
    <t>Field reps</t>
  </si>
  <si>
    <t>Telesales</t>
  </si>
  <si>
    <t>Repair and service centers</t>
  </si>
  <si>
    <t>Same-day fulfillment</t>
  </si>
  <si>
    <t>Top 10 suppliers % of Distribution COGS</t>
  </si>
  <si>
    <t>Top supplier % of Distribution COGS</t>
  </si>
  <si>
    <t>International Employees</t>
  </si>
  <si>
    <t>Domestic Employees</t>
  </si>
  <si>
    <t>% y/y growth</t>
  </si>
  <si>
    <t>Total customers</t>
  </si>
  <si>
    <t>Technology customers</t>
  </si>
  <si>
    <t>Total customers estimate</t>
  </si>
  <si>
    <t>Total ($ millions)</t>
  </si>
  <si>
    <t>--</t>
  </si>
  <si>
    <t>Technology install base (# of practices)</t>
  </si>
  <si>
    <t>Salesforce data</t>
  </si>
  <si>
    <t>Distribution SG&amp;A</t>
  </si>
  <si>
    <t>Technology SG&amp;A</t>
  </si>
  <si>
    <t>Total SG&amp;A</t>
  </si>
  <si>
    <t>Distribution capacity utilization</t>
  </si>
  <si>
    <t>70-75%</t>
  </si>
  <si>
    <t>% market penetration</t>
  </si>
  <si>
    <t>Distribution COGS</t>
  </si>
  <si>
    <t>Overall share</t>
  </si>
  <si>
    <t>"Privileges" Loyalty users</t>
  </si>
  <si>
    <t>% of overall customer base</t>
  </si>
  <si>
    <t>75%-80%</t>
  </si>
  <si>
    <t>% of Dental base</t>
  </si>
  <si>
    <t>% of Animal base</t>
  </si>
  <si>
    <t>% of Medical base</t>
  </si>
  <si>
    <t>Animal Privileges users</t>
  </si>
  <si>
    <t>Medical Privileges users</t>
  </si>
  <si>
    <t>US Dental Privileges users</t>
  </si>
  <si>
    <t>International Privileges users</t>
  </si>
  <si>
    <t>% of International base</t>
  </si>
  <si>
    <t>75% to 80%</t>
  </si>
  <si>
    <t>International Software install base (# of practices)</t>
  </si>
  <si>
    <t>% y/y productivity growth</t>
  </si>
  <si>
    <t>% y/y headcount growth</t>
  </si>
  <si>
    <t>Total Addressable Market (TAM)</t>
  </si>
  <si>
    <t>Total Salesforce productivity ($mil/rep)</t>
  </si>
  <si>
    <t>Employee headcount</t>
  </si>
  <si>
    <t>% SME</t>
  </si>
  <si>
    <t>75-80%</t>
  </si>
  <si>
    <t>NA Dental customers</t>
  </si>
  <si>
    <t>International Revenue Mix</t>
  </si>
  <si>
    <t>North America Revenue Mix</t>
  </si>
  <si>
    <t>Geographic Mix by Product</t>
  </si>
  <si>
    <t>Total Revenue Mix by Geography</t>
  </si>
  <si>
    <t>Business Mix by Geography</t>
  </si>
  <si>
    <t>Overall Global Business Mix Summary</t>
  </si>
  <si>
    <t>Medical Business Geographic Mix</t>
  </si>
  <si>
    <t>Technology Business Geographic Mix</t>
  </si>
  <si>
    <t>75 to 80%</t>
  </si>
  <si>
    <t>~90%</t>
  </si>
  <si>
    <t>Dental % of field reps</t>
  </si>
  <si>
    <t>Animal % of field reps</t>
  </si>
  <si>
    <t>Medical % of field reps</t>
  </si>
  <si>
    <t>y/y bps change</t>
  </si>
  <si>
    <t>as a % of segment revenue</t>
  </si>
  <si>
    <t>Distribution Segment COGS</t>
  </si>
  <si>
    <t>vs. Dental % of sales</t>
  </si>
  <si>
    <t>vs. AH % of sales</t>
  </si>
  <si>
    <t>vs. Med % of sales</t>
  </si>
  <si>
    <t xml:space="preserve">10-yr </t>
  </si>
  <si>
    <t>Market/Customer data</t>
  </si>
  <si>
    <t>ROW</t>
  </si>
  <si>
    <t>Companion animal</t>
  </si>
  <si>
    <t>Production animal</t>
  </si>
  <si>
    <t>Medical</t>
  </si>
  <si>
    <t>Consumables mix</t>
  </si>
  <si>
    <t>Equipment mix</t>
  </si>
  <si>
    <t>Dental Business Mix</t>
  </si>
  <si>
    <t>Animal Health Business Mix</t>
  </si>
  <si>
    <t>Overall Core Growth (Internally generated)</t>
  </si>
  <si>
    <t>Consumables rev.</t>
  </si>
  <si>
    <t>Equipment sales and service rev.</t>
  </si>
  <si>
    <t>Overall CC growth</t>
  </si>
  <si>
    <t>Consumables</t>
  </si>
  <si>
    <t>Equipment</t>
  </si>
  <si>
    <t>Estimated Dental Revenue Mix (%)</t>
  </si>
  <si>
    <t>Growths</t>
  </si>
  <si>
    <t>Cosumables</t>
  </si>
  <si>
    <t>Equip</t>
  </si>
  <si>
    <t>Weights</t>
  </si>
  <si>
    <t>W. average</t>
  </si>
  <si>
    <t>Total growth</t>
  </si>
  <si>
    <t>Global Organic Growth</t>
  </si>
  <si>
    <t>Global Technology and Value-Added Services revenues</t>
  </si>
  <si>
    <t>Global Animal Health revenues</t>
  </si>
  <si>
    <t>Global Health Care Distribution revenues</t>
  </si>
  <si>
    <t>Estimated CC Dental Revenue Mix ($)</t>
  </si>
  <si>
    <t>Core growth - Dental Consumables</t>
  </si>
  <si>
    <t>Core growth - Dental Equipment</t>
  </si>
  <si>
    <t>Core gr. - Dental Consumables</t>
  </si>
  <si>
    <t>Core gr. - Dental Equipment</t>
  </si>
  <si>
    <t>Annual Restated in 2012</t>
  </si>
  <si>
    <t>Annual Restated in 2013</t>
  </si>
  <si>
    <t>Estimated reported growth rates</t>
  </si>
  <si>
    <t>Private label: as % of rev + comments</t>
  </si>
  <si>
    <t>Organic physician/ vet growth</t>
  </si>
  <si>
    <t>Physician</t>
  </si>
  <si>
    <t>Veterinary</t>
  </si>
  <si>
    <t>1Q19E</t>
  </si>
  <si>
    <t>2Q19E</t>
  </si>
  <si>
    <t>3Q19E</t>
  </si>
  <si>
    <t>4Q19E</t>
  </si>
  <si>
    <t>1Q20E</t>
  </si>
  <si>
    <t>2Q20E</t>
  </si>
  <si>
    <t>3Q20E</t>
  </si>
  <si>
    <t>4Q20E</t>
  </si>
  <si>
    <t>Dental</t>
  </si>
  <si>
    <t>NA Animal customers</t>
  </si>
  <si>
    <t>NA Medical customers</t>
  </si>
  <si>
    <t>NA Dental Software install base (# of practices)</t>
  </si>
  <si>
    <t>NA Animal Software install base (# of practices)</t>
  </si>
  <si>
    <t>NA Medical Software install base (# of practices)</t>
  </si>
  <si>
    <t>Technology and Value-Added Services</t>
  </si>
  <si>
    <t>Dental Revenue Breakdown (source 10Qs -10Ks)</t>
  </si>
  <si>
    <t>June 16, 2017</t>
  </si>
  <si>
    <t>10yr AVG</t>
  </si>
  <si>
    <t>2416962</t>
  </si>
  <si>
    <t>Global Organic Revenue $</t>
  </si>
  <si>
    <t>Organic growth</t>
  </si>
  <si>
    <t>Dental breakdown</t>
  </si>
  <si>
    <t xml:space="preserve">$82.83 </t>
  </si>
  <si>
    <t>Return on Invested Capital (ROIC)</t>
  </si>
  <si>
    <t xml:space="preserve">Adjusted EBIT </t>
  </si>
  <si>
    <t>Cash Taxes</t>
  </si>
  <si>
    <t>NOPAT (adjusted)</t>
  </si>
  <si>
    <t>NOPAT margin</t>
  </si>
  <si>
    <t>Debt</t>
  </si>
  <si>
    <t>Net Deferred Tax Liabilities</t>
  </si>
  <si>
    <t>Other Long-Term Liabilities</t>
  </si>
  <si>
    <t>Off-balance sheet operating leases</t>
  </si>
  <si>
    <t>Equity</t>
  </si>
  <si>
    <t>Minority Interest</t>
  </si>
  <si>
    <t>Preferred Equity</t>
  </si>
  <si>
    <t>Accumulated Asset write-downs</t>
  </si>
  <si>
    <t>Non-performing Assets</t>
  </si>
  <si>
    <t>(Less cash)</t>
  </si>
  <si>
    <t>(Less unconsolidated investments)</t>
  </si>
  <si>
    <t>(Less Goodwill)</t>
  </si>
  <si>
    <t>Total Invested Capital (inc-Goodwill)</t>
  </si>
  <si>
    <t>Total Invested Capital (ex-Goodwill)</t>
  </si>
  <si>
    <t>ROIC (inc-Goodwill)</t>
  </si>
  <si>
    <t>ROIC (ex-Goodwill)</t>
  </si>
  <si>
    <t>Return on invested Capital (ex-Goodwill)</t>
  </si>
  <si>
    <t>September 15, 2017</t>
  </si>
  <si>
    <t>5yr AVG</t>
  </si>
  <si>
    <t>EBIT GROWTH</t>
  </si>
  <si>
    <t>EBIT MARGIN</t>
  </si>
  <si>
    <t>EBIT MARGIN Y/Y</t>
  </si>
  <si>
    <t>NA Dental mix</t>
  </si>
  <si>
    <t>International Dental mix</t>
  </si>
  <si>
    <t>Specialty consumables (implant, ortho, endo)</t>
  </si>
  <si>
    <t>Consumables %</t>
  </si>
  <si>
    <t>Equipment %</t>
  </si>
  <si>
    <t>Equipment $</t>
  </si>
  <si>
    <t>Consumables $</t>
  </si>
  <si>
    <t>Global mix</t>
  </si>
  <si>
    <t>Global consumables mix %</t>
  </si>
  <si>
    <t>Global consumables mix $</t>
  </si>
  <si>
    <t>Global equipment mix %</t>
  </si>
  <si>
    <t>Global equipment mix $</t>
  </si>
  <si>
    <t>Global Product mix</t>
  </si>
  <si>
    <t>EBIT margin %</t>
  </si>
  <si>
    <t>Distributed basic consumables (gloves etc)</t>
  </si>
  <si>
    <t>Private label basic consumables (own brand)</t>
  </si>
  <si>
    <t>Regional product mix</t>
  </si>
  <si>
    <t>% of total specialty</t>
  </si>
  <si>
    <t>NA private label</t>
  </si>
  <si>
    <t>% of total</t>
  </si>
  <si>
    <t>International private label</t>
  </si>
  <si>
    <t>NA Distributed basic consumables</t>
  </si>
  <si>
    <t>Intl Distributed basic consumables</t>
  </si>
  <si>
    <t>NA Equipment</t>
  </si>
  <si>
    <t>Intl Equipment</t>
  </si>
  <si>
    <t>NA specialty consumables (ACE surgical, South Surgical, Biohorizons, OrthoOrganizers etc)</t>
  </si>
  <si>
    <t>International specialty consumables (Braessler, CAMLOG, orthoTech etc)</t>
  </si>
  <si>
    <t>Global Dental EBIT</t>
  </si>
  <si>
    <t>Global Dental EBIT %</t>
  </si>
  <si>
    <t>Overall NA Dental EBIT</t>
  </si>
  <si>
    <t>Dental Product-level Revenue</t>
  </si>
  <si>
    <t>Total Intl Dental Revenue</t>
  </si>
  <si>
    <t>Total NA Dental Revenue</t>
  </si>
  <si>
    <t>Product/Regional EBIT margins</t>
  </si>
  <si>
    <t>North America Dental EBIT</t>
  </si>
  <si>
    <t>International Dental EBIT</t>
  </si>
  <si>
    <t>Overall Intl Dental EBIT</t>
  </si>
  <si>
    <t>CHECK</t>
  </si>
  <si>
    <t>Total Dental EBIT</t>
  </si>
  <si>
    <t>NA private label consumables</t>
  </si>
  <si>
    <t>Intl private label consumables</t>
  </si>
  <si>
    <t>% of total EBIT</t>
  </si>
  <si>
    <t>% of total Dental EBIT</t>
  </si>
  <si>
    <t>**</t>
  </si>
  <si>
    <t>Total EBIT</t>
  </si>
  <si>
    <t>HSIC Organic EBIT Margin Y/Y</t>
  </si>
  <si>
    <t>PDCO Organic EBIT margin Y/Y</t>
  </si>
  <si>
    <t>Distribution Margin Breakdown (MS Estimated)</t>
  </si>
  <si>
    <t>2017A</t>
  </si>
  <si>
    <t>65</t>
  </si>
  <si>
    <t>Animal</t>
  </si>
  <si>
    <t xml:space="preserve">$73.95 </t>
  </si>
  <si>
    <t>Private label % growth y/y</t>
  </si>
  <si>
    <t>Introduced</t>
  </si>
  <si>
    <t>Slight in US</t>
  </si>
  <si>
    <t>Big shift</t>
  </si>
  <si>
    <t>Ortho Organizers</t>
  </si>
  <si>
    <t>Camlog since '04</t>
  </si>
  <si>
    <t>Not material impact</t>
  </si>
  <si>
    <t>Small amount of the business</t>
  </si>
  <si>
    <t>Growing from price pressure</t>
  </si>
  <si>
    <t>Not dramatically faster than overall growth</t>
  </si>
  <si>
    <t>Group practices like in commodities</t>
  </si>
  <si>
    <t>Greater movement</t>
  </si>
  <si>
    <t>Surgical product progress</t>
  </si>
  <si>
    <t>Dental mix</t>
  </si>
  <si>
    <t>Vet mix</t>
  </si>
  <si>
    <t>Medical mix</t>
  </si>
  <si>
    <t>ACE</t>
  </si>
  <si>
    <t>Biohorizons $115mn</t>
  </si>
  <si>
    <t>SAS $72mn</t>
  </si>
  <si>
    <t>Private label % of dental sales</t>
  </si>
  <si>
    <t>Specialty % of dental sales</t>
  </si>
  <si>
    <t xml:space="preserve">Private label + Specialty % of Dental </t>
  </si>
  <si>
    <t>Dental Private Label Sales $</t>
  </si>
  <si>
    <t>Dental Specialty Sales $</t>
  </si>
  <si>
    <t>Total Dental Sales $</t>
  </si>
  <si>
    <t>Private Label $ Sales</t>
  </si>
  <si>
    <t>HSAH</t>
  </si>
  <si>
    <t>Discount period</t>
  </si>
  <si>
    <t>Distribution piece</t>
  </si>
  <si>
    <t>Revenue</t>
  </si>
  <si>
    <t>growth %</t>
  </si>
  <si>
    <t>margin %</t>
  </si>
  <si>
    <t>Practice mgmt piece</t>
  </si>
  <si>
    <t>Total HSAH</t>
  </si>
  <si>
    <t>PV of Free Cash Flows</t>
  </si>
  <si>
    <t>NPV of HSAH</t>
  </si>
  <si>
    <t>VFC</t>
  </si>
  <si>
    <t>Revenue synergies</t>
  </si>
  <si>
    <t>EBIT pre-synergies</t>
  </si>
  <si>
    <t>EBIT post-synergies</t>
  </si>
  <si>
    <t>Cash inflow</t>
  </si>
  <si>
    <t>Discount rate</t>
  </si>
  <si>
    <t>Terminal g</t>
  </si>
  <si>
    <t>Total software</t>
  </si>
  <si>
    <t>EBITDA post-synergies</t>
  </si>
  <si>
    <t>EBIT-level synergies</t>
  </si>
  <si>
    <t>Pro-forma NPV</t>
  </si>
  <si>
    <t>HSIC 2018 Shares Outstanding (mn)</t>
  </si>
  <si>
    <t>Net NPV to HSIC</t>
  </si>
  <si>
    <t>NPV of HSAH to HSIC shareholders</t>
  </si>
  <si>
    <t>Net NPV transfer to HSIC shareholders</t>
  </si>
  <si>
    <t>Pro-forma HSAH/VFC</t>
  </si>
  <si>
    <t>Deal Summary to HSIC shareholders</t>
  </si>
  <si>
    <t>HSIC Pro-Forma ownership @ 63%</t>
  </si>
  <si>
    <t>Cash outlay for minority interest</t>
  </si>
  <si>
    <t>($s in millions)</t>
  </si>
  <si>
    <t>NPV of Vets First Corp Deal to HSIC shareholders</t>
  </si>
  <si>
    <t xml:space="preserve">Limited margin expansion </t>
  </si>
  <si>
    <t>Slows to LDD growth</t>
  </si>
  <si>
    <t>Margins move towards 20%</t>
  </si>
  <si>
    <t>for software business</t>
  </si>
  <si>
    <t>given e-comms competition</t>
  </si>
  <si>
    <t>in distribution</t>
  </si>
  <si>
    <t xml:space="preserve">HSIC calls for $100mn op </t>
  </si>
  <si>
    <t>income synergies by Year 3</t>
  </si>
  <si>
    <t xml:space="preserve">MSD growth assumes macro </t>
  </si>
  <si>
    <t>environment remains healthy</t>
  </si>
  <si>
    <t>given law of large #s</t>
  </si>
  <si>
    <t xml:space="preserve">Assumes 8% WACC; </t>
  </si>
  <si>
    <t>3% terminal growth</t>
  </si>
  <si>
    <t>CY17</t>
  </si>
  <si>
    <t>CY18</t>
  </si>
  <si>
    <t>CY19</t>
  </si>
  <si>
    <t>CY20</t>
  </si>
  <si>
    <t>CY21</t>
  </si>
  <si>
    <t>CY22</t>
  </si>
  <si>
    <t>CY23</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</si>
  <si>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</si>
  <si>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</si>
  <si>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</si>
  <si>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</si>
  <si>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</si>
  <si>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</si>
  <si>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</si>
  <si>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Steve Beuchaw, Zachary Wachter</t>
  </si>
  <si>
    <t>Date: 26 Apr 2018</t>
  </si>
  <si>
    <t>Ticker: HSIC.O</t>
  </si>
  <si>
    <t>Stock Rating: Underweight</t>
  </si>
  <si>
    <t>Industry: Medical Technology</t>
  </si>
  <si>
    <t>Industry View: Attractive</t>
  </si>
  <si>
    <t>Price as of 26 Apr 2018: 76.25</t>
  </si>
  <si>
    <t>Target Price: 65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</si>
  <si>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</si>
  <si>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</si>
  <si>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</si>
  <si>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</si>
  <si>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Henry Schein,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</si>
  <si>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</si>
  <si>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</si>
  <si>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</si>
  <si>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</si>
  <si>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</si>
  <si>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</si>
  <si>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</si>
  <si>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</si>
  <si>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</si>
  <si>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</si>
  <si>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</si>
  <si>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</si>
  <si>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</si>
  <si>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</si>
  <si>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</si>
  <si>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</si>
  <si>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</si>
  <si>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</si>
  <si>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</si>
  <si>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</si>
  <si>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</si>
  <si>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</si>
  <si>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</si>
  <si>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</si>
  <si>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</si>
  <si>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</si>
  <si>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</si>
  <si>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</si>
  <si>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</si>
  <si>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</si>
  <si>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</si>
  <si>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</si>
  <si>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</si>
  <si>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</si>
  <si>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</si>
  <si>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</si>
  <si>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</si>
  <si>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</si>
  <si>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</si>
  <si>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</si>
  <si>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</si>
  <si>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</si>
  <si>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</si>
  <si>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</si>
  <si>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</si>
  <si>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</si>
  <si>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</si>
  <si>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</si>
  <si>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</si>
  <si>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</si>
  <si>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</si>
  <si>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</si>
  <si>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</si>
  <si>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</si>
  <si>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</si>
  <si>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</si>
  <si>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</si>
  <si>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</si>
  <si>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</si>
  <si>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</si>
  <si>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</si>
  <si>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</si>
  <si>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</si>
  <si>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</si>
  <si>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</si>
  <si>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</si>
  <si>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</si>
  <si>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</si>
  <si>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</si>
  <si>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</si>
  <si>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</si>
  <si>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</si>
  <si>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</si>
  <si>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</si>
  <si>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</si>
  <si>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</si>
  <si>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</si>
  <si>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</si>
  <si>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</si>
  <si>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</si>
  <si>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</si>
  <si>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</si>
  <si>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</si>
  <si>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</si>
  <si>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</si>
  <si>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</si>
  <si>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</si>
  <si>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</si>
  <si>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</si>
  <si>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</si>
  <si>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</si>
  <si>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</si>
  <si>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</si>
  <si>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</si>
  <si>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</si>
  <si>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</si>
  <si>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</si>
  <si>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</si>
  <si>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</si>
  <si>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</si>
  <si>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</si>
  <si>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</si>
  <si>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</si>
  <si>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</si>
  <si>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</si>
  <si>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</si>
  <si>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</si>
  <si>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</si>
  <si>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</si>
  <si>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</si>
  <si>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</si>
  <si>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</si>
  <si>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</si>
  <si>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</si>
  <si>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</si>
  <si>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</si>
  <si>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</si>
  <si>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</si>
  <si>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</si>
  <si>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</si>
  <si>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</si>
  <si>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</si>
  <si>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</si>
  <si>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</si>
  <si>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</si>
  <si>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</si>
  <si>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</si>
  <si>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</si>
  <si>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</si>
  <si>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</si>
  <si>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</si>
  <si>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</si>
  <si>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</si>
  <si>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</si>
  <si>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</si>
  <si>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</si>
  <si>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</si>
  <si>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</si>
  <si>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</si>
  <si>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</si>
  <si>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</si>
  <si>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</si>
  <si>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</si>
  <si>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</si>
  <si>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</si>
  <si>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</si>
  <si>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</si>
  <si>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</si>
  <si>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</si>
  <si>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</si>
  <si>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</si>
  <si>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</si>
  <si>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</si>
  <si>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</si>
  <si>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</si>
  <si>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</si>
  <si>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</si>
  <si>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</si>
  <si>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</si>
  <si>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</si>
  <si>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</si>
  <si>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</si>
  <si>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</si>
  <si>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</si>
  <si>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</si>
  <si>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</si>
  <si>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</si>
  <si>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</si>
  <si>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</si>
  <si>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</si>
  <si>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</si>
  <si>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</si>
  <si>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</si>
  <si>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</si>
  <si>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</si>
  <si>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</si>
  <si>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</si>
  <si>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</si>
  <si>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</si>
  <si>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</si>
  <si>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</si>
  <si>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</si>
  <si>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</si>
  <si>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</si>
  <si>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</si>
  <si>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</si>
  <si>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</si>
  <si>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</si>
  <si>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</si>
  <si>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</si>
  <si>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</si>
  <si>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</si>
  <si>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</si>
  <si>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</si>
  <si>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</si>
  <si>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</si>
  <si>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</si>
  <si>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</si>
  <si>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</si>
  <si>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</si>
  <si>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</si>
  <si>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</si>
  <si>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</si>
  <si>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</si>
  <si>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</si>
  <si>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</si>
  <si>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</si>
  <si>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</si>
  <si>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</si>
  <si>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</si>
  <si>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</si>
  <si>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</si>
  <si>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</si>
  <si>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</si>
  <si>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</si>
  <si>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</si>
  <si>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</si>
  <si>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</si>
  <si>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</si>
  <si>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</si>
  <si>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</si>
  <si>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</si>
  <si>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</si>
  <si>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</si>
  <si>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</si>
  <si>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</si>
  <si>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</si>
  <si>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</si>
  <si>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</si>
  <si>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</si>
  <si>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</si>
  <si>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</si>
  <si>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</si>
  <si>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</si>
  <si>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</si>
  <si>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</si>
  <si>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</si>
  <si>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</si>
  <si>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</si>
  <si>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</si>
  <si>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</si>
  <si>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</si>
  <si>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</si>
  <si>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Henry Schein, Inc..</t>
  </si>
  <si>
    <t>Within the last 12 months, Morgan Stanley has provided or is providing investment banking services to,</t>
  </si>
  <si>
    <t>or has an investment banking client relationship with, the following company: Henry Schein, Inc..</t>
  </si>
  <si>
    <t>In the next 3 months, Morgan Stanley expects to receive or intends to seek compensation for investment</t>
  </si>
  <si>
    <t>banking services from Henry Schein,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</si>
  <si>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</si>
  <si>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</si>
  <si>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</si>
  <si>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</si>
  <si>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</si>
  <si>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Steve Beuchaw.</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</si>
  <si>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</si>
  <si>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</si>
  <si>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</si>
  <si>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</si>
  <si>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</si>
  <si>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</si>
  <si>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</si>
  <si>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</si>
  <si>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</si>
  <si>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</si>
  <si>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</si>
  <si>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</si>
  <si>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</si>
  <si>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</si>
  <si>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</si>
  <si>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</si>
  <si>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</si>
  <si>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</si>
  <si>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</si>
  <si>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</si>
  <si>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</si>
  <si>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</si>
  <si>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</si>
  <si>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</si>
  <si>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</si>
  <si>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</si>
  <si>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</si>
  <si>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</si>
  <si>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</si>
  <si>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</si>
  <si>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</si>
  <si>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</si>
  <si>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</si>
  <si>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</si>
  <si>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</si>
  <si>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</si>
  <si>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</si>
  <si>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</si>
  <si>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</si>
  <si>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</si>
  <si>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</si>
  <si>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</si>
  <si>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</si>
  <si>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</si>
  <si>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</si>
  <si>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</si>
  <si>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</si>
  <si>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</si>
  <si>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</si>
  <si>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</si>
  <si>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</si>
  <si>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</si>
  <si>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</si>
  <si>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</si>
  <si>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</si>
  <si>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</si>
  <si>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</si>
  <si>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</si>
  <si>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</si>
  <si>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</si>
  <si>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</si>
  <si>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</si>
  <si>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</si>
  <si>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</si>
  <si>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</si>
  <si>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</si>
  <si>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</si>
  <si>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</si>
  <si>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Attractive</t>
  </si>
  <si>
    <t>Regular Update</t>
  </si>
  <si>
    <t>NorthAmerica</t>
  </si>
  <si>
    <t>wachter</t>
  </si>
  <si>
    <t>MSA12974, MSA15NPP</t>
  </si>
  <si>
    <t>L:\HEALTH\Tools\Models\Published models\HSIC_Published.xlsm</t>
  </si>
  <si>
    <t>[BRO MSA]</t>
  </si>
  <si>
    <t>[PRODUCT MODEL]</t>
  </si>
  <si>
    <t>[EMAIL_ALERT YES]</t>
  </si>
  <si>
    <t>[DISCIPLINE Company]</t>
  </si>
  <si>
    <t>[SUPPRESSED NO]</t>
  </si>
  <si>
    <t>[DOCDAT 2018-04-26]</t>
  </si>
  <si>
    <t>[DOCTIME 17:52]</t>
  </si>
  <si>
    <t>[PSYM HSIC.O(S&amp;P) (None)]</t>
  </si>
  <si>
    <t>[COU 1]</t>
  </si>
  <si>
    <t>[ANA MSA15NPP]</t>
  </si>
  <si>
    <t>[HL HSIC.O Model]</t>
  </si>
  <si>
    <t>[IND ]</t>
  </si>
  <si>
    <t>[PANA MSA12974]</t>
  </si>
</sst>
</file>

<file path=xl/styles.xml><?xml version="1.0" encoding="utf-8"?>
<styleSheet xmlns="http://schemas.openxmlformats.org/spreadsheetml/2006/main" xmlns:mc="http://schemas.openxmlformats.org/markup-compatibility/2006" xmlns:x14ac="http://schemas.microsoft.com/office/spreadsheetml/2009/9/ac" mc:Ignorable="x14ac">
  <numFmts count="36">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409]mmm\-yy;@"/>
    <numFmt numFmtId="165" formatCode="_(* #,##0.0_);_(* \(#,##0.0\);_(* &quot;-&quot;??_);_(@_)"/>
    <numFmt numFmtId="166" formatCode="_(* #,##0.000_);_(* \(#,##0.000\);_(* &quot;-&quot;??_);_(@_)"/>
    <numFmt numFmtId="167" formatCode="#,##0.0_);\(#,##0.0\)"/>
    <numFmt numFmtId="168" formatCode="0.0%"/>
    <numFmt numFmtId="169" formatCode="0.0\x"/>
    <numFmt numFmtId="170" formatCode="0.0"/>
    <numFmt numFmtId="171" formatCode="0.0_);\(0.0\)"/>
    <numFmt numFmtId="172" formatCode="#,##0.000_);\(#,##0.000\)"/>
    <numFmt numFmtId="173" formatCode="#,##0.0%_);\(#,##0.0%\)"/>
    <numFmt numFmtId="174" formatCode="&quot;$&quot;#,##0.0_);\(&quot;$&quot;#,##0.0\)"/>
    <numFmt numFmtId="175" formatCode="_(* #,##0_);_(* \(#,##0\);_(* &quot;-&quot;??_);_(@_)"/>
    <numFmt numFmtId="176" formatCode="0_)"/>
    <numFmt numFmtId="177" formatCode="0.00000"/>
    <numFmt numFmtId="178" formatCode="_(* #,##0.000000_);_(* \(#,##0.000000\);_(* &quot;-&quot;??_);_(@_)"/>
    <numFmt numFmtId="179" formatCode="&quot;$&quot;#,##0.000_);\(&quot;$&quot;#,##0.000\)"/>
    <numFmt numFmtId="180" formatCode="0.000"/>
    <numFmt numFmtId="181" formatCode="&quot;$&quot;#,##0.0000_);\(&quot;$&quot;#,##0.0000\)"/>
    <numFmt numFmtId="182" formatCode="#,##0.0000_);\(#,##0.0000\)"/>
    <numFmt numFmtId="184" formatCode="#,##0.0000000000000000"/>
    <numFmt numFmtId="185" formatCode="&quot;$&quot;#,##0.0_);\(#,##0.0\)"/>
    <numFmt numFmtId="189" formatCode="&quot;$&quot;#,##0.00"/>
    <numFmt numFmtId="193" formatCode="#,##0.0"/>
    <numFmt numFmtId="196" formatCode="#,##0%_);\(#,##0%\)"/>
    <numFmt numFmtId="199" formatCode="0&quot;A&quot;_);\(0\)&quot;E&quot;"/>
    <numFmt numFmtId="200" formatCode="#,##0.0;\-#,##0.0"/>
    <numFmt numFmtId="201" formatCode="_(* #,##0.0000_);_(* \(#,##0.0000\);_(* &quot;-&quot;??_);_(@_)"/>
    <numFmt numFmtId="202" formatCode="&quot;$&quot;#,##0"/>
    <numFmt numFmtId="205" formatCode="0.00000%"/>
    <numFmt numFmtId="206" formatCode="_(&quot;$&quot;* #,##0_);_(&quot;$&quot;* \(#,##0\);_(&quot;$&quot;* &quot;-&quot;??_);_(@_)"/>
    <numFmt numFmtId="212" formatCode="mm/dd/yy\ hh:mm"/>
  </numFmts>
  <fonts count="102" x14ac:knownFonts="1">
    <font>
      <sz val="10"/>
      <name val="Arial"/>
    </font>
    <font>
      <sz val="11"/>
      <color theme="1"/>
      <name val="Calibri"/>
      <family val="2"/>
      <scheme val="minor"/>
    </font>
    <font>
      <sz val="11"/>
      <color theme="1"/>
      <name val="Calibri"/>
      <family val="2"/>
      <scheme val="minor"/>
    </font>
    <font>
      <sz val="10"/>
      <name val="Arial"/>
      <family val="2"/>
    </font>
    <font>
      <b/>
      <sz val="8"/>
      <name val="Arial"/>
      <family val="2"/>
    </font>
    <font>
      <sz val="10"/>
      <name val="Arial"/>
      <family val="2"/>
    </font>
    <font>
      <sz val="8"/>
      <name val="Arial"/>
      <family val="2"/>
    </font>
    <font>
      <b/>
      <sz val="8"/>
      <color indexed="9"/>
      <name val="Arial"/>
      <family val="2"/>
    </font>
    <font>
      <b/>
      <sz val="8"/>
      <color indexed="12"/>
      <name val="Arial"/>
      <family val="2"/>
    </font>
    <font>
      <sz val="8"/>
      <name val="Tms Rmn"/>
    </font>
    <font>
      <i/>
      <sz val="8"/>
      <color indexed="8"/>
      <name val="Arial"/>
      <family val="2"/>
    </font>
    <font>
      <i/>
      <sz val="8"/>
      <name val="Arial"/>
      <family val="2"/>
    </font>
    <font>
      <sz val="8"/>
      <name val="Arial"/>
      <family val="2"/>
    </font>
    <font>
      <sz val="8"/>
      <color indexed="12"/>
      <name val="Arial"/>
      <family val="2"/>
    </font>
    <font>
      <b/>
      <u/>
      <sz val="8"/>
      <name val="Arial"/>
      <family val="2"/>
    </font>
    <font>
      <b/>
      <sz val="8"/>
      <color indexed="81"/>
      <name val="Tahoma"/>
      <family val="2"/>
    </font>
    <font>
      <sz val="8"/>
      <name val="Times New Roman"/>
      <family val="1"/>
    </font>
    <font>
      <sz val="8"/>
      <color indexed="10"/>
      <name val="Arial"/>
      <family val="2"/>
    </font>
    <font>
      <i/>
      <sz val="8"/>
      <color indexed="10"/>
      <name val="Arial"/>
      <family val="2"/>
    </font>
    <font>
      <sz val="8"/>
      <color indexed="17"/>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b/>
      <sz val="8"/>
      <color indexed="10"/>
      <name val="Arial"/>
      <family val="2"/>
    </font>
    <font>
      <sz val="8"/>
      <color indexed="9"/>
      <name val="Arial"/>
      <family val="2"/>
    </font>
    <font>
      <b/>
      <sz val="8"/>
      <color indexed="17"/>
      <name val="Arial"/>
      <family val="2"/>
    </font>
    <font>
      <b/>
      <sz val="8"/>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8"/>
      <color indexed="24"/>
      <name val="Arial"/>
      <family val="2"/>
    </font>
    <font>
      <sz val="8"/>
      <color indexed="8"/>
      <name val="Arial"/>
      <family val="2"/>
    </font>
    <font>
      <sz val="10"/>
      <name val="Arial"/>
      <family val="2"/>
    </font>
    <font>
      <sz val="10"/>
      <name val="Segoe UI"/>
      <family val="2"/>
    </font>
    <font>
      <sz val="10"/>
      <color indexed="8"/>
      <name val="MS Sans Serif"/>
      <family val="2"/>
    </font>
    <font>
      <sz val="8"/>
      <color rgb="FF0070C0"/>
      <name val="Arial"/>
      <family val="2"/>
    </font>
    <font>
      <b/>
      <sz val="8"/>
      <color theme="0"/>
      <name val="Arial"/>
      <family val="2"/>
    </font>
    <font>
      <sz val="8"/>
      <color theme="0"/>
      <name val="Arial"/>
      <family val="2"/>
    </font>
    <font>
      <sz val="8"/>
      <color rgb="FF2270AB"/>
      <name val="Arial"/>
      <family val="2"/>
    </font>
    <font>
      <sz val="8"/>
      <color rgb="FF238B45"/>
      <name val="Arial"/>
      <family val="2"/>
    </font>
    <font>
      <sz val="8"/>
      <color rgb="FFFF0000"/>
      <name val="Arial"/>
      <family val="2"/>
    </font>
    <font>
      <b/>
      <sz val="8"/>
      <color rgb="FF0070C0"/>
      <name val="Arial"/>
      <family val="2"/>
    </font>
    <font>
      <b/>
      <sz val="8"/>
      <color rgb="FF7030A0"/>
      <name val="Arial"/>
      <family val="2"/>
    </font>
    <font>
      <i/>
      <sz val="8"/>
      <color rgb="FF238B45"/>
      <name val="Arial"/>
      <family val="2"/>
    </font>
    <font>
      <i/>
      <sz val="8"/>
      <color rgb="FFFF0000"/>
      <name val="Arial"/>
      <family val="2"/>
    </font>
    <font>
      <sz val="8"/>
      <color rgb="FF137CB1"/>
      <name val="Arial"/>
      <family val="2"/>
    </font>
    <font>
      <sz val="8"/>
      <color rgb="FF7030A0"/>
      <name val="Arial"/>
      <family val="2"/>
    </font>
    <font>
      <b/>
      <sz val="8"/>
      <color rgb="FF2270AB"/>
      <name val="Arial"/>
      <family val="2"/>
    </font>
    <font>
      <sz val="11"/>
      <name val="Arial"/>
      <family val="2"/>
    </font>
    <font>
      <b/>
      <sz val="10"/>
      <name val="Arial"/>
      <family val="2"/>
    </font>
    <font>
      <b/>
      <i/>
      <sz val="8"/>
      <name val="Arial"/>
      <family val="2"/>
    </font>
    <font>
      <sz val="8"/>
      <name val="Times"/>
      <family val="1"/>
    </font>
    <font>
      <i/>
      <sz val="10"/>
      <name val="Arial"/>
      <family val="2"/>
    </font>
    <font>
      <b/>
      <sz val="10"/>
      <color indexed="10"/>
      <name val="Arial"/>
      <family val="2"/>
    </font>
    <font>
      <b/>
      <sz val="10"/>
      <color rgb="FF0070C0"/>
      <name val="Arial"/>
      <family val="2"/>
    </font>
    <font>
      <sz val="8"/>
      <color theme="1" tint="0.499984740745262"/>
      <name val="Arial"/>
      <family val="2"/>
    </font>
    <font>
      <sz val="8"/>
      <color rgb="FF00B050"/>
      <name val="Arial"/>
      <family val="2"/>
    </font>
    <font>
      <b/>
      <sz val="8"/>
      <color rgb="FF00B050"/>
      <name val="Arial"/>
      <family val="2"/>
    </font>
    <font>
      <b/>
      <sz val="8"/>
      <color rgb="FFFF0000"/>
      <name val="Arial"/>
      <family val="2"/>
    </font>
    <font>
      <b/>
      <sz val="8"/>
      <color theme="7"/>
      <name val="Arial"/>
      <family val="2"/>
    </font>
    <font>
      <sz val="8"/>
      <color theme="0" tint="-0.34998626667073579"/>
      <name val="Arial"/>
      <family val="2"/>
    </font>
    <font>
      <sz val="10"/>
      <color theme="0" tint="-0.34998626667073579"/>
      <name val="Arial"/>
      <family val="2"/>
    </font>
    <font>
      <b/>
      <i/>
      <sz val="8"/>
      <color indexed="10"/>
      <name val="Arial"/>
      <family val="2"/>
    </font>
    <font>
      <sz val="8"/>
      <color theme="0" tint="-0.499984740745262"/>
      <name val="Arial"/>
      <family val="2"/>
    </font>
    <font>
      <sz val="8"/>
      <color rgb="FF0073B1"/>
      <name val="Arial"/>
      <family val="2"/>
    </font>
    <font>
      <u/>
      <sz val="8"/>
      <name val="Arial"/>
      <family val="2"/>
    </font>
    <font>
      <i/>
      <sz val="8"/>
      <color rgb="FF7030A0"/>
      <name val="Arial"/>
      <family val="2"/>
    </font>
    <font>
      <i/>
      <sz val="8"/>
      <color rgb="FF0070C0"/>
      <name val="Arial"/>
      <family val="2"/>
    </font>
    <font>
      <i/>
      <sz val="8"/>
      <color rgb="FF2270AB"/>
      <name val="Arial"/>
      <family val="2"/>
    </font>
    <font>
      <sz val="10"/>
      <color theme="1" tint="0.499984740745262"/>
      <name val="Arial"/>
      <family val="2"/>
    </font>
    <font>
      <b/>
      <sz val="8"/>
      <color theme="1"/>
      <name val="Arial"/>
      <family val="2"/>
    </font>
    <font>
      <sz val="8"/>
      <color theme="1"/>
      <name val="Arial"/>
      <family val="2"/>
    </font>
    <font>
      <sz val="7"/>
      <color rgb="FF2270AB"/>
      <name val="Arial"/>
      <family val="2"/>
    </font>
    <font>
      <sz val="7"/>
      <name val="Arial"/>
      <family val="2"/>
    </font>
    <font>
      <i/>
      <sz val="8"/>
      <color theme="0" tint="-0.34998626667073579"/>
      <name val="Arial"/>
      <family val="2"/>
    </font>
    <font>
      <i/>
      <sz val="8"/>
      <color theme="1"/>
      <name val="Arial"/>
      <family val="2"/>
    </font>
    <font>
      <b/>
      <i/>
      <sz val="8"/>
      <color theme="1"/>
      <name val="Arial"/>
      <family val="2"/>
    </font>
    <font>
      <sz val="8"/>
      <color theme="0" tint="-0.14999847407452621"/>
      <name val="Arial"/>
      <family val="2"/>
    </font>
    <font>
      <b/>
      <u/>
      <sz val="8"/>
      <color theme="1"/>
      <name val="Arial"/>
      <family val="2"/>
    </font>
    <font>
      <u/>
      <sz val="8"/>
      <color theme="1"/>
      <name val="Arial"/>
      <family val="2"/>
    </font>
    <font>
      <i/>
      <sz val="8"/>
      <color rgb="FF00B050"/>
      <name val="Arial"/>
      <family val="2"/>
    </font>
    <font>
      <i/>
      <u/>
      <sz val="9"/>
      <color theme="0"/>
      <name val="Arial"/>
      <family val="2"/>
    </font>
    <font>
      <b/>
      <u/>
      <sz val="9"/>
      <color theme="0"/>
      <name val="Arial"/>
      <family val="2"/>
    </font>
    <font>
      <sz val="10"/>
      <name val="Courier"/>
      <family val="3"/>
    </font>
    <font>
      <sz val="10"/>
      <color rgb="FF000000"/>
      <name val="Arial"/>
      <family val="2"/>
    </font>
    <font>
      <b/>
      <sz val="12"/>
      <color rgb="FF000080"/>
      <name val="Arial"/>
      <family val="2"/>
    </font>
  </fonts>
  <fills count="36">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FFC000"/>
        <bgColor indexed="64"/>
      </patternFill>
    </fill>
    <fill>
      <patternFill patternType="solid">
        <fgColor rgb="FF137CB1"/>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FFFF00"/>
        <bgColor indexed="64"/>
      </patternFill>
    </fill>
    <fill>
      <patternFill patternType="solid">
        <fgColor theme="3" tint="0.59999389629810485"/>
        <bgColor indexed="64"/>
      </patternFill>
    </fill>
    <fill>
      <patternFill patternType="solid">
        <fgColor rgb="FFC0C0C0"/>
        <bgColor rgb="FF000000"/>
      </patternFill>
    </fill>
    <fill>
      <patternFill patternType="solid">
        <fgColor theme="1"/>
        <bgColor indexed="64"/>
      </patternFill>
    </fill>
    <fill>
      <patternFill patternType="solid">
        <fgColor rgb="FF92D050"/>
        <bgColor indexed="64"/>
      </patternFill>
    </fill>
    <fill>
      <patternFill patternType="solid">
        <fgColor theme="4"/>
        <bgColor indexed="64"/>
      </patternFill>
    </fill>
    <fill>
      <patternFill patternType="solid">
        <fgColor theme="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indexed="65"/>
        <bgColor indexed="64"/>
      </patternFill>
    </fill>
  </fills>
  <borders count="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hair">
        <color indexed="64"/>
      </right>
      <top/>
      <bottom style="thin">
        <color indexed="64"/>
      </bottom>
      <diagonal/>
    </border>
    <border>
      <left style="hair">
        <color indexed="64"/>
      </left>
      <right/>
      <top/>
      <bottom/>
      <diagonal/>
    </border>
    <border>
      <left/>
      <right style="hair">
        <color indexed="64"/>
      </right>
      <top/>
      <bottom/>
      <diagonal/>
    </border>
    <border>
      <left style="thin">
        <color auto="1"/>
      </left>
      <right/>
      <top/>
      <bottom/>
      <diagonal/>
    </border>
    <border>
      <left style="dotted">
        <color indexed="64"/>
      </left>
      <right/>
      <top/>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thin">
        <color indexed="64"/>
      </top>
      <bottom/>
      <diagonal/>
    </border>
    <border>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hair">
        <color indexed="64"/>
      </left>
      <right style="thin">
        <color indexed="64"/>
      </right>
      <top/>
      <bottom style="double">
        <color indexed="64"/>
      </bottom>
      <diagonal/>
    </border>
    <border>
      <left/>
      <right style="hair">
        <color indexed="64"/>
      </right>
      <top/>
      <bottom style="double">
        <color indexed="64"/>
      </bottom>
      <diagonal/>
    </border>
    <border>
      <left/>
      <right style="hair">
        <color indexed="64"/>
      </right>
      <top style="thin">
        <color indexed="64"/>
      </top>
      <bottom/>
      <diagonal/>
    </border>
    <border>
      <left style="thin">
        <color indexed="64"/>
      </left>
      <right/>
      <top/>
      <bottom style="double">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hair">
        <color indexed="64"/>
      </left>
      <right style="thin">
        <color indexed="64"/>
      </right>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auto="1"/>
      </left>
      <right style="thin">
        <color auto="1"/>
      </right>
      <top/>
      <bottom/>
      <diagonal/>
    </border>
    <border>
      <left style="dotted">
        <color indexed="64"/>
      </left>
      <right/>
      <top/>
      <bottom style="hair">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top/>
      <bottom style="thin">
        <color indexed="64"/>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51">
    <xf numFmtId="0" fontId="0" fillId="0" borderId="0" applyNumberFormat="0" applyFill="0" applyBorder="0" applyAlignment="0" applyProtection="0"/>
    <xf numFmtId="0" fontId="3" fillId="0" borderId="0"/>
    <xf numFmtId="0" fontId="5" fillId="0" borderId="0"/>
    <xf numFmtId="0" fontId="48" fillId="0" borderId="0"/>
    <xf numFmtId="0" fontId="5" fillId="0" borderId="0"/>
    <xf numFmtId="0" fontId="5" fillId="0" borderId="0"/>
    <xf numFmtId="0" fontId="50" fillId="0" borderId="0" applyNumberFormat="0" applyFont="0" applyFill="0" applyBorder="0" applyAlignment="0" applyProtection="0"/>
    <xf numFmtId="0" fontId="3" fillId="15" borderId="0" applyNumberFormat="0" applyFont="0" applyBorder="0" applyAlignment="0" applyProtection="0"/>
    <xf numFmtId="0" fontId="3" fillId="0" borderId="0"/>
    <xf numFmtId="0" fontId="20" fillId="0" borderId="0"/>
    <xf numFmtId="176" fontId="20" fillId="0" borderId="0"/>
    <xf numFmtId="176" fontId="20" fillId="0" borderId="0"/>
    <xf numFmtId="0" fontId="20" fillId="0" borderId="0"/>
    <xf numFmtId="0" fontId="29" fillId="2" borderId="0" applyNumberFormat="0" applyBorder="0" applyAlignment="0" applyProtection="0"/>
    <xf numFmtId="0" fontId="29" fillId="3" borderId="0" applyNumberFormat="0" applyBorder="0" applyAlignment="0" applyProtection="0"/>
    <xf numFmtId="0" fontId="29" fillId="4" borderId="0" applyNumberFormat="0" applyBorder="0" applyAlignment="0" applyProtection="0"/>
    <xf numFmtId="0" fontId="29" fillId="2" borderId="0" applyNumberFormat="0" applyBorder="0" applyAlignment="0" applyProtection="0"/>
    <xf numFmtId="0" fontId="29" fillId="5" borderId="0" applyNumberFormat="0" applyBorder="0" applyAlignment="0" applyProtection="0"/>
    <xf numFmtId="0" fontId="29" fillId="4" borderId="0" applyNumberFormat="0" applyBorder="0" applyAlignment="0" applyProtection="0"/>
    <xf numFmtId="0" fontId="29" fillId="6" borderId="0" applyNumberFormat="0" applyBorder="0" applyAlignment="0" applyProtection="0"/>
    <xf numFmtId="0" fontId="29" fillId="3" borderId="0" applyNumberFormat="0" applyBorder="0" applyAlignment="0" applyProtection="0"/>
    <xf numFmtId="0" fontId="29" fillId="4" borderId="0" applyNumberFormat="0" applyBorder="0" applyAlignment="0" applyProtection="0"/>
    <xf numFmtId="0" fontId="29" fillId="6" borderId="0" applyNumberFormat="0" applyBorder="0" applyAlignment="0" applyProtection="0"/>
    <xf numFmtId="0" fontId="29" fillId="7" borderId="0" applyNumberFormat="0" applyBorder="0" applyAlignment="0" applyProtection="0"/>
    <xf numFmtId="0" fontId="29" fillId="4" borderId="0" applyNumberFormat="0" applyBorder="0" applyAlignment="0" applyProtection="0"/>
    <xf numFmtId="0" fontId="30" fillId="8" borderId="0" applyNumberFormat="0" applyBorder="0" applyAlignment="0" applyProtection="0"/>
    <xf numFmtId="0" fontId="30" fillId="3" borderId="0" applyNumberFormat="0" applyBorder="0" applyAlignment="0" applyProtection="0"/>
    <xf numFmtId="0" fontId="30" fillId="9" borderId="0" applyNumberFormat="0" applyBorder="0" applyAlignment="0" applyProtection="0"/>
    <xf numFmtId="0" fontId="30" fillId="6" borderId="0" applyNumberFormat="0" applyBorder="0" applyAlignment="0" applyProtection="0"/>
    <xf numFmtId="0" fontId="30" fillId="8" borderId="0" applyNumberFormat="0" applyBorder="0" applyAlignment="0" applyProtection="0"/>
    <xf numFmtId="0" fontId="30" fillId="4" borderId="0" applyNumberFormat="0" applyBorder="0" applyAlignment="0" applyProtection="0"/>
    <xf numFmtId="0" fontId="30" fillId="8" borderId="0" applyNumberFormat="0" applyBorder="0" applyAlignment="0" applyProtection="0"/>
    <xf numFmtId="0" fontId="30" fillId="3" borderId="0" applyNumberFormat="0" applyBorder="0" applyAlignment="0" applyProtection="0"/>
    <xf numFmtId="0" fontId="30" fillId="9" borderId="0" applyNumberFormat="0" applyBorder="0" applyAlignment="0" applyProtection="0"/>
    <xf numFmtId="0" fontId="30" fillId="10" borderId="0" applyNumberFormat="0" applyBorder="0" applyAlignment="0" applyProtection="0"/>
    <xf numFmtId="0" fontId="30" fillId="8" borderId="0" applyNumberFormat="0" applyBorder="0" applyAlignment="0" applyProtection="0"/>
    <xf numFmtId="0" fontId="30" fillId="3" borderId="0" applyNumberFormat="0" applyBorder="0" applyAlignment="0" applyProtection="0"/>
    <xf numFmtId="0" fontId="31" fillId="11" borderId="0" applyNumberFormat="0" applyBorder="0" applyAlignment="0" applyProtection="0"/>
    <xf numFmtId="0" fontId="21" fillId="0" borderId="0"/>
    <xf numFmtId="0" fontId="32" fillId="12" borderId="1" applyNumberFormat="0" applyAlignment="0" applyProtection="0"/>
    <xf numFmtId="0" fontId="33" fillId="13" borderId="2" applyNumberFormat="0" applyAlignment="0" applyProtection="0"/>
    <xf numFmtId="43" fontId="3" fillId="0" borderId="0" applyFont="0" applyFill="0" applyBorder="0" applyAlignment="0" applyProtection="0"/>
    <xf numFmtId="43" fontId="5" fillId="0" borderId="0" applyFont="0" applyFill="0" applyBorder="0" applyAlignment="0" applyProtection="0"/>
    <xf numFmtId="44" fontId="3" fillId="0" borderId="0" applyFont="0" applyFill="0" applyBorder="0" applyAlignment="0" applyProtection="0"/>
    <xf numFmtId="0" fontId="34" fillId="0" borderId="0" applyNumberFormat="0" applyFill="0" applyBorder="0" applyAlignment="0" applyProtection="0"/>
    <xf numFmtId="0" fontId="35" fillId="14" borderId="0" applyNumberFormat="0" applyBorder="0" applyAlignment="0" applyProtection="0"/>
    <xf numFmtId="0" fontId="36" fillId="0" borderId="3" applyNumberFormat="0" applyFill="0" applyAlignment="0" applyProtection="0"/>
    <xf numFmtId="0" fontId="37" fillId="0" borderId="4" applyNumberFormat="0" applyFill="0" applyAlignment="0" applyProtection="0"/>
    <xf numFmtId="0" fontId="38" fillId="0" borderId="5" applyNumberFormat="0" applyFill="0" applyAlignment="0" applyProtection="0"/>
    <xf numFmtId="0" fontId="38" fillId="0" borderId="0" applyNumberFormat="0" applyFill="0" applyBorder="0" applyAlignment="0" applyProtection="0"/>
    <xf numFmtId="0" fontId="39" fillId="4" borderId="1" applyNumberFormat="0" applyAlignment="0" applyProtection="0"/>
    <xf numFmtId="0" fontId="40" fillId="0" borderId="6" applyNumberFormat="0" applyFill="0" applyAlignment="0" applyProtection="0"/>
    <xf numFmtId="0" fontId="41" fillId="4" borderId="0" applyNumberFormat="0" applyBorder="0" applyAlignment="0" applyProtection="0"/>
    <xf numFmtId="0" fontId="5" fillId="0" borderId="0"/>
    <xf numFmtId="0" fontId="49" fillId="0" borderId="0"/>
    <xf numFmtId="0" fontId="9" fillId="0" borderId="0"/>
    <xf numFmtId="0" fontId="9" fillId="0" borderId="0"/>
    <xf numFmtId="0" fontId="16" fillId="0" borderId="0"/>
    <xf numFmtId="0" fontId="3" fillId="0" borderId="0"/>
    <xf numFmtId="0" fontId="3" fillId="4" borderId="7" applyNumberFormat="0" applyFont="0" applyAlignment="0" applyProtection="0"/>
    <xf numFmtId="0" fontId="42" fillId="12" borderId="8" applyNumberFormat="0" applyAlignment="0" applyProtection="0"/>
    <xf numFmtId="0" fontId="22" fillId="0" borderId="0">
      <alignment vertical="center"/>
    </xf>
    <xf numFmtId="9" fontId="3" fillId="0" borderId="0" applyFont="0" applyFill="0" applyBorder="0" applyAlignment="0" applyProtection="0"/>
    <xf numFmtId="0" fontId="23" fillId="0" borderId="0"/>
    <xf numFmtId="0" fontId="23" fillId="0" borderId="9">
      <alignment horizontal="centerContinuous"/>
    </xf>
    <xf numFmtId="0" fontId="24" fillId="0" borderId="9"/>
    <xf numFmtId="0" fontId="43" fillId="0" borderId="0" applyNumberFormat="0" applyFill="0" applyBorder="0" applyAlignment="0" applyProtection="0"/>
    <xf numFmtId="0" fontId="44" fillId="0" borderId="10" applyNumberFormat="0" applyFill="0" applyAlignment="0" applyProtection="0"/>
    <xf numFmtId="0" fontId="45" fillId="0" borderId="0" applyNumberFormat="0" applyFill="0" applyBorder="0" applyAlignment="0" applyProtection="0"/>
    <xf numFmtId="0" fontId="3" fillId="15" borderId="0" applyNumberFormat="0" applyFont="0" applyBorder="0" applyAlignment="0" applyProtection="0"/>
    <xf numFmtId="0" fontId="3" fillId="0" borderId="0" applyNumberFormat="0" applyFill="0" applyBorder="0" applyAlignment="0" applyProtection="0"/>
    <xf numFmtId="0" fontId="3"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Font="0" applyFill="0" applyBorder="0" applyAlignment="0" applyProtection="0"/>
    <xf numFmtId="0" fontId="3" fillId="0" borderId="0"/>
    <xf numFmtId="0" fontId="3" fillId="0" borderId="0" applyNumberFormat="0" applyFill="0" applyBorder="0" applyAlignment="0" applyProtection="0"/>
    <xf numFmtId="0" fontId="20"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applyNumberForma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3"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29" fillId="2" borderId="0" applyNumberFormat="0" applyBorder="0" applyAlignment="0" applyProtection="0"/>
    <xf numFmtId="0" fontId="29" fillId="3" borderId="0" applyNumberFormat="0" applyBorder="0" applyAlignment="0" applyProtection="0"/>
    <xf numFmtId="0" fontId="29" fillId="4" borderId="0" applyNumberFormat="0" applyBorder="0" applyAlignment="0" applyProtection="0"/>
    <xf numFmtId="0" fontId="29" fillId="2" borderId="0" applyNumberFormat="0" applyBorder="0" applyAlignment="0" applyProtection="0"/>
    <xf numFmtId="0" fontId="29" fillId="5" borderId="0" applyNumberFormat="0" applyBorder="0" applyAlignment="0" applyProtection="0"/>
    <xf numFmtId="0" fontId="29" fillId="4" borderId="0" applyNumberFormat="0" applyBorder="0" applyAlignment="0" applyProtection="0"/>
    <xf numFmtId="0" fontId="29" fillId="6" borderId="0" applyNumberFormat="0" applyBorder="0" applyAlignment="0" applyProtection="0"/>
    <xf numFmtId="0" fontId="29" fillId="3" borderId="0" applyNumberFormat="0" applyBorder="0" applyAlignment="0" applyProtection="0"/>
    <xf numFmtId="0" fontId="29" fillId="4" borderId="0" applyNumberFormat="0" applyBorder="0" applyAlignment="0" applyProtection="0"/>
    <xf numFmtId="0" fontId="29" fillId="6" borderId="0" applyNumberFormat="0" applyBorder="0" applyAlignment="0" applyProtection="0"/>
    <xf numFmtId="0" fontId="29" fillId="7" borderId="0" applyNumberFormat="0" applyBorder="0" applyAlignment="0" applyProtection="0"/>
    <xf numFmtId="0" fontId="29" fillId="4" borderId="0" applyNumberFormat="0" applyBorder="0" applyAlignment="0" applyProtection="0"/>
    <xf numFmtId="0" fontId="30" fillId="8" borderId="0" applyNumberFormat="0" applyBorder="0" applyAlignment="0" applyProtection="0"/>
    <xf numFmtId="0" fontId="30" fillId="3" borderId="0" applyNumberFormat="0" applyBorder="0" applyAlignment="0" applyProtection="0"/>
    <xf numFmtId="0" fontId="30" fillId="9" borderId="0" applyNumberFormat="0" applyBorder="0" applyAlignment="0" applyProtection="0"/>
    <xf numFmtId="0" fontId="30" fillId="6" borderId="0" applyNumberFormat="0" applyBorder="0" applyAlignment="0" applyProtection="0"/>
    <xf numFmtId="0" fontId="30" fillId="8" borderId="0" applyNumberFormat="0" applyBorder="0" applyAlignment="0" applyProtection="0"/>
    <xf numFmtId="0" fontId="30" fillId="4" borderId="0" applyNumberFormat="0" applyBorder="0" applyAlignment="0" applyProtection="0"/>
    <xf numFmtId="0" fontId="30" fillId="8" borderId="0" applyNumberFormat="0" applyBorder="0" applyAlignment="0" applyProtection="0"/>
    <xf numFmtId="0" fontId="30" fillId="3" borderId="0" applyNumberFormat="0" applyBorder="0" applyAlignment="0" applyProtection="0"/>
    <xf numFmtId="0" fontId="30" fillId="9" borderId="0" applyNumberFormat="0" applyBorder="0" applyAlignment="0" applyProtection="0"/>
    <xf numFmtId="0" fontId="30" fillId="10" borderId="0" applyNumberFormat="0" applyBorder="0" applyAlignment="0" applyProtection="0"/>
    <xf numFmtId="0" fontId="30" fillId="8" borderId="0" applyNumberFormat="0" applyBorder="0" applyAlignment="0" applyProtection="0"/>
    <xf numFmtId="0" fontId="30" fillId="3" borderId="0" applyNumberFormat="0" applyBorder="0" applyAlignment="0" applyProtection="0"/>
    <xf numFmtId="0" fontId="31" fillId="11" borderId="0" applyNumberFormat="0" applyBorder="0" applyAlignment="0" applyProtection="0"/>
    <xf numFmtId="0" fontId="32" fillId="12" borderId="1" applyNumberFormat="0" applyAlignment="0" applyProtection="0"/>
    <xf numFmtId="0" fontId="33" fillId="13" borderId="2" applyNumberFormat="0" applyAlignment="0" applyProtection="0"/>
    <xf numFmtId="43"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0" fontId="34" fillId="0" borderId="0" applyNumberFormat="0" applyFill="0" applyBorder="0" applyAlignment="0" applyProtection="0"/>
    <xf numFmtId="0" fontId="35" fillId="14" borderId="0" applyNumberFormat="0" applyBorder="0" applyAlignment="0" applyProtection="0"/>
    <xf numFmtId="0" fontId="36" fillId="0" borderId="3" applyNumberFormat="0" applyFill="0" applyAlignment="0" applyProtection="0"/>
    <xf numFmtId="0" fontId="37" fillId="0" borderId="4" applyNumberFormat="0" applyFill="0" applyAlignment="0" applyProtection="0"/>
    <xf numFmtId="0" fontId="38" fillId="0" borderId="5" applyNumberFormat="0" applyFill="0" applyAlignment="0" applyProtection="0"/>
    <xf numFmtId="0" fontId="38" fillId="0" borderId="0" applyNumberFormat="0" applyFill="0" applyBorder="0" applyAlignment="0" applyProtection="0"/>
    <xf numFmtId="0" fontId="39" fillId="4" borderId="1" applyNumberFormat="0" applyAlignment="0" applyProtection="0"/>
    <xf numFmtId="0" fontId="40" fillId="0" borderId="6" applyNumberFormat="0" applyFill="0" applyAlignment="0" applyProtection="0"/>
    <xf numFmtId="0" fontId="41" fillId="4" borderId="0" applyNumberFormat="0" applyBorder="0" applyAlignment="0" applyProtection="0"/>
    <xf numFmtId="0" fontId="3" fillId="0" borderId="0"/>
    <xf numFmtId="0" fontId="3" fillId="4" borderId="7" applyNumberFormat="0" applyFont="0" applyAlignment="0" applyProtection="0"/>
    <xf numFmtId="0" fontId="42" fillId="12" borderId="8" applyNumberFormat="0" applyAlignment="0" applyProtection="0"/>
    <xf numFmtId="9" fontId="3" fillId="0" borderId="0" applyFont="0" applyFill="0" applyBorder="0" applyAlignment="0" applyProtection="0"/>
    <xf numFmtId="0" fontId="43" fillId="0" borderId="0" applyNumberFormat="0" applyFill="0" applyBorder="0" applyAlignment="0" applyProtection="0"/>
    <xf numFmtId="0" fontId="44" fillId="0" borderId="10" applyNumberFormat="0" applyFill="0" applyAlignment="0" applyProtection="0"/>
    <xf numFmtId="0" fontId="45" fillId="0" borderId="0" applyNumberForma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99" fillId="0" borderId="0"/>
  </cellStyleXfs>
  <cellXfs count="1450">
    <xf numFmtId="0" fontId="0" fillId="0" borderId="0" xfId="0"/>
    <xf numFmtId="0" fontId="6" fillId="17" borderId="0" xfId="0" applyFont="1" applyFill="1" applyBorder="1"/>
    <xf numFmtId="164" fontId="7" fillId="16" borderId="11" xfId="0" applyNumberFormat="1" applyFont="1" applyFill="1" applyBorder="1" applyAlignment="1">
      <alignment horizontal="center"/>
    </xf>
    <xf numFmtId="0" fontId="8" fillId="17" borderId="0" xfId="0" applyFont="1" applyFill="1" applyBorder="1" applyAlignment="1">
      <alignment horizontal="center"/>
    </xf>
    <xf numFmtId="0" fontId="4" fillId="17" borderId="0" xfId="0" applyFont="1" applyFill="1" applyBorder="1"/>
    <xf numFmtId="0" fontId="10" fillId="17" borderId="0" xfId="55" applyFont="1" applyFill="1" applyBorder="1" applyAlignment="1">
      <alignment horizontal="left"/>
    </xf>
    <xf numFmtId="0" fontId="11" fillId="17" borderId="0" xfId="58" applyFont="1" applyFill="1" applyBorder="1" applyAlignment="1">
      <alignment horizontal="left"/>
    </xf>
    <xf numFmtId="0" fontId="6" fillId="0" borderId="0" xfId="0" applyFont="1" applyFill="1"/>
    <xf numFmtId="0" fontId="4" fillId="0" borderId="0" xfId="0" applyFont="1" applyFill="1" applyBorder="1" applyAlignment="1">
      <alignment horizontal="center"/>
    </xf>
    <xf numFmtId="0" fontId="6" fillId="0" borderId="0" xfId="0" applyFont="1"/>
    <xf numFmtId="0" fontId="18" fillId="17" borderId="0" xfId="0" applyFont="1" applyFill="1" applyAlignment="1">
      <alignment horizontal="center"/>
    </xf>
    <xf numFmtId="0" fontId="6" fillId="0" borderId="0" xfId="0" applyFont="1" applyFill="1" applyBorder="1"/>
    <xf numFmtId="0" fontId="4" fillId="0" borderId="0" xfId="0" applyFont="1" applyFill="1" applyBorder="1"/>
    <xf numFmtId="167" fontId="6" fillId="0" borderId="0" xfId="0" applyNumberFormat="1" applyFont="1" applyFill="1" applyBorder="1" applyAlignment="1">
      <alignment horizontal="right"/>
    </xf>
    <xf numFmtId="0" fontId="4" fillId="0" borderId="0" xfId="0" applyFont="1" applyFill="1"/>
    <xf numFmtId="0" fontId="6" fillId="0" borderId="0" xfId="0" applyFont="1" applyBorder="1"/>
    <xf numFmtId="167" fontId="6" fillId="0" borderId="0" xfId="0" applyNumberFormat="1" applyFont="1" applyFill="1" applyAlignment="1">
      <alignment horizontal="right"/>
    </xf>
    <xf numFmtId="0" fontId="6" fillId="0" borderId="0" xfId="0" applyFont="1" applyFill="1" applyBorder="1" applyAlignment="1">
      <alignment horizontal="right"/>
    </xf>
    <xf numFmtId="49" fontId="0" fillId="0" borderId="0" xfId="0" applyNumberFormat="1"/>
    <xf numFmtId="168" fontId="6" fillId="0" borderId="0" xfId="0" applyNumberFormat="1" applyFont="1" applyFill="1" applyBorder="1"/>
    <xf numFmtId="174" fontId="6" fillId="0" borderId="0" xfId="41" applyNumberFormat="1" applyFont="1" applyFill="1" applyAlignment="1"/>
    <xf numFmtId="165" fontId="28" fillId="0" borderId="0" xfId="41" applyNumberFormat="1" applyFont="1" applyFill="1" applyBorder="1" applyAlignment="1">
      <alignment horizontal="right" wrapText="1"/>
    </xf>
    <xf numFmtId="165" fontId="4" fillId="0" borderId="0" xfId="41" applyNumberFormat="1" applyFont="1" applyFill="1" applyBorder="1" applyAlignment="1">
      <alignment horizontal="right" wrapText="1"/>
    </xf>
    <xf numFmtId="7" fontId="6" fillId="0" borderId="0" xfId="0" applyNumberFormat="1" applyFont="1" applyFill="1" applyAlignment="1">
      <alignment horizontal="right"/>
    </xf>
    <xf numFmtId="7" fontId="4" fillId="0" borderId="0" xfId="0" applyNumberFormat="1" applyFont="1" applyFill="1" applyBorder="1" applyAlignment="1">
      <alignment horizontal="right"/>
    </xf>
    <xf numFmtId="0" fontId="4" fillId="0" borderId="0" xfId="0" applyFont="1" applyBorder="1" applyAlignment="1">
      <alignment horizontal="center"/>
    </xf>
    <xf numFmtId="167" fontId="4" fillId="0" borderId="0" xfId="0" applyNumberFormat="1" applyFont="1" applyFill="1" applyBorder="1" applyAlignment="1">
      <alignment horizontal="right"/>
    </xf>
    <xf numFmtId="165" fontId="6" fillId="0" borderId="0" xfId="41" applyNumberFormat="1" applyFont="1" applyFill="1" applyBorder="1" applyAlignment="1">
      <alignment horizontal="right"/>
    </xf>
    <xf numFmtId="0" fontId="7" fillId="0" borderId="11" xfId="0" applyFont="1" applyFill="1" applyBorder="1" applyAlignment="1">
      <alignment horizontal="center"/>
    </xf>
    <xf numFmtId="171" fontId="6" fillId="0" borderId="0" xfId="41" applyNumberFormat="1" applyFont="1" applyFill="1" applyBorder="1" applyAlignment="1">
      <alignment horizontal="right" wrapText="1"/>
    </xf>
    <xf numFmtId="0" fontId="4" fillId="0" borderId="0" xfId="0" applyFont="1" applyFill="1" applyBorder="1" applyAlignment="1">
      <alignment horizontal="right"/>
    </xf>
    <xf numFmtId="178" fontId="17" fillId="0" borderId="0" xfId="0" applyNumberFormat="1" applyFont="1" applyFill="1" applyBorder="1"/>
    <xf numFmtId="167" fontId="6" fillId="0" borderId="0" xfId="41" applyNumberFormat="1" applyFont="1" applyFill="1" applyBorder="1" applyAlignment="1">
      <alignment horizontal="right" wrapText="1"/>
    </xf>
    <xf numFmtId="0" fontId="6" fillId="0" borderId="11" xfId="0" applyFont="1" applyFill="1" applyBorder="1"/>
    <xf numFmtId="0" fontId="6" fillId="0" borderId="0" xfId="0" applyFont="1" applyAlignment="1">
      <alignment horizontal="right"/>
    </xf>
    <xf numFmtId="165" fontId="6" fillId="0" borderId="0" xfId="41" applyNumberFormat="1" applyFont="1" applyFill="1" applyAlignment="1">
      <alignment horizontal="right"/>
    </xf>
    <xf numFmtId="0" fontId="6" fillId="0" borderId="0" xfId="0" applyFont="1" applyFill="1" applyAlignment="1">
      <alignment horizontal="right"/>
    </xf>
    <xf numFmtId="0" fontId="4" fillId="0" borderId="0" xfId="0" applyFont="1" applyAlignment="1">
      <alignment horizontal="right"/>
    </xf>
    <xf numFmtId="167" fontId="6" fillId="0" borderId="0" xfId="41" applyNumberFormat="1" applyFont="1" applyFill="1" applyAlignment="1">
      <alignment horizontal="right"/>
    </xf>
    <xf numFmtId="167" fontId="6" fillId="0" borderId="0" xfId="41" applyNumberFormat="1" applyFont="1" applyFill="1" applyBorder="1" applyAlignment="1">
      <alignment horizontal="right"/>
    </xf>
    <xf numFmtId="167" fontId="4" fillId="0" borderId="0" xfId="41" applyNumberFormat="1" applyFont="1" applyFill="1" applyBorder="1" applyAlignment="1">
      <alignment horizontal="right"/>
    </xf>
    <xf numFmtId="167" fontId="4" fillId="0" borderId="0" xfId="41" applyNumberFormat="1" applyFont="1" applyFill="1" applyAlignment="1">
      <alignment horizontal="right"/>
    </xf>
    <xf numFmtId="173" fontId="6" fillId="0" borderId="0" xfId="0" applyNumberFormat="1" applyFont="1" applyFill="1" applyAlignment="1">
      <alignment horizontal="right"/>
    </xf>
    <xf numFmtId="173" fontId="6" fillId="0" borderId="0" xfId="0" applyNumberFormat="1" applyFont="1" applyFill="1" applyBorder="1" applyAlignment="1">
      <alignment horizontal="right"/>
    </xf>
    <xf numFmtId="168" fontId="6" fillId="0" borderId="0" xfId="62" applyNumberFormat="1" applyFont="1" applyFill="1" applyAlignment="1">
      <alignment horizontal="right"/>
    </xf>
    <xf numFmtId="171" fontId="6" fillId="0" borderId="0" xfId="41" applyNumberFormat="1" applyFont="1" applyFill="1" applyAlignment="1">
      <alignment horizontal="right"/>
    </xf>
    <xf numFmtId="165" fontId="17" fillId="0" borderId="0" xfId="41" applyNumberFormat="1" applyFont="1" applyFill="1" applyBorder="1" applyAlignment="1">
      <alignment horizontal="right"/>
    </xf>
    <xf numFmtId="9" fontId="6" fillId="0" borderId="0" xfId="0" applyNumberFormat="1" applyFont="1" applyFill="1" applyAlignment="1">
      <alignment horizontal="right"/>
    </xf>
    <xf numFmtId="167" fontId="6" fillId="0" borderId="0" xfId="0" applyNumberFormat="1" applyFont="1" applyFill="1" applyBorder="1"/>
    <xf numFmtId="167" fontId="6" fillId="0" borderId="14" xfId="0" applyNumberFormat="1" applyFont="1" applyFill="1" applyBorder="1" applyAlignment="1">
      <alignment horizontal="right"/>
    </xf>
    <xf numFmtId="167" fontId="4" fillId="0" borderId="0" xfId="41" applyNumberFormat="1" applyFont="1" applyFill="1" applyBorder="1" applyAlignment="1">
      <alignment horizontal="right" wrapText="1"/>
    </xf>
    <xf numFmtId="168" fontId="6" fillId="0" borderId="0" xfId="62" applyNumberFormat="1" applyFont="1" applyFill="1" applyBorder="1" applyAlignment="1">
      <alignment horizontal="right"/>
    </xf>
    <xf numFmtId="43" fontId="18" fillId="0" borderId="0" xfId="41" applyFont="1"/>
    <xf numFmtId="167" fontId="4" fillId="0" borderId="0" xfId="0" applyNumberFormat="1" applyFont="1" applyFill="1"/>
    <xf numFmtId="166" fontId="17" fillId="0" borderId="0" xfId="0" applyNumberFormat="1" applyFont="1" applyFill="1" applyAlignment="1">
      <alignment horizontal="right"/>
    </xf>
    <xf numFmtId="167" fontId="6" fillId="0" borderId="0" xfId="0" applyNumberFormat="1" applyFont="1" applyAlignment="1">
      <alignment horizontal="right"/>
    </xf>
    <xf numFmtId="0" fontId="4" fillId="17" borderId="0" xfId="0" applyFont="1" applyFill="1"/>
    <xf numFmtId="165" fontId="6" fillId="0" borderId="0" xfId="41" applyNumberFormat="1" applyFont="1" applyFill="1" applyBorder="1" applyAlignment="1">
      <alignment horizontal="right" wrapText="1"/>
    </xf>
    <xf numFmtId="7" fontId="4" fillId="0" borderId="0" xfId="41" applyNumberFormat="1" applyFont="1" applyFill="1" applyBorder="1" applyAlignment="1">
      <alignment horizontal="right" wrapText="1"/>
    </xf>
    <xf numFmtId="168" fontId="6" fillId="0" borderId="0" xfId="62" applyNumberFormat="1" applyFont="1" applyFill="1"/>
    <xf numFmtId="168" fontId="6" fillId="0" borderId="0" xfId="0" applyNumberFormat="1" applyFont="1" applyFill="1" applyAlignment="1">
      <alignment horizontal="right"/>
    </xf>
    <xf numFmtId="168" fontId="6" fillId="0" borderId="0" xfId="62" applyNumberFormat="1" applyFont="1" applyFill="1" applyBorder="1"/>
    <xf numFmtId="167" fontId="19" fillId="0" borderId="0" xfId="41" applyNumberFormat="1" applyFont="1" applyFill="1" applyBorder="1" applyAlignment="1">
      <alignment horizontal="right"/>
    </xf>
    <xf numFmtId="172" fontId="6" fillId="0" borderId="0" xfId="41" applyNumberFormat="1" applyFont="1" applyFill="1" applyBorder="1" applyAlignment="1">
      <alignment horizontal="right" wrapText="1"/>
    </xf>
    <xf numFmtId="37" fontId="4" fillId="0" borderId="0" xfId="41" applyNumberFormat="1" applyFont="1" applyFill="1" applyBorder="1" applyAlignment="1">
      <alignment horizontal="right"/>
    </xf>
    <xf numFmtId="182" fontId="6" fillId="0" borderId="0" xfId="41" applyNumberFormat="1" applyFont="1" applyFill="1" applyBorder="1" applyAlignment="1">
      <alignment horizontal="right" wrapText="1"/>
    </xf>
    <xf numFmtId="167" fontId="8" fillId="0" borderId="0" xfId="41" applyNumberFormat="1" applyFont="1" applyFill="1" applyBorder="1" applyAlignment="1">
      <alignment horizontal="right"/>
    </xf>
    <xf numFmtId="167" fontId="4" fillId="0" borderId="17" xfId="41" applyNumberFormat="1" applyFont="1" applyFill="1" applyBorder="1" applyAlignment="1">
      <alignment horizontal="right"/>
    </xf>
    <xf numFmtId="167" fontId="4" fillId="0" borderId="19" xfId="41" applyNumberFormat="1" applyFont="1" applyFill="1" applyBorder="1" applyAlignment="1">
      <alignment horizontal="right"/>
    </xf>
    <xf numFmtId="0" fontId="11" fillId="17" borderId="0" xfId="55" applyFont="1" applyFill="1" applyBorder="1" applyAlignment="1">
      <alignment horizontal="left"/>
    </xf>
    <xf numFmtId="164" fontId="6" fillId="0" borderId="11" xfId="0" applyNumberFormat="1" applyFont="1" applyFill="1" applyBorder="1" applyAlignment="1">
      <alignment horizontal="center"/>
    </xf>
    <xf numFmtId="0" fontId="13" fillId="17" borderId="0" xfId="0" applyFont="1" applyFill="1" applyBorder="1" applyAlignment="1">
      <alignment horizontal="center"/>
    </xf>
    <xf numFmtId="164" fontId="26" fillId="16" borderId="11" xfId="0" applyNumberFormat="1" applyFont="1" applyFill="1" applyBorder="1" applyAlignment="1">
      <alignment horizontal="center"/>
    </xf>
    <xf numFmtId="172" fontId="6" fillId="0" borderId="0" xfId="0" applyNumberFormat="1" applyFont="1" applyAlignment="1">
      <alignment horizontal="right"/>
    </xf>
    <xf numFmtId="0" fontId="6" fillId="0" borderId="0" xfId="0" applyFont="1" applyBorder="1" applyAlignment="1">
      <alignment horizontal="right"/>
    </xf>
    <xf numFmtId="167" fontId="4" fillId="0" borderId="0" xfId="0" applyNumberFormat="1" applyFont="1" applyFill="1" applyBorder="1"/>
    <xf numFmtId="165" fontId="6" fillId="0" borderId="0" xfId="0" applyNumberFormat="1" applyFont="1"/>
    <xf numFmtId="0" fontId="8" fillId="0" borderId="0" xfId="0" applyFont="1" applyFill="1" applyBorder="1" applyAlignment="1">
      <alignment horizontal="center"/>
    </xf>
    <xf numFmtId="0" fontId="17" fillId="0" borderId="0" xfId="0" applyFont="1" applyFill="1"/>
    <xf numFmtId="170" fontId="6" fillId="0" borderId="0" xfId="56" applyNumberFormat="1" applyFont="1" applyFill="1" applyBorder="1"/>
    <xf numFmtId="167" fontId="6" fillId="0" borderId="11" xfId="0" applyNumberFormat="1" applyFont="1" applyFill="1" applyBorder="1" applyAlignment="1">
      <alignment horizontal="right"/>
    </xf>
    <xf numFmtId="39" fontId="6" fillId="0" borderId="0" xfId="41" applyNumberFormat="1" applyFont="1" applyFill="1" applyAlignment="1">
      <alignment horizontal="right"/>
    </xf>
    <xf numFmtId="167" fontId="47" fillId="0" borderId="0" xfId="41" applyNumberFormat="1" applyFont="1" applyFill="1" applyBorder="1" applyAlignment="1">
      <alignment horizontal="right"/>
    </xf>
    <xf numFmtId="167" fontId="4" fillId="0" borderId="21" xfId="41" applyNumberFormat="1" applyFont="1" applyFill="1" applyBorder="1" applyAlignment="1">
      <alignment horizontal="right" wrapText="1"/>
    </xf>
    <xf numFmtId="168" fontId="6" fillId="0" borderId="12" xfId="62" applyNumberFormat="1" applyFont="1" applyFill="1" applyBorder="1"/>
    <xf numFmtId="0" fontId="4" fillId="17" borderId="0" xfId="0" applyFont="1" applyFill="1" applyBorder="1" applyAlignment="1">
      <alignment horizontal="center" vertical="center"/>
    </xf>
    <xf numFmtId="0" fontId="25" fillId="0" borderId="0" xfId="0" applyFont="1" applyFill="1" applyAlignment="1">
      <alignment horizontal="center"/>
    </xf>
    <xf numFmtId="0" fontId="4" fillId="0" borderId="0" xfId="0" applyFont="1" applyAlignment="1">
      <alignment horizontal="center"/>
    </xf>
    <xf numFmtId="165" fontId="13" fillId="0" borderId="0" xfId="42" applyNumberFormat="1" applyFont="1" applyFill="1" applyBorder="1" applyAlignment="1"/>
    <xf numFmtId="168" fontId="54" fillId="0" borderId="0" xfId="62" applyNumberFormat="1" applyFont="1" applyFill="1"/>
    <xf numFmtId="168" fontId="54" fillId="0" borderId="0" xfId="62" applyNumberFormat="1" applyFont="1" applyFill="1" applyBorder="1"/>
    <xf numFmtId="167" fontId="56" fillId="0" borderId="0" xfId="0" applyNumberFormat="1" applyFont="1" applyFill="1" applyBorder="1"/>
    <xf numFmtId="168" fontId="56" fillId="0" borderId="0" xfId="0" applyNumberFormat="1" applyFont="1" applyFill="1" applyBorder="1" applyAlignment="1">
      <alignment horizontal="right"/>
    </xf>
    <xf numFmtId="168" fontId="6" fillId="0" borderId="21" xfId="62" applyNumberFormat="1" applyFont="1" applyFill="1" applyBorder="1"/>
    <xf numFmtId="168" fontId="54" fillId="0" borderId="21" xfId="62" applyNumberFormat="1" applyFont="1" applyFill="1" applyBorder="1"/>
    <xf numFmtId="168" fontId="51" fillId="0" borderId="0" xfId="62" applyNumberFormat="1" applyFont="1" applyFill="1" applyBorder="1" applyAlignment="1">
      <alignment horizontal="right" wrapText="1"/>
    </xf>
    <xf numFmtId="168" fontId="51" fillId="0" borderId="21" xfId="62" applyNumberFormat="1" applyFont="1" applyFill="1" applyBorder="1"/>
    <xf numFmtId="168" fontId="51" fillId="0" borderId="0" xfId="62" applyNumberFormat="1" applyFont="1" applyFill="1"/>
    <xf numFmtId="0" fontId="6" fillId="0" borderId="21" xfId="0" applyFont="1" applyFill="1" applyBorder="1" applyAlignment="1">
      <alignment horizontal="left"/>
    </xf>
    <xf numFmtId="168" fontId="6" fillId="0" borderId="21" xfId="62" applyNumberFormat="1" applyFont="1" applyFill="1" applyBorder="1" applyAlignment="1">
      <alignment horizontal="left" indent="1"/>
    </xf>
    <xf numFmtId="169" fontId="6" fillId="0" borderId="0" xfId="0" applyNumberFormat="1" applyFont="1" applyFill="1" applyAlignment="1">
      <alignment horizontal="right"/>
    </xf>
    <xf numFmtId="167" fontId="13" fillId="0" borderId="0" xfId="0" applyNumberFormat="1" applyFont="1" applyFill="1" applyAlignment="1">
      <alignment horizontal="right"/>
    </xf>
    <xf numFmtId="168" fontId="11" fillId="0" borderId="0" xfId="41" applyNumberFormat="1" applyFont="1" applyFill="1" applyAlignment="1">
      <alignment horizontal="right"/>
    </xf>
    <xf numFmtId="165" fontId="11" fillId="0" borderId="0" xfId="41" applyNumberFormat="1" applyFont="1" applyFill="1" applyBorder="1" applyAlignment="1">
      <alignment horizontal="right"/>
    </xf>
    <xf numFmtId="9" fontId="13" fillId="0" borderId="0" xfId="0" applyNumberFormat="1" applyFont="1" applyFill="1" applyAlignment="1">
      <alignment horizontal="right"/>
    </xf>
    <xf numFmtId="167" fontId="46" fillId="0" borderId="0" xfId="41" applyNumberFormat="1" applyFont="1" applyFill="1" applyAlignment="1">
      <alignment horizontal="right"/>
    </xf>
    <xf numFmtId="167" fontId="55" fillId="0" borderId="0" xfId="41" applyNumberFormat="1" applyFont="1" applyFill="1" applyBorder="1" applyAlignment="1">
      <alignment horizontal="right" wrapText="1"/>
    </xf>
    <xf numFmtId="167" fontId="55" fillId="0" borderId="21" xfId="41" applyNumberFormat="1" applyFont="1" applyFill="1" applyBorder="1" applyAlignment="1">
      <alignment horizontal="right" wrapText="1"/>
    </xf>
    <xf numFmtId="0" fontId="4" fillId="0" borderId="21" xfId="0" applyFont="1" applyFill="1" applyBorder="1" applyAlignment="1">
      <alignment horizontal="left"/>
    </xf>
    <xf numFmtId="168" fontId="6" fillId="0" borderId="0" xfId="0" applyNumberFormat="1" applyFont="1" applyFill="1" applyBorder="1"/>
    <xf numFmtId="0" fontId="4" fillId="0" borderId="16" xfId="0" applyFont="1" applyFill="1" applyBorder="1" applyAlignment="1">
      <alignment horizontal="left"/>
    </xf>
    <xf numFmtId="165" fontId="56" fillId="0" borderId="21" xfId="41" applyNumberFormat="1" applyFont="1" applyFill="1" applyBorder="1"/>
    <xf numFmtId="165" fontId="56" fillId="0" borderId="0" xfId="41" applyNumberFormat="1" applyFont="1" applyFill="1" applyBorder="1"/>
    <xf numFmtId="168" fontId="6" fillId="0" borderId="12" xfId="62" applyNumberFormat="1" applyFont="1" applyFill="1" applyBorder="1" applyAlignment="1">
      <alignment horizontal="left" indent="1"/>
    </xf>
    <xf numFmtId="168" fontId="60" fillId="0" borderId="0" xfId="62" applyNumberFormat="1" applyFont="1" applyFill="1" applyBorder="1" applyAlignment="1">
      <alignment horizontal="left" indent="1"/>
    </xf>
    <xf numFmtId="166" fontId="60" fillId="0" borderId="0" xfId="41" applyNumberFormat="1" applyFont="1" applyFill="1" applyBorder="1" applyAlignment="1">
      <alignment horizontal="right"/>
    </xf>
    <xf numFmtId="167" fontId="13" fillId="0" borderId="0" xfId="41" applyNumberFormat="1" applyFont="1" applyFill="1" applyBorder="1" applyAlignment="1">
      <alignment horizontal="right"/>
    </xf>
    <xf numFmtId="168" fontId="6" fillId="0" borderId="0" xfId="0" applyNumberFormat="1" applyFont="1" applyFill="1" applyBorder="1" applyAlignment="1">
      <alignment horizontal="right"/>
    </xf>
    <xf numFmtId="167" fontId="13" fillId="0" borderId="0" xfId="41" applyNumberFormat="1" applyFont="1" applyFill="1" applyAlignment="1">
      <alignment horizontal="right"/>
    </xf>
    <xf numFmtId="43" fontId="17" fillId="0" borderId="0" xfId="41" applyFont="1" applyFill="1" applyAlignment="1">
      <alignment horizontal="right"/>
    </xf>
    <xf numFmtId="9" fontId="6" fillId="0" borderId="0" xfId="62" applyFont="1"/>
    <xf numFmtId="37" fontId="6" fillId="0" borderId="0" xfId="0" applyNumberFormat="1" applyFont="1"/>
    <xf numFmtId="43" fontId="6" fillId="0" borderId="0" xfId="41" applyFont="1"/>
    <xf numFmtId="174" fontId="6" fillId="0" borderId="0" xfId="0" applyNumberFormat="1" applyFont="1"/>
    <xf numFmtId="174" fontId="6" fillId="0" borderId="0" xfId="0" applyNumberFormat="1" applyFont="1" applyFill="1"/>
    <xf numFmtId="175" fontId="6" fillId="0" borderId="0" xfId="0" applyNumberFormat="1" applyFont="1" applyFill="1" applyAlignment="1">
      <alignment horizontal="right"/>
    </xf>
    <xf numFmtId="178" fontId="17" fillId="0" borderId="0" xfId="0" applyNumberFormat="1" applyFont="1" applyFill="1" applyAlignment="1">
      <alignment horizontal="right"/>
    </xf>
    <xf numFmtId="170" fontId="6" fillId="0" borderId="0" xfId="0" applyNumberFormat="1" applyFont="1" applyFill="1" applyBorder="1"/>
    <xf numFmtId="168" fontId="6" fillId="0" borderId="22" xfId="62" applyNumberFormat="1" applyFont="1" applyFill="1" applyBorder="1"/>
    <xf numFmtId="168" fontId="6" fillId="0" borderId="11" xfId="62" applyNumberFormat="1" applyFont="1" applyFill="1" applyBorder="1"/>
    <xf numFmtId="0" fontId="4" fillId="0" borderId="12" xfId="0" applyFont="1" applyFill="1" applyBorder="1" applyAlignment="1">
      <alignment horizontal="left"/>
    </xf>
    <xf numFmtId="168" fontId="60" fillId="0" borderId="12" xfId="62" applyNumberFormat="1" applyFont="1" applyFill="1" applyBorder="1" applyAlignment="1">
      <alignment horizontal="left" indent="1"/>
    </xf>
    <xf numFmtId="0" fontId="6" fillId="0" borderId="20" xfId="0" applyFont="1" applyFill="1" applyBorder="1" applyAlignment="1">
      <alignment horizontal="left"/>
    </xf>
    <xf numFmtId="167" fontId="18" fillId="0" borderId="0" xfId="0" applyNumberFormat="1" applyFont="1" applyFill="1" applyAlignment="1">
      <alignment horizontal="center"/>
    </xf>
    <xf numFmtId="167" fontId="6" fillId="0" borderId="0" xfId="0" applyNumberFormat="1" applyFont="1"/>
    <xf numFmtId="167" fontId="4" fillId="0" borderId="11" xfId="41" applyNumberFormat="1" applyFont="1" applyFill="1" applyBorder="1" applyAlignment="1">
      <alignment horizontal="right"/>
    </xf>
    <xf numFmtId="167" fontId="6" fillId="0" borderId="0" xfId="0" applyNumberFormat="1" applyFont="1" applyFill="1"/>
    <xf numFmtId="167" fontId="17" fillId="0" borderId="0" xfId="41" applyNumberFormat="1" applyFont="1" applyFill="1" applyAlignment="1">
      <alignment horizontal="right"/>
    </xf>
    <xf numFmtId="167" fontId="11" fillId="0" borderId="0" xfId="41" applyNumberFormat="1" applyFont="1" applyFill="1" applyBorder="1" applyAlignment="1">
      <alignment horizontal="right"/>
    </xf>
    <xf numFmtId="167" fontId="13" fillId="0" borderId="14" xfId="41" applyNumberFormat="1" applyFont="1" applyFill="1" applyBorder="1" applyAlignment="1">
      <alignment horizontal="right"/>
    </xf>
    <xf numFmtId="167" fontId="6" fillId="0" borderId="14" xfId="41" applyNumberFormat="1" applyFont="1" applyFill="1" applyBorder="1" applyAlignment="1">
      <alignment horizontal="right"/>
    </xf>
    <xf numFmtId="167" fontId="17" fillId="0" borderId="0" xfId="41" applyNumberFormat="1" applyFont="1" applyFill="1" applyBorder="1" applyAlignment="1">
      <alignment horizontal="right"/>
    </xf>
    <xf numFmtId="167" fontId="17" fillId="0" borderId="0" xfId="0" applyNumberFormat="1" applyFont="1" applyFill="1" applyAlignment="1">
      <alignment horizontal="right"/>
    </xf>
    <xf numFmtId="167" fontId="57" fillId="0" borderId="21" xfId="41" applyNumberFormat="1" applyFont="1" applyFill="1" applyBorder="1"/>
    <xf numFmtId="167" fontId="57" fillId="0" borderId="0" xfId="41" applyNumberFormat="1" applyFont="1" applyFill="1" applyBorder="1"/>
    <xf numFmtId="167" fontId="6" fillId="0" borderId="0" xfId="41" applyNumberFormat="1" applyFont="1" applyFill="1" applyBorder="1"/>
    <xf numFmtId="167" fontId="6" fillId="0" borderId="21" xfId="41" applyNumberFormat="1" applyFont="1" applyFill="1" applyBorder="1"/>
    <xf numFmtId="167" fontId="4" fillId="0" borderId="21" xfId="41" applyNumberFormat="1" applyFont="1" applyFill="1" applyBorder="1"/>
    <xf numFmtId="167" fontId="4" fillId="0" borderId="0" xfId="41" applyNumberFormat="1" applyFont="1" applyFill="1" applyBorder="1"/>
    <xf numFmtId="167" fontId="57" fillId="0" borderId="16" xfId="41" applyNumberFormat="1" applyFont="1" applyFill="1" applyBorder="1"/>
    <xf numFmtId="167" fontId="57" fillId="0" borderId="15" xfId="41" applyNumberFormat="1" applyFont="1" applyFill="1" applyBorder="1"/>
    <xf numFmtId="167" fontId="4" fillId="0" borderId="16" xfId="41" applyNumberFormat="1" applyFont="1" applyFill="1" applyBorder="1"/>
    <xf numFmtId="167" fontId="4" fillId="0" borderId="15" xfId="41" applyNumberFormat="1" applyFont="1" applyFill="1" applyBorder="1"/>
    <xf numFmtId="167" fontId="27" fillId="0" borderId="0" xfId="41" applyNumberFormat="1" applyFont="1" applyFill="1" applyBorder="1" applyAlignment="1">
      <alignment horizontal="right"/>
    </xf>
    <xf numFmtId="167" fontId="6" fillId="0" borderId="17" xfId="41" applyNumberFormat="1" applyFont="1" applyFill="1" applyBorder="1" applyAlignment="1">
      <alignment horizontal="right" wrapText="1"/>
    </xf>
    <xf numFmtId="167" fontId="6" fillId="0" borderId="21" xfId="41" applyNumberFormat="1" applyFont="1" applyFill="1" applyBorder="1" applyAlignment="1">
      <alignment horizontal="right" wrapText="1"/>
    </xf>
    <xf numFmtId="167" fontId="6" fillId="0" borderId="23" xfId="41" applyNumberFormat="1" applyFont="1" applyFill="1" applyBorder="1" applyAlignment="1">
      <alignment horizontal="right" wrapText="1"/>
    </xf>
    <xf numFmtId="167" fontId="55" fillId="0" borderId="14" xfId="41" applyNumberFormat="1" applyFont="1" applyFill="1" applyBorder="1" applyAlignment="1">
      <alignment horizontal="right"/>
    </xf>
    <xf numFmtId="166" fontId="6" fillId="0" borderId="0" xfId="41" applyNumberFormat="1" applyFont="1" applyFill="1" applyAlignment="1">
      <alignment horizontal="right"/>
    </xf>
    <xf numFmtId="167" fontId="25" fillId="0" borderId="0" xfId="41" applyNumberFormat="1" applyFont="1" applyFill="1" applyBorder="1" applyAlignment="1">
      <alignment horizontal="left"/>
    </xf>
    <xf numFmtId="171" fontId="13" fillId="0" borderId="0" xfId="41" applyNumberFormat="1" applyFont="1" applyFill="1" applyBorder="1" applyAlignment="1">
      <alignment horizontal="right"/>
    </xf>
    <xf numFmtId="171" fontId="6" fillId="0" borderId="0" xfId="0" applyNumberFormat="1" applyFont="1" applyFill="1" applyBorder="1" applyAlignment="1">
      <alignment horizontal="right"/>
    </xf>
    <xf numFmtId="0" fontId="6" fillId="17" borderId="0" xfId="0" applyFont="1" applyFill="1"/>
    <xf numFmtId="168" fontId="6" fillId="0" borderId="0" xfId="62" applyNumberFormat="1" applyFont="1" applyFill="1" applyBorder="1" applyAlignment="1">
      <alignment horizontal="left" indent="1"/>
    </xf>
    <xf numFmtId="0" fontId="4" fillId="17" borderId="0" xfId="0" applyFont="1" applyFill="1" applyAlignment="1">
      <alignment wrapText="1"/>
    </xf>
    <xf numFmtId="5" fontId="6" fillId="0" borderId="0" xfId="0" applyNumberFormat="1" applyFont="1" applyFill="1" applyBorder="1" applyAlignment="1">
      <alignment horizontal="right"/>
    </xf>
    <xf numFmtId="0" fontId="28" fillId="17" borderId="0" xfId="55" applyFont="1" applyFill="1" applyBorder="1" applyAlignment="1">
      <alignment horizontal="left"/>
    </xf>
    <xf numFmtId="7" fontId="6" fillId="0" borderId="0" xfId="0" applyNumberFormat="1" applyFont="1" applyFill="1" applyBorder="1" applyAlignment="1">
      <alignment horizontal="right"/>
    </xf>
    <xf numFmtId="7" fontId="6" fillId="0" borderId="0" xfId="0" applyNumberFormat="1" applyFont="1" applyAlignment="1">
      <alignment horizontal="right"/>
    </xf>
    <xf numFmtId="177" fontId="6" fillId="0" borderId="0" xfId="0" applyNumberFormat="1" applyFont="1" applyAlignment="1">
      <alignment horizontal="right"/>
    </xf>
    <xf numFmtId="39" fontId="6" fillId="0" borderId="0" xfId="0" applyNumberFormat="1" applyFont="1" applyAlignment="1">
      <alignment horizontal="right"/>
    </xf>
    <xf numFmtId="167" fontId="6" fillId="0" borderId="0" xfId="0" applyNumberFormat="1" applyFont="1" applyBorder="1" applyAlignment="1">
      <alignment horizontal="right"/>
    </xf>
    <xf numFmtId="172" fontId="6" fillId="0" borderId="0" xfId="0" applyNumberFormat="1" applyFont="1" applyBorder="1" applyAlignment="1">
      <alignment horizontal="right"/>
    </xf>
    <xf numFmtId="180" fontId="6" fillId="0" borderId="0" xfId="0" applyNumberFormat="1" applyFont="1"/>
    <xf numFmtId="7" fontId="6" fillId="0" borderId="0" xfId="0" applyNumberFormat="1" applyFont="1"/>
    <xf numFmtId="9" fontId="6" fillId="0" borderId="0" xfId="62" applyFont="1" applyBorder="1" applyAlignment="1">
      <alignment horizontal="right"/>
    </xf>
    <xf numFmtId="7" fontId="6" fillId="0" borderId="0" xfId="0" applyNumberFormat="1" applyFont="1" applyFill="1" applyBorder="1"/>
    <xf numFmtId="7" fontId="25" fillId="0" borderId="0" xfId="0" applyNumberFormat="1" applyFont="1" applyFill="1" applyBorder="1"/>
    <xf numFmtId="43" fontId="6" fillId="0" borderId="0" xfId="41" applyFont="1" applyFill="1" applyBorder="1" applyAlignment="1">
      <alignment horizontal="right"/>
    </xf>
    <xf numFmtId="0" fontId="4" fillId="0" borderId="0" xfId="0" applyFont="1"/>
    <xf numFmtId="167" fontId="6" fillId="0" borderId="0" xfId="62" applyNumberFormat="1" applyFont="1" applyAlignment="1">
      <alignment horizontal="right"/>
    </xf>
    <xf numFmtId="169" fontId="6" fillId="0" borderId="0" xfId="0" applyNumberFormat="1" applyFont="1" applyFill="1" applyBorder="1" applyAlignment="1">
      <alignment horizontal="right"/>
    </xf>
    <xf numFmtId="43" fontId="6" fillId="0" borderId="0" xfId="0" applyNumberFormat="1" applyFont="1"/>
    <xf numFmtId="0" fontId="6" fillId="0" borderId="11" xfId="0" applyFont="1" applyBorder="1"/>
    <xf numFmtId="9" fontId="6" fillId="0" borderId="0" xfId="0" applyNumberFormat="1" applyFont="1" applyFill="1" applyBorder="1"/>
    <xf numFmtId="9" fontId="6" fillId="0" borderId="0" xfId="0" applyNumberFormat="1" applyFont="1"/>
    <xf numFmtId="0" fontId="11" fillId="0" borderId="0" xfId="0" applyFont="1" applyFill="1"/>
    <xf numFmtId="0" fontId="4" fillId="0" borderId="0" xfId="0" applyFont="1" applyBorder="1"/>
    <xf numFmtId="0" fontId="4" fillId="0" borderId="0" xfId="0" applyFont="1" applyFill="1" applyBorder="1" applyAlignment="1">
      <alignment horizontal="left"/>
    </xf>
    <xf numFmtId="165" fontId="4" fillId="0" borderId="0" xfId="41" applyNumberFormat="1" applyFont="1" applyFill="1" applyBorder="1" applyAlignment="1">
      <alignment horizontal="right"/>
    </xf>
    <xf numFmtId="167" fontId="51" fillId="0" borderId="14" xfId="0" applyNumberFormat="1" applyFont="1" applyFill="1" applyBorder="1" applyAlignment="1">
      <alignment horizontal="right"/>
    </xf>
    <xf numFmtId="167" fontId="8" fillId="0" borderId="0" xfId="0" applyNumberFormat="1" applyFont="1" applyFill="1" applyBorder="1" applyAlignment="1">
      <alignment horizontal="center"/>
    </xf>
    <xf numFmtId="185" fontId="61" fillId="0" borderId="0" xfId="0" applyNumberFormat="1" applyFont="1" applyFill="1" applyAlignment="1">
      <alignment horizontal="right"/>
    </xf>
    <xf numFmtId="185" fontId="13" fillId="0" borderId="0" xfId="41" applyNumberFormat="1" applyFont="1" applyFill="1" applyAlignment="1">
      <alignment horizontal="right"/>
    </xf>
    <xf numFmtId="185" fontId="4" fillId="0" borderId="0" xfId="0" applyNumberFormat="1" applyFont="1" applyFill="1" applyBorder="1" applyAlignment="1">
      <alignment horizontal="right"/>
    </xf>
    <xf numFmtId="43" fontId="18" fillId="0" borderId="0" xfId="41" applyFont="1" applyFill="1"/>
    <xf numFmtId="173" fontId="55" fillId="0" borderId="0" xfId="0" applyNumberFormat="1" applyFont="1" applyFill="1" applyAlignment="1">
      <alignment horizontal="right"/>
    </xf>
    <xf numFmtId="9" fontId="6" fillId="0" borderId="0" xfId="0" applyNumberFormat="1" applyFont="1" applyFill="1" applyBorder="1" applyAlignment="1">
      <alignment horizontal="right"/>
    </xf>
    <xf numFmtId="43" fontId="18" fillId="0" borderId="0" xfId="41" applyFont="1" applyFill="1" applyBorder="1" applyAlignment="1">
      <alignment horizontal="right"/>
    </xf>
    <xf numFmtId="185" fontId="6" fillId="0" borderId="0" xfId="0" applyNumberFormat="1" applyFont="1" applyFill="1" applyAlignment="1">
      <alignment horizontal="right"/>
    </xf>
    <xf numFmtId="7" fontId="4" fillId="22" borderId="13" xfId="0" applyNumberFormat="1" applyFont="1" applyFill="1" applyBorder="1" applyAlignment="1">
      <alignment horizontal="right"/>
    </xf>
    <xf numFmtId="43" fontId="6" fillId="0" borderId="0" xfId="41" applyFont="1" applyFill="1" applyAlignment="1">
      <alignment horizontal="right"/>
    </xf>
    <xf numFmtId="167" fontId="11" fillId="0" borderId="0" xfId="62" applyNumberFormat="1" applyFont="1" applyFill="1" applyAlignment="1">
      <alignment horizontal="right"/>
    </xf>
    <xf numFmtId="0" fontId="52" fillId="0" borderId="0" xfId="0" applyFont="1" applyFill="1" applyAlignment="1">
      <alignment horizontal="left"/>
    </xf>
    <xf numFmtId="167" fontId="54" fillId="0" borderId="0" xfId="41" applyNumberFormat="1" applyFont="1" applyFill="1" applyBorder="1" applyAlignment="1">
      <alignment horizontal="right"/>
    </xf>
    <xf numFmtId="173" fontId="4" fillId="0" borderId="0" xfId="0" applyNumberFormat="1" applyFont="1" applyFill="1" applyAlignment="1">
      <alignment horizontal="right"/>
    </xf>
    <xf numFmtId="167" fontId="55" fillId="0" borderId="0" xfId="41" applyNumberFormat="1" applyFont="1" applyFill="1" applyBorder="1" applyAlignment="1">
      <alignment horizontal="right"/>
    </xf>
    <xf numFmtId="167" fontId="4" fillId="0" borderId="25" xfId="41" applyNumberFormat="1" applyFont="1" applyFill="1" applyBorder="1" applyAlignment="1">
      <alignment horizontal="right"/>
    </xf>
    <xf numFmtId="43" fontId="60" fillId="0" borderId="0" xfId="41" applyFont="1" applyFill="1"/>
    <xf numFmtId="43" fontId="60" fillId="0" borderId="0" xfId="41" applyFont="1" applyFill="1" applyAlignment="1">
      <alignment horizontal="right"/>
    </xf>
    <xf numFmtId="0" fontId="18" fillId="0" borderId="0" xfId="0" applyFont="1" applyFill="1" applyAlignment="1">
      <alignment horizontal="center"/>
    </xf>
    <xf numFmtId="168" fontId="11" fillId="0" borderId="0" xfId="62" applyNumberFormat="1" applyFont="1" applyFill="1" applyBorder="1" applyAlignment="1">
      <alignment horizontal="right"/>
    </xf>
    <xf numFmtId="7" fontId="4" fillId="0" borderId="0" xfId="0" applyNumberFormat="1" applyFont="1" applyFill="1" applyBorder="1" applyAlignment="1">
      <alignment horizontal="left" indent="1"/>
    </xf>
    <xf numFmtId="7" fontId="4" fillId="0" borderId="0" xfId="41" applyNumberFormat="1" applyFont="1" applyFill="1" applyBorder="1" applyAlignment="1">
      <alignment horizontal="right"/>
    </xf>
    <xf numFmtId="7" fontId="17" fillId="0" borderId="0" xfId="41" applyNumberFormat="1" applyFont="1" applyFill="1" applyBorder="1" applyAlignment="1">
      <alignment horizontal="left"/>
    </xf>
    <xf numFmtId="181" fontId="4" fillId="0" borderId="0" xfId="41" applyNumberFormat="1" applyFont="1" applyFill="1" applyBorder="1" applyAlignment="1">
      <alignment horizontal="right"/>
    </xf>
    <xf numFmtId="7" fontId="6" fillId="0" borderId="0" xfId="0" applyNumberFormat="1" applyFont="1" applyFill="1"/>
    <xf numFmtId="179" fontId="4" fillId="0" borderId="0" xfId="41" applyNumberFormat="1" applyFont="1" applyFill="1" applyBorder="1" applyAlignment="1">
      <alignment horizontal="right"/>
    </xf>
    <xf numFmtId="167" fontId="54" fillId="0" borderId="0" xfId="41" applyNumberFormat="1" applyFont="1" applyFill="1" applyBorder="1" applyAlignment="1">
      <alignment horizontal="right" wrapText="1"/>
    </xf>
    <xf numFmtId="167" fontId="62" fillId="0" borderId="0" xfId="0" applyNumberFormat="1" applyFont="1" applyFill="1" applyBorder="1" applyAlignment="1">
      <alignment horizontal="right"/>
    </xf>
    <xf numFmtId="167" fontId="58" fillId="0" borderId="0" xfId="41" applyNumberFormat="1" applyFont="1" applyFill="1" applyBorder="1" applyAlignment="1">
      <alignment horizontal="right" wrapText="1"/>
    </xf>
    <xf numFmtId="167" fontId="62" fillId="0" borderId="0" xfId="41" applyNumberFormat="1" applyFont="1" applyFill="1" applyBorder="1" applyAlignment="1">
      <alignment horizontal="right" wrapText="1"/>
    </xf>
    <xf numFmtId="167" fontId="54" fillId="0" borderId="21" xfId="41" applyNumberFormat="1" applyFont="1" applyFill="1" applyBorder="1" applyAlignment="1">
      <alignment horizontal="right" wrapText="1"/>
    </xf>
    <xf numFmtId="0" fontId="7" fillId="0" borderId="0" xfId="0" applyFont="1" applyFill="1" applyBorder="1" applyAlignment="1">
      <alignment horizontal="center"/>
    </xf>
    <xf numFmtId="164" fontId="4" fillId="0" borderId="0" xfId="0" applyNumberFormat="1" applyFont="1" applyFill="1" applyBorder="1" applyAlignment="1">
      <alignment horizontal="center"/>
    </xf>
    <xf numFmtId="0" fontId="18" fillId="0" borderId="0" xfId="0" applyFont="1" applyFill="1" applyBorder="1" applyAlignment="1">
      <alignment horizontal="center"/>
    </xf>
    <xf numFmtId="168" fontId="11" fillId="0" borderId="0" xfId="62" applyNumberFormat="1" applyFont="1" applyFill="1" applyBorder="1"/>
    <xf numFmtId="172" fontId="6" fillId="0" borderId="0" xfId="0" applyNumberFormat="1" applyFont="1" applyFill="1" applyBorder="1"/>
    <xf numFmtId="167" fontId="6" fillId="0" borderId="0" xfId="62" applyNumberFormat="1" applyFont="1" applyFill="1" applyBorder="1" applyAlignment="1">
      <alignment horizontal="right"/>
    </xf>
    <xf numFmtId="173" fontId="55" fillId="0" borderId="0" xfId="0" applyNumberFormat="1" applyFont="1" applyFill="1" applyBorder="1" applyAlignment="1">
      <alignment horizontal="right"/>
    </xf>
    <xf numFmtId="10" fontId="6" fillId="0" borderId="0" xfId="0" applyNumberFormat="1" applyFont="1" applyFill="1" applyBorder="1" applyAlignment="1">
      <alignment horizontal="right"/>
    </xf>
    <xf numFmtId="168" fontId="13" fillId="0" borderId="0" xfId="62" applyNumberFormat="1" applyFont="1" applyFill="1" applyBorder="1" applyAlignment="1">
      <alignment horizontal="right"/>
    </xf>
    <xf numFmtId="1" fontId="56" fillId="0" borderId="0" xfId="0" applyNumberFormat="1" applyFont="1" applyFill="1" applyBorder="1"/>
    <xf numFmtId="167" fontId="58" fillId="0" borderId="21" xfId="41" applyNumberFormat="1" applyFont="1" applyFill="1" applyBorder="1" applyAlignment="1">
      <alignment horizontal="right" wrapText="1"/>
    </xf>
    <xf numFmtId="167" fontId="62" fillId="0" borderId="21" xfId="41" applyNumberFormat="1" applyFont="1" applyFill="1" applyBorder="1" applyAlignment="1">
      <alignment horizontal="right" wrapText="1"/>
    </xf>
    <xf numFmtId="173" fontId="6" fillId="0" borderId="21" xfId="0" applyNumberFormat="1" applyFont="1" applyFill="1" applyBorder="1" applyAlignment="1">
      <alignment horizontal="right"/>
    </xf>
    <xf numFmtId="173" fontId="55" fillId="0" borderId="21" xfId="0" applyNumberFormat="1" applyFont="1" applyFill="1" applyBorder="1" applyAlignment="1">
      <alignment horizontal="right"/>
    </xf>
    <xf numFmtId="167" fontId="6" fillId="0" borderId="21" xfId="41" applyNumberFormat="1" applyFont="1" applyFill="1" applyBorder="1" applyAlignment="1">
      <alignment horizontal="right"/>
    </xf>
    <xf numFmtId="167" fontId="54" fillId="0" borderId="21" xfId="41" applyNumberFormat="1" applyFont="1" applyFill="1" applyBorder="1" applyAlignment="1">
      <alignment horizontal="right"/>
    </xf>
    <xf numFmtId="167" fontId="6" fillId="0" borderId="12" xfId="41" applyNumberFormat="1" applyFont="1" applyFill="1" applyBorder="1" applyAlignment="1">
      <alignment horizontal="right"/>
    </xf>
    <xf numFmtId="173" fontId="6" fillId="0" borderId="23" xfId="0" applyNumberFormat="1" applyFont="1" applyFill="1" applyBorder="1" applyAlignment="1">
      <alignment horizontal="right"/>
    </xf>
    <xf numFmtId="173" fontId="6" fillId="0" borderId="17" xfId="0" applyNumberFormat="1" applyFont="1" applyFill="1" applyBorder="1" applyAlignment="1">
      <alignment horizontal="right"/>
    </xf>
    <xf numFmtId="173" fontId="6" fillId="0" borderId="22" xfId="0" applyNumberFormat="1" applyFont="1" applyFill="1" applyBorder="1" applyAlignment="1">
      <alignment horizontal="right"/>
    </xf>
    <xf numFmtId="173" fontId="6" fillId="0" borderId="11" xfId="0" applyNumberFormat="1" applyFont="1" applyFill="1" applyBorder="1" applyAlignment="1">
      <alignment horizontal="right"/>
    </xf>
    <xf numFmtId="167" fontId="6" fillId="0" borderId="22" xfId="41" applyNumberFormat="1" applyFont="1" applyFill="1" applyBorder="1" applyAlignment="1">
      <alignment horizontal="right" wrapText="1"/>
    </xf>
    <xf numFmtId="167" fontId="6" fillId="0" borderId="11" xfId="41" applyNumberFormat="1" applyFont="1" applyFill="1" applyBorder="1" applyAlignment="1">
      <alignment horizontal="right" wrapText="1"/>
    </xf>
    <xf numFmtId="173" fontId="55" fillId="0" borderId="23" xfId="0" applyNumberFormat="1" applyFont="1" applyFill="1" applyBorder="1" applyAlignment="1">
      <alignment horizontal="right"/>
    </xf>
    <xf numFmtId="173" fontId="55" fillId="0" borderId="17" xfId="0" applyNumberFormat="1" applyFont="1" applyFill="1" applyBorder="1" applyAlignment="1">
      <alignment horizontal="right"/>
    </xf>
    <xf numFmtId="167" fontId="54" fillId="0" borderId="23" xfId="41" applyNumberFormat="1" applyFont="1" applyFill="1" applyBorder="1" applyAlignment="1">
      <alignment horizontal="right" wrapText="1"/>
    </xf>
    <xf numFmtId="43" fontId="6" fillId="0" borderId="0" xfId="0" applyNumberFormat="1" applyFont="1" applyFill="1" applyAlignment="1">
      <alignment horizontal="right"/>
    </xf>
    <xf numFmtId="0" fontId="25" fillId="0" borderId="0" xfId="0" applyFont="1" applyFill="1" applyAlignment="1">
      <alignment horizontal="left"/>
    </xf>
    <xf numFmtId="9" fontId="6" fillId="0" borderId="0" xfId="62" applyFont="1" applyFill="1" applyAlignment="1">
      <alignment horizontal="right"/>
    </xf>
    <xf numFmtId="168" fontId="6" fillId="0" borderId="0" xfId="62" applyNumberFormat="1" applyFont="1"/>
    <xf numFmtId="44" fontId="6" fillId="0" borderId="0" xfId="43" applyFont="1" applyFill="1" applyAlignment="1">
      <alignment horizontal="right"/>
    </xf>
    <xf numFmtId="0" fontId="56" fillId="0" borderId="0" xfId="0" applyFont="1"/>
    <xf numFmtId="165" fontId="6" fillId="0" borderId="0" xfId="0" applyNumberFormat="1" applyFont="1" applyFill="1"/>
    <xf numFmtId="0" fontId="56" fillId="0" borderId="0" xfId="0" applyFont="1" applyFill="1" applyBorder="1"/>
    <xf numFmtId="173" fontId="51" fillId="0" borderId="0" xfId="62" applyNumberFormat="1" applyFont="1" applyFill="1" applyBorder="1"/>
    <xf numFmtId="173" fontId="54" fillId="0" borderId="0" xfId="62" applyNumberFormat="1" applyFont="1" applyFill="1" applyBorder="1"/>
    <xf numFmtId="173" fontId="6" fillId="0" borderId="21" xfId="62" applyNumberFormat="1" applyFont="1" applyFill="1" applyBorder="1"/>
    <xf numFmtId="173" fontId="6" fillId="0" borderId="0" xfId="62" applyNumberFormat="1" applyFont="1" applyFill="1" applyBorder="1"/>
    <xf numFmtId="173" fontId="54" fillId="0" borderId="21" xfId="62" applyNumberFormat="1" applyFont="1" applyFill="1" applyBorder="1"/>
    <xf numFmtId="173" fontId="55" fillId="0" borderId="0" xfId="62" applyNumberFormat="1" applyFont="1" applyFill="1" applyBorder="1"/>
    <xf numFmtId="173" fontId="55" fillId="0" borderId="21" xfId="62" applyNumberFormat="1" applyFont="1" applyFill="1" applyBorder="1"/>
    <xf numFmtId="173" fontId="6" fillId="0" borderId="0" xfId="0" applyNumberFormat="1" applyFont="1" applyFill="1" applyBorder="1"/>
    <xf numFmtId="173" fontId="6" fillId="0" borderId="0" xfId="62" applyNumberFormat="1" applyFont="1" applyFill="1"/>
    <xf numFmtId="173" fontId="54" fillId="0" borderId="0" xfId="62" applyNumberFormat="1" applyFont="1" applyFill="1"/>
    <xf numFmtId="173" fontId="51" fillId="0" borderId="0" xfId="62" applyNumberFormat="1" applyFont="1" applyFill="1" applyBorder="1" applyAlignment="1">
      <alignment horizontal="right" wrapText="1"/>
    </xf>
    <xf numFmtId="173" fontId="47" fillId="0" borderId="0" xfId="41" applyNumberFormat="1" applyFont="1" applyFill="1" applyBorder="1" applyAlignment="1">
      <alignment horizontal="right"/>
    </xf>
    <xf numFmtId="167" fontId="63" fillId="0" borderId="21" xfId="41" applyNumberFormat="1" applyFont="1" applyFill="1" applyBorder="1"/>
    <xf numFmtId="167" fontId="63" fillId="0" borderId="0" xfId="41" applyNumberFormat="1" applyFont="1" applyFill="1" applyBorder="1"/>
    <xf numFmtId="167" fontId="54" fillId="0" borderId="21" xfId="41" applyNumberFormat="1" applyFont="1" applyFill="1" applyBorder="1"/>
    <xf numFmtId="167" fontId="54" fillId="0" borderId="0" xfId="41" applyNumberFormat="1" applyFont="1" applyFill="1" applyBorder="1"/>
    <xf numFmtId="0" fontId="3" fillId="0" borderId="0" xfId="71"/>
    <xf numFmtId="0" fontId="4" fillId="0" borderId="0" xfId="71" applyFont="1" applyFill="1" applyBorder="1"/>
    <xf numFmtId="0" fontId="6" fillId="0" borderId="12" xfId="0" applyFont="1" applyFill="1" applyBorder="1" applyAlignment="1">
      <alignment horizontal="left"/>
    </xf>
    <xf numFmtId="0" fontId="52" fillId="23" borderId="23" xfId="0" applyFont="1" applyFill="1" applyBorder="1"/>
    <xf numFmtId="0" fontId="52" fillId="23" borderId="26" xfId="0" applyFont="1" applyFill="1" applyBorder="1"/>
    <xf numFmtId="9" fontId="6" fillId="0" borderId="0" xfId="62" applyFont="1" applyFill="1" applyBorder="1"/>
    <xf numFmtId="0" fontId="6" fillId="0" borderId="0" xfId="0" applyFont="1"/>
    <xf numFmtId="9" fontId="6" fillId="0" borderId="0" xfId="62" applyFont="1" applyFill="1"/>
    <xf numFmtId="168" fontId="3" fillId="0" borderId="0" xfId="62" applyNumberFormat="1" applyFill="1"/>
    <xf numFmtId="168" fontId="3" fillId="0" borderId="0" xfId="62" applyNumberFormat="1" applyFill="1" applyBorder="1"/>
    <xf numFmtId="167" fontId="6" fillId="0" borderId="32" xfId="41" applyNumberFormat="1" applyFont="1" applyFill="1" applyBorder="1" applyAlignment="1" applyProtection="1">
      <alignment horizontal="right"/>
      <protection locked="0"/>
    </xf>
    <xf numFmtId="167" fontId="4" fillId="0" borderId="32" xfId="41" applyNumberFormat="1" applyFont="1" applyFill="1" applyBorder="1" applyAlignment="1" applyProtection="1">
      <alignment horizontal="right"/>
      <protection locked="0"/>
    </xf>
    <xf numFmtId="168" fontId="4" fillId="0" borderId="32" xfId="62" applyNumberFormat="1" applyFont="1" applyFill="1" applyBorder="1" applyAlignment="1" applyProtection="1">
      <alignment horizontal="right"/>
      <protection locked="0"/>
    </xf>
    <xf numFmtId="0" fontId="3" fillId="0" borderId="0" xfId="71" applyFont="1"/>
    <xf numFmtId="0" fontId="3" fillId="0" borderId="0" xfId="76" applyFill="1"/>
    <xf numFmtId="199" fontId="25" fillId="0" borderId="0" xfId="76" applyNumberFormat="1" applyFont="1" applyFill="1" applyBorder="1" applyAlignment="1">
      <alignment horizontal="left"/>
    </xf>
    <xf numFmtId="199" fontId="4" fillId="0" borderId="0" xfId="76" applyNumberFormat="1" applyFont="1" applyFill="1" applyBorder="1" applyAlignment="1">
      <alignment horizontal="center"/>
    </xf>
    <xf numFmtId="0" fontId="6" fillId="0" borderId="0" xfId="76" applyFont="1" applyFill="1"/>
    <xf numFmtId="0" fontId="69" fillId="0" borderId="0" xfId="76" applyFont="1" applyFill="1" applyBorder="1" applyAlignment="1"/>
    <xf numFmtId="199" fontId="25" fillId="0" borderId="0" xfId="76" applyNumberFormat="1" applyFont="1" applyFill="1" applyBorder="1" applyAlignment="1">
      <alignment horizontal="center"/>
    </xf>
    <xf numFmtId="0" fontId="3" fillId="0" borderId="0" xfId="76" applyFont="1" applyFill="1" applyBorder="1" applyAlignment="1"/>
    <xf numFmtId="0" fontId="70" fillId="0" borderId="0" xfId="55" applyFont="1" applyFill="1" applyBorder="1" applyAlignment="1" applyProtection="1">
      <alignment horizontal="left"/>
    </xf>
    <xf numFmtId="164" fontId="7" fillId="25" borderId="0" xfId="76" applyNumberFormat="1" applyFont="1" applyFill="1" applyBorder="1" applyAlignment="1">
      <alignment horizontal="center"/>
    </xf>
    <xf numFmtId="164" fontId="7" fillId="25" borderId="33" xfId="76" applyNumberFormat="1" applyFont="1" applyFill="1" applyBorder="1" applyAlignment="1">
      <alignment horizontal="center"/>
    </xf>
    <xf numFmtId="0" fontId="3" fillId="0" borderId="0" xfId="76" applyFill="1" applyBorder="1"/>
    <xf numFmtId="0" fontId="6" fillId="0" borderId="0" xfId="76" applyFont="1" applyFill="1" applyBorder="1" applyAlignment="1">
      <alignment horizontal="left"/>
    </xf>
    <xf numFmtId="0" fontId="6" fillId="21" borderId="0" xfId="76" applyFont="1" applyFill="1" applyBorder="1" applyAlignment="1">
      <alignment horizontal="left"/>
    </xf>
    <xf numFmtId="173" fontId="6" fillId="21" borderId="0" xfId="76" applyNumberFormat="1" applyFont="1" applyFill="1" applyBorder="1" applyAlignment="1">
      <alignment horizontal="right"/>
    </xf>
    <xf numFmtId="173" fontId="6" fillId="21" borderId="33" xfId="76" applyNumberFormat="1" applyFont="1" applyFill="1" applyBorder="1" applyAlignment="1">
      <alignment horizontal="right"/>
    </xf>
    <xf numFmtId="173" fontId="6" fillId="0" borderId="0" xfId="76" quotePrefix="1" applyNumberFormat="1" applyFont="1" applyFill="1" applyBorder="1" applyAlignment="1">
      <alignment horizontal="right"/>
    </xf>
    <xf numFmtId="173" fontId="6" fillId="0" borderId="33" xfId="76" quotePrefix="1" applyNumberFormat="1" applyFont="1" applyFill="1" applyBorder="1" applyAlignment="1">
      <alignment horizontal="right"/>
    </xf>
    <xf numFmtId="0" fontId="4" fillId="20" borderId="0" xfId="76" applyFont="1" applyFill="1" applyBorder="1" applyAlignment="1"/>
    <xf numFmtId="173" fontId="4" fillId="20" borderId="0" xfId="76" applyNumberFormat="1" applyFont="1" applyFill="1" applyBorder="1" applyAlignment="1">
      <alignment horizontal="right"/>
    </xf>
    <xf numFmtId="173" fontId="4" fillId="20" borderId="33" xfId="76" applyNumberFormat="1" applyFont="1" applyFill="1" applyBorder="1" applyAlignment="1">
      <alignment horizontal="right"/>
    </xf>
    <xf numFmtId="0" fontId="6" fillId="0" borderId="0" xfId="76" applyFont="1" applyFill="1" applyBorder="1" applyAlignment="1">
      <alignment horizontal="left" indent="1"/>
    </xf>
    <xf numFmtId="0" fontId="6" fillId="21" borderId="0" xfId="76" applyFont="1" applyFill="1" applyBorder="1" applyAlignment="1">
      <alignment horizontal="left" indent="1"/>
    </xf>
    <xf numFmtId="0" fontId="3" fillId="0" borderId="0" xfId="76" applyBorder="1"/>
    <xf numFmtId="0" fontId="65" fillId="0" borderId="0" xfId="76" applyFont="1" applyBorder="1"/>
    <xf numFmtId="0" fontId="28" fillId="0" borderId="0" xfId="55" applyFont="1" applyFill="1" applyBorder="1" applyAlignment="1" applyProtection="1">
      <alignment horizontal="left" indent="1"/>
    </xf>
    <xf numFmtId="0" fontId="3" fillId="0" borderId="0" xfId="76" applyFont="1" applyBorder="1" applyAlignment="1"/>
    <xf numFmtId="0" fontId="71" fillId="0" borderId="0" xfId="76" applyFont="1" applyFill="1" applyBorder="1" applyAlignment="1">
      <alignment horizontal="left"/>
    </xf>
    <xf numFmtId="0" fontId="6" fillId="0" borderId="0" xfId="76" applyFont="1" applyBorder="1"/>
    <xf numFmtId="173" fontId="6" fillId="0" borderId="0" xfId="76" applyNumberFormat="1" applyFont="1" applyBorder="1"/>
    <xf numFmtId="0" fontId="6" fillId="0" borderId="0" xfId="76" applyFont="1" applyFill="1" applyBorder="1"/>
    <xf numFmtId="170" fontId="4" fillId="0" borderId="0" xfId="76" applyNumberFormat="1" applyFont="1" applyFill="1" applyBorder="1"/>
    <xf numFmtId="9" fontId="6" fillId="0" borderId="33" xfId="62" applyFont="1" applyFill="1" applyBorder="1"/>
    <xf numFmtId="168" fontId="6" fillId="0" borderId="33" xfId="62" applyNumberFormat="1" applyFont="1" applyFill="1" applyBorder="1"/>
    <xf numFmtId="9" fontId="6" fillId="21" borderId="0" xfId="62" applyFont="1" applyFill="1" applyBorder="1"/>
    <xf numFmtId="9" fontId="6" fillId="21" borderId="33" xfId="62" applyFont="1" applyFill="1" applyBorder="1"/>
    <xf numFmtId="170" fontId="51" fillId="21" borderId="33" xfId="76" applyNumberFormat="1" applyFont="1" applyFill="1" applyBorder="1" applyAlignment="1">
      <alignment horizontal="right"/>
    </xf>
    <xf numFmtId="170" fontId="51" fillId="21" borderId="0" xfId="76" applyNumberFormat="1" applyFont="1" applyFill="1" applyBorder="1" applyAlignment="1">
      <alignment horizontal="right"/>
    </xf>
    <xf numFmtId="168" fontId="6" fillId="21" borderId="33" xfId="62" applyNumberFormat="1" applyFont="1" applyFill="1" applyBorder="1"/>
    <xf numFmtId="168" fontId="6" fillId="21" borderId="0" xfId="62" applyNumberFormat="1" applyFont="1" applyFill="1" applyBorder="1"/>
    <xf numFmtId="170" fontId="51" fillId="0" borderId="33" xfId="76" applyNumberFormat="1" applyFont="1" applyFill="1" applyBorder="1" applyAlignment="1">
      <alignment horizontal="right"/>
    </xf>
    <xf numFmtId="170" fontId="51" fillId="0" borderId="0" xfId="76" applyNumberFormat="1" applyFont="1" applyFill="1" applyBorder="1" applyAlignment="1">
      <alignment horizontal="right"/>
    </xf>
    <xf numFmtId="9" fontId="4" fillId="20" borderId="0" xfId="62" applyFont="1" applyFill="1" applyBorder="1"/>
    <xf numFmtId="9" fontId="4" fillId="20" borderId="33" xfId="62" applyFont="1" applyFill="1" applyBorder="1"/>
    <xf numFmtId="168" fontId="4" fillId="20" borderId="33" xfId="62" applyNumberFormat="1" applyFont="1" applyFill="1" applyBorder="1"/>
    <xf numFmtId="168" fontId="4" fillId="20" borderId="0" xfId="62" applyNumberFormat="1" applyFont="1" applyFill="1" applyBorder="1"/>
    <xf numFmtId="170" fontId="72" fillId="0" borderId="0" xfId="76" applyNumberFormat="1" applyFont="1" applyFill="1" applyBorder="1"/>
    <xf numFmtId="170" fontId="72" fillId="0" borderId="33" xfId="76" applyNumberFormat="1" applyFont="1" applyFill="1" applyBorder="1"/>
    <xf numFmtId="170" fontId="72" fillId="21" borderId="0" xfId="76" applyNumberFormat="1" applyFont="1" applyFill="1" applyBorder="1"/>
    <xf numFmtId="0" fontId="4" fillId="20" borderId="0" xfId="76" applyFont="1" applyFill="1" applyBorder="1" applyAlignment="1">
      <alignment horizontal="left"/>
    </xf>
    <xf numFmtId="170" fontId="73" fillId="20" borderId="0" xfId="76" applyNumberFormat="1" applyFont="1" applyFill="1" applyBorder="1"/>
    <xf numFmtId="170" fontId="73" fillId="20" borderId="33" xfId="76" applyNumberFormat="1" applyFont="1" applyFill="1" applyBorder="1"/>
    <xf numFmtId="0" fontId="4" fillId="0" borderId="0" xfId="76" applyFont="1" applyFill="1" applyBorder="1" applyAlignment="1">
      <alignment horizontal="left"/>
    </xf>
    <xf numFmtId="170" fontId="6" fillId="0" borderId="0" xfId="76" applyNumberFormat="1" applyFont="1" applyFill="1" applyBorder="1"/>
    <xf numFmtId="170" fontId="6" fillId="0" borderId="33" xfId="76" applyNumberFormat="1" applyFont="1" applyFill="1" applyBorder="1"/>
    <xf numFmtId="170" fontId="6" fillId="21" borderId="0" xfId="76" applyNumberFormat="1" applyFont="1" applyFill="1" applyBorder="1"/>
    <xf numFmtId="170" fontId="6" fillId="21" borderId="33" xfId="76" applyNumberFormat="1" applyFont="1" applyFill="1" applyBorder="1"/>
    <xf numFmtId="173" fontId="6" fillId="0" borderId="0" xfId="76" applyNumberFormat="1" applyFont="1" applyFill="1"/>
    <xf numFmtId="170" fontId="74" fillId="0" borderId="0" xfId="76" applyNumberFormat="1" applyFont="1" applyFill="1" applyBorder="1"/>
    <xf numFmtId="0" fontId="6" fillId="21" borderId="0" xfId="76" applyFont="1" applyFill="1" applyBorder="1"/>
    <xf numFmtId="0" fontId="6" fillId="21" borderId="33" xfId="76" applyFont="1" applyFill="1" applyBorder="1"/>
    <xf numFmtId="9" fontId="0" fillId="0" borderId="0" xfId="62" applyFont="1" applyFill="1"/>
    <xf numFmtId="164" fontId="6" fillId="0" borderId="0" xfId="76" applyNumberFormat="1" applyFont="1" applyFill="1"/>
    <xf numFmtId="0" fontId="71" fillId="21" borderId="0" xfId="76" applyFont="1" applyFill="1" applyBorder="1" applyAlignment="1">
      <alignment horizontal="left" indent="1"/>
    </xf>
    <xf numFmtId="0" fontId="17" fillId="0" borderId="0" xfId="76" applyFont="1" applyFill="1"/>
    <xf numFmtId="170" fontId="4" fillId="0" borderId="33" xfId="76" applyNumberFormat="1" applyFont="1" applyFill="1" applyBorder="1"/>
    <xf numFmtId="0" fontId="4" fillId="19" borderId="0" xfId="76" applyFont="1" applyFill="1" applyBorder="1"/>
    <xf numFmtId="0" fontId="6" fillId="19" borderId="0" xfId="76" applyFont="1" applyFill="1" applyBorder="1"/>
    <xf numFmtId="168" fontId="6" fillId="19" borderId="33" xfId="62" applyNumberFormat="1" applyFont="1" applyFill="1" applyBorder="1"/>
    <xf numFmtId="168" fontId="6" fillId="19" borderId="0" xfId="62" applyNumberFormat="1" applyFont="1" applyFill="1" applyBorder="1"/>
    <xf numFmtId="170" fontId="72" fillId="0" borderId="33" xfId="76" applyNumberFormat="1" applyFont="1" applyFill="1" applyBorder="1" applyAlignment="1">
      <alignment horizontal="right"/>
    </xf>
    <xf numFmtId="170" fontId="72" fillId="0" borderId="0" xfId="76" applyNumberFormat="1" applyFont="1" applyFill="1" applyBorder="1" applyAlignment="1">
      <alignment horizontal="right"/>
    </xf>
    <xf numFmtId="170" fontId="72" fillId="21" borderId="33" xfId="76" applyNumberFormat="1" applyFont="1" applyFill="1" applyBorder="1" applyAlignment="1">
      <alignment horizontal="right"/>
    </xf>
    <xf numFmtId="170" fontId="72" fillId="21" borderId="0" xfId="76" applyNumberFormat="1" applyFont="1" applyFill="1" applyBorder="1" applyAlignment="1">
      <alignment horizontal="right"/>
    </xf>
    <xf numFmtId="0" fontId="71" fillId="0" borderId="0" xfId="76" applyFont="1" applyFill="1" applyBorder="1" applyAlignment="1">
      <alignment horizontal="left" indent="1"/>
    </xf>
    <xf numFmtId="0" fontId="6" fillId="19" borderId="33" xfId="76" applyFont="1" applyFill="1" applyBorder="1"/>
    <xf numFmtId="193" fontId="58" fillId="0" borderId="0" xfId="0" applyNumberFormat="1" applyFont="1" applyFill="1" applyBorder="1" applyAlignment="1">
      <alignment horizontal="right"/>
    </xf>
    <xf numFmtId="175" fontId="56" fillId="0" borderId="0" xfId="41" applyNumberFormat="1" applyFont="1" applyFill="1" applyBorder="1"/>
    <xf numFmtId="0" fontId="0" fillId="0" borderId="0" xfId="0" applyFill="1"/>
    <xf numFmtId="165" fontId="13" fillId="0" borderId="0" xfId="42" applyNumberFormat="1" applyFont="1" applyFill="1" applyAlignment="1"/>
    <xf numFmtId="168" fontId="76" fillId="0" borderId="0" xfId="62" applyNumberFormat="1" applyFont="1" applyFill="1" applyAlignment="1"/>
    <xf numFmtId="0" fontId="77" fillId="0" borderId="0" xfId="0" applyFont="1" applyFill="1"/>
    <xf numFmtId="168" fontId="4" fillId="0" borderId="15" xfId="62" applyNumberFormat="1" applyFont="1" applyBorder="1"/>
    <xf numFmtId="0" fontId="3" fillId="0" borderId="0" xfId="0" applyFont="1" applyFill="1"/>
    <xf numFmtId="10" fontId="0" fillId="0" borderId="0" xfId="0" applyNumberFormat="1" applyFill="1"/>
    <xf numFmtId="10" fontId="0" fillId="0" borderId="0" xfId="62" applyNumberFormat="1" applyFont="1" applyFill="1"/>
    <xf numFmtId="173" fontId="6" fillId="0" borderId="32" xfId="62" applyNumberFormat="1" applyFont="1" applyFill="1" applyBorder="1"/>
    <xf numFmtId="0" fontId="71" fillId="0" borderId="32" xfId="0" applyFont="1" applyFill="1" applyBorder="1" applyAlignment="1">
      <alignment horizontal="left" indent="1"/>
    </xf>
    <xf numFmtId="173" fontId="51" fillId="0" borderId="32" xfId="62" applyNumberFormat="1" applyFont="1" applyFill="1" applyBorder="1"/>
    <xf numFmtId="0" fontId="71" fillId="21" borderId="0" xfId="76" applyFont="1" applyFill="1" applyBorder="1" applyAlignment="1">
      <alignment horizontal="left" indent="2"/>
    </xf>
    <xf numFmtId="167" fontId="54" fillId="0" borderId="32" xfId="41" applyNumberFormat="1" applyFont="1" applyFill="1" applyBorder="1" applyAlignment="1">
      <alignment horizontal="right" wrapText="1"/>
    </xf>
    <xf numFmtId="167" fontId="4" fillId="0" borderId="32" xfId="41" applyNumberFormat="1" applyFont="1" applyFill="1" applyBorder="1" applyAlignment="1">
      <alignment horizontal="right" wrapText="1"/>
    </xf>
    <xf numFmtId="167" fontId="6" fillId="0" borderId="32" xfId="41" applyNumberFormat="1" applyFont="1" applyFill="1" applyBorder="1" applyAlignment="1">
      <alignment horizontal="right" wrapText="1"/>
    </xf>
    <xf numFmtId="173" fontId="6" fillId="0" borderId="32" xfId="0" applyNumberFormat="1" applyFont="1" applyFill="1" applyBorder="1" applyAlignment="1">
      <alignment horizontal="right"/>
    </xf>
    <xf numFmtId="167" fontId="54" fillId="0" borderId="32" xfId="41" applyNumberFormat="1" applyFont="1" applyFill="1" applyBorder="1" applyAlignment="1">
      <alignment horizontal="right"/>
    </xf>
    <xf numFmtId="0" fontId="18" fillId="0" borderId="31" xfId="0" applyFont="1" applyFill="1" applyBorder="1" applyAlignment="1">
      <alignment horizontal="center"/>
    </xf>
    <xf numFmtId="0" fontId="7" fillId="17" borderId="34" xfId="0" applyFont="1" applyFill="1" applyBorder="1" applyAlignment="1">
      <alignment horizontal="center"/>
    </xf>
    <xf numFmtId="0" fontId="18" fillId="0" borderId="35" xfId="0" applyFont="1" applyFill="1" applyBorder="1" applyAlignment="1">
      <alignment horizontal="center"/>
    </xf>
    <xf numFmtId="167" fontId="6" fillId="0" borderId="35" xfId="41" applyNumberFormat="1" applyFont="1" applyFill="1" applyBorder="1" applyAlignment="1">
      <alignment horizontal="right" wrapText="1"/>
    </xf>
    <xf numFmtId="167" fontId="4" fillId="0" borderId="35" xfId="41" applyNumberFormat="1" applyFont="1" applyFill="1" applyBorder="1" applyAlignment="1">
      <alignment horizontal="right" wrapText="1"/>
    </xf>
    <xf numFmtId="173" fontId="6" fillId="0" borderId="35" xfId="0" applyNumberFormat="1" applyFont="1" applyFill="1" applyBorder="1" applyAlignment="1">
      <alignment horizontal="right"/>
    </xf>
    <xf numFmtId="167" fontId="54" fillId="0" borderId="35" xfId="41" applyNumberFormat="1" applyFont="1" applyFill="1" applyBorder="1" applyAlignment="1">
      <alignment horizontal="right"/>
    </xf>
    <xf numFmtId="167" fontId="6" fillId="0" borderId="35" xfId="41" applyNumberFormat="1" applyFont="1" applyFill="1" applyBorder="1" applyAlignment="1">
      <alignment horizontal="right"/>
    </xf>
    <xf numFmtId="0" fontId="4" fillId="0" borderId="36" xfId="0" applyFont="1" applyBorder="1" applyAlignment="1">
      <alignment horizontal="center" wrapText="1"/>
    </xf>
    <xf numFmtId="164" fontId="7" fillId="16" borderId="29" xfId="0" applyNumberFormat="1" applyFont="1" applyFill="1" applyBorder="1" applyAlignment="1">
      <alignment horizontal="center"/>
    </xf>
    <xf numFmtId="167" fontId="54" fillId="0" borderId="31" xfId="41" applyNumberFormat="1" applyFont="1" applyFill="1" applyBorder="1" applyAlignment="1">
      <alignment horizontal="right" wrapText="1"/>
    </xf>
    <xf numFmtId="167" fontId="4" fillId="0" borderId="31" xfId="41" applyNumberFormat="1" applyFont="1" applyFill="1" applyBorder="1" applyAlignment="1">
      <alignment horizontal="right" wrapText="1"/>
    </xf>
    <xf numFmtId="167" fontId="6" fillId="0" borderId="31" xfId="41" applyNumberFormat="1" applyFont="1" applyFill="1" applyBorder="1" applyAlignment="1">
      <alignment horizontal="right" wrapText="1"/>
    </xf>
    <xf numFmtId="173" fontId="6" fillId="0" borderId="31" xfId="0" applyNumberFormat="1" applyFont="1" applyFill="1" applyBorder="1" applyAlignment="1">
      <alignment horizontal="right"/>
    </xf>
    <xf numFmtId="164" fontId="7" fillId="16" borderId="22" xfId="0" applyNumberFormat="1" applyFont="1" applyFill="1" applyBorder="1" applyAlignment="1">
      <alignment horizontal="center"/>
    </xf>
    <xf numFmtId="0" fontId="18" fillId="0" borderId="32" xfId="0" applyFont="1" applyFill="1" applyBorder="1" applyAlignment="1">
      <alignment horizontal="center"/>
    </xf>
    <xf numFmtId="164" fontId="26" fillId="16" borderId="22" xfId="0" applyNumberFormat="1" applyFont="1" applyFill="1" applyBorder="1" applyAlignment="1">
      <alignment horizontal="center"/>
    </xf>
    <xf numFmtId="164" fontId="26" fillId="16" borderId="29" xfId="0" applyNumberFormat="1" applyFont="1" applyFill="1" applyBorder="1" applyAlignment="1">
      <alignment horizontal="center"/>
    </xf>
    <xf numFmtId="164" fontId="26" fillId="16" borderId="16" xfId="0" applyNumberFormat="1" applyFont="1" applyFill="1" applyBorder="1" applyAlignment="1">
      <alignment horizontal="center"/>
    </xf>
    <xf numFmtId="0" fontId="18" fillId="0" borderId="23" xfId="0" applyFont="1" applyFill="1" applyBorder="1" applyAlignment="1">
      <alignment horizontal="center"/>
    </xf>
    <xf numFmtId="164" fontId="6" fillId="0" borderId="22" xfId="0" applyNumberFormat="1" applyFont="1" applyFill="1" applyBorder="1" applyAlignment="1">
      <alignment horizontal="center"/>
    </xf>
    <xf numFmtId="0" fontId="18" fillId="0" borderId="21" xfId="0" applyFont="1" applyFill="1" applyBorder="1" applyAlignment="1">
      <alignment horizontal="center"/>
    </xf>
    <xf numFmtId="0" fontId="26" fillId="17" borderId="34" xfId="0" applyFont="1" applyFill="1" applyBorder="1" applyAlignment="1">
      <alignment horizontal="center"/>
    </xf>
    <xf numFmtId="0" fontId="26" fillId="0" borderId="34" xfId="0" applyFont="1" applyFill="1" applyBorder="1" applyAlignment="1">
      <alignment horizontal="center"/>
    </xf>
    <xf numFmtId="7" fontId="4" fillId="20" borderId="22" xfId="0" applyNumberFormat="1" applyFont="1" applyFill="1" applyBorder="1" applyAlignment="1">
      <alignment horizontal="right"/>
    </xf>
    <xf numFmtId="7" fontId="4" fillId="20" borderId="11" xfId="0" applyNumberFormat="1" applyFont="1" applyFill="1" applyBorder="1" applyAlignment="1">
      <alignment horizontal="right"/>
    </xf>
    <xf numFmtId="7" fontId="4" fillId="20" borderId="34" xfId="0" applyNumberFormat="1" applyFont="1" applyFill="1" applyBorder="1" applyAlignment="1">
      <alignment horizontal="right"/>
    </xf>
    <xf numFmtId="173" fontId="6" fillId="0" borderId="36" xfId="0" applyNumberFormat="1" applyFont="1" applyFill="1" applyBorder="1" applyAlignment="1">
      <alignment horizontal="right"/>
    </xf>
    <xf numFmtId="173" fontId="6" fillId="0" borderId="34" xfId="0" applyNumberFormat="1" applyFont="1" applyFill="1" applyBorder="1" applyAlignment="1">
      <alignment horizontal="right"/>
    </xf>
    <xf numFmtId="167" fontId="6" fillId="0" borderId="36" xfId="41" applyNumberFormat="1" applyFont="1" applyFill="1" applyBorder="1" applyAlignment="1">
      <alignment horizontal="right" wrapText="1"/>
    </xf>
    <xf numFmtId="167" fontId="4" fillId="20" borderId="21" xfId="41" applyNumberFormat="1" applyFont="1" applyFill="1" applyBorder="1" applyAlignment="1">
      <alignment horizontal="right" wrapText="1"/>
    </xf>
    <xf numFmtId="167" fontId="4" fillId="20" borderId="0" xfId="41" applyNumberFormat="1" applyFont="1" applyFill="1" applyBorder="1" applyAlignment="1">
      <alignment horizontal="right" wrapText="1"/>
    </xf>
    <xf numFmtId="167" fontId="4" fillId="20" borderId="35" xfId="41" applyNumberFormat="1" applyFont="1" applyFill="1" applyBorder="1" applyAlignment="1">
      <alignment horizontal="right" wrapText="1"/>
    </xf>
    <xf numFmtId="0" fontId="18" fillId="0" borderId="24" xfId="0" applyFont="1" applyFill="1" applyBorder="1" applyAlignment="1">
      <alignment horizontal="left" indent="1"/>
    </xf>
    <xf numFmtId="167" fontId="4" fillId="0" borderId="12" xfId="0" applyNumberFormat="1" applyFont="1" applyFill="1" applyBorder="1" applyAlignment="1">
      <alignment horizontal="left" vertical="top" wrapText="1"/>
    </xf>
    <xf numFmtId="167" fontId="6" fillId="0" borderId="12" xfId="0" applyNumberFormat="1" applyFont="1" applyFill="1" applyBorder="1" applyAlignment="1">
      <alignment horizontal="left" vertical="top" wrapText="1" indent="1"/>
    </xf>
    <xf numFmtId="167" fontId="4" fillId="0" borderId="12" xfId="0" applyNumberFormat="1" applyFont="1" applyFill="1" applyBorder="1" applyAlignment="1">
      <alignment horizontal="left" vertical="top" wrapText="1" indent="1"/>
    </xf>
    <xf numFmtId="167" fontId="4" fillId="0" borderId="12" xfId="0" applyNumberFormat="1" applyFont="1" applyFill="1" applyBorder="1"/>
    <xf numFmtId="167" fontId="4" fillId="0" borderId="12" xfId="0" applyNumberFormat="1" applyFont="1" applyFill="1" applyBorder="1" applyAlignment="1">
      <alignment horizontal="left"/>
    </xf>
    <xf numFmtId="167" fontId="6" fillId="0" borderId="12" xfId="0" applyNumberFormat="1" applyFont="1" applyFill="1" applyBorder="1" applyAlignment="1">
      <alignment horizontal="left" vertical="top" wrapText="1"/>
    </xf>
    <xf numFmtId="168" fontId="11" fillId="0" borderId="12" xfId="62" applyNumberFormat="1" applyFont="1" applyFill="1" applyBorder="1" applyAlignment="1">
      <alignment horizontal="left" indent="1"/>
    </xf>
    <xf numFmtId="167" fontId="6" fillId="0" borderId="12" xfId="0" applyNumberFormat="1" applyFont="1" applyFill="1" applyBorder="1" applyAlignment="1">
      <alignment horizontal="left" indent="1"/>
    </xf>
    <xf numFmtId="0" fontId="6" fillId="0" borderId="12" xfId="0" applyFont="1" applyFill="1" applyBorder="1" applyAlignment="1">
      <alignment wrapText="1"/>
    </xf>
    <xf numFmtId="7" fontId="4" fillId="20" borderId="20" xfId="0" applyNumberFormat="1" applyFont="1" applyFill="1" applyBorder="1" applyAlignment="1">
      <alignment horizontal="left" indent="1"/>
    </xf>
    <xf numFmtId="0" fontId="6" fillId="0" borderId="24" xfId="0" applyFont="1" applyFill="1" applyBorder="1" applyAlignment="1">
      <alignment horizontal="left"/>
    </xf>
    <xf numFmtId="0" fontId="6" fillId="0" borderId="12" xfId="0" applyFont="1" applyFill="1" applyBorder="1"/>
    <xf numFmtId="0" fontId="6" fillId="0" borderId="20" xfId="0" applyFont="1" applyFill="1" applyBorder="1"/>
    <xf numFmtId="0" fontId="6" fillId="0" borderId="24" xfId="0" applyFont="1" applyFill="1" applyBorder="1"/>
    <xf numFmtId="0" fontId="6" fillId="0" borderId="12" xfId="0" applyFont="1" applyFill="1" applyBorder="1" applyAlignment="1">
      <alignment horizontal="left" indent="1"/>
    </xf>
    <xf numFmtId="167" fontId="4" fillId="20" borderId="12" xfId="0" applyNumberFormat="1" applyFont="1" applyFill="1" applyBorder="1"/>
    <xf numFmtId="167" fontId="4" fillId="20" borderId="20" xfId="0" applyNumberFormat="1" applyFont="1" applyFill="1" applyBorder="1"/>
    <xf numFmtId="168" fontId="6" fillId="0" borderId="24" xfId="62" applyNumberFormat="1" applyFont="1" applyFill="1" applyBorder="1"/>
    <xf numFmtId="167" fontId="6" fillId="0" borderId="12" xfId="0" applyNumberFormat="1" applyFont="1" applyFill="1" applyBorder="1"/>
    <xf numFmtId="167" fontId="6" fillId="0" borderId="12" xfId="0" applyNumberFormat="1" applyFont="1" applyFill="1" applyBorder="1" applyAlignment="1">
      <alignment horizontal="left"/>
    </xf>
    <xf numFmtId="167" fontId="47" fillId="0" borderId="20" xfId="0" applyNumberFormat="1" applyFont="1" applyFill="1" applyBorder="1"/>
    <xf numFmtId="167" fontId="6" fillId="0" borderId="24" xfId="0" applyNumberFormat="1" applyFont="1" applyFill="1" applyBorder="1"/>
    <xf numFmtId="167" fontId="6" fillId="0" borderId="20" xfId="0" applyNumberFormat="1" applyFont="1" applyFill="1" applyBorder="1"/>
    <xf numFmtId="168" fontId="6" fillId="20" borderId="0" xfId="62" applyNumberFormat="1" applyFont="1" applyFill="1" applyBorder="1" applyAlignment="1">
      <alignment horizontal="right"/>
    </xf>
    <xf numFmtId="167" fontId="6" fillId="0" borderId="34" xfId="41" applyNumberFormat="1" applyFont="1" applyFill="1" applyBorder="1" applyAlignment="1">
      <alignment horizontal="right" wrapText="1"/>
    </xf>
    <xf numFmtId="173" fontId="54" fillId="0" borderId="35" xfId="0" applyNumberFormat="1" applyFont="1" applyFill="1" applyBorder="1" applyAlignment="1">
      <alignment horizontal="right"/>
    </xf>
    <xf numFmtId="193" fontId="63" fillId="0" borderId="32" xfId="0" applyNumberFormat="1" applyFont="1" applyFill="1" applyBorder="1" applyAlignment="1">
      <alignment horizontal="right"/>
    </xf>
    <xf numFmtId="193" fontId="63" fillId="0" borderId="0" xfId="0" applyNumberFormat="1" applyFont="1" applyFill="1" applyBorder="1" applyAlignment="1">
      <alignment horizontal="right"/>
    </xf>
    <xf numFmtId="193" fontId="63" fillId="0" borderId="31" xfId="0" applyNumberFormat="1" applyFont="1" applyFill="1" applyBorder="1" applyAlignment="1">
      <alignment horizontal="right"/>
    </xf>
    <xf numFmtId="193" fontId="4" fillId="0" borderId="35" xfId="0" applyNumberFormat="1" applyFont="1" applyFill="1" applyBorder="1" applyAlignment="1">
      <alignment horizontal="right"/>
    </xf>
    <xf numFmtId="193" fontId="63" fillId="0" borderId="21" xfId="0" applyNumberFormat="1" applyFont="1" applyFill="1" applyBorder="1" applyAlignment="1">
      <alignment horizontal="right"/>
    </xf>
    <xf numFmtId="193" fontId="58" fillId="0" borderId="21" xfId="0" applyNumberFormat="1" applyFont="1" applyFill="1" applyBorder="1" applyAlignment="1">
      <alignment horizontal="right"/>
    </xf>
    <xf numFmtId="168" fontId="6" fillId="0" borderId="35" xfId="62" applyNumberFormat="1" applyFont="1" applyFill="1" applyBorder="1"/>
    <xf numFmtId="167" fontId="4" fillId="0" borderId="35" xfId="41" applyNumberFormat="1" applyFont="1" applyFill="1" applyBorder="1"/>
    <xf numFmtId="173" fontId="6" fillId="0" borderId="35" xfId="62" applyNumberFormat="1" applyFont="1" applyFill="1" applyBorder="1"/>
    <xf numFmtId="167" fontId="4" fillId="0" borderId="38" xfId="41" applyNumberFormat="1" applyFont="1" applyFill="1" applyBorder="1"/>
    <xf numFmtId="165" fontId="56" fillId="0" borderId="35" xfId="41" applyNumberFormat="1" applyFont="1" applyFill="1" applyBorder="1"/>
    <xf numFmtId="168" fontId="6" fillId="0" borderId="34" xfId="62" applyNumberFormat="1" applyFont="1" applyFill="1" applyBorder="1"/>
    <xf numFmtId="173" fontId="54" fillId="0" borderId="35" xfId="62" applyNumberFormat="1" applyFont="1" applyFill="1" applyBorder="1"/>
    <xf numFmtId="168" fontId="54" fillId="0" borderId="35" xfId="62" applyNumberFormat="1" applyFont="1" applyFill="1" applyBorder="1"/>
    <xf numFmtId="173" fontId="51" fillId="0" borderId="35" xfId="62" applyNumberFormat="1" applyFont="1" applyFill="1" applyBorder="1"/>
    <xf numFmtId="167" fontId="6" fillId="0" borderId="35" xfId="41" applyNumberFormat="1" applyFont="1" applyFill="1" applyBorder="1"/>
    <xf numFmtId="175" fontId="56" fillId="0" borderId="35" xfId="41" applyNumberFormat="1" applyFont="1" applyFill="1" applyBorder="1"/>
    <xf numFmtId="200" fontId="6" fillId="0" borderId="36" xfId="41" applyNumberFormat="1" applyFont="1" applyFill="1" applyBorder="1" applyAlignment="1">
      <alignment horizontal="right" wrapText="1"/>
    </xf>
    <xf numFmtId="168" fontId="6" fillId="0" borderId="35" xfId="0" applyNumberFormat="1" applyFont="1" applyFill="1" applyBorder="1" applyAlignment="1">
      <alignment horizontal="right"/>
    </xf>
    <xf numFmtId="167" fontId="6" fillId="0" borderId="35" xfId="0" applyNumberFormat="1" applyFont="1" applyFill="1" applyBorder="1" applyAlignment="1">
      <alignment horizontal="right"/>
    </xf>
    <xf numFmtId="168" fontId="76" fillId="0" borderId="35" xfId="62" applyNumberFormat="1" applyFont="1" applyFill="1" applyBorder="1" applyAlignment="1">
      <alignment horizontal="right"/>
    </xf>
    <xf numFmtId="200" fontId="6" fillId="0" borderId="35" xfId="41" applyNumberFormat="1" applyFont="1" applyFill="1" applyBorder="1" applyAlignment="1">
      <alignment horizontal="right" wrapText="1"/>
    </xf>
    <xf numFmtId="168" fontId="6" fillId="0" borderId="35" xfId="62" applyNumberFormat="1" applyFont="1" applyFill="1" applyBorder="1" applyAlignment="1">
      <alignment horizontal="right"/>
    </xf>
    <xf numFmtId="168" fontId="4" fillId="0" borderId="38" xfId="62" applyNumberFormat="1" applyFont="1" applyBorder="1"/>
    <xf numFmtId="168" fontId="6" fillId="0" borderId="21" xfId="0" applyNumberFormat="1" applyFont="1" applyFill="1" applyBorder="1" applyAlignment="1">
      <alignment horizontal="right"/>
    </xf>
    <xf numFmtId="165" fontId="13" fillId="0" borderId="21" xfId="42" applyNumberFormat="1" applyFont="1" applyFill="1" applyBorder="1" applyAlignment="1"/>
    <xf numFmtId="168" fontId="76" fillId="0" borderId="21" xfId="62" applyNumberFormat="1" applyFont="1" applyFill="1" applyBorder="1" applyAlignment="1">
      <alignment horizontal="right"/>
    </xf>
    <xf numFmtId="168" fontId="6" fillId="0" borderId="21" xfId="62" applyNumberFormat="1" applyFont="1" applyFill="1" applyBorder="1" applyAlignment="1">
      <alignment horizontal="right"/>
    </xf>
    <xf numFmtId="168" fontId="4" fillId="0" borderId="16" xfId="62" applyNumberFormat="1" applyFont="1" applyBorder="1"/>
    <xf numFmtId="168" fontId="4" fillId="0" borderId="21" xfId="62" applyNumberFormat="1" applyFont="1" applyFill="1" applyBorder="1" applyAlignment="1">
      <alignment horizontal="right"/>
    </xf>
    <xf numFmtId="168" fontId="4" fillId="0" borderId="0" xfId="62" applyNumberFormat="1" applyFont="1" applyFill="1" applyBorder="1" applyAlignment="1">
      <alignment horizontal="right"/>
    </xf>
    <xf numFmtId="0" fontId="0" fillId="0" borderId="0" xfId="0" applyFill="1" applyBorder="1"/>
    <xf numFmtId="168" fontId="4" fillId="0" borderId="35" xfId="62" applyNumberFormat="1" applyFont="1" applyFill="1" applyBorder="1" applyAlignment="1">
      <alignment horizontal="right"/>
    </xf>
    <xf numFmtId="168" fontId="4" fillId="0" borderId="22" xfId="62" applyNumberFormat="1" applyFont="1" applyBorder="1"/>
    <xf numFmtId="168" fontId="4" fillId="0" borderId="11" xfId="62" applyNumberFormat="1" applyFont="1" applyBorder="1"/>
    <xf numFmtId="168" fontId="4" fillId="0" borderId="34" xfId="62" applyNumberFormat="1" applyFont="1" applyBorder="1"/>
    <xf numFmtId="168" fontId="75" fillId="0" borderId="0" xfId="0" applyNumberFormat="1" applyFont="1" applyFill="1" applyBorder="1"/>
    <xf numFmtId="168" fontId="76" fillId="0" borderId="12" xfId="62" applyNumberFormat="1" applyFont="1" applyFill="1" applyBorder="1" applyAlignment="1">
      <alignment horizontal="left" indent="2"/>
    </xf>
    <xf numFmtId="0" fontId="4" fillId="0" borderId="18" xfId="0" applyFont="1" applyBorder="1" applyAlignment="1">
      <alignment horizontal="left"/>
    </xf>
    <xf numFmtId="167" fontId="6" fillId="0" borderId="31" xfId="41" applyNumberFormat="1" applyFont="1" applyFill="1" applyBorder="1"/>
    <xf numFmtId="173" fontId="6" fillId="0" borderId="31" xfId="62" applyNumberFormat="1" applyFont="1" applyFill="1" applyBorder="1"/>
    <xf numFmtId="167" fontId="4" fillId="0" borderId="31" xfId="41" applyNumberFormat="1" applyFont="1" applyFill="1" applyBorder="1"/>
    <xf numFmtId="175" fontId="56" fillId="0" borderId="31" xfId="41" applyNumberFormat="1" applyFont="1" applyFill="1" applyBorder="1"/>
    <xf numFmtId="168" fontId="6" fillId="0" borderId="29" xfId="62" applyNumberFormat="1" applyFont="1" applyFill="1" applyBorder="1"/>
    <xf numFmtId="168" fontId="6" fillId="20" borderId="21" xfId="62" applyNumberFormat="1" applyFont="1" applyFill="1" applyBorder="1" applyAlignment="1">
      <alignment horizontal="right"/>
    </xf>
    <xf numFmtId="168" fontId="6" fillId="20" borderId="35" xfId="62" applyNumberFormat="1" applyFont="1" applyFill="1" applyBorder="1" applyAlignment="1">
      <alignment horizontal="right"/>
    </xf>
    <xf numFmtId="168" fontId="6" fillId="20" borderId="22" xfId="62" applyNumberFormat="1" applyFont="1" applyFill="1" applyBorder="1" applyAlignment="1">
      <alignment horizontal="right"/>
    </xf>
    <xf numFmtId="168" fontId="6" fillId="20" borderId="11" xfId="62" applyNumberFormat="1" applyFont="1" applyFill="1" applyBorder="1" applyAlignment="1">
      <alignment horizontal="right"/>
    </xf>
    <xf numFmtId="168" fontId="6" fillId="20" borderId="34" xfId="62" applyNumberFormat="1" applyFont="1" applyFill="1" applyBorder="1" applyAlignment="1">
      <alignment horizontal="right"/>
    </xf>
    <xf numFmtId="168" fontId="6" fillId="20" borderId="20" xfId="62" applyNumberFormat="1" applyFont="1" applyFill="1" applyBorder="1"/>
    <xf numFmtId="0" fontId="6" fillId="0" borderId="12" xfId="0" applyFont="1" applyFill="1" applyBorder="1" applyAlignment="1">
      <alignment horizontal="left" indent="2"/>
    </xf>
    <xf numFmtId="0" fontId="4" fillId="0" borderId="12" xfId="0" applyFont="1" applyFill="1" applyBorder="1" applyAlignment="1">
      <alignment horizontal="left" indent="3"/>
    </xf>
    <xf numFmtId="0" fontId="4" fillId="0" borderId="12" xfId="0" applyFont="1" applyFill="1" applyBorder="1"/>
    <xf numFmtId="0" fontId="4" fillId="0" borderId="12" xfId="0" applyFont="1" applyFill="1" applyBorder="1" applyAlignment="1">
      <alignment horizontal="left" indent="1"/>
    </xf>
    <xf numFmtId="0" fontId="4" fillId="0" borderId="12" xfId="0" applyFont="1" applyFill="1" applyBorder="1" applyAlignment="1">
      <alignment horizontal="left" indent="2"/>
    </xf>
    <xf numFmtId="0" fontId="6" fillId="0" borderId="20" xfId="0" applyFont="1" applyFill="1" applyBorder="1" applyAlignment="1">
      <alignment horizontal="left" indent="2"/>
    </xf>
    <xf numFmtId="0" fontId="4" fillId="0" borderId="39" xfId="0" applyFont="1" applyFill="1" applyBorder="1"/>
    <xf numFmtId="0" fontId="4" fillId="0" borderId="39" xfId="0" applyFont="1" applyFill="1" applyBorder="1" applyAlignment="1">
      <alignment horizontal="left" indent="3"/>
    </xf>
    <xf numFmtId="0" fontId="18" fillId="17" borderId="36" xfId="0" applyFont="1" applyFill="1" applyBorder="1" applyAlignment="1">
      <alignment horizontal="center"/>
    </xf>
    <xf numFmtId="167" fontId="18" fillId="0" borderId="35" xfId="0" applyNumberFormat="1" applyFont="1" applyFill="1" applyBorder="1" applyAlignment="1">
      <alignment horizontal="center"/>
    </xf>
    <xf numFmtId="185" fontId="6" fillId="0" borderId="35" xfId="41" applyNumberFormat="1" applyFont="1" applyFill="1" applyBorder="1" applyAlignment="1">
      <alignment horizontal="right"/>
    </xf>
    <xf numFmtId="167" fontId="4" fillId="0" borderId="35" xfId="41" applyNumberFormat="1" applyFont="1" applyFill="1" applyBorder="1" applyAlignment="1">
      <alignment horizontal="right"/>
    </xf>
    <xf numFmtId="167" fontId="4" fillId="0" borderId="40" xfId="41" applyNumberFormat="1" applyFont="1" applyFill="1" applyBorder="1" applyAlignment="1">
      <alignment horizontal="right"/>
    </xf>
    <xf numFmtId="167" fontId="4" fillId="0" borderId="36" xfId="41" applyNumberFormat="1" applyFont="1" applyFill="1" applyBorder="1" applyAlignment="1">
      <alignment horizontal="right"/>
    </xf>
    <xf numFmtId="0" fontId="18" fillId="17" borderId="0" xfId="0" applyFont="1" applyFill="1" applyBorder="1" applyAlignment="1">
      <alignment horizontal="center"/>
    </xf>
    <xf numFmtId="0" fontId="18" fillId="17" borderId="31" xfId="0" applyFont="1" applyFill="1" applyBorder="1" applyAlignment="1">
      <alignment horizontal="center"/>
    </xf>
    <xf numFmtId="167" fontId="18" fillId="0" borderId="0" xfId="0" applyNumberFormat="1" applyFont="1" applyFill="1" applyBorder="1" applyAlignment="1">
      <alignment horizontal="center"/>
    </xf>
    <xf numFmtId="167" fontId="18" fillId="0" borderId="31" xfId="0" applyNumberFormat="1" applyFont="1" applyFill="1" applyBorder="1" applyAlignment="1">
      <alignment horizontal="center"/>
    </xf>
    <xf numFmtId="185" fontId="61" fillId="0" borderId="0" xfId="0" applyNumberFormat="1" applyFont="1" applyFill="1" applyBorder="1" applyAlignment="1">
      <alignment horizontal="right"/>
    </xf>
    <xf numFmtId="185" fontId="13" fillId="0" borderId="31" xfId="41" applyNumberFormat="1" applyFont="1" applyFill="1" applyBorder="1" applyAlignment="1">
      <alignment horizontal="right"/>
    </xf>
    <xf numFmtId="167" fontId="46" fillId="0" borderId="0" xfId="41" applyNumberFormat="1" applyFont="1" applyFill="1" applyBorder="1" applyAlignment="1">
      <alignment horizontal="right"/>
    </xf>
    <xf numFmtId="167" fontId="13" fillId="0" borderId="31" xfId="41" applyNumberFormat="1" applyFont="1" applyFill="1" applyBorder="1" applyAlignment="1">
      <alignment horizontal="right"/>
    </xf>
    <xf numFmtId="167" fontId="4" fillId="0" borderId="31" xfId="41" applyNumberFormat="1" applyFont="1" applyFill="1" applyBorder="1" applyAlignment="1">
      <alignment horizontal="right"/>
    </xf>
    <xf numFmtId="167" fontId="6" fillId="0" borderId="31" xfId="41" applyNumberFormat="1" applyFont="1" applyFill="1" applyBorder="1" applyAlignment="1">
      <alignment horizontal="right"/>
    </xf>
    <xf numFmtId="167" fontId="46" fillId="0" borderId="31" xfId="41" applyNumberFormat="1" applyFont="1" applyFill="1" applyBorder="1" applyAlignment="1">
      <alignment horizontal="right"/>
    </xf>
    <xf numFmtId="167" fontId="4" fillId="0" borderId="41" xfId="41" applyNumberFormat="1" applyFont="1" applyFill="1" applyBorder="1" applyAlignment="1">
      <alignment horizontal="right"/>
    </xf>
    <xf numFmtId="167" fontId="13" fillId="0" borderId="0" xfId="0" applyNumberFormat="1" applyFont="1" applyFill="1" applyBorder="1" applyAlignment="1">
      <alignment horizontal="right"/>
    </xf>
    <xf numFmtId="167" fontId="13" fillId="0" borderId="31" xfId="0" applyNumberFormat="1" applyFont="1" applyFill="1" applyBorder="1" applyAlignment="1">
      <alignment horizontal="right"/>
    </xf>
    <xf numFmtId="167" fontId="4" fillId="0" borderId="42" xfId="41" applyNumberFormat="1" applyFont="1" applyFill="1" applyBorder="1" applyAlignment="1">
      <alignment horizontal="right"/>
    </xf>
    <xf numFmtId="167" fontId="6" fillId="0" borderId="31" xfId="0" applyNumberFormat="1" applyFont="1" applyFill="1" applyBorder="1" applyAlignment="1">
      <alignment horizontal="right"/>
    </xf>
    <xf numFmtId="0" fontId="18" fillId="17" borderId="21" xfId="0" applyFont="1" applyFill="1" applyBorder="1" applyAlignment="1">
      <alignment horizontal="center"/>
    </xf>
    <xf numFmtId="167" fontId="18" fillId="0" borderId="21" xfId="0" applyNumberFormat="1" applyFont="1" applyFill="1" applyBorder="1" applyAlignment="1">
      <alignment horizontal="center"/>
    </xf>
    <xf numFmtId="185" fontId="61" fillId="0" borderId="21" xfId="0" applyNumberFormat="1" applyFont="1" applyFill="1" applyBorder="1" applyAlignment="1">
      <alignment horizontal="right"/>
    </xf>
    <xf numFmtId="167" fontId="46" fillId="0" borderId="21" xfId="41" applyNumberFormat="1" applyFont="1" applyFill="1" applyBorder="1" applyAlignment="1">
      <alignment horizontal="right"/>
    </xf>
    <xf numFmtId="167" fontId="13" fillId="0" borderId="21" xfId="41" applyNumberFormat="1" applyFont="1" applyFill="1" applyBorder="1" applyAlignment="1">
      <alignment horizontal="right"/>
    </xf>
    <xf numFmtId="167" fontId="4" fillId="0" borderId="21" xfId="41" applyNumberFormat="1" applyFont="1" applyFill="1" applyBorder="1" applyAlignment="1">
      <alignment horizontal="right"/>
    </xf>
    <xf numFmtId="167" fontId="4" fillId="0" borderId="43" xfId="41" applyNumberFormat="1" applyFont="1" applyFill="1" applyBorder="1" applyAlignment="1">
      <alignment horizontal="right"/>
    </xf>
    <xf numFmtId="167" fontId="13" fillId="0" borderId="21" xfId="0" applyNumberFormat="1" applyFont="1" applyFill="1" applyBorder="1" applyAlignment="1">
      <alignment horizontal="right"/>
    </xf>
    <xf numFmtId="167" fontId="4" fillId="0" borderId="23" xfId="41" applyNumberFormat="1" applyFont="1" applyFill="1" applyBorder="1" applyAlignment="1">
      <alignment horizontal="right"/>
    </xf>
    <xf numFmtId="167" fontId="6" fillId="0" borderId="21" xfId="0" applyNumberFormat="1" applyFont="1" applyFill="1" applyBorder="1" applyAlignment="1">
      <alignment horizontal="right"/>
    </xf>
    <xf numFmtId="185" fontId="54" fillId="0" borderId="21" xfId="0" applyNumberFormat="1" applyFont="1" applyFill="1" applyBorder="1" applyAlignment="1">
      <alignment horizontal="right"/>
    </xf>
    <xf numFmtId="185" fontId="54" fillId="0" borderId="0" xfId="0" applyNumberFormat="1" applyFont="1" applyFill="1" applyBorder="1" applyAlignment="1">
      <alignment horizontal="right"/>
    </xf>
    <xf numFmtId="185" fontId="62" fillId="0" borderId="0" xfId="41" applyNumberFormat="1" applyFont="1" applyFill="1" applyBorder="1" applyAlignment="1">
      <alignment horizontal="right"/>
    </xf>
    <xf numFmtId="167" fontId="62" fillId="0" borderId="0" xfId="41" applyNumberFormat="1" applyFont="1" applyFill="1" applyBorder="1" applyAlignment="1">
      <alignment horizontal="right"/>
    </xf>
    <xf numFmtId="0" fontId="18" fillId="17" borderId="35" xfId="0" applyFont="1" applyFill="1" applyBorder="1" applyAlignment="1">
      <alignment horizontal="center"/>
    </xf>
    <xf numFmtId="185" fontId="62" fillId="0" borderId="21" xfId="41" applyNumberFormat="1" applyFont="1" applyFill="1" applyBorder="1" applyAlignment="1">
      <alignment horizontal="right"/>
    </xf>
    <xf numFmtId="167" fontId="55" fillId="0" borderId="21" xfId="41" applyNumberFormat="1" applyFont="1" applyFill="1" applyBorder="1" applyAlignment="1">
      <alignment horizontal="right"/>
    </xf>
    <xf numFmtId="167" fontId="62" fillId="0" borderId="21" xfId="41" applyNumberFormat="1" applyFont="1" applyFill="1" applyBorder="1" applyAlignment="1">
      <alignment horizontal="right"/>
    </xf>
    <xf numFmtId="168" fontId="6" fillId="0" borderId="24" xfId="0" applyNumberFormat="1" applyFont="1" applyFill="1" applyBorder="1"/>
    <xf numFmtId="168" fontId="6" fillId="0" borderId="12" xfId="0" applyNumberFormat="1" applyFont="1" applyFill="1" applyBorder="1"/>
    <xf numFmtId="170" fontId="6" fillId="0" borderId="24" xfId="0" applyNumberFormat="1" applyFont="1" applyFill="1" applyBorder="1"/>
    <xf numFmtId="170" fontId="6" fillId="0" borderId="12" xfId="0" applyNumberFormat="1" applyFont="1" applyFill="1" applyBorder="1"/>
    <xf numFmtId="170" fontId="6" fillId="0" borderId="20" xfId="0" applyNumberFormat="1" applyFont="1" applyFill="1" applyBorder="1"/>
    <xf numFmtId="169" fontId="6" fillId="0" borderId="24" xfId="0" applyNumberFormat="1" applyFont="1" applyFill="1" applyBorder="1"/>
    <xf numFmtId="170" fontId="6" fillId="0" borderId="12" xfId="56" applyNumberFormat="1" applyFont="1" applyFill="1" applyBorder="1"/>
    <xf numFmtId="170" fontId="6" fillId="0" borderId="20" xfId="56" applyNumberFormat="1" applyFont="1" applyFill="1" applyBorder="1"/>
    <xf numFmtId="170" fontId="6" fillId="0" borderId="24" xfId="56" applyNumberFormat="1" applyFont="1" applyFill="1" applyBorder="1"/>
    <xf numFmtId="0" fontId="14" fillId="0" borderId="12" xfId="0" applyFont="1" applyFill="1" applyBorder="1"/>
    <xf numFmtId="0" fontId="11" fillId="0" borderId="12" xfId="0" applyFont="1" applyFill="1" applyBorder="1" applyAlignment="1">
      <alignment horizontal="left" indent="2"/>
    </xf>
    <xf numFmtId="171" fontId="6" fillId="0" borderId="12" xfId="0" applyNumberFormat="1" applyFont="1" applyFill="1" applyBorder="1" applyAlignment="1">
      <alignment horizontal="left" indent="1"/>
    </xf>
    <xf numFmtId="43" fontId="18" fillId="0" borderId="12" xfId="41" applyFont="1" applyFill="1" applyBorder="1"/>
    <xf numFmtId="165" fontId="17" fillId="0" borderId="12" xfId="0" applyNumberFormat="1" applyFont="1" applyFill="1" applyBorder="1"/>
    <xf numFmtId="166" fontId="17" fillId="0" borderId="12" xfId="0" applyNumberFormat="1" applyFont="1" applyFill="1" applyBorder="1"/>
    <xf numFmtId="43" fontId="18" fillId="0" borderId="20" xfId="41" applyFont="1" applyFill="1" applyBorder="1"/>
    <xf numFmtId="0" fontId="6" fillId="0" borderId="21" xfId="0" applyFont="1" applyFill="1" applyBorder="1"/>
    <xf numFmtId="7" fontId="6" fillId="0" borderId="21" xfId="0" applyNumberFormat="1" applyFont="1" applyFill="1" applyBorder="1" applyAlignment="1">
      <alignment horizontal="right"/>
    </xf>
    <xf numFmtId="7" fontId="6" fillId="0" borderId="35" xfId="0" applyNumberFormat="1" applyFont="1" applyFill="1" applyBorder="1" applyAlignment="1">
      <alignment horizontal="right"/>
    </xf>
    <xf numFmtId="7" fontId="6" fillId="0" borderId="22" xfId="0" applyNumberFormat="1" applyFont="1" applyFill="1" applyBorder="1" applyAlignment="1">
      <alignment horizontal="right"/>
    </xf>
    <xf numFmtId="7" fontId="6" fillId="0" borderId="11" xfId="0" applyNumberFormat="1" applyFont="1" applyFill="1" applyBorder="1" applyAlignment="1">
      <alignment horizontal="right"/>
    </xf>
    <xf numFmtId="7" fontId="6" fillId="0" borderId="34" xfId="0" applyNumberFormat="1" applyFont="1" applyFill="1" applyBorder="1" applyAlignment="1">
      <alignment horizontal="right"/>
    </xf>
    <xf numFmtId="167" fontId="6" fillId="0" borderId="22" xfId="0" applyNumberFormat="1" applyFont="1" applyFill="1" applyBorder="1" applyAlignment="1">
      <alignment horizontal="right"/>
    </xf>
    <xf numFmtId="167" fontId="6" fillId="0" borderId="34" xfId="0" applyNumberFormat="1" applyFont="1" applyFill="1" applyBorder="1" applyAlignment="1">
      <alignment horizontal="right"/>
    </xf>
    <xf numFmtId="169" fontId="6" fillId="0" borderId="21" xfId="0" applyNumberFormat="1" applyFont="1" applyFill="1" applyBorder="1" applyAlignment="1">
      <alignment horizontal="right"/>
    </xf>
    <xf numFmtId="169" fontId="6" fillId="0" borderId="22" xfId="0" applyNumberFormat="1" applyFont="1" applyFill="1" applyBorder="1" applyAlignment="1">
      <alignment horizontal="right"/>
    </xf>
    <xf numFmtId="169" fontId="6" fillId="0" borderId="11" xfId="0" applyNumberFormat="1" applyFont="1" applyFill="1" applyBorder="1" applyAlignment="1">
      <alignment horizontal="right"/>
    </xf>
    <xf numFmtId="169" fontId="6" fillId="0" borderId="35" xfId="0" applyNumberFormat="1" applyFont="1" applyFill="1" applyBorder="1" applyAlignment="1">
      <alignment horizontal="right"/>
    </xf>
    <xf numFmtId="169" fontId="6" fillId="0" borderId="34" xfId="0" applyNumberFormat="1" applyFont="1" applyFill="1" applyBorder="1" applyAlignment="1">
      <alignment horizontal="right"/>
    </xf>
    <xf numFmtId="170" fontId="6" fillId="24" borderId="12" xfId="56" applyNumberFormat="1" applyFont="1" applyFill="1" applyBorder="1"/>
    <xf numFmtId="167" fontId="62" fillId="24" borderId="21" xfId="41" applyNumberFormat="1" applyFont="1" applyFill="1" applyBorder="1" applyAlignment="1">
      <alignment horizontal="right"/>
    </xf>
    <xf numFmtId="167" fontId="62" fillId="24" borderId="0" xfId="41" applyNumberFormat="1" applyFont="1" applyFill="1" applyBorder="1" applyAlignment="1">
      <alignment horizontal="right"/>
    </xf>
    <xf numFmtId="167" fontId="62" fillId="24" borderId="35" xfId="41" applyNumberFormat="1" applyFont="1" applyFill="1" applyBorder="1" applyAlignment="1">
      <alignment horizontal="right"/>
    </xf>
    <xf numFmtId="0" fontId="6" fillId="24" borderId="20" xfId="0" applyFont="1" applyFill="1" applyBorder="1"/>
    <xf numFmtId="7" fontId="62" fillId="24" borderId="22" xfId="0" applyNumberFormat="1" applyFont="1" applyFill="1" applyBorder="1" applyAlignment="1">
      <alignment horizontal="right"/>
    </xf>
    <xf numFmtId="7" fontId="62" fillId="24" borderId="11" xfId="0" applyNumberFormat="1" applyFont="1" applyFill="1" applyBorder="1" applyAlignment="1">
      <alignment horizontal="right"/>
    </xf>
    <xf numFmtId="7" fontId="62" fillId="24" borderId="34" xfId="0" applyNumberFormat="1" applyFont="1" applyFill="1" applyBorder="1" applyAlignment="1">
      <alignment horizontal="right"/>
    </xf>
    <xf numFmtId="167" fontId="6" fillId="0" borderId="23" xfId="0" applyNumberFormat="1" applyFont="1" applyFill="1" applyBorder="1"/>
    <xf numFmtId="167" fontId="6" fillId="0" borderId="21" xfId="0" applyNumberFormat="1" applyFont="1" applyFill="1" applyBorder="1" applyAlignment="1">
      <alignment horizontal="left" indent="1"/>
    </xf>
    <xf numFmtId="167" fontId="6" fillId="0" borderId="45" xfId="0" applyNumberFormat="1" applyFont="1" applyFill="1" applyBorder="1" applyAlignment="1">
      <alignment horizontal="left" indent="1"/>
    </xf>
    <xf numFmtId="167" fontId="4" fillId="0" borderId="21" xfId="0" applyNumberFormat="1" applyFont="1" applyFill="1" applyBorder="1"/>
    <xf numFmtId="167" fontId="6" fillId="0" borderId="0" xfId="41" quotePrefix="1" applyNumberFormat="1" applyFont="1" applyFill="1" applyBorder="1" applyAlignment="1">
      <alignment horizontal="right"/>
    </xf>
    <xf numFmtId="167" fontId="6" fillId="0" borderId="45" xfId="0" applyNumberFormat="1" applyFont="1" applyFill="1" applyBorder="1" applyAlignment="1">
      <alignment horizontal="right"/>
    </xf>
    <xf numFmtId="167" fontId="4" fillId="0" borderId="21" xfId="0" applyNumberFormat="1" applyFont="1" applyFill="1" applyBorder="1" applyAlignment="1">
      <alignment horizontal="right"/>
    </xf>
    <xf numFmtId="43" fontId="18" fillId="0" borderId="22" xfId="41" applyFont="1" applyFill="1" applyBorder="1"/>
    <xf numFmtId="43" fontId="60" fillId="0" borderId="22" xfId="41" applyFont="1" applyFill="1" applyBorder="1" applyAlignment="1">
      <alignment horizontal="right"/>
    </xf>
    <xf numFmtId="43" fontId="60" fillId="0" borderId="11" xfId="41" applyFont="1" applyFill="1" applyBorder="1" applyAlignment="1">
      <alignment horizontal="right"/>
    </xf>
    <xf numFmtId="167" fontId="51" fillId="0" borderId="21" xfId="41" applyNumberFormat="1" applyFont="1" applyFill="1" applyBorder="1" applyAlignment="1">
      <alignment horizontal="right"/>
    </xf>
    <xf numFmtId="167" fontId="51" fillId="0" borderId="0" xfId="41" applyNumberFormat="1" applyFont="1" applyFill="1" applyBorder="1" applyAlignment="1">
      <alignment horizontal="right"/>
    </xf>
    <xf numFmtId="167" fontId="6" fillId="0" borderId="46" xfId="0" applyNumberFormat="1" applyFont="1" applyFill="1" applyBorder="1" applyAlignment="1">
      <alignment horizontal="right"/>
    </xf>
    <xf numFmtId="167" fontId="4" fillId="0" borderId="35" xfId="0" applyNumberFormat="1" applyFont="1" applyFill="1" applyBorder="1" applyAlignment="1">
      <alignment horizontal="right"/>
    </xf>
    <xf numFmtId="43" fontId="60" fillId="0" borderId="34" xfId="41" applyFont="1" applyFill="1" applyBorder="1" applyAlignment="1">
      <alignment horizontal="right"/>
    </xf>
    <xf numFmtId="167" fontId="6" fillId="0" borderId="21" xfId="41" quotePrefix="1" applyNumberFormat="1" applyFont="1" applyFill="1" applyBorder="1" applyAlignment="1">
      <alignment horizontal="right"/>
    </xf>
    <xf numFmtId="43" fontId="18" fillId="0" borderId="21" xfId="41" applyFont="1" applyFill="1" applyBorder="1" applyAlignment="1">
      <alignment horizontal="right"/>
    </xf>
    <xf numFmtId="167" fontId="6" fillId="0" borderId="35" xfId="41" quotePrefix="1" applyNumberFormat="1" applyFont="1" applyFill="1" applyBorder="1" applyAlignment="1">
      <alignment horizontal="right"/>
    </xf>
    <xf numFmtId="43" fontId="18" fillId="0" borderId="35" xfId="41" applyFont="1" applyFill="1" applyBorder="1" applyAlignment="1">
      <alignment horizontal="right"/>
    </xf>
    <xf numFmtId="167" fontId="51" fillId="0" borderId="45" xfId="0" applyNumberFormat="1" applyFont="1" applyFill="1" applyBorder="1" applyAlignment="1">
      <alignment horizontal="right"/>
    </xf>
    <xf numFmtId="43" fontId="18" fillId="0" borderId="22" xfId="41" applyFont="1" applyFill="1" applyBorder="1" applyAlignment="1">
      <alignment horizontal="right"/>
    </xf>
    <xf numFmtId="43" fontId="18" fillId="0" borderId="11" xfId="41" applyFont="1" applyFill="1" applyBorder="1" applyAlignment="1">
      <alignment horizontal="right"/>
    </xf>
    <xf numFmtId="43" fontId="18" fillId="0" borderId="34" xfId="41" applyFont="1" applyFill="1" applyBorder="1" applyAlignment="1">
      <alignment horizontal="right"/>
    </xf>
    <xf numFmtId="167" fontId="4" fillId="0" borderId="47" xfId="0" applyNumberFormat="1" applyFont="1" applyFill="1" applyBorder="1" applyAlignment="1">
      <alignment horizontal="right"/>
    </xf>
    <xf numFmtId="167" fontId="4" fillId="0" borderId="48" xfId="0" applyNumberFormat="1" applyFont="1" applyFill="1" applyBorder="1" applyAlignment="1">
      <alignment horizontal="right"/>
    </xf>
    <xf numFmtId="167" fontId="4" fillId="0" borderId="49" xfId="0" applyNumberFormat="1" applyFont="1" applyFill="1" applyBorder="1" applyAlignment="1">
      <alignment horizontal="right"/>
    </xf>
    <xf numFmtId="173" fontId="55" fillId="0" borderId="11" xfId="0" applyNumberFormat="1" applyFont="1" applyFill="1" applyBorder="1" applyAlignment="1">
      <alignment horizontal="right"/>
    </xf>
    <xf numFmtId="173" fontId="55" fillId="0" borderId="22" xfId="0" applyNumberFormat="1" applyFont="1" applyFill="1" applyBorder="1" applyAlignment="1">
      <alignment horizontal="right"/>
    </xf>
    <xf numFmtId="173" fontId="11" fillId="0" borderId="21" xfId="0" applyNumberFormat="1" applyFont="1" applyFill="1" applyBorder="1" applyAlignment="1">
      <alignment horizontal="right"/>
    </xf>
    <xf numFmtId="173" fontId="11" fillId="0" borderId="0" xfId="0" applyNumberFormat="1" applyFont="1" applyFill="1" applyBorder="1" applyAlignment="1">
      <alignment horizontal="right"/>
    </xf>
    <xf numFmtId="167" fontId="13" fillId="0" borderId="45" xfId="41" applyNumberFormat="1" applyFont="1" applyFill="1" applyBorder="1" applyAlignment="1">
      <alignment horizontal="right"/>
    </xf>
    <xf numFmtId="167" fontId="63" fillId="0" borderId="0" xfId="41" applyNumberFormat="1" applyFont="1" applyFill="1" applyBorder="1" applyAlignment="1">
      <alignment horizontal="right"/>
    </xf>
    <xf numFmtId="167" fontId="6" fillId="0" borderId="45" xfId="41" applyNumberFormat="1" applyFont="1" applyFill="1" applyBorder="1" applyAlignment="1">
      <alignment horizontal="right"/>
    </xf>
    <xf numFmtId="167" fontId="17" fillId="0" borderId="21" xfId="0" applyNumberFormat="1" applyFont="1" applyFill="1" applyBorder="1" applyAlignment="1">
      <alignment horizontal="right"/>
    </xf>
    <xf numFmtId="167" fontId="17" fillId="0" borderId="0" xfId="0" applyNumberFormat="1" applyFont="1" applyFill="1" applyBorder="1" applyAlignment="1">
      <alignment horizontal="right"/>
    </xf>
    <xf numFmtId="173" fontId="11" fillId="0" borderId="35" xfId="0" applyNumberFormat="1" applyFont="1" applyFill="1" applyBorder="1" applyAlignment="1">
      <alignment horizontal="right"/>
    </xf>
    <xf numFmtId="167" fontId="6" fillId="0" borderId="46" xfId="41" applyNumberFormat="1" applyFont="1" applyFill="1" applyBorder="1" applyAlignment="1">
      <alignment horizontal="right"/>
    </xf>
    <xf numFmtId="167" fontId="17" fillId="0" borderId="35" xfId="41" applyNumberFormat="1" applyFont="1" applyFill="1" applyBorder="1" applyAlignment="1">
      <alignment horizontal="right"/>
    </xf>
    <xf numFmtId="167" fontId="46" fillId="0" borderId="35" xfId="41" applyNumberFormat="1" applyFont="1" applyFill="1" applyBorder="1" applyAlignment="1">
      <alignment horizontal="right"/>
    </xf>
    <xf numFmtId="167" fontId="17" fillId="0" borderId="35" xfId="0" applyNumberFormat="1" applyFont="1" applyFill="1" applyBorder="1" applyAlignment="1">
      <alignment horizontal="right"/>
    </xf>
    <xf numFmtId="173" fontId="59" fillId="0" borderId="0" xfId="0" applyNumberFormat="1" applyFont="1" applyFill="1" applyBorder="1" applyAlignment="1">
      <alignment horizontal="right"/>
    </xf>
    <xf numFmtId="167" fontId="62" fillId="0" borderId="35" xfId="41" applyNumberFormat="1" applyFont="1" applyFill="1" applyBorder="1" applyAlignment="1">
      <alignment horizontal="right"/>
    </xf>
    <xf numFmtId="173" fontId="59" fillId="0" borderId="21" xfId="0" applyNumberFormat="1" applyFont="1" applyFill="1" applyBorder="1" applyAlignment="1">
      <alignment horizontal="right"/>
    </xf>
    <xf numFmtId="167" fontId="55" fillId="0" borderId="45" xfId="41" applyNumberFormat="1" applyFont="1" applyFill="1" applyBorder="1" applyAlignment="1">
      <alignment horizontal="right"/>
    </xf>
    <xf numFmtId="173" fontId="54" fillId="0" borderId="21" xfId="0" applyNumberFormat="1" applyFont="1" applyFill="1" applyBorder="1" applyAlignment="1">
      <alignment horizontal="right"/>
    </xf>
    <xf numFmtId="173" fontId="54" fillId="0" borderId="0" xfId="0" applyNumberFormat="1" applyFont="1" applyFill="1" applyBorder="1" applyAlignment="1">
      <alignment horizontal="right"/>
    </xf>
    <xf numFmtId="0" fontId="6" fillId="0" borderId="35" xfId="0" applyFont="1" applyFill="1" applyBorder="1"/>
    <xf numFmtId="0" fontId="6" fillId="0" borderId="44" xfId="0" applyFont="1" applyFill="1" applyBorder="1" applyAlignment="1">
      <alignment horizontal="left" indent="1"/>
    </xf>
    <xf numFmtId="168" fontId="6" fillId="0" borderId="32" xfId="62" applyNumberFormat="1" applyFont="1" applyFill="1" applyBorder="1" applyAlignment="1">
      <alignment horizontal="left" indent="1"/>
    </xf>
    <xf numFmtId="168" fontId="6" fillId="0" borderId="32" xfId="62" applyNumberFormat="1" applyFont="1" applyFill="1" applyBorder="1"/>
    <xf numFmtId="43" fontId="78" fillId="20" borderId="11" xfId="41" applyFont="1" applyFill="1" applyBorder="1"/>
    <xf numFmtId="167" fontId="6" fillId="0" borderId="32" xfId="41" applyNumberFormat="1" applyFont="1" applyFill="1" applyBorder="1" applyAlignment="1">
      <alignment horizontal="right"/>
    </xf>
    <xf numFmtId="167" fontId="17" fillId="0" borderId="32" xfId="41" applyNumberFormat="1" applyFont="1" applyFill="1" applyBorder="1" applyAlignment="1">
      <alignment horizontal="right"/>
    </xf>
    <xf numFmtId="167" fontId="17" fillId="0" borderId="32" xfId="0" applyNumberFormat="1" applyFont="1" applyFill="1" applyBorder="1" applyAlignment="1">
      <alignment horizontal="right"/>
    </xf>
    <xf numFmtId="166" fontId="17" fillId="0" borderId="0" xfId="0" applyNumberFormat="1" applyFont="1" applyFill="1" applyBorder="1" applyAlignment="1">
      <alignment horizontal="right"/>
    </xf>
    <xf numFmtId="167" fontId="18" fillId="0" borderId="23" xfId="0" applyNumberFormat="1" applyFont="1" applyFill="1" applyBorder="1" applyAlignment="1">
      <alignment horizontal="center"/>
    </xf>
    <xf numFmtId="167" fontId="18" fillId="0" borderId="17" xfId="0" applyNumberFormat="1" applyFont="1" applyFill="1" applyBorder="1" applyAlignment="1">
      <alignment horizontal="center"/>
    </xf>
    <xf numFmtId="185" fontId="54" fillId="0" borderId="32" xfId="0" applyNumberFormat="1" applyFont="1" applyFill="1" applyBorder="1" applyAlignment="1">
      <alignment horizontal="right"/>
    </xf>
    <xf numFmtId="167" fontId="46" fillId="0" borderId="32" xfId="41" applyNumberFormat="1" applyFont="1" applyFill="1" applyBorder="1" applyAlignment="1">
      <alignment horizontal="right"/>
    </xf>
    <xf numFmtId="167" fontId="13" fillId="0" borderId="32" xfId="41" applyNumberFormat="1" applyFont="1" applyFill="1" applyBorder="1" applyAlignment="1">
      <alignment horizontal="right"/>
    </xf>
    <xf numFmtId="167" fontId="4" fillId="0" borderId="32" xfId="41" applyNumberFormat="1" applyFont="1" applyFill="1" applyBorder="1" applyAlignment="1">
      <alignment horizontal="right"/>
    </xf>
    <xf numFmtId="167" fontId="4" fillId="0" borderId="22" xfId="41" applyNumberFormat="1" applyFont="1" applyFill="1" applyBorder="1" applyAlignment="1">
      <alignment horizontal="right"/>
    </xf>
    <xf numFmtId="167" fontId="18" fillId="0" borderId="36" xfId="0" applyNumberFormat="1" applyFont="1" applyFill="1" applyBorder="1" applyAlignment="1">
      <alignment horizontal="center"/>
    </xf>
    <xf numFmtId="185" fontId="6" fillId="0" borderId="35" xfId="0" applyNumberFormat="1" applyFont="1" applyFill="1" applyBorder="1" applyAlignment="1">
      <alignment horizontal="right"/>
    </xf>
    <xf numFmtId="167" fontId="4" fillId="0" borderId="34" xfId="41" applyNumberFormat="1" applyFont="1" applyFill="1" applyBorder="1" applyAlignment="1">
      <alignment horizontal="right"/>
    </xf>
    <xf numFmtId="43" fontId="78" fillId="20" borderId="15" xfId="41" applyFont="1" applyFill="1" applyBorder="1"/>
    <xf numFmtId="43" fontId="78" fillId="20" borderId="15" xfId="41" applyFont="1" applyFill="1" applyBorder="1" applyAlignment="1">
      <alignment horizontal="right"/>
    </xf>
    <xf numFmtId="185" fontId="62" fillId="0" borderId="0" xfId="0" applyNumberFormat="1" applyFont="1" applyFill="1" applyBorder="1" applyAlignment="1">
      <alignment horizontal="right"/>
    </xf>
    <xf numFmtId="185" fontId="62" fillId="0" borderId="32" xfId="0" applyNumberFormat="1" applyFont="1" applyFill="1" applyBorder="1" applyAlignment="1">
      <alignment horizontal="right"/>
    </xf>
    <xf numFmtId="167" fontId="62" fillId="0" borderId="32" xfId="41" applyNumberFormat="1" applyFont="1" applyFill="1" applyBorder="1" applyAlignment="1">
      <alignment horizontal="right"/>
    </xf>
    <xf numFmtId="167" fontId="55" fillId="0" borderId="32" xfId="41" applyNumberFormat="1" applyFont="1" applyFill="1" applyBorder="1" applyAlignment="1">
      <alignment horizontal="right"/>
    </xf>
    <xf numFmtId="174" fontId="6" fillId="0" borderId="12" xfId="41" applyNumberFormat="1" applyFont="1" applyFill="1" applyBorder="1" applyAlignment="1"/>
    <xf numFmtId="167" fontId="6" fillId="0" borderId="12" xfId="0" applyNumberFormat="1" applyFont="1" applyFill="1" applyBorder="1" applyAlignment="1">
      <alignment horizontal="left" wrapText="1" indent="1"/>
    </xf>
    <xf numFmtId="167" fontId="6" fillId="0" borderId="12" xfId="0" applyNumberFormat="1" applyFont="1" applyFill="1" applyBorder="1" applyAlignment="1">
      <alignment horizontal="left" indent="2"/>
    </xf>
    <xf numFmtId="167" fontId="6" fillId="0" borderId="12" xfId="0" applyNumberFormat="1" applyFont="1" applyFill="1" applyBorder="1" applyAlignment="1">
      <alignment horizontal="left" wrapText="1"/>
    </xf>
    <xf numFmtId="167" fontId="6" fillId="0" borderId="12" xfId="57" applyNumberFormat="1" applyFont="1" applyFill="1" applyBorder="1" applyAlignment="1" applyProtection="1">
      <alignment horizontal="left" indent="1"/>
    </xf>
    <xf numFmtId="167" fontId="4" fillId="0" borderId="20" xfId="0" applyNumberFormat="1" applyFont="1" applyFill="1" applyBorder="1"/>
    <xf numFmtId="167" fontId="6" fillId="0" borderId="20" xfId="0" applyNumberFormat="1" applyFont="1" applyFill="1" applyBorder="1" applyAlignment="1">
      <alignment horizontal="left" indent="2"/>
    </xf>
    <xf numFmtId="167" fontId="6" fillId="0" borderId="20" xfId="0" applyNumberFormat="1" applyFont="1" applyFill="1" applyBorder="1" applyAlignment="1">
      <alignment horizontal="left" wrapText="1" indent="1"/>
    </xf>
    <xf numFmtId="167" fontId="4" fillId="0" borderId="39" xfId="0" applyNumberFormat="1" applyFont="1" applyFill="1" applyBorder="1"/>
    <xf numFmtId="167" fontId="6" fillId="17" borderId="24" xfId="0" applyNumberFormat="1" applyFont="1" applyFill="1" applyBorder="1"/>
    <xf numFmtId="0" fontId="6" fillId="17" borderId="12" xfId="0" applyFont="1" applyFill="1" applyBorder="1"/>
    <xf numFmtId="9" fontId="6" fillId="17" borderId="20" xfId="62" applyFont="1" applyFill="1" applyBorder="1"/>
    <xf numFmtId="167" fontId="6" fillId="0" borderId="23" xfId="0" applyNumberFormat="1" applyFont="1" applyFill="1" applyBorder="1" applyAlignment="1">
      <alignment horizontal="right"/>
    </xf>
    <xf numFmtId="167" fontId="6" fillId="0" borderId="17" xfId="0" applyNumberFormat="1" applyFont="1" applyFill="1" applyBorder="1" applyAlignment="1">
      <alignment horizontal="right"/>
    </xf>
    <xf numFmtId="167" fontId="6" fillId="0" borderId="36" xfId="0" applyNumberFormat="1" applyFont="1" applyFill="1" applyBorder="1" applyAlignment="1">
      <alignment horizontal="right"/>
    </xf>
    <xf numFmtId="167" fontId="6" fillId="0" borderId="23" xfId="41" applyNumberFormat="1" applyFont="1" applyFill="1" applyBorder="1" applyAlignment="1">
      <alignment horizontal="right"/>
    </xf>
    <xf numFmtId="167" fontId="6" fillId="0" borderId="17" xfId="41" applyNumberFormat="1" applyFont="1" applyFill="1" applyBorder="1" applyAlignment="1">
      <alignment horizontal="right"/>
    </xf>
    <xf numFmtId="167" fontId="6" fillId="0" borderId="36" xfId="41" applyNumberFormat="1" applyFont="1" applyFill="1" applyBorder="1" applyAlignment="1">
      <alignment horizontal="right"/>
    </xf>
    <xf numFmtId="0" fontId="11" fillId="0" borderId="12" xfId="0" applyFont="1" applyFill="1" applyBorder="1" applyAlignment="1">
      <alignment horizontal="left" indent="1"/>
    </xf>
    <xf numFmtId="171" fontId="6" fillId="0" borderId="12" xfId="0" applyNumberFormat="1" applyFont="1" applyFill="1" applyBorder="1"/>
    <xf numFmtId="0" fontId="6" fillId="0" borderId="20" xfId="0" applyFont="1" applyFill="1" applyBorder="1" applyAlignment="1"/>
    <xf numFmtId="167" fontId="54" fillId="0" borderId="21" xfId="0" applyNumberFormat="1" applyFont="1" applyFill="1" applyBorder="1" applyAlignment="1">
      <alignment horizontal="right"/>
    </xf>
    <xf numFmtId="167" fontId="54" fillId="0" borderId="0" xfId="0" applyNumberFormat="1" applyFont="1" applyFill="1" applyBorder="1" applyAlignment="1">
      <alignment horizontal="right"/>
    </xf>
    <xf numFmtId="7" fontId="54" fillId="0" borderId="21" xfId="0" applyNumberFormat="1" applyFont="1" applyFill="1" applyBorder="1" applyAlignment="1">
      <alignment horizontal="right"/>
    </xf>
    <xf numFmtId="7" fontId="54" fillId="0" borderId="0" xfId="0" applyNumberFormat="1" applyFont="1" applyFill="1" applyBorder="1" applyAlignment="1">
      <alignment horizontal="right"/>
    </xf>
    <xf numFmtId="167" fontId="6" fillId="0" borderId="21" xfId="0" applyNumberFormat="1" applyFont="1" applyFill="1" applyBorder="1"/>
    <xf numFmtId="167" fontId="6" fillId="0" borderId="35" xfId="0" applyNumberFormat="1" applyFont="1" applyFill="1" applyBorder="1"/>
    <xf numFmtId="167" fontId="6" fillId="0" borderId="22" xfId="41" applyNumberFormat="1" applyFont="1" applyFill="1" applyBorder="1" applyAlignment="1">
      <alignment horizontal="right"/>
    </xf>
    <xf numFmtId="167" fontId="6" fillId="0" borderId="11" xfId="41" applyNumberFormat="1" applyFont="1" applyFill="1" applyBorder="1" applyAlignment="1">
      <alignment horizontal="right"/>
    </xf>
    <xf numFmtId="167" fontId="6" fillId="0" borderId="34" xfId="41" applyNumberFormat="1" applyFont="1" applyFill="1" applyBorder="1" applyAlignment="1">
      <alignment horizontal="right"/>
    </xf>
    <xf numFmtId="167" fontId="55" fillId="0" borderId="0" xfId="0" applyNumberFormat="1" applyFont="1" applyFill="1" applyBorder="1" applyAlignment="1">
      <alignment horizontal="right"/>
    </xf>
    <xf numFmtId="7" fontId="55" fillId="0" borderId="0" xfId="0" applyNumberFormat="1" applyFont="1" applyFill="1" applyBorder="1" applyAlignment="1">
      <alignment horizontal="right"/>
    </xf>
    <xf numFmtId="167" fontId="55" fillId="0" borderId="21" xfId="0" applyNumberFormat="1" applyFont="1" applyFill="1" applyBorder="1" applyAlignment="1">
      <alignment horizontal="right"/>
    </xf>
    <xf numFmtId="7" fontId="55" fillId="0" borderId="21" xfId="0" applyNumberFormat="1" applyFont="1" applyFill="1" applyBorder="1" applyAlignment="1">
      <alignment horizontal="right"/>
    </xf>
    <xf numFmtId="0" fontId="53" fillId="27" borderId="23" xfId="0" applyFont="1" applyFill="1" applyBorder="1" applyAlignment="1">
      <alignment horizontal="right"/>
    </xf>
    <xf numFmtId="0" fontId="53" fillId="27" borderId="17" xfId="0" applyFont="1" applyFill="1" applyBorder="1" applyAlignment="1">
      <alignment horizontal="right"/>
    </xf>
    <xf numFmtId="0" fontId="53" fillId="27" borderId="36" xfId="0" applyFont="1" applyFill="1" applyBorder="1" applyAlignment="1">
      <alignment horizontal="right"/>
    </xf>
    <xf numFmtId="0" fontId="4" fillId="27" borderId="24" xfId="0" applyFont="1" applyFill="1" applyBorder="1"/>
    <xf numFmtId="167" fontId="53" fillId="27" borderId="21" xfId="0" applyNumberFormat="1" applyFont="1" applyFill="1" applyBorder="1" applyAlignment="1">
      <alignment horizontal="right"/>
    </xf>
    <xf numFmtId="167" fontId="53" fillId="27" borderId="0" xfId="0" applyNumberFormat="1" applyFont="1" applyFill="1" applyBorder="1" applyAlignment="1">
      <alignment horizontal="right"/>
    </xf>
    <xf numFmtId="167" fontId="53" fillId="27" borderId="35" xfId="0" applyNumberFormat="1" applyFont="1" applyFill="1" applyBorder="1" applyAlignment="1">
      <alignment horizontal="right"/>
    </xf>
    <xf numFmtId="0" fontId="4" fillId="27" borderId="12" xfId="0" applyFont="1" applyFill="1" applyBorder="1"/>
    <xf numFmtId="0" fontId="6" fillId="27" borderId="23" xfId="0" applyFont="1" applyFill="1" applyBorder="1" applyAlignment="1">
      <alignment horizontal="right"/>
    </xf>
    <xf numFmtId="0" fontId="6" fillId="27" borderId="17" xfId="0" applyFont="1" applyFill="1" applyBorder="1" applyAlignment="1">
      <alignment horizontal="right"/>
    </xf>
    <xf numFmtId="0" fontId="6" fillId="27" borderId="36" xfId="0" applyFont="1" applyFill="1" applyBorder="1" applyAlignment="1">
      <alignment horizontal="right"/>
    </xf>
    <xf numFmtId="167" fontId="6" fillId="27" borderId="21" xfId="0" applyNumberFormat="1" applyFont="1" applyFill="1" applyBorder="1" applyAlignment="1">
      <alignment horizontal="right"/>
    </xf>
    <xf numFmtId="167" fontId="6" fillId="27" borderId="0" xfId="0" applyNumberFormat="1" applyFont="1" applyFill="1" applyBorder="1" applyAlignment="1">
      <alignment horizontal="right"/>
    </xf>
    <xf numFmtId="167" fontId="6" fillId="27" borderId="35" xfId="0" applyNumberFormat="1" applyFont="1" applyFill="1" applyBorder="1" applyAlignment="1">
      <alignment horizontal="right"/>
    </xf>
    <xf numFmtId="0" fontId="6" fillId="27" borderId="21" xfId="0" applyFont="1" applyFill="1" applyBorder="1" applyAlignment="1">
      <alignment horizontal="right"/>
    </xf>
    <xf numFmtId="0" fontId="6" fillId="27" borderId="0" xfId="0" applyFont="1" applyFill="1" applyBorder="1" applyAlignment="1">
      <alignment horizontal="right"/>
    </xf>
    <xf numFmtId="0" fontId="6" fillId="27" borderId="35" xfId="0" applyFont="1" applyFill="1" applyBorder="1" applyAlignment="1">
      <alignment horizontal="right"/>
    </xf>
    <xf numFmtId="0" fontId="4" fillId="27" borderId="23" xfId="0" applyFont="1" applyFill="1" applyBorder="1" applyAlignment="1">
      <alignment horizontal="left"/>
    </xf>
    <xf numFmtId="37" fontId="6" fillId="27" borderId="23" xfId="0" applyNumberFormat="1" applyFont="1" applyFill="1" applyBorder="1"/>
    <xf numFmtId="37" fontId="6" fillId="27" borderId="17" xfId="0" applyNumberFormat="1" applyFont="1" applyFill="1" applyBorder="1"/>
    <xf numFmtId="37" fontId="6" fillId="27" borderId="36" xfId="0" applyNumberFormat="1" applyFont="1" applyFill="1" applyBorder="1"/>
    <xf numFmtId="0" fontId="4" fillId="27" borderId="12" xfId="0" applyFont="1" applyFill="1" applyBorder="1" applyAlignment="1">
      <alignment horizontal="left"/>
    </xf>
    <xf numFmtId="37" fontId="6" fillId="27" borderId="32" xfId="0" applyNumberFormat="1" applyFont="1" applyFill="1" applyBorder="1"/>
    <xf numFmtId="37" fontId="6" fillId="27" borderId="0" xfId="0" applyNumberFormat="1" applyFont="1" applyFill="1" applyBorder="1"/>
    <xf numFmtId="37" fontId="6" fillId="27" borderId="35" xfId="0" applyNumberFormat="1" applyFont="1" applyFill="1" applyBorder="1"/>
    <xf numFmtId="0" fontId="4" fillId="27" borderId="32" xfId="0" applyFont="1" applyFill="1" applyBorder="1" applyAlignment="1">
      <alignment horizontal="left"/>
    </xf>
    <xf numFmtId="196" fontId="11" fillId="0" borderId="35" xfId="0" applyNumberFormat="1" applyFont="1" applyFill="1" applyBorder="1" applyAlignment="1">
      <alignment horizontal="right"/>
    </xf>
    <xf numFmtId="173" fontId="4" fillId="0" borderId="21" xfId="0" applyNumberFormat="1" applyFont="1" applyFill="1" applyBorder="1" applyAlignment="1">
      <alignment horizontal="right"/>
    </xf>
    <xf numFmtId="173" fontId="4" fillId="0" borderId="0" xfId="0" applyNumberFormat="1" applyFont="1" applyFill="1" applyBorder="1" applyAlignment="1">
      <alignment horizontal="right"/>
    </xf>
    <xf numFmtId="173" fontId="4" fillId="0" borderId="22" xfId="0" applyNumberFormat="1" applyFont="1" applyFill="1" applyBorder="1" applyAlignment="1">
      <alignment horizontal="right"/>
    </xf>
    <xf numFmtId="173" fontId="4" fillId="0" borderId="11" xfId="0" applyNumberFormat="1" applyFont="1" applyFill="1" applyBorder="1" applyAlignment="1">
      <alignment horizontal="right"/>
    </xf>
    <xf numFmtId="173" fontId="4" fillId="0" borderId="35" xfId="0" applyNumberFormat="1" applyFont="1" applyFill="1" applyBorder="1" applyAlignment="1">
      <alignment horizontal="right"/>
    </xf>
    <xf numFmtId="173" fontId="4" fillId="0" borderId="34" xfId="0" applyNumberFormat="1" applyFont="1" applyFill="1" applyBorder="1" applyAlignment="1">
      <alignment horizontal="right"/>
    </xf>
    <xf numFmtId="10" fontId="6" fillId="0" borderId="12" xfId="0" applyNumberFormat="1" applyFont="1" applyFill="1" applyBorder="1" applyAlignment="1">
      <alignment horizontal="left" indent="2"/>
    </xf>
    <xf numFmtId="10" fontId="6" fillId="0" borderId="12" xfId="0" applyNumberFormat="1" applyFont="1" applyFill="1" applyBorder="1"/>
    <xf numFmtId="10" fontId="6" fillId="0" borderId="12" xfId="0" applyNumberFormat="1" applyFont="1" applyFill="1" applyBorder="1" applyAlignment="1">
      <alignment horizontal="left" indent="1"/>
    </xf>
    <xf numFmtId="10" fontId="4" fillId="0" borderId="12" xfId="0" applyNumberFormat="1" applyFont="1" applyFill="1" applyBorder="1"/>
    <xf numFmtId="10" fontId="4" fillId="0" borderId="20" xfId="0" applyNumberFormat="1" applyFont="1" applyFill="1" applyBorder="1" applyAlignment="1">
      <alignment horizontal="left"/>
    </xf>
    <xf numFmtId="173" fontId="55" fillId="0" borderId="35" xfId="0" applyNumberFormat="1" applyFont="1" applyFill="1" applyBorder="1" applyAlignment="1">
      <alignment horizontal="right"/>
    </xf>
    <xf numFmtId="0" fontId="4" fillId="0" borderId="20" xfId="0" applyFont="1" applyFill="1" applyBorder="1" applyAlignment="1">
      <alignment horizontal="left"/>
    </xf>
    <xf numFmtId="0" fontId="4" fillId="0" borderId="50" xfId="0" applyFont="1" applyFill="1" applyBorder="1" applyAlignment="1">
      <alignment horizontal="left"/>
    </xf>
    <xf numFmtId="167" fontId="6" fillId="0" borderId="27" xfId="41" applyNumberFormat="1" applyFont="1" applyFill="1" applyBorder="1" applyAlignment="1">
      <alignment horizontal="right"/>
    </xf>
    <xf numFmtId="167" fontId="6" fillId="0" borderId="28" xfId="41" applyNumberFormat="1" applyFont="1" applyFill="1" applyBorder="1" applyAlignment="1">
      <alignment horizontal="right"/>
    </xf>
    <xf numFmtId="167" fontId="4" fillId="0" borderId="51" xfId="41" applyNumberFormat="1" applyFont="1" applyFill="1" applyBorder="1" applyAlignment="1">
      <alignment horizontal="right"/>
    </xf>
    <xf numFmtId="167" fontId="4" fillId="0" borderId="52" xfId="41" applyNumberFormat="1" applyFont="1" applyFill="1" applyBorder="1" applyAlignment="1">
      <alignment horizontal="right"/>
    </xf>
    <xf numFmtId="167" fontId="4" fillId="0" borderId="22" xfId="0" applyNumberFormat="1" applyFont="1" applyFill="1" applyBorder="1" applyAlignment="1">
      <alignment horizontal="right"/>
    </xf>
    <xf numFmtId="167" fontId="4" fillId="0" borderId="11" xfId="0" applyNumberFormat="1" applyFont="1" applyFill="1" applyBorder="1" applyAlignment="1">
      <alignment horizontal="right"/>
    </xf>
    <xf numFmtId="167" fontId="58" fillId="0" borderId="22" xfId="0" applyNumberFormat="1" applyFont="1" applyFill="1" applyBorder="1" applyAlignment="1">
      <alignment horizontal="right"/>
    </xf>
    <xf numFmtId="167" fontId="58" fillId="0" borderId="11" xfId="0" applyNumberFormat="1" applyFont="1" applyFill="1" applyBorder="1" applyAlignment="1">
      <alignment horizontal="right"/>
    </xf>
    <xf numFmtId="167" fontId="4" fillId="0" borderId="53" xfId="41" applyNumberFormat="1" applyFont="1" applyFill="1" applyBorder="1" applyAlignment="1">
      <alignment horizontal="right"/>
    </xf>
    <xf numFmtId="167" fontId="58" fillId="0" borderId="34" xfId="0" applyNumberFormat="1" applyFont="1" applyFill="1" applyBorder="1" applyAlignment="1">
      <alignment horizontal="right"/>
    </xf>
    <xf numFmtId="167" fontId="4" fillId="0" borderId="27" xfId="41" applyNumberFormat="1" applyFont="1" applyFill="1" applyBorder="1" applyAlignment="1">
      <alignment horizontal="right"/>
    </xf>
    <xf numFmtId="185" fontId="6" fillId="0" borderId="21" xfId="0" applyNumberFormat="1" applyFont="1" applyFill="1" applyBorder="1" applyAlignment="1">
      <alignment horizontal="right"/>
    </xf>
    <xf numFmtId="185" fontId="6" fillId="0" borderId="0" xfId="0" applyNumberFormat="1" applyFont="1" applyFill="1" applyBorder="1" applyAlignment="1">
      <alignment horizontal="right"/>
    </xf>
    <xf numFmtId="185" fontId="54" fillId="0" borderId="23" xfId="0" applyNumberFormat="1" applyFont="1" applyFill="1" applyBorder="1" applyAlignment="1">
      <alignment horizontal="right"/>
    </xf>
    <xf numFmtId="185" fontId="54" fillId="0" borderId="17" xfId="0" applyNumberFormat="1" applyFont="1" applyFill="1" applyBorder="1" applyAlignment="1">
      <alignment horizontal="right"/>
    </xf>
    <xf numFmtId="185" fontId="54" fillId="0" borderId="36" xfId="0" applyNumberFormat="1" applyFont="1" applyFill="1" applyBorder="1" applyAlignment="1">
      <alignment horizontal="right"/>
    </xf>
    <xf numFmtId="167" fontId="51" fillId="0" borderId="35" xfId="41" applyNumberFormat="1" applyFont="1" applyFill="1" applyBorder="1" applyAlignment="1">
      <alignment horizontal="right"/>
    </xf>
    <xf numFmtId="0" fontId="17" fillId="0" borderId="12" xfId="0" applyFont="1" applyFill="1" applyBorder="1"/>
    <xf numFmtId="185" fontId="6" fillId="0" borderId="36" xfId="0" applyNumberFormat="1" applyFont="1" applyFill="1" applyBorder="1" applyAlignment="1">
      <alignment horizontal="right"/>
    </xf>
    <xf numFmtId="164" fontId="7" fillId="25" borderId="32" xfId="76" applyNumberFormat="1" applyFont="1" applyFill="1" applyBorder="1" applyAlignment="1">
      <alignment horizontal="center"/>
    </xf>
    <xf numFmtId="173" fontId="4" fillId="20" borderId="32" xfId="76" applyNumberFormat="1" applyFont="1" applyFill="1" applyBorder="1" applyAlignment="1">
      <alignment horizontal="right"/>
    </xf>
    <xf numFmtId="9" fontId="6" fillId="0" borderId="32" xfId="62" applyFont="1" applyFill="1" applyBorder="1"/>
    <xf numFmtId="9" fontId="6" fillId="21" borderId="32" xfId="62" applyFont="1" applyFill="1" applyBorder="1"/>
    <xf numFmtId="9" fontId="4" fillId="20" borderId="32" xfId="62" applyFont="1" applyFill="1" applyBorder="1"/>
    <xf numFmtId="170" fontId="72" fillId="0" borderId="32" xfId="76" applyNumberFormat="1" applyFont="1" applyFill="1" applyBorder="1"/>
    <xf numFmtId="170" fontId="51" fillId="21" borderId="32" xfId="76" applyNumberFormat="1" applyFont="1" applyFill="1" applyBorder="1" applyAlignment="1">
      <alignment horizontal="right"/>
    </xf>
    <xf numFmtId="170" fontId="51" fillId="0" borderId="32" xfId="76" applyNumberFormat="1" applyFont="1" applyFill="1" applyBorder="1" applyAlignment="1">
      <alignment horizontal="right"/>
    </xf>
    <xf numFmtId="170" fontId="73" fillId="20" borderId="32" xfId="76" applyNumberFormat="1" applyFont="1" applyFill="1" applyBorder="1"/>
    <xf numFmtId="170" fontId="72" fillId="21" borderId="32" xfId="76" applyNumberFormat="1" applyFont="1" applyFill="1" applyBorder="1"/>
    <xf numFmtId="0" fontId="6" fillId="0" borderId="32" xfId="76" applyFont="1" applyBorder="1"/>
    <xf numFmtId="0" fontId="6" fillId="21" borderId="32" xfId="76" applyFont="1" applyFill="1" applyBorder="1"/>
    <xf numFmtId="0" fontId="6" fillId="0" borderId="32" xfId="76" applyFont="1" applyFill="1" applyBorder="1"/>
    <xf numFmtId="0" fontId="6" fillId="19" borderId="32" xfId="76" applyFont="1" applyFill="1" applyBorder="1"/>
    <xf numFmtId="0" fontId="6" fillId="0" borderId="20" xfId="0" applyFont="1" applyFill="1" applyBorder="1" applyAlignment="1">
      <alignment horizontal="left" indent="1"/>
    </xf>
    <xf numFmtId="0" fontId="57" fillId="17" borderId="24" xfId="0" applyFont="1" applyFill="1" applyBorder="1"/>
    <xf numFmtId="0" fontId="57" fillId="0" borderId="12" xfId="0" applyFont="1" applyFill="1" applyBorder="1"/>
    <xf numFmtId="0" fontId="57" fillId="0" borderId="12" xfId="0" applyFont="1" applyFill="1" applyBorder="1" applyAlignment="1">
      <alignment horizontal="left" indent="1"/>
    </xf>
    <xf numFmtId="0" fontId="57" fillId="0" borderId="24" xfId="57" applyNumberFormat="1" applyFont="1" applyFill="1" applyBorder="1" applyAlignment="1" applyProtection="1">
      <alignment horizontal="left"/>
    </xf>
    <xf numFmtId="167" fontId="57" fillId="0" borderId="12" xfId="57" applyNumberFormat="1" applyFont="1" applyFill="1" applyBorder="1" applyAlignment="1" applyProtection="1">
      <alignment horizontal="left"/>
    </xf>
    <xf numFmtId="173" fontId="79" fillId="0" borderId="32" xfId="62" applyNumberFormat="1" applyFont="1" applyFill="1" applyBorder="1"/>
    <xf numFmtId="173" fontId="79" fillId="0" borderId="0" xfId="62" applyNumberFormat="1" applyFont="1" applyFill="1" applyBorder="1"/>
    <xf numFmtId="173" fontId="79" fillId="0" borderId="35" xfId="62" applyNumberFormat="1" applyFont="1" applyFill="1" applyBorder="1"/>
    <xf numFmtId="173" fontId="79" fillId="0" borderId="0" xfId="0" applyNumberFormat="1" applyFont="1" applyFill="1" applyBorder="1"/>
    <xf numFmtId="168" fontId="76" fillId="0" borderId="0" xfId="62" applyNumberFormat="1" applyFont="1" applyFill="1"/>
    <xf numFmtId="173" fontId="6" fillId="0" borderId="35" xfId="62" applyNumberFormat="1" applyFont="1" applyFill="1" applyBorder="1" applyAlignment="1">
      <alignment horizontal="right"/>
    </xf>
    <xf numFmtId="168" fontId="51" fillId="0" borderId="32" xfId="62" applyNumberFormat="1" applyFont="1" applyFill="1" applyBorder="1"/>
    <xf numFmtId="167" fontId="4" fillId="0" borderId="32" xfId="41" applyNumberFormat="1" applyFont="1" applyFill="1" applyBorder="1"/>
    <xf numFmtId="173" fontId="6" fillId="0" borderId="22" xfId="62" applyNumberFormat="1" applyFont="1" applyFill="1" applyBorder="1"/>
    <xf numFmtId="173" fontId="6" fillId="0" borderId="11" xfId="62" applyNumberFormat="1" applyFont="1" applyFill="1" applyBorder="1"/>
    <xf numFmtId="173" fontId="6" fillId="0" borderId="34" xfId="62" applyNumberFormat="1" applyFont="1" applyFill="1" applyBorder="1"/>
    <xf numFmtId="0" fontId="4" fillId="0" borderId="32" xfId="0" applyFont="1" applyFill="1" applyBorder="1" applyAlignment="1">
      <alignment horizontal="left"/>
    </xf>
    <xf numFmtId="0" fontId="6" fillId="0" borderId="32" xfId="0" applyFont="1" applyFill="1" applyBorder="1" applyAlignment="1">
      <alignment horizontal="left"/>
    </xf>
    <xf numFmtId="0" fontId="6" fillId="0" borderId="22" xfId="0" applyFont="1" applyFill="1" applyBorder="1" applyAlignment="1">
      <alignment horizontal="left"/>
    </xf>
    <xf numFmtId="165" fontId="6" fillId="0" borderId="35" xfId="41" applyNumberFormat="1" applyFont="1" applyFill="1" applyBorder="1"/>
    <xf numFmtId="175" fontId="6" fillId="0" borderId="0" xfId="41" applyNumberFormat="1" applyFont="1" applyFill="1" applyBorder="1"/>
    <xf numFmtId="175" fontId="6" fillId="0" borderId="35" xfId="41" applyNumberFormat="1" applyFont="1" applyFill="1" applyBorder="1"/>
    <xf numFmtId="175" fontId="6" fillId="0" borderId="34" xfId="41" applyNumberFormat="1" applyFont="1" applyFill="1" applyBorder="1"/>
    <xf numFmtId="168" fontId="4" fillId="0" borderId="34" xfId="62" applyNumberFormat="1" applyFont="1" applyFill="1" applyBorder="1"/>
    <xf numFmtId="168" fontId="6" fillId="0" borderId="21" xfId="62" applyNumberFormat="1" applyFont="1" applyFill="1" applyBorder="1" applyAlignment="1">
      <alignment horizontal="left"/>
    </xf>
    <xf numFmtId="10" fontId="6" fillId="0" borderId="21" xfId="0" applyNumberFormat="1" applyFont="1" applyFill="1" applyBorder="1" applyAlignment="1">
      <alignment horizontal="right"/>
    </xf>
    <xf numFmtId="10" fontId="76" fillId="0" borderId="21" xfId="62" applyNumberFormat="1" applyFont="1" applyFill="1" applyBorder="1" applyAlignment="1">
      <alignment horizontal="right"/>
    </xf>
    <xf numFmtId="10" fontId="6" fillId="0" borderId="35" xfId="0" applyNumberFormat="1" applyFont="1" applyFill="1" applyBorder="1" applyAlignment="1">
      <alignment horizontal="right"/>
    </xf>
    <xf numFmtId="10" fontId="6" fillId="0" borderId="0" xfId="0" applyNumberFormat="1" applyFont="1" applyFill="1" applyAlignment="1">
      <alignment horizontal="right"/>
    </xf>
    <xf numFmtId="10" fontId="76" fillId="0" borderId="0" xfId="62" applyNumberFormat="1" applyFont="1" applyFill="1" applyAlignment="1"/>
    <xf numFmtId="10" fontId="76" fillId="0" borderId="35" xfId="62" applyNumberFormat="1" applyFont="1" applyFill="1" applyBorder="1" applyAlignment="1">
      <alignment horizontal="right"/>
    </xf>
    <xf numFmtId="10" fontId="77" fillId="0" borderId="0" xfId="0" applyNumberFormat="1" applyFont="1" applyFill="1"/>
    <xf numFmtId="10" fontId="4" fillId="0" borderId="21" xfId="62" applyNumberFormat="1" applyFont="1" applyFill="1" applyBorder="1" applyAlignment="1">
      <alignment horizontal="right"/>
    </xf>
    <xf numFmtId="10" fontId="4" fillId="0" borderId="0" xfId="62" applyNumberFormat="1" applyFont="1" applyFill="1" applyBorder="1" applyAlignment="1">
      <alignment horizontal="right"/>
    </xf>
    <xf numFmtId="0" fontId="6" fillId="0" borderId="0" xfId="0" applyFont="1" applyFill="1" applyBorder="1" applyAlignment="1">
      <alignment horizontal="left"/>
    </xf>
    <xf numFmtId="168" fontId="6" fillId="0" borderId="20" xfId="62" applyNumberFormat="1" applyFont="1" applyFill="1" applyBorder="1" applyAlignment="1">
      <alignment horizontal="left" indent="1"/>
    </xf>
    <xf numFmtId="9" fontId="6" fillId="0" borderId="21" xfId="62" applyFont="1" applyFill="1" applyBorder="1"/>
    <xf numFmtId="9" fontId="6" fillId="0" borderId="35" xfId="62" applyFont="1" applyFill="1" applyBorder="1"/>
    <xf numFmtId="9" fontId="6" fillId="0" borderId="22" xfId="62" applyFont="1" applyFill="1" applyBorder="1"/>
    <xf numFmtId="9" fontId="6" fillId="0" borderId="11" xfId="62" applyFont="1" applyFill="1" applyBorder="1"/>
    <xf numFmtId="9" fontId="6" fillId="0" borderId="34" xfId="62" applyFont="1" applyFill="1" applyBorder="1"/>
    <xf numFmtId="170" fontId="6" fillId="0" borderId="21" xfId="0" applyNumberFormat="1" applyFont="1" applyFill="1" applyBorder="1"/>
    <xf numFmtId="168" fontId="80" fillId="0" borderId="21" xfId="0" applyNumberFormat="1" applyFont="1" applyFill="1" applyBorder="1"/>
    <xf numFmtId="168" fontId="6" fillId="0" borderId="21" xfId="0" applyNumberFormat="1" applyFont="1" applyFill="1" applyBorder="1"/>
    <xf numFmtId="168" fontId="6" fillId="0" borderId="22" xfId="0" applyNumberFormat="1" applyFont="1" applyFill="1" applyBorder="1"/>
    <xf numFmtId="168" fontId="61" fillId="0" borderId="0" xfId="0" applyNumberFormat="1" applyFont="1" applyFill="1"/>
    <xf numFmtId="168" fontId="61" fillId="0" borderId="0" xfId="62" applyNumberFormat="1" applyFont="1" applyFill="1"/>
    <xf numFmtId="0" fontId="6" fillId="0" borderId="0" xfId="0" applyFont="1" applyFill="1" applyAlignment="1">
      <alignment horizontal="left" indent="1"/>
    </xf>
    <xf numFmtId="168" fontId="6" fillId="0" borderId="21" xfId="62" applyNumberFormat="1" applyFont="1" applyFill="1" applyBorder="1" applyAlignment="1">
      <alignment horizontal="left" indent="2"/>
    </xf>
    <xf numFmtId="0" fontId="6" fillId="0" borderId="21" xfId="0" applyFont="1" applyFill="1" applyBorder="1" applyAlignment="1">
      <alignment horizontal="left" indent="2"/>
    </xf>
    <xf numFmtId="0" fontId="6" fillId="0" borderId="22" xfId="0" applyFont="1" applyFill="1" applyBorder="1" applyAlignment="1">
      <alignment horizontal="left" indent="2"/>
    </xf>
    <xf numFmtId="168" fontId="61" fillId="0" borderId="0" xfId="0" applyNumberFormat="1" applyFont="1" applyFill="1" applyBorder="1"/>
    <xf numFmtId="168" fontId="61" fillId="0" borderId="0" xfId="62" applyNumberFormat="1" applyFont="1" applyFill="1" applyBorder="1"/>
    <xf numFmtId="0" fontId="61" fillId="0" borderId="0" xfId="0" applyFont="1" applyFill="1" applyBorder="1"/>
    <xf numFmtId="173" fontId="55" fillId="0" borderId="35" xfId="62" applyNumberFormat="1" applyFont="1" applyFill="1" applyBorder="1"/>
    <xf numFmtId="175" fontId="55" fillId="0" borderId="35" xfId="41" applyNumberFormat="1" applyFont="1" applyFill="1" applyBorder="1"/>
    <xf numFmtId="0" fontId="52" fillId="29" borderId="0" xfId="0" applyFont="1" applyFill="1" applyBorder="1" applyAlignment="1">
      <alignment horizontal="left"/>
    </xf>
    <xf numFmtId="37" fontId="53" fillId="29" borderId="0" xfId="0" applyNumberFormat="1" applyFont="1" applyFill="1" applyBorder="1"/>
    <xf numFmtId="37" fontId="53" fillId="29" borderId="27" xfId="0" applyNumberFormat="1" applyFont="1" applyFill="1" applyBorder="1"/>
    <xf numFmtId="0" fontId="52" fillId="29" borderId="0" xfId="0" applyFont="1" applyFill="1" applyBorder="1"/>
    <xf numFmtId="167" fontId="53" fillId="29" borderId="0" xfId="0" applyNumberFormat="1" applyFont="1" applyFill="1" applyAlignment="1">
      <alignment horizontal="right"/>
    </xf>
    <xf numFmtId="167" fontId="53" fillId="29" borderId="0" xfId="62" applyNumberFormat="1" applyFont="1" applyFill="1" applyAlignment="1">
      <alignment horizontal="right"/>
    </xf>
    <xf numFmtId="167" fontId="53" fillId="29" borderId="0" xfId="0" applyNumberFormat="1" applyFont="1" applyFill="1" applyBorder="1" applyAlignment="1">
      <alignment horizontal="right"/>
    </xf>
    <xf numFmtId="7" fontId="52" fillId="29" borderId="0" xfId="0" applyNumberFormat="1" applyFont="1" applyFill="1" applyBorder="1" applyAlignment="1"/>
    <xf numFmtId="7" fontId="52" fillId="29" borderId="0" xfId="41" applyNumberFormat="1" applyFont="1" applyFill="1" applyBorder="1" applyAlignment="1">
      <alignment horizontal="right"/>
    </xf>
    <xf numFmtId="7" fontId="52" fillId="29" borderId="0" xfId="0" applyNumberFormat="1" applyFont="1" applyFill="1" applyBorder="1" applyAlignment="1">
      <alignment horizontal="right"/>
    </xf>
    <xf numFmtId="0" fontId="53" fillId="29" borderId="0" xfId="0" applyFont="1" applyFill="1" applyBorder="1" applyAlignment="1">
      <alignment horizontal="right"/>
    </xf>
    <xf numFmtId="0" fontId="53" fillId="29" borderId="0" xfId="0" applyFont="1" applyFill="1" applyBorder="1"/>
    <xf numFmtId="165" fontId="53" fillId="29" borderId="0" xfId="41" applyNumberFormat="1" applyFont="1" applyFill="1" applyBorder="1" applyAlignment="1">
      <alignment horizontal="right"/>
    </xf>
    <xf numFmtId="184" fontId="53" fillId="29" borderId="0" xfId="0" applyNumberFormat="1" applyFont="1" applyFill="1" applyBorder="1" applyAlignment="1">
      <alignment horizontal="right"/>
    </xf>
    <xf numFmtId="7" fontId="53" fillId="29" borderId="0" xfId="0" applyNumberFormat="1" applyFont="1" applyFill="1" applyBorder="1"/>
    <xf numFmtId="10" fontId="53" fillId="29" borderId="0" xfId="0" applyNumberFormat="1" applyFont="1" applyFill="1" applyBorder="1" applyAlignment="1">
      <alignment horizontal="right"/>
    </xf>
    <xf numFmtId="9" fontId="53" fillId="29" borderId="0" xfId="0" applyNumberFormat="1" applyFont="1" applyFill="1" applyBorder="1" applyAlignment="1">
      <alignment horizontal="right"/>
    </xf>
    <xf numFmtId="0" fontId="6" fillId="0" borderId="0" xfId="0" applyFont="1" applyFill="1" applyBorder="1" applyAlignment="1">
      <alignment horizontal="center"/>
    </xf>
    <xf numFmtId="167" fontId="51" fillId="0" borderId="35" xfId="41" applyNumberFormat="1" applyFont="1" applyFill="1" applyBorder="1"/>
    <xf numFmtId="167" fontId="6" fillId="0" borderId="17" xfId="41" applyNumberFormat="1" applyFont="1" applyFill="1" applyBorder="1"/>
    <xf numFmtId="167" fontId="51" fillId="0" borderId="32" xfId="41" applyNumberFormat="1" applyFont="1" applyFill="1" applyBorder="1"/>
    <xf numFmtId="167" fontId="4" fillId="0" borderId="22" xfId="41" applyNumberFormat="1" applyFont="1" applyFill="1" applyBorder="1"/>
    <xf numFmtId="167" fontId="4" fillId="0" borderId="11" xfId="41" applyNumberFormat="1" applyFont="1" applyFill="1" applyBorder="1"/>
    <xf numFmtId="167" fontId="4" fillId="0" borderId="34" xfId="41" applyNumberFormat="1" applyFont="1" applyFill="1" applyBorder="1"/>
    <xf numFmtId="167" fontId="19" fillId="0" borderId="12" xfId="41" applyNumberFormat="1" applyFont="1" applyFill="1" applyBorder="1" applyAlignment="1">
      <alignment horizontal="right"/>
    </xf>
    <xf numFmtId="0" fontId="4" fillId="0" borderId="22" xfId="0" applyFont="1" applyFill="1" applyBorder="1" applyAlignment="1">
      <alignment horizontal="left"/>
    </xf>
    <xf numFmtId="9" fontId="4" fillId="0" borderId="11" xfId="62" applyFont="1" applyFill="1" applyBorder="1"/>
    <xf numFmtId="9" fontId="4" fillId="0" borderId="34" xfId="62" applyFont="1" applyFill="1" applyBorder="1"/>
    <xf numFmtId="167" fontId="27" fillId="0" borderId="20" xfId="41" applyNumberFormat="1" applyFont="1" applyFill="1" applyBorder="1" applyAlignment="1">
      <alignment horizontal="right"/>
    </xf>
    <xf numFmtId="167" fontId="6" fillId="0" borderId="30" xfId="41" applyNumberFormat="1" applyFont="1" applyFill="1" applyBorder="1"/>
    <xf numFmtId="167" fontId="19" fillId="0" borderId="32" xfId="41" applyNumberFormat="1" applyFont="1" applyFill="1" applyBorder="1" applyAlignment="1">
      <alignment horizontal="right"/>
    </xf>
    <xf numFmtId="167" fontId="27" fillId="0" borderId="32" xfId="41" applyNumberFormat="1" applyFont="1" applyFill="1" applyBorder="1" applyAlignment="1">
      <alignment horizontal="right"/>
    </xf>
    <xf numFmtId="167" fontId="6" fillId="0" borderId="23" xfId="41" applyNumberFormat="1" applyFont="1" applyFill="1" applyBorder="1"/>
    <xf numFmtId="167" fontId="6" fillId="0" borderId="32" xfId="41" applyNumberFormat="1" applyFont="1" applyFill="1" applyBorder="1"/>
    <xf numFmtId="9" fontId="4" fillId="0" borderId="22" xfId="62" applyFont="1" applyFill="1" applyBorder="1"/>
    <xf numFmtId="165" fontId="56" fillId="0" borderId="17" xfId="41" applyNumberFormat="1" applyFont="1" applyFill="1" applyBorder="1"/>
    <xf numFmtId="201" fontId="56" fillId="0" borderId="17" xfId="41" applyNumberFormat="1" applyFont="1" applyFill="1" applyBorder="1"/>
    <xf numFmtId="167" fontId="60" fillId="0" borderId="0" xfId="41" applyNumberFormat="1" applyFont="1" applyFill="1" applyBorder="1"/>
    <xf numFmtId="167" fontId="6" fillId="0" borderId="42" xfId="41" applyNumberFormat="1" applyFont="1" applyFill="1" applyBorder="1"/>
    <xf numFmtId="167" fontId="4" fillId="0" borderId="29" xfId="41" applyNumberFormat="1" applyFont="1" applyFill="1" applyBorder="1"/>
    <xf numFmtId="9" fontId="51" fillId="0" borderId="35" xfId="62" applyFont="1" applyFill="1" applyBorder="1"/>
    <xf numFmtId="168" fontId="6" fillId="0" borderId="0" xfId="0" applyNumberFormat="1" applyFont="1" applyFill="1"/>
    <xf numFmtId="168" fontId="11" fillId="0" borderId="35" xfId="62" applyNumberFormat="1" applyFont="1" applyFill="1" applyBorder="1"/>
    <xf numFmtId="173" fontId="6" fillId="0" borderId="21" xfId="62" applyNumberFormat="1" applyFont="1" applyFill="1" applyBorder="1" applyAlignment="1">
      <alignment horizontal="right"/>
    </xf>
    <xf numFmtId="173" fontId="6" fillId="0" borderId="0" xfId="62" applyNumberFormat="1" applyFont="1" applyFill="1" applyBorder="1" applyAlignment="1">
      <alignment horizontal="right"/>
    </xf>
    <xf numFmtId="175" fontId="6" fillId="0" borderId="0" xfId="41" applyNumberFormat="1" applyFont="1"/>
    <xf numFmtId="175" fontId="51" fillId="0" borderId="0" xfId="41" applyNumberFormat="1" applyFont="1"/>
    <xf numFmtId="9" fontId="51" fillId="0" borderId="0" xfId="0" applyNumberFormat="1" applyFont="1"/>
    <xf numFmtId="168" fontId="6" fillId="0" borderId="0" xfId="0" applyNumberFormat="1" applyFont="1"/>
    <xf numFmtId="0" fontId="6" fillId="0" borderId="0" xfId="0" applyFont="1" applyAlignment="1">
      <alignment horizontal="left" indent="1"/>
    </xf>
    <xf numFmtId="0" fontId="51" fillId="0" borderId="0" xfId="0" applyFont="1"/>
    <xf numFmtId="0" fontId="6" fillId="0" borderId="0" xfId="0" applyFont="1" applyAlignment="1">
      <alignment horizontal="left" indent="2"/>
    </xf>
    <xf numFmtId="9" fontId="62" fillId="0" borderId="0" xfId="62" applyFont="1"/>
    <xf numFmtId="0" fontId="11" fillId="0" borderId="0" xfId="0" applyFont="1"/>
    <xf numFmtId="0" fontId="11" fillId="0" borderId="0" xfId="0" applyFont="1" applyAlignment="1">
      <alignment horizontal="left" indent="1"/>
    </xf>
    <xf numFmtId="9" fontId="11" fillId="0" borderId="0" xfId="62" applyFont="1"/>
    <xf numFmtId="175" fontId="62" fillId="0" borderId="0" xfId="41" applyNumberFormat="1" applyFont="1" applyFill="1" applyBorder="1" applyAlignment="1">
      <alignment wrapText="1"/>
    </xf>
    <xf numFmtId="168" fontId="11" fillId="0" borderId="0" xfId="62" applyNumberFormat="1" applyFont="1"/>
    <xf numFmtId="168" fontId="55" fillId="0" borderId="0" xfId="0" applyNumberFormat="1" applyFont="1" applyFill="1"/>
    <xf numFmtId="0" fontId="14" fillId="0" borderId="0" xfId="0" applyFont="1" applyFill="1"/>
    <xf numFmtId="175" fontId="6" fillId="0" borderId="21" xfId="41" applyNumberFormat="1" applyFont="1" applyFill="1" applyBorder="1"/>
    <xf numFmtId="0" fontId="4" fillId="0" borderId="0" xfId="0" applyFont="1" applyBorder="1" applyAlignment="1">
      <alignment horizontal="left"/>
    </xf>
    <xf numFmtId="168" fontId="4" fillId="0" borderId="0" xfId="62" applyNumberFormat="1" applyFont="1" applyBorder="1"/>
    <xf numFmtId="9" fontId="51" fillId="0" borderId="0" xfId="0" applyNumberFormat="1" applyFont="1" applyAlignment="1">
      <alignment horizontal="right"/>
    </xf>
    <xf numFmtId="175" fontId="6" fillId="0" borderId="0" xfId="0" applyNumberFormat="1" applyFont="1"/>
    <xf numFmtId="9" fontId="51" fillId="0" borderId="0" xfId="62" applyFont="1"/>
    <xf numFmtId="189" fontId="6" fillId="0" borderId="0" xfId="43" applyNumberFormat="1" applyFont="1"/>
    <xf numFmtId="167" fontId="4" fillId="0" borderId="0" xfId="0" applyNumberFormat="1" applyFont="1"/>
    <xf numFmtId="168" fontId="11" fillId="0" borderId="20" xfId="62" applyNumberFormat="1" applyFont="1" applyFill="1" applyBorder="1" applyAlignment="1">
      <alignment horizontal="left" indent="1"/>
    </xf>
    <xf numFmtId="168" fontId="11" fillId="0" borderId="22" xfId="62" applyNumberFormat="1" applyFont="1" applyFill="1" applyBorder="1"/>
    <xf numFmtId="168" fontId="11" fillId="0" borderId="11" xfId="62" applyNumberFormat="1" applyFont="1" applyFill="1" applyBorder="1"/>
    <xf numFmtId="168" fontId="11" fillId="0" borderId="34" xfId="62" applyNumberFormat="1" applyFont="1" applyFill="1" applyBorder="1"/>
    <xf numFmtId="168" fontId="11" fillId="0" borderId="0" xfId="0" applyNumberFormat="1" applyFont="1" applyFill="1" applyBorder="1"/>
    <xf numFmtId="202" fontId="62" fillId="0" borderId="0" xfId="0" applyNumberFormat="1" applyFont="1"/>
    <xf numFmtId="202" fontId="62" fillId="0" borderId="21" xfId="62" applyNumberFormat="1" applyFont="1" applyFill="1" applyBorder="1"/>
    <xf numFmtId="202" fontId="62" fillId="0" borderId="0" xfId="62" applyNumberFormat="1" applyFont="1" applyFill="1" applyBorder="1"/>
    <xf numFmtId="202" fontId="62" fillId="0" borderId="35" xfId="62" applyNumberFormat="1" applyFont="1" applyFill="1" applyBorder="1"/>
    <xf numFmtId="202" fontId="62" fillId="0" borderId="0" xfId="41" applyNumberFormat="1" applyFont="1" applyFill="1" applyBorder="1" applyAlignment="1">
      <alignment horizontal="right"/>
    </xf>
    <xf numFmtId="202" fontId="62" fillId="17" borderId="0" xfId="0" applyNumberFormat="1" applyFont="1" applyFill="1"/>
    <xf numFmtId="9" fontId="6" fillId="0" borderId="21" xfId="62" applyFont="1" applyFill="1" applyBorder="1" applyAlignment="1">
      <alignment horizontal="left"/>
    </xf>
    <xf numFmtId="9" fontId="54" fillId="0" borderId="21" xfId="62" applyFont="1" applyFill="1" applyBorder="1"/>
    <xf numFmtId="9" fontId="54" fillId="0" borderId="0" xfId="62" applyFont="1" applyFill="1" applyBorder="1"/>
    <xf numFmtId="9" fontId="4" fillId="0" borderId="21" xfId="62" applyFont="1" applyFill="1" applyBorder="1" applyAlignment="1">
      <alignment horizontal="left"/>
    </xf>
    <xf numFmtId="9" fontId="63" fillId="0" borderId="21" xfId="62" applyFont="1" applyFill="1" applyBorder="1"/>
    <xf numFmtId="9" fontId="63" fillId="0" borderId="0" xfId="62" applyFont="1" applyFill="1" applyBorder="1"/>
    <xf numFmtId="9" fontId="51" fillId="0" borderId="0" xfId="62" applyFont="1" applyFill="1" applyBorder="1" applyAlignment="1">
      <alignment horizontal="right"/>
    </xf>
    <xf numFmtId="9" fontId="51" fillId="0" borderId="21" xfId="62" applyFont="1" applyFill="1" applyBorder="1"/>
    <xf numFmtId="9" fontId="51" fillId="0" borderId="0" xfId="62" applyFont="1" applyFill="1" applyBorder="1"/>
    <xf numFmtId="9" fontId="51" fillId="17" borderId="0" xfId="62" applyFont="1" applyFill="1"/>
    <xf numFmtId="202" fontId="6" fillId="0" borderId="12" xfId="62" applyNumberFormat="1" applyFont="1" applyFill="1" applyBorder="1" applyAlignment="1">
      <alignment horizontal="left"/>
    </xf>
    <xf numFmtId="175" fontId="6" fillId="0" borderId="0" xfId="41" applyNumberFormat="1" applyFont="1" applyFill="1" applyBorder="1" applyAlignment="1">
      <alignment horizontal="right"/>
    </xf>
    <xf numFmtId="175" fontId="6" fillId="0" borderId="0" xfId="41" applyNumberFormat="1" applyFont="1" applyFill="1" applyBorder="1" applyAlignment="1">
      <alignment horizontal="right" wrapText="1"/>
    </xf>
    <xf numFmtId="175" fontId="6" fillId="0" borderId="35" xfId="41" applyNumberFormat="1" applyFont="1" applyFill="1" applyBorder="1" applyAlignment="1">
      <alignment wrapText="1"/>
    </xf>
    <xf numFmtId="175" fontId="6" fillId="0" borderId="21" xfId="41" applyNumberFormat="1" applyFont="1" applyFill="1" applyBorder="1" applyAlignment="1">
      <alignment wrapText="1"/>
    </xf>
    <xf numFmtId="175" fontId="6" fillId="0" borderId="0" xfId="41" applyNumberFormat="1" applyFont="1" applyFill="1" applyBorder="1" applyAlignment="1">
      <alignment wrapText="1"/>
    </xf>
    <xf numFmtId="175" fontId="6" fillId="0" borderId="0" xfId="41" applyNumberFormat="1" applyFont="1" applyFill="1" applyAlignment="1">
      <alignment wrapText="1"/>
    </xf>
    <xf numFmtId="167" fontId="51" fillId="0" borderId="21" xfId="41" applyNumberFormat="1" applyFont="1" applyFill="1" applyBorder="1"/>
    <xf numFmtId="167" fontId="51" fillId="0" borderId="0" xfId="41" applyNumberFormat="1" applyFont="1" applyFill="1" applyBorder="1"/>
    <xf numFmtId="175" fontId="62" fillId="0" borderId="35" xfId="41" applyNumberFormat="1" applyFont="1" applyFill="1" applyBorder="1" applyAlignment="1">
      <alignment wrapText="1"/>
    </xf>
    <xf numFmtId="175" fontId="62" fillId="0" borderId="0" xfId="41" applyNumberFormat="1" applyFont="1" applyFill="1" applyBorder="1" applyAlignment="1">
      <alignment horizontal="right" wrapText="1"/>
    </xf>
    <xf numFmtId="175" fontId="62" fillId="0" borderId="21" xfId="41" applyNumberFormat="1" applyFont="1" applyFill="1" applyBorder="1" applyAlignment="1">
      <alignment wrapText="1"/>
    </xf>
    <xf numFmtId="175" fontId="62" fillId="0" borderId="0" xfId="41" applyNumberFormat="1" applyFont="1" applyFill="1" applyAlignment="1">
      <alignment wrapText="1"/>
    </xf>
    <xf numFmtId="167" fontId="6" fillId="0" borderId="16" xfId="41" applyNumberFormat="1" applyFont="1" applyFill="1" applyBorder="1"/>
    <xf numFmtId="167" fontId="6" fillId="0" borderId="15" xfId="41" applyNumberFormat="1" applyFont="1" applyFill="1" applyBorder="1"/>
    <xf numFmtId="167" fontId="6" fillId="0" borderId="38" xfId="41" applyNumberFormat="1" applyFont="1" applyFill="1" applyBorder="1"/>
    <xf numFmtId="175" fontId="6" fillId="0" borderId="21" xfId="41" applyNumberFormat="1" applyFont="1" applyFill="1" applyBorder="1" applyAlignment="1">
      <alignment horizontal="left"/>
    </xf>
    <xf numFmtId="175" fontId="54" fillId="0" borderId="21" xfId="41" applyNumberFormat="1" applyFont="1" applyFill="1" applyBorder="1"/>
    <xf numFmtId="175" fontId="54" fillId="0" borderId="0" xfId="41" applyNumberFormat="1" applyFont="1" applyFill="1" applyBorder="1"/>
    <xf numFmtId="175" fontId="51" fillId="0" borderId="21" xfId="41" applyNumberFormat="1" applyFont="1" applyFill="1" applyBorder="1"/>
    <xf numFmtId="175" fontId="51" fillId="0" borderId="0" xfId="41" applyNumberFormat="1" applyFont="1" applyFill="1" applyBorder="1"/>
    <xf numFmtId="175" fontId="51" fillId="0" borderId="35" xfId="41" applyNumberFormat="1" applyFont="1" applyFill="1" applyBorder="1"/>
    <xf numFmtId="0" fontId="11" fillId="0" borderId="21" xfId="0" applyFont="1" applyFill="1" applyBorder="1" applyAlignment="1">
      <alignment horizontal="left" indent="1"/>
    </xf>
    <xf numFmtId="168" fontId="11" fillId="0" borderId="21" xfId="62" applyNumberFormat="1" applyFont="1" applyFill="1" applyBorder="1"/>
    <xf numFmtId="175" fontId="6" fillId="0" borderId="21" xfId="62" applyNumberFormat="1" applyFont="1" applyFill="1" applyBorder="1" applyAlignment="1">
      <alignment horizontal="left"/>
    </xf>
    <xf numFmtId="175" fontId="54" fillId="0" borderId="21" xfId="62" applyNumberFormat="1" applyFont="1" applyFill="1" applyBorder="1"/>
    <xf numFmtId="175" fontId="54" fillId="0" borderId="0" xfId="62" applyNumberFormat="1" applyFont="1" applyFill="1"/>
    <xf numFmtId="175" fontId="51" fillId="0" borderId="0" xfId="62" applyNumberFormat="1" applyFont="1" applyFill="1" applyBorder="1" applyAlignment="1">
      <alignment horizontal="right" wrapText="1"/>
    </xf>
    <xf numFmtId="175" fontId="6" fillId="0" borderId="35" xfId="62" applyNumberFormat="1" applyFont="1" applyFill="1" applyBorder="1"/>
    <xf numFmtId="175" fontId="6" fillId="0" borderId="0" xfId="0" applyNumberFormat="1" applyFont="1" applyFill="1" applyBorder="1" applyAlignment="1">
      <alignment horizontal="right"/>
    </xf>
    <xf numFmtId="175" fontId="54" fillId="0" borderId="0" xfId="62" applyNumberFormat="1" applyFont="1" applyFill="1" applyBorder="1"/>
    <xf numFmtId="175" fontId="6" fillId="0" borderId="0" xfId="62" applyNumberFormat="1" applyFont="1" applyFill="1" applyBorder="1"/>
    <xf numFmtId="175" fontId="6" fillId="0" borderId="21" xfId="62" applyNumberFormat="1" applyFont="1" applyFill="1" applyBorder="1"/>
    <xf numFmtId="175" fontId="6" fillId="0" borderId="21" xfId="0" applyNumberFormat="1" applyFont="1" applyFill="1" applyBorder="1" applyAlignment="1">
      <alignment horizontal="left"/>
    </xf>
    <xf numFmtId="175" fontId="6" fillId="0" borderId="0" xfId="0" applyNumberFormat="1" applyFont="1" applyFill="1" applyBorder="1"/>
    <xf numFmtId="175" fontId="51" fillId="0" borderId="0" xfId="41" applyNumberFormat="1" applyFont="1" applyFill="1" applyBorder="1" applyAlignment="1">
      <alignment horizontal="right"/>
    </xf>
    <xf numFmtId="9" fontId="11" fillId="0" borderId="35" xfId="62" applyFont="1" applyFill="1" applyBorder="1"/>
    <xf numFmtId="9" fontId="11" fillId="0" borderId="0" xfId="62" applyFont="1" applyFill="1" applyBorder="1" applyAlignment="1">
      <alignment horizontal="right"/>
    </xf>
    <xf numFmtId="9" fontId="84" fillId="0" borderId="21" xfId="62" applyFont="1" applyFill="1" applyBorder="1"/>
    <xf numFmtId="9" fontId="84" fillId="0" borderId="0" xfId="62" applyFont="1" applyFill="1" applyBorder="1"/>
    <xf numFmtId="9" fontId="11" fillId="0" borderId="0" xfId="62" applyFont="1" applyFill="1" applyBorder="1"/>
    <xf numFmtId="9" fontId="11" fillId="0" borderId="21" xfId="62" applyFont="1" applyFill="1" applyBorder="1"/>
    <xf numFmtId="175" fontId="62" fillId="0" borderId="35" xfId="41" applyNumberFormat="1" applyFont="1" applyFill="1" applyBorder="1"/>
    <xf numFmtId="167" fontId="57" fillId="0" borderId="36" xfId="41" applyNumberFormat="1" applyFont="1" applyFill="1" applyBorder="1"/>
    <xf numFmtId="167" fontId="57" fillId="0" borderId="54" xfId="41" applyNumberFormat="1" applyFont="1" applyFill="1" applyBorder="1" applyAlignment="1">
      <alignment horizontal="right"/>
    </xf>
    <xf numFmtId="167" fontId="57" fillId="0" borderId="23" xfId="41" applyNumberFormat="1" applyFont="1" applyFill="1" applyBorder="1"/>
    <xf numFmtId="167" fontId="57" fillId="0" borderId="17" xfId="41" applyNumberFormat="1" applyFont="1" applyFill="1" applyBorder="1"/>
    <xf numFmtId="167" fontId="4" fillId="0" borderId="23" xfId="41" applyNumberFormat="1" applyFont="1" applyFill="1" applyBorder="1"/>
    <xf numFmtId="167" fontId="4" fillId="0" borderId="17" xfId="41" applyNumberFormat="1" applyFont="1" applyFill="1" applyBorder="1"/>
    <xf numFmtId="167" fontId="4" fillId="0" borderId="54" xfId="41" applyNumberFormat="1" applyFont="1" applyFill="1" applyBorder="1" applyAlignment="1">
      <alignment horizontal="right"/>
    </xf>
    <xf numFmtId="167" fontId="4" fillId="0" borderId="36" xfId="41" applyNumberFormat="1" applyFont="1" applyFill="1" applyBorder="1"/>
    <xf numFmtId="37" fontId="57" fillId="0" borderId="54" xfId="41" applyNumberFormat="1" applyFont="1" applyFill="1" applyBorder="1" applyAlignment="1">
      <alignment horizontal="right"/>
    </xf>
    <xf numFmtId="37" fontId="57" fillId="0" borderId="23" xfId="41" applyNumberFormat="1" applyFont="1" applyFill="1" applyBorder="1"/>
    <xf numFmtId="175" fontId="55" fillId="0" borderId="35" xfId="62" applyNumberFormat="1" applyFont="1" applyFill="1" applyBorder="1"/>
    <xf numFmtId="175" fontId="55" fillId="0" borderId="0" xfId="0" applyNumberFormat="1" applyFont="1" applyFill="1" applyBorder="1"/>
    <xf numFmtId="175" fontId="55" fillId="0" borderId="21" xfId="62" applyNumberFormat="1" applyFont="1" applyFill="1" applyBorder="1"/>
    <xf numFmtId="175" fontId="55" fillId="0" borderId="0" xfId="62" applyNumberFormat="1" applyFont="1" applyFill="1" applyBorder="1"/>
    <xf numFmtId="175" fontId="55" fillId="0" borderId="0" xfId="0" applyNumberFormat="1" applyFont="1" applyFill="1" applyBorder="1" applyAlignment="1">
      <alignment horizontal="right"/>
    </xf>
    <xf numFmtId="175" fontId="55" fillId="0" borderId="0" xfId="62" applyNumberFormat="1" applyFont="1" applyFill="1"/>
    <xf numFmtId="175" fontId="55" fillId="0" borderId="0" xfId="62" applyNumberFormat="1" applyFont="1" applyFill="1" applyBorder="1" applyAlignment="1">
      <alignment horizontal="right" wrapText="1"/>
    </xf>
    <xf numFmtId="175" fontId="6" fillId="0" borderId="0" xfId="62" applyNumberFormat="1" applyFont="1" applyFill="1"/>
    <xf numFmtId="175" fontId="6" fillId="0" borderId="0" xfId="62" applyNumberFormat="1" applyFont="1" applyFill="1" applyBorder="1" applyAlignment="1">
      <alignment horizontal="right" wrapText="1"/>
    </xf>
    <xf numFmtId="9" fontId="82" fillId="0" borderId="0" xfId="62" applyFont="1"/>
    <xf numFmtId="9" fontId="11" fillId="0" borderId="21" xfId="62" applyFont="1" applyFill="1" applyBorder="1" applyAlignment="1">
      <alignment horizontal="left" indent="1"/>
    </xf>
    <xf numFmtId="9" fontId="82" fillId="0" borderId="21" xfId="62" applyFont="1" applyFill="1" applyBorder="1"/>
    <xf numFmtId="9" fontId="82" fillId="0" borderId="0" xfId="62" applyFont="1" applyFill="1" applyBorder="1"/>
    <xf numFmtId="9" fontId="82" fillId="0" borderId="35" xfId="62" applyFont="1" applyFill="1" applyBorder="1"/>
    <xf numFmtId="9" fontId="82" fillId="0" borderId="0" xfId="62" applyFont="1" applyFill="1" applyBorder="1" applyAlignment="1">
      <alignment horizontal="right"/>
    </xf>
    <xf numFmtId="9" fontId="82" fillId="0" borderId="0" xfId="62" applyFont="1" applyFill="1"/>
    <xf numFmtId="9" fontId="83" fillId="0" borderId="35" xfId="62" applyFont="1" applyFill="1" applyBorder="1"/>
    <xf numFmtId="168" fontId="6" fillId="17" borderId="0" xfId="62" applyNumberFormat="1" applyFont="1" applyFill="1"/>
    <xf numFmtId="9" fontId="84" fillId="0" borderId="35" xfId="62" applyFont="1" applyFill="1" applyBorder="1"/>
    <xf numFmtId="175" fontId="57" fillId="0" borderId="35" xfId="41" applyNumberFormat="1" applyFont="1" applyFill="1" applyBorder="1" applyAlignment="1">
      <alignment wrapText="1"/>
    </xf>
    <xf numFmtId="175" fontId="57" fillId="0" borderId="0" xfId="41" applyNumberFormat="1" applyFont="1" applyFill="1" applyBorder="1" applyAlignment="1">
      <alignment horizontal="right" wrapText="1"/>
    </xf>
    <xf numFmtId="175" fontId="57" fillId="0" borderId="21" xfId="41" applyNumberFormat="1" applyFont="1" applyFill="1" applyBorder="1" applyAlignment="1">
      <alignment wrapText="1"/>
    </xf>
    <xf numFmtId="175" fontId="57" fillId="0" borderId="0" xfId="41" applyNumberFormat="1" applyFont="1" applyFill="1" applyBorder="1" applyAlignment="1">
      <alignment wrapText="1"/>
    </xf>
    <xf numFmtId="175" fontId="62" fillId="0" borderId="35" xfId="41" applyNumberFormat="1" applyFont="1" applyFill="1" applyBorder="1" applyAlignment="1">
      <alignment horizontal="right"/>
    </xf>
    <xf numFmtId="202" fontId="4" fillId="0" borderId="0" xfId="0" applyNumberFormat="1" applyFont="1"/>
    <xf numFmtId="202" fontId="4" fillId="0" borderId="23" xfId="0" applyNumberFormat="1" applyFont="1" applyFill="1" applyBorder="1" applyAlignment="1">
      <alignment horizontal="left"/>
    </xf>
    <xf numFmtId="202" fontId="4" fillId="0" borderId="23" xfId="41" applyNumberFormat="1" applyFont="1" applyFill="1" applyBorder="1"/>
    <xf numFmtId="202" fontId="4" fillId="0" borderId="17" xfId="41" applyNumberFormat="1" applyFont="1" applyFill="1" applyBorder="1"/>
    <xf numFmtId="202" fontId="57" fillId="0" borderId="36" xfId="41" applyNumberFormat="1" applyFont="1" applyFill="1" applyBorder="1"/>
    <xf numFmtId="202" fontId="57" fillId="0" borderId="54" xfId="41" applyNumberFormat="1" applyFont="1" applyFill="1" applyBorder="1" applyAlignment="1">
      <alignment horizontal="right"/>
    </xf>
    <xf numFmtId="202" fontId="57" fillId="0" borderId="23" xfId="41" applyNumberFormat="1" applyFont="1" applyFill="1" applyBorder="1"/>
    <xf numFmtId="202" fontId="57" fillId="0" borderId="17" xfId="41" applyNumberFormat="1" applyFont="1" applyFill="1" applyBorder="1"/>
    <xf numFmtId="202" fontId="4" fillId="0" borderId="54" xfId="41" applyNumberFormat="1" applyFont="1" applyFill="1" applyBorder="1" applyAlignment="1">
      <alignment horizontal="right"/>
    </xf>
    <xf numFmtId="0" fontId="4" fillId="0" borderId="0" xfId="0" applyFont="1" applyAlignment="1">
      <alignment horizontal="left"/>
    </xf>
    <xf numFmtId="175" fontId="57" fillId="0" borderId="35" xfId="41" applyNumberFormat="1" applyFont="1" applyFill="1" applyBorder="1" applyAlignment="1">
      <alignment horizontal="center" vertical="center" wrapText="1"/>
    </xf>
    <xf numFmtId="175" fontId="6" fillId="0" borderId="32" xfId="41" applyNumberFormat="1" applyFont="1" applyFill="1" applyBorder="1" applyAlignment="1">
      <alignment wrapText="1"/>
    </xf>
    <xf numFmtId="168" fontId="6" fillId="0" borderId="32" xfId="62" applyNumberFormat="1" applyFont="1" applyFill="1" applyBorder="1" applyAlignment="1">
      <alignment horizontal="left"/>
    </xf>
    <xf numFmtId="9" fontId="51" fillId="0" borderId="35" xfId="62" applyFont="1" applyFill="1" applyBorder="1" applyAlignment="1">
      <alignment wrapText="1"/>
    </xf>
    <xf numFmtId="9" fontId="83" fillId="0" borderId="0" xfId="62" applyFont="1" applyFill="1" applyBorder="1"/>
    <xf numFmtId="9" fontId="83" fillId="0" borderId="21" xfId="62" applyFont="1" applyFill="1" applyBorder="1"/>
    <xf numFmtId="0" fontId="52" fillId="31" borderId="0" xfId="0" applyFont="1" applyFill="1" applyBorder="1" applyAlignment="1">
      <alignment horizontal="left"/>
    </xf>
    <xf numFmtId="37" fontId="53" fillId="31" borderId="0" xfId="0" applyNumberFormat="1" applyFont="1" applyFill="1" applyBorder="1"/>
    <xf numFmtId="37" fontId="53" fillId="31" borderId="27" xfId="0" applyNumberFormat="1" applyFont="1" applyFill="1" applyBorder="1"/>
    <xf numFmtId="168" fontId="6" fillId="0" borderId="20" xfId="62" applyNumberFormat="1" applyFont="1" applyFill="1" applyBorder="1" applyAlignment="1">
      <alignment horizontal="left"/>
    </xf>
    <xf numFmtId="0" fontId="51" fillId="0" borderId="0" xfId="0" applyFont="1" applyFill="1"/>
    <xf numFmtId="0" fontId="51" fillId="0" borderId="0" xfId="0" applyFont="1" applyAlignment="1">
      <alignment horizontal="right"/>
    </xf>
    <xf numFmtId="10" fontId="6" fillId="0" borderId="0" xfId="62" applyNumberFormat="1" applyFont="1"/>
    <xf numFmtId="175" fontId="6" fillId="0" borderId="0" xfId="41" applyNumberFormat="1" applyFont="1" applyFill="1"/>
    <xf numFmtId="175" fontId="11" fillId="0" borderId="34" xfId="41" applyNumberFormat="1" applyFont="1" applyFill="1" applyBorder="1"/>
    <xf numFmtId="168" fontId="62" fillId="0" borderId="0" xfId="0" applyNumberFormat="1" applyFont="1"/>
    <xf numFmtId="168" fontId="6" fillId="0" borderId="54" xfId="62" applyNumberFormat="1" applyFont="1" applyFill="1" applyBorder="1" applyAlignment="1">
      <alignment horizontal="left"/>
    </xf>
    <xf numFmtId="168" fontId="62" fillId="0" borderId="32" xfId="62" applyNumberFormat="1" applyFont="1" applyFill="1" applyBorder="1"/>
    <xf numFmtId="168" fontId="62" fillId="0" borderId="0" xfId="62" applyNumberFormat="1" applyFont="1" applyFill="1" applyBorder="1"/>
    <xf numFmtId="168" fontId="62" fillId="0" borderId="35" xfId="62" applyNumberFormat="1" applyFont="1" applyFill="1" applyBorder="1"/>
    <xf numFmtId="168" fontId="62" fillId="0" borderId="0" xfId="41" applyNumberFormat="1" applyFont="1" applyFill="1" applyBorder="1" applyAlignment="1">
      <alignment horizontal="right"/>
    </xf>
    <xf numFmtId="0" fontId="62" fillId="32" borderId="12" xfId="0" applyFont="1" applyFill="1" applyBorder="1" applyAlignment="1">
      <alignment horizontal="left" indent="1"/>
    </xf>
    <xf numFmtId="173" fontId="62" fillId="32" borderId="21" xfId="0" applyNumberFormat="1" applyFont="1" applyFill="1" applyBorder="1" applyAlignment="1">
      <alignment horizontal="right"/>
    </xf>
    <xf numFmtId="173" fontId="62" fillId="32" borderId="0" xfId="0" applyNumberFormat="1" applyFont="1" applyFill="1" applyBorder="1" applyAlignment="1">
      <alignment horizontal="right"/>
    </xf>
    <xf numFmtId="173" fontId="62" fillId="32" borderId="35" xfId="0" applyNumberFormat="1" applyFont="1" applyFill="1" applyBorder="1" applyAlignment="1">
      <alignment horizontal="right"/>
    </xf>
    <xf numFmtId="0" fontId="6" fillId="32" borderId="12" xfId="0" applyFont="1" applyFill="1" applyBorder="1" applyAlignment="1">
      <alignment horizontal="left" indent="1"/>
    </xf>
    <xf numFmtId="173" fontId="6" fillId="32" borderId="21" xfId="0" applyNumberFormat="1" applyFont="1" applyFill="1" applyBorder="1" applyAlignment="1">
      <alignment horizontal="right"/>
    </xf>
    <xf numFmtId="173" fontId="6" fillId="32" borderId="0" xfId="0" applyNumberFormat="1" applyFont="1" applyFill="1" applyBorder="1" applyAlignment="1">
      <alignment horizontal="right"/>
    </xf>
    <xf numFmtId="173" fontId="6" fillId="32" borderId="35" xfId="0" applyNumberFormat="1" applyFont="1" applyFill="1" applyBorder="1" applyAlignment="1">
      <alignment horizontal="right"/>
    </xf>
    <xf numFmtId="0" fontId="81" fillId="0" borderId="0" xfId="0" applyFont="1" applyAlignment="1">
      <alignment horizontal="right"/>
    </xf>
    <xf numFmtId="168" fontId="79" fillId="0" borderId="32" xfId="62" applyNumberFormat="1" applyFont="1" applyFill="1" applyBorder="1"/>
    <xf numFmtId="168" fontId="79" fillId="0" borderId="0" xfId="62" applyNumberFormat="1" applyFont="1" applyFill="1" applyBorder="1"/>
    <xf numFmtId="168" fontId="79" fillId="0" borderId="35" xfId="62" applyNumberFormat="1" applyFont="1" applyFill="1" applyBorder="1"/>
    <xf numFmtId="168" fontId="79" fillId="0" borderId="0" xfId="0" applyNumberFormat="1" applyFont="1" applyFill="1" applyBorder="1"/>
    <xf numFmtId="9" fontId="79" fillId="0" borderId="32" xfId="62" applyFont="1" applyFill="1" applyBorder="1"/>
    <xf numFmtId="9" fontId="79" fillId="0" borderId="0" xfId="62" applyFont="1" applyFill="1" applyBorder="1"/>
    <xf numFmtId="9" fontId="79" fillId="0" borderId="35" xfId="62" applyFont="1" applyFill="1" applyBorder="1"/>
    <xf numFmtId="168" fontId="79" fillId="0" borderId="22" xfId="62" applyNumberFormat="1" applyFont="1" applyFill="1" applyBorder="1"/>
    <xf numFmtId="168" fontId="79" fillId="0" borderId="11" xfId="62" applyNumberFormat="1" applyFont="1" applyFill="1" applyBorder="1"/>
    <xf numFmtId="168" fontId="79" fillId="0" borderId="34" xfId="62" applyNumberFormat="1" applyFont="1" applyFill="1" applyBorder="1"/>
    <xf numFmtId="9" fontId="79" fillId="0" borderId="22" xfId="62" applyFont="1" applyFill="1" applyBorder="1"/>
    <xf numFmtId="9" fontId="79" fillId="0" borderId="11" xfId="62" applyFont="1" applyFill="1" applyBorder="1"/>
    <xf numFmtId="9" fontId="79" fillId="0" borderId="34" xfId="62" applyFont="1" applyFill="1" applyBorder="1"/>
    <xf numFmtId="9" fontId="51" fillId="0" borderId="32" xfId="62" applyFont="1" applyFill="1" applyBorder="1"/>
    <xf numFmtId="167" fontId="54" fillId="0" borderId="32" xfId="41" applyNumberFormat="1" applyFont="1" applyFill="1" applyBorder="1"/>
    <xf numFmtId="0" fontId="6" fillId="0" borderId="32" xfId="0" applyFont="1" applyFill="1" applyBorder="1" applyAlignment="1">
      <alignment horizontal="left" indent="1"/>
    </xf>
    <xf numFmtId="168" fontId="79" fillId="0" borderId="54" xfId="62" applyNumberFormat="1" applyFont="1" applyFill="1" applyBorder="1" applyAlignment="1">
      <alignment horizontal="left" indent="2"/>
    </xf>
    <xf numFmtId="168" fontId="79" fillId="0" borderId="20" xfId="62" applyNumberFormat="1" applyFont="1" applyFill="1" applyBorder="1" applyAlignment="1">
      <alignment horizontal="left" indent="2"/>
    </xf>
    <xf numFmtId="175" fontId="51" fillId="0" borderId="35" xfId="41" applyNumberFormat="1" applyFont="1" applyFill="1" applyBorder="1" applyAlignment="1">
      <alignment horizontal="right"/>
    </xf>
    <xf numFmtId="9" fontId="51" fillId="0" borderId="35" xfId="62" applyNumberFormat="1" applyFont="1" applyFill="1" applyBorder="1"/>
    <xf numFmtId="168" fontId="79" fillId="0" borderId="32" xfId="0" applyNumberFormat="1" applyFont="1" applyFill="1" applyBorder="1"/>
    <xf numFmtId="0" fontId="4" fillId="0" borderId="54" xfId="0" applyFont="1" applyFill="1" applyBorder="1" applyAlignment="1">
      <alignment horizontal="left"/>
    </xf>
    <xf numFmtId="168" fontId="51" fillId="0" borderId="0" xfId="62" applyNumberFormat="1" applyFont="1" applyFill="1" applyBorder="1"/>
    <xf numFmtId="168" fontId="51" fillId="0" borderId="35" xfId="62" applyNumberFormat="1" applyFont="1" applyFill="1" applyBorder="1"/>
    <xf numFmtId="168" fontId="51" fillId="0" borderId="54" xfId="41" applyNumberFormat="1" applyFont="1" applyFill="1" applyBorder="1" applyAlignment="1">
      <alignment horizontal="right"/>
    </xf>
    <xf numFmtId="168" fontId="51" fillId="33" borderId="0" xfId="62" applyNumberFormat="1" applyFont="1" applyFill="1" applyBorder="1"/>
    <xf numFmtId="168" fontId="51" fillId="0" borderId="32" xfId="41" applyNumberFormat="1" applyFont="1" applyFill="1" applyBorder="1" applyAlignment="1">
      <alignment horizontal="right"/>
    </xf>
    <xf numFmtId="168" fontId="51" fillId="27" borderId="32" xfId="0" applyNumberFormat="1" applyFont="1" applyFill="1" applyBorder="1"/>
    <xf numFmtId="168" fontId="51" fillId="27" borderId="0" xfId="0" applyNumberFormat="1" applyFont="1" applyFill="1" applyBorder="1"/>
    <xf numFmtId="168" fontId="51" fillId="27" borderId="35" xfId="0" applyNumberFormat="1" applyFont="1" applyFill="1" applyBorder="1"/>
    <xf numFmtId="168" fontId="57" fillId="0" borderId="54" xfId="0" applyNumberFormat="1" applyFont="1" applyFill="1" applyBorder="1" applyAlignment="1">
      <alignment horizontal="left"/>
    </xf>
    <xf numFmtId="168" fontId="57" fillId="0" borderId="0" xfId="62" applyNumberFormat="1" applyFont="1" applyFill="1" applyBorder="1"/>
    <xf numFmtId="168" fontId="57" fillId="0" borderId="35" xfId="62" applyNumberFormat="1" applyFont="1" applyFill="1" applyBorder="1"/>
    <xf numFmtId="168" fontId="57" fillId="0" borderId="54" xfId="41" applyNumberFormat="1" applyFont="1" applyFill="1" applyBorder="1" applyAlignment="1">
      <alignment horizontal="right"/>
    </xf>
    <xf numFmtId="168" fontId="57" fillId="0" borderId="32" xfId="41" applyNumberFormat="1" applyFont="1" applyFill="1" applyBorder="1" applyAlignment="1">
      <alignment horizontal="right"/>
    </xf>
    <xf numFmtId="168" fontId="57" fillId="0" borderId="32" xfId="62" applyNumberFormat="1" applyFont="1" applyFill="1" applyBorder="1"/>
    <xf numFmtId="9" fontId="4" fillId="0" borderId="0" xfId="62" applyFont="1" applyFill="1" applyBorder="1"/>
    <xf numFmtId="9" fontId="4" fillId="0" borderId="35" xfId="62" applyFont="1" applyFill="1" applyBorder="1"/>
    <xf numFmtId="9" fontId="4" fillId="0" borderId="32" xfId="62" applyFont="1" applyFill="1" applyBorder="1"/>
    <xf numFmtId="168" fontId="4" fillId="0" borderId="0" xfId="62" applyNumberFormat="1" applyFont="1" applyFill="1" applyBorder="1"/>
    <xf numFmtId="168" fontId="4" fillId="0" borderId="35" xfId="62" applyNumberFormat="1" applyFont="1" applyFill="1" applyBorder="1"/>
    <xf numFmtId="168" fontId="4" fillId="0" borderId="54" xfId="41" applyNumberFormat="1" applyFont="1" applyFill="1" applyBorder="1" applyAlignment="1">
      <alignment horizontal="right"/>
    </xf>
    <xf numFmtId="168" fontId="6" fillId="0" borderId="54" xfId="41" applyNumberFormat="1" applyFont="1" applyFill="1" applyBorder="1" applyAlignment="1">
      <alignment horizontal="right"/>
    </xf>
    <xf numFmtId="168" fontId="4" fillId="0" borderId="32" xfId="41" applyNumberFormat="1" applyFont="1" applyFill="1" applyBorder="1" applyAlignment="1">
      <alignment horizontal="right"/>
    </xf>
    <xf numFmtId="168" fontId="4" fillId="0" borderId="32" xfId="62" applyNumberFormat="1" applyFont="1" applyFill="1" applyBorder="1"/>
    <xf numFmtId="168" fontId="57" fillId="30" borderId="35" xfId="62" applyNumberFormat="1" applyFont="1" applyFill="1" applyBorder="1"/>
    <xf numFmtId="3" fontId="6" fillId="0" borderId="0" xfId="62" applyNumberFormat="1" applyFont="1" applyFill="1" applyBorder="1"/>
    <xf numFmtId="3" fontId="6" fillId="0" borderId="35" xfId="62" applyNumberFormat="1" applyFont="1" applyFill="1" applyBorder="1"/>
    <xf numFmtId="3" fontId="6" fillId="0" borderId="54" xfId="41" applyNumberFormat="1" applyFont="1" applyFill="1" applyBorder="1" applyAlignment="1">
      <alignment horizontal="right"/>
    </xf>
    <xf numFmtId="3" fontId="6" fillId="0" borderId="32" xfId="62" applyNumberFormat="1" applyFont="1" applyFill="1" applyBorder="1"/>
    <xf numFmtId="3" fontId="4" fillId="0" borderId="11" xfId="62" applyNumberFormat="1" applyFont="1" applyFill="1" applyBorder="1"/>
    <xf numFmtId="3" fontId="4" fillId="0" borderId="34" xfId="62" applyNumberFormat="1" applyFont="1" applyFill="1" applyBorder="1"/>
    <xf numFmtId="3" fontId="4" fillId="0" borderId="20" xfId="41" applyNumberFormat="1" applyFont="1" applyFill="1" applyBorder="1" applyAlignment="1">
      <alignment horizontal="right"/>
    </xf>
    <xf numFmtId="3" fontId="4" fillId="0" borderId="22" xfId="62" applyNumberFormat="1" applyFont="1" applyFill="1" applyBorder="1"/>
    <xf numFmtId="168" fontId="57" fillId="0" borderId="0" xfId="0" applyNumberFormat="1" applyFont="1" applyFill="1"/>
    <xf numFmtId="168" fontId="4" fillId="0" borderId="0" xfId="0" applyNumberFormat="1" applyFont="1" applyFill="1"/>
    <xf numFmtId="168" fontId="56" fillId="0" borderId="0" xfId="0" applyNumberFormat="1" applyFont="1"/>
    <xf numFmtId="0" fontId="56" fillId="0" borderId="0" xfId="0" applyFont="1" applyFill="1"/>
    <xf numFmtId="173" fontId="6" fillId="0" borderId="32" xfId="76" quotePrefix="1" applyNumberFormat="1" applyFont="1" applyFill="1" applyBorder="1" applyAlignment="1">
      <alignment horizontal="right"/>
    </xf>
    <xf numFmtId="173" fontId="4" fillId="0" borderId="33" xfId="76" applyNumberFormat="1" applyFont="1" applyFill="1" applyBorder="1" applyAlignment="1">
      <alignment horizontal="right"/>
    </xf>
    <xf numFmtId="173" fontId="4" fillId="0" borderId="0" xfId="76" applyNumberFormat="1" applyFont="1" applyFill="1" applyBorder="1" applyAlignment="1">
      <alignment horizontal="right"/>
    </xf>
    <xf numFmtId="173" fontId="4" fillId="0" borderId="32" xfId="76" quotePrefix="1" applyNumberFormat="1" applyFont="1" applyFill="1" applyBorder="1" applyAlignment="1">
      <alignment horizontal="right"/>
    </xf>
    <xf numFmtId="173" fontId="4" fillId="0" borderId="0" xfId="76" quotePrefix="1" applyNumberFormat="1" applyFont="1" applyFill="1" applyBorder="1" applyAlignment="1">
      <alignment horizontal="right"/>
    </xf>
    <xf numFmtId="173" fontId="4" fillId="0" borderId="33" xfId="76" quotePrefix="1" applyNumberFormat="1" applyFont="1" applyFill="1" applyBorder="1" applyAlignment="1">
      <alignment horizontal="right"/>
    </xf>
    <xf numFmtId="173" fontId="71" fillId="21" borderId="33" xfId="76" applyNumberFormat="1" applyFont="1" applyFill="1" applyBorder="1" applyAlignment="1">
      <alignment horizontal="right"/>
    </xf>
    <xf numFmtId="173" fontId="71" fillId="21" borderId="0" xfId="76" applyNumberFormat="1" applyFont="1" applyFill="1" applyBorder="1" applyAlignment="1">
      <alignment horizontal="right"/>
    </xf>
    <xf numFmtId="173" fontId="71" fillId="0" borderId="33" xfId="76" applyNumberFormat="1" applyFont="1" applyFill="1" applyBorder="1" applyAlignment="1"/>
    <xf numFmtId="173" fontId="71" fillId="0" borderId="0" xfId="76" applyNumberFormat="1" applyFont="1" applyFill="1" applyBorder="1" applyAlignment="1"/>
    <xf numFmtId="173" fontId="71" fillId="21" borderId="33" xfId="76" quotePrefix="1" applyNumberFormat="1" applyFont="1" applyFill="1" applyBorder="1" applyAlignment="1">
      <alignment horizontal="right"/>
    </xf>
    <xf numFmtId="173" fontId="71" fillId="21" borderId="0" xfId="76" quotePrefix="1" applyNumberFormat="1" applyFont="1" applyFill="1" applyBorder="1" applyAlignment="1">
      <alignment horizontal="right"/>
    </xf>
    <xf numFmtId="0" fontId="3" fillId="0" borderId="0" xfId="76" applyFont="1" applyFill="1" applyBorder="1"/>
    <xf numFmtId="0" fontId="3" fillId="0" borderId="0" xfId="76" applyFont="1" applyFill="1"/>
    <xf numFmtId="0" fontId="71" fillId="0" borderId="0" xfId="76" applyFont="1" applyFill="1" applyBorder="1" applyAlignment="1">
      <alignment horizontal="left" indent="2"/>
    </xf>
    <xf numFmtId="0" fontId="71" fillId="21" borderId="14" xfId="76" applyFont="1" applyFill="1" applyBorder="1" applyAlignment="1">
      <alignment horizontal="left" indent="2"/>
    </xf>
    <xf numFmtId="173" fontId="71" fillId="21" borderId="55" xfId="76" applyNumberFormat="1" applyFont="1" applyFill="1" applyBorder="1" applyAlignment="1">
      <alignment horizontal="right"/>
    </xf>
    <xf numFmtId="173" fontId="71" fillId="21" borderId="14" xfId="76" applyNumberFormat="1" applyFont="1" applyFill="1" applyBorder="1" applyAlignment="1">
      <alignment horizontal="right"/>
    </xf>
    <xf numFmtId="173" fontId="71" fillId="21" borderId="32" xfId="76" applyNumberFormat="1" applyFont="1" applyFill="1" applyBorder="1" applyAlignment="1">
      <alignment horizontal="right"/>
    </xf>
    <xf numFmtId="173" fontId="71" fillId="21" borderId="45" xfId="76" applyNumberFormat="1" applyFont="1" applyFill="1" applyBorder="1" applyAlignment="1">
      <alignment horizontal="right"/>
    </xf>
    <xf numFmtId="173" fontId="4" fillId="0" borderId="32" xfId="76" applyNumberFormat="1" applyFont="1" applyFill="1" applyBorder="1" applyAlignment="1">
      <alignment horizontal="right"/>
    </xf>
    <xf numFmtId="173" fontId="71" fillId="0" borderId="32" xfId="76" quotePrefix="1" applyNumberFormat="1" applyFont="1" applyFill="1" applyBorder="1" applyAlignment="1">
      <alignment horizontal="right"/>
    </xf>
    <xf numFmtId="173" fontId="71" fillId="0" borderId="0" xfId="76" quotePrefix="1" applyNumberFormat="1" applyFont="1" applyFill="1" applyBorder="1" applyAlignment="1">
      <alignment horizontal="right"/>
    </xf>
    <xf numFmtId="173" fontId="71" fillId="0" borderId="33" xfId="76" quotePrefix="1" applyNumberFormat="1" applyFont="1" applyFill="1" applyBorder="1" applyAlignment="1">
      <alignment horizontal="right"/>
    </xf>
    <xf numFmtId="173" fontId="6" fillId="21" borderId="32" xfId="76" applyNumberFormat="1" applyFont="1" applyFill="1" applyBorder="1" applyAlignment="1">
      <alignment horizontal="right"/>
    </xf>
    <xf numFmtId="0" fontId="85" fillId="0" borderId="0" xfId="76" applyFont="1" applyFill="1" applyBorder="1"/>
    <xf numFmtId="0" fontId="85" fillId="0" borderId="0" xfId="76" applyFont="1" applyFill="1"/>
    <xf numFmtId="168" fontId="51" fillId="0" borderId="0" xfId="62" applyNumberFormat="1" applyFont="1" applyFill="1" applyBorder="1" applyAlignment="1">
      <alignment horizontal="right"/>
    </xf>
    <xf numFmtId="37" fontId="74" fillId="27" borderId="35" xfId="0" applyNumberFormat="1" applyFont="1" applyFill="1" applyBorder="1"/>
    <xf numFmtId="170" fontId="56" fillId="0" borderId="0" xfId="0" applyNumberFormat="1" applyFont="1" applyFill="1"/>
    <xf numFmtId="0" fontId="4" fillId="0" borderId="56" xfId="0" applyFont="1" applyBorder="1"/>
    <xf numFmtId="168" fontId="6" fillId="0" borderId="20" xfId="41" applyNumberFormat="1" applyFont="1" applyFill="1" applyBorder="1" applyAlignment="1">
      <alignment horizontal="right"/>
    </xf>
    <xf numFmtId="168" fontId="6" fillId="0" borderId="11" xfId="62" applyNumberFormat="1" applyFont="1" applyFill="1" applyBorder="1" applyAlignment="1">
      <alignment horizontal="right"/>
    </xf>
    <xf numFmtId="168" fontId="6" fillId="0" borderId="34" xfId="62" applyNumberFormat="1" applyFont="1" applyFill="1" applyBorder="1" applyAlignment="1">
      <alignment horizontal="right"/>
    </xf>
    <xf numFmtId="168" fontId="51" fillId="0" borderId="54" xfId="62" applyNumberFormat="1" applyFont="1" applyFill="1" applyBorder="1" applyAlignment="1">
      <alignment horizontal="right"/>
    </xf>
    <xf numFmtId="173" fontId="51" fillId="0" borderId="0" xfId="0" applyNumberFormat="1" applyFont="1" applyFill="1" applyBorder="1" applyAlignment="1">
      <alignment horizontal="right"/>
    </xf>
    <xf numFmtId="9" fontId="6" fillId="27" borderId="35" xfId="62" applyFont="1" applyFill="1" applyBorder="1"/>
    <xf numFmtId="164" fontId="53" fillId="29" borderId="11" xfId="0" applyNumberFormat="1" applyFont="1" applyFill="1" applyBorder="1" applyAlignment="1">
      <alignment horizontal="center"/>
    </xf>
    <xf numFmtId="0" fontId="71" fillId="21" borderId="0" xfId="76" applyFont="1" applyFill="1" applyBorder="1" applyAlignment="1">
      <alignment horizontal="left" indent="3"/>
    </xf>
    <xf numFmtId="0" fontId="71" fillId="21" borderId="14" xfId="76" applyFont="1" applyFill="1" applyBorder="1" applyAlignment="1">
      <alignment horizontal="left" indent="3"/>
    </xf>
    <xf numFmtId="0" fontId="4" fillId="21" borderId="0" xfId="76" applyFont="1" applyFill="1" applyBorder="1" applyAlignment="1">
      <alignment horizontal="left"/>
    </xf>
    <xf numFmtId="173" fontId="6" fillId="0" borderId="33" xfId="76" applyNumberFormat="1" applyFont="1" applyFill="1" applyBorder="1" applyAlignment="1">
      <alignment horizontal="right"/>
    </xf>
    <xf numFmtId="173" fontId="6" fillId="0" borderId="0" xfId="76" applyNumberFormat="1" applyFont="1" applyFill="1" applyBorder="1" applyAlignment="1">
      <alignment horizontal="right"/>
    </xf>
    <xf numFmtId="9" fontId="53" fillId="29" borderId="0" xfId="62" applyFont="1" applyFill="1" applyBorder="1"/>
    <xf numFmtId="0" fontId="4" fillId="0" borderId="0" xfId="0" applyFont="1" applyFill="1" applyAlignment="1">
      <alignment horizontal="center"/>
    </xf>
    <xf numFmtId="175" fontId="51" fillId="0" borderId="0" xfId="41" applyNumberFormat="1" applyFont="1" applyFill="1"/>
    <xf numFmtId="173" fontId="71" fillId="0" borderId="32" xfId="76" applyNumberFormat="1" applyFont="1" applyFill="1" applyBorder="1" applyAlignment="1">
      <alignment horizontal="right"/>
    </xf>
    <xf numFmtId="173" fontId="71" fillId="0" borderId="0" xfId="76" applyNumberFormat="1" applyFont="1" applyFill="1" applyBorder="1" applyAlignment="1">
      <alignment horizontal="right"/>
    </xf>
    <xf numFmtId="173" fontId="71" fillId="0" borderId="33" xfId="76" applyNumberFormat="1" applyFont="1" applyFill="1" applyBorder="1" applyAlignment="1">
      <alignment horizontal="right"/>
    </xf>
    <xf numFmtId="173" fontId="71" fillId="0" borderId="55" xfId="76" applyNumberFormat="1" applyFont="1" applyFill="1" applyBorder="1" applyAlignment="1">
      <alignment horizontal="right"/>
    </xf>
    <xf numFmtId="173" fontId="71" fillId="0" borderId="14" xfId="76" applyNumberFormat="1" applyFont="1" applyFill="1" applyBorder="1" applyAlignment="1">
      <alignment horizontal="right"/>
    </xf>
    <xf numFmtId="0" fontId="71" fillId="0" borderId="0" xfId="76" applyFont="1" applyFill="1" applyBorder="1" applyAlignment="1">
      <alignment horizontal="left" indent="3"/>
    </xf>
    <xf numFmtId="0" fontId="71" fillId="0" borderId="14" xfId="76" applyFont="1" applyFill="1" applyBorder="1" applyAlignment="1">
      <alignment horizontal="left" indent="3"/>
    </xf>
    <xf numFmtId="0" fontId="4" fillId="0" borderId="0" xfId="76" applyFont="1" applyFill="1" applyBorder="1" applyAlignment="1">
      <alignment horizontal="left" indent="2"/>
    </xf>
    <xf numFmtId="0" fontId="4" fillId="21" borderId="0" xfId="76" applyFont="1" applyFill="1" applyBorder="1" applyAlignment="1">
      <alignment horizontal="left" indent="2"/>
    </xf>
    <xf numFmtId="173" fontId="4" fillId="21" borderId="32" xfId="76" applyNumberFormat="1" applyFont="1" applyFill="1" applyBorder="1" applyAlignment="1">
      <alignment horizontal="right"/>
    </xf>
    <xf numFmtId="173" fontId="4" fillId="21" borderId="0" xfId="76" applyNumberFormat="1" applyFont="1" applyFill="1" applyBorder="1" applyAlignment="1">
      <alignment horizontal="right"/>
    </xf>
    <xf numFmtId="173" fontId="4" fillId="21" borderId="33" xfId="76" applyNumberFormat="1" applyFont="1" applyFill="1" applyBorder="1" applyAlignment="1">
      <alignment horizontal="right"/>
    </xf>
    <xf numFmtId="0" fontId="70" fillId="0" borderId="0" xfId="76" applyFont="1" applyFill="1"/>
    <xf numFmtId="0" fontId="4" fillId="0" borderId="0" xfId="76" applyFont="1" applyFill="1" applyBorder="1" applyAlignment="1">
      <alignment horizontal="left" indent="1"/>
    </xf>
    <xf numFmtId="173" fontId="71" fillId="21" borderId="32" xfId="76" quotePrefix="1" applyNumberFormat="1" applyFont="1" applyFill="1" applyBorder="1" applyAlignment="1">
      <alignment horizontal="right"/>
    </xf>
    <xf numFmtId="0" fontId="71" fillId="21" borderId="11" xfId="76" applyFont="1" applyFill="1" applyBorder="1" applyAlignment="1">
      <alignment horizontal="left" indent="3"/>
    </xf>
    <xf numFmtId="173" fontId="71" fillId="21" borderId="22" xfId="76" applyNumberFormat="1" applyFont="1" applyFill="1" applyBorder="1" applyAlignment="1">
      <alignment horizontal="right"/>
    </xf>
    <xf numFmtId="173" fontId="71" fillId="21" borderId="11" xfId="76" applyNumberFormat="1" applyFont="1" applyFill="1" applyBorder="1" applyAlignment="1">
      <alignment horizontal="right"/>
    </xf>
    <xf numFmtId="173" fontId="71" fillId="21" borderId="59" xfId="76" applyNumberFormat="1" applyFont="1" applyFill="1" applyBorder="1" applyAlignment="1">
      <alignment horizontal="right"/>
    </xf>
    <xf numFmtId="0" fontId="71" fillId="0" borderId="11" xfId="76" applyFont="1" applyFill="1" applyBorder="1" applyAlignment="1">
      <alignment horizontal="left" indent="2"/>
    </xf>
    <xf numFmtId="173" fontId="71" fillId="0" borderId="22" xfId="76" quotePrefix="1" applyNumberFormat="1" applyFont="1" applyFill="1" applyBorder="1" applyAlignment="1">
      <alignment horizontal="right"/>
    </xf>
    <xf numFmtId="173" fontId="71" fillId="0" borderId="11" xfId="76" quotePrefix="1" applyNumberFormat="1" applyFont="1" applyFill="1" applyBorder="1" applyAlignment="1">
      <alignment horizontal="right"/>
    </xf>
    <xf numFmtId="173" fontId="71" fillId="0" borderId="59" xfId="76" quotePrefix="1" applyNumberFormat="1" applyFont="1" applyFill="1" applyBorder="1" applyAlignment="1">
      <alignment horizontal="right"/>
    </xf>
    <xf numFmtId="173" fontId="71" fillId="0" borderId="22" xfId="76" applyNumberFormat="1" applyFont="1" applyFill="1" applyBorder="1" applyAlignment="1">
      <alignment horizontal="right"/>
    </xf>
    <xf numFmtId="173" fontId="71" fillId="0" borderId="11" xfId="76" applyNumberFormat="1" applyFont="1" applyFill="1" applyBorder="1" applyAlignment="1">
      <alignment horizontal="right"/>
    </xf>
    <xf numFmtId="173" fontId="71" fillId="0" borderId="59" xfId="76" applyNumberFormat="1" applyFont="1" applyFill="1" applyBorder="1" applyAlignment="1">
      <alignment horizontal="right"/>
    </xf>
    <xf numFmtId="168" fontId="60" fillId="0" borderId="32" xfId="62" applyNumberFormat="1" applyFont="1" applyFill="1" applyBorder="1" applyAlignment="1">
      <alignment horizontal="left" indent="1"/>
    </xf>
    <xf numFmtId="0" fontId="6" fillId="0" borderId="12" xfId="0" quotePrefix="1" applyFont="1" applyFill="1" applyBorder="1" applyAlignment="1">
      <alignment horizontal="left" indent="2"/>
    </xf>
    <xf numFmtId="9" fontId="11" fillId="0" borderId="0" xfId="62" applyFont="1" applyFill="1"/>
    <xf numFmtId="43" fontId="6" fillId="0" borderId="35" xfId="41" applyFont="1" applyFill="1" applyBorder="1"/>
    <xf numFmtId="43" fontId="6" fillId="0" borderId="21" xfId="41" applyFont="1" applyFill="1" applyBorder="1"/>
    <xf numFmtId="43" fontId="6" fillId="0" borderId="0" xfId="41" applyFont="1" applyFill="1" applyBorder="1"/>
    <xf numFmtId="0" fontId="81" fillId="0" borderId="0" xfId="0" applyFont="1" applyFill="1"/>
    <xf numFmtId="167" fontId="51" fillId="0" borderId="0" xfId="41" applyNumberFormat="1" applyFont="1" applyFill="1" applyBorder="1" applyAlignment="1">
      <alignment horizontal="right" wrapText="1"/>
    </xf>
    <xf numFmtId="168" fontId="51" fillId="0" borderId="11" xfId="62" applyNumberFormat="1" applyFont="1" applyFill="1" applyBorder="1"/>
    <xf numFmtId="170" fontId="72" fillId="21" borderId="32" xfId="76" applyNumberFormat="1" applyFont="1" applyFill="1" applyBorder="1" applyAlignment="1">
      <alignment horizontal="right"/>
    </xf>
    <xf numFmtId="170" fontId="72" fillId="0" borderId="32" xfId="76" applyNumberFormat="1" applyFont="1" applyFill="1" applyBorder="1" applyAlignment="1">
      <alignment horizontal="right"/>
    </xf>
    <xf numFmtId="173" fontId="6" fillId="20" borderId="32" xfId="62" applyNumberFormat="1" applyFont="1" applyFill="1" applyBorder="1"/>
    <xf numFmtId="173" fontId="6" fillId="20" borderId="0" xfId="62" applyNumberFormat="1" applyFont="1" applyFill="1" applyBorder="1"/>
    <xf numFmtId="173" fontId="6" fillId="20" borderId="35" xfId="62" applyNumberFormat="1" applyFont="1" applyFill="1" applyBorder="1"/>
    <xf numFmtId="0" fontId="4" fillId="20" borderId="21" xfId="0" applyFont="1" applyFill="1" applyBorder="1" applyAlignment="1">
      <alignment horizontal="left"/>
    </xf>
    <xf numFmtId="205" fontId="6" fillId="0" borderId="0" xfId="0" applyNumberFormat="1" applyFont="1" applyFill="1"/>
    <xf numFmtId="0" fontId="6" fillId="0" borderId="32" xfId="0" applyFont="1" applyFill="1" applyBorder="1"/>
    <xf numFmtId="175" fontId="6" fillId="0" borderId="0" xfId="0" applyNumberFormat="1" applyFont="1" applyFill="1"/>
    <xf numFmtId="173" fontId="79" fillId="0" borderId="22" xfId="62" applyNumberFormat="1" applyFont="1" applyFill="1" applyBorder="1"/>
    <xf numFmtId="173" fontId="79" fillId="0" borderId="11" xfId="62" applyNumberFormat="1" applyFont="1" applyFill="1" applyBorder="1"/>
    <xf numFmtId="173" fontId="79" fillId="0" borderId="34" xfId="62" applyNumberFormat="1" applyFont="1" applyFill="1" applyBorder="1"/>
    <xf numFmtId="168" fontId="51" fillId="0" borderId="11" xfId="62" applyNumberFormat="1" applyFont="1" applyFill="1" applyBorder="1" applyAlignment="1">
      <alignment horizontal="right"/>
    </xf>
    <xf numFmtId="168" fontId="51" fillId="0" borderId="34" xfId="62" applyNumberFormat="1" applyFont="1" applyFill="1" applyBorder="1"/>
    <xf numFmtId="168" fontId="51" fillId="0" borderId="22" xfId="62" applyNumberFormat="1" applyFont="1" applyFill="1" applyBorder="1"/>
    <xf numFmtId="173" fontId="51" fillId="0" borderId="22" xfId="62" applyNumberFormat="1" applyFont="1" applyFill="1" applyBorder="1"/>
    <xf numFmtId="173" fontId="51" fillId="0" borderId="11" xfId="62" applyNumberFormat="1" applyFont="1" applyFill="1" applyBorder="1"/>
    <xf numFmtId="173" fontId="51" fillId="0" borderId="34" xfId="62" applyNumberFormat="1" applyFont="1" applyFill="1" applyBorder="1"/>
    <xf numFmtId="0" fontId="6" fillId="0" borderId="22" xfId="0" applyFont="1" applyFill="1" applyBorder="1" applyAlignment="1">
      <alignment horizontal="left" indent="1"/>
    </xf>
    <xf numFmtId="43" fontId="51" fillId="0" borderId="0" xfId="41" applyFont="1" applyFill="1" applyBorder="1"/>
    <xf numFmtId="168" fontId="55" fillId="0" borderId="21" xfId="62" applyNumberFormat="1" applyFont="1" applyFill="1" applyBorder="1"/>
    <xf numFmtId="0" fontId="52" fillId="29" borderId="24" xfId="0" applyFont="1" applyFill="1" applyBorder="1" applyAlignment="1" applyProtection="1">
      <protection locked="0"/>
    </xf>
    <xf numFmtId="0" fontId="6" fillId="0" borderId="54" xfId="0" applyFont="1" applyFill="1" applyBorder="1" applyAlignment="1" applyProtection="1">
      <protection locked="0"/>
    </xf>
    <xf numFmtId="0" fontId="4" fillId="0" borderId="54" xfId="0" applyFont="1" applyFill="1" applyBorder="1" applyAlignment="1" applyProtection="1">
      <protection locked="0"/>
    </xf>
    <xf numFmtId="0" fontId="11" fillId="0" borderId="54" xfId="0" applyFont="1" applyFill="1" applyBorder="1" applyAlignment="1" applyProtection="1">
      <protection locked="0"/>
    </xf>
    <xf numFmtId="0" fontId="6" fillId="0" borderId="60" xfId="0" applyFont="1" applyFill="1" applyBorder="1" applyAlignment="1" applyProtection="1">
      <protection locked="0"/>
    </xf>
    <xf numFmtId="165" fontId="53" fillId="29" borderId="0" xfId="41" applyNumberFormat="1" applyFont="1" applyFill="1" applyBorder="1" applyAlignment="1" applyProtection="1">
      <alignment horizontal="right"/>
    </xf>
    <xf numFmtId="165" fontId="53" fillId="29" borderId="0" xfId="41" applyNumberFormat="1" applyFont="1" applyFill="1" applyBorder="1" applyProtection="1"/>
    <xf numFmtId="167" fontId="62" fillId="0" borderId="32" xfId="41" applyNumberFormat="1" applyFont="1" applyFill="1" applyBorder="1" applyAlignment="1" applyProtection="1">
      <alignment horizontal="right"/>
      <protection locked="0"/>
    </xf>
    <xf numFmtId="167" fontId="62" fillId="0" borderId="17" xfId="41" applyNumberFormat="1" applyFont="1" applyFill="1" applyBorder="1" applyAlignment="1" applyProtection="1">
      <alignment horizontal="right"/>
    </xf>
    <xf numFmtId="167" fontId="62" fillId="0" borderId="24" xfId="41" applyNumberFormat="1" applyFont="1" applyFill="1" applyBorder="1" applyProtection="1"/>
    <xf numFmtId="169" fontId="6" fillId="0" borderId="0" xfId="41" applyNumberFormat="1" applyFont="1" applyFill="1" applyBorder="1" applyProtection="1"/>
    <xf numFmtId="167" fontId="62" fillId="0" borderId="0" xfId="41" applyNumberFormat="1" applyFont="1" applyFill="1" applyBorder="1" applyAlignment="1" applyProtection="1">
      <alignment horizontal="right"/>
    </xf>
    <xf numFmtId="167" fontId="62" fillId="0" borderId="54" xfId="41" applyNumberFormat="1" applyFont="1" applyFill="1" applyBorder="1" applyProtection="1"/>
    <xf numFmtId="168" fontId="62" fillId="0" borderId="32" xfId="62" applyNumberFormat="1" applyFont="1" applyFill="1" applyBorder="1" applyAlignment="1" applyProtection="1">
      <alignment horizontal="right"/>
      <protection locked="0"/>
    </xf>
    <xf numFmtId="168" fontId="62" fillId="0" borderId="0" xfId="62" applyNumberFormat="1" applyFont="1" applyFill="1" applyBorder="1" applyAlignment="1" applyProtection="1">
      <alignment horizontal="right"/>
    </xf>
    <xf numFmtId="168" fontId="62" fillId="0" borderId="54" xfId="62" applyNumberFormat="1" applyFont="1" applyFill="1" applyBorder="1" applyProtection="1"/>
    <xf numFmtId="168" fontId="6" fillId="0" borderId="0" xfId="62" applyNumberFormat="1" applyFont="1" applyFill="1" applyBorder="1" applyProtection="1"/>
    <xf numFmtId="167" fontId="6" fillId="0" borderId="0" xfId="62" applyNumberFormat="1" applyFont="1" applyFill="1" applyBorder="1" applyAlignment="1" applyProtection="1">
      <alignment horizontal="right"/>
    </xf>
    <xf numFmtId="167" fontId="6" fillId="0" borderId="54" xfId="62" applyNumberFormat="1" applyFont="1" applyFill="1" applyBorder="1" applyProtection="1"/>
    <xf numFmtId="167" fontId="4" fillId="0" borderId="0" xfId="62" applyNumberFormat="1" applyFont="1" applyFill="1" applyBorder="1" applyAlignment="1" applyProtection="1">
      <alignment horizontal="right"/>
    </xf>
    <xf numFmtId="167" fontId="4" fillId="0" borderId="54" xfId="62" applyNumberFormat="1" applyFont="1" applyFill="1" applyBorder="1" applyProtection="1"/>
    <xf numFmtId="168" fontId="4" fillId="0" borderId="0" xfId="62" applyNumberFormat="1" applyFont="1" applyFill="1" applyBorder="1" applyProtection="1"/>
    <xf numFmtId="168" fontId="4" fillId="0" borderId="0" xfId="62" applyNumberFormat="1" applyFont="1" applyFill="1" applyBorder="1" applyAlignment="1" applyProtection="1">
      <alignment horizontal="right"/>
    </xf>
    <xf numFmtId="168" fontId="4" fillId="0" borderId="54" xfId="62" applyNumberFormat="1" applyFont="1" applyFill="1" applyBorder="1" applyProtection="1"/>
    <xf numFmtId="9" fontId="4" fillId="0" borderId="0" xfId="62" applyFont="1" applyFill="1" applyBorder="1" applyProtection="1"/>
    <xf numFmtId="9" fontId="6" fillId="0" borderId="32" xfId="62" applyFont="1" applyFill="1" applyBorder="1" applyAlignment="1" applyProtection="1">
      <alignment horizontal="right"/>
    </xf>
    <xf numFmtId="9" fontId="6" fillId="0" borderId="0" xfId="62" applyFont="1" applyFill="1" applyBorder="1" applyAlignment="1" applyProtection="1">
      <alignment horizontal="right"/>
    </xf>
    <xf numFmtId="9" fontId="6" fillId="0" borderId="54" xfId="62" applyFont="1" applyFill="1" applyBorder="1" applyProtection="1"/>
    <xf numFmtId="9" fontId="6" fillId="0" borderId="0" xfId="62" applyFont="1" applyFill="1" applyBorder="1" applyProtection="1"/>
    <xf numFmtId="9" fontId="62" fillId="0" borderId="32" xfId="62" applyFont="1" applyFill="1" applyBorder="1" applyAlignment="1" applyProtection="1">
      <alignment horizontal="right"/>
    </xf>
    <xf numFmtId="9" fontId="62" fillId="0" borderId="0" xfId="62" applyFont="1" applyFill="1" applyBorder="1" applyAlignment="1" applyProtection="1">
      <alignment horizontal="right"/>
    </xf>
    <xf numFmtId="165" fontId="6" fillId="0" borderId="32" xfId="41" applyNumberFormat="1" applyFont="1" applyFill="1" applyBorder="1" applyAlignment="1" applyProtection="1">
      <alignment horizontal="right"/>
      <protection locked="0"/>
    </xf>
    <xf numFmtId="165" fontId="6" fillId="0" borderId="0" xfId="41" applyNumberFormat="1" applyFont="1" applyFill="1" applyBorder="1" applyAlignment="1" applyProtection="1">
      <alignment horizontal="right"/>
    </xf>
    <xf numFmtId="165" fontId="6" fillId="0" borderId="54" xfId="41" applyNumberFormat="1" applyFont="1" applyFill="1" applyBorder="1" applyProtection="1"/>
    <xf numFmtId="175" fontId="6" fillId="0" borderId="32" xfId="41" applyNumberFormat="1" applyFont="1" applyFill="1" applyBorder="1" applyAlignment="1" applyProtection="1">
      <alignment horizontal="right"/>
      <protection locked="0"/>
    </xf>
    <xf numFmtId="175" fontId="6" fillId="0" borderId="0" xfId="41" applyNumberFormat="1" applyFont="1" applyFill="1" applyBorder="1" applyAlignment="1" applyProtection="1">
      <alignment horizontal="right"/>
    </xf>
    <xf numFmtId="175" fontId="6" fillId="0" borderId="54" xfId="41" applyNumberFormat="1" applyFont="1" applyFill="1" applyBorder="1" applyProtection="1"/>
    <xf numFmtId="175" fontId="6" fillId="0" borderId="0" xfId="62" applyNumberFormat="1" applyFont="1" applyFill="1" applyBorder="1" applyProtection="1"/>
    <xf numFmtId="165" fontId="4" fillId="0" borderId="32" xfId="41" applyNumberFormat="1" applyFont="1" applyFill="1" applyBorder="1" applyAlignment="1" applyProtection="1">
      <alignment horizontal="right"/>
      <protection locked="0"/>
    </xf>
    <xf numFmtId="165" fontId="4" fillId="0" borderId="0" xfId="41" applyNumberFormat="1" applyFont="1" applyFill="1" applyBorder="1" applyAlignment="1" applyProtection="1">
      <alignment horizontal="right"/>
    </xf>
    <xf numFmtId="165" fontId="4" fillId="0" borderId="54" xfId="41" applyNumberFormat="1" applyFont="1" applyFill="1" applyBorder="1" applyProtection="1"/>
    <xf numFmtId="175" fontId="4" fillId="0" borderId="32" xfId="41" applyNumberFormat="1" applyFont="1" applyFill="1" applyBorder="1" applyAlignment="1" applyProtection="1">
      <alignment horizontal="right"/>
      <protection locked="0"/>
    </xf>
    <xf numFmtId="175" fontId="4" fillId="0" borderId="0" xfId="41" applyNumberFormat="1" applyFont="1" applyFill="1" applyBorder="1" applyAlignment="1" applyProtection="1">
      <alignment horizontal="right"/>
    </xf>
    <xf numFmtId="175" fontId="4" fillId="0" borderId="54" xfId="41" applyNumberFormat="1" applyFont="1" applyFill="1" applyBorder="1" applyProtection="1"/>
    <xf numFmtId="167" fontId="6" fillId="0" borderId="32" xfId="41" applyNumberFormat="1" applyFont="1" applyFill="1" applyBorder="1" applyAlignment="1" applyProtection="1">
      <alignment horizontal="right"/>
    </xf>
    <xf numFmtId="167" fontId="6" fillId="0" borderId="0" xfId="41" applyNumberFormat="1" applyFont="1" applyFill="1" applyBorder="1" applyAlignment="1" applyProtection="1">
      <alignment horizontal="right"/>
    </xf>
    <xf numFmtId="167" fontId="6" fillId="0" borderId="54" xfId="41" applyNumberFormat="1" applyFont="1" applyFill="1" applyBorder="1" applyProtection="1"/>
    <xf numFmtId="167" fontId="6" fillId="0" borderId="0" xfId="41" applyNumberFormat="1" applyFont="1" applyFill="1" applyBorder="1" applyProtection="1"/>
    <xf numFmtId="167" fontId="62" fillId="0" borderId="32" xfId="41" applyNumberFormat="1" applyFont="1" applyFill="1" applyBorder="1" applyAlignment="1" applyProtection="1">
      <alignment horizontal="right"/>
    </xf>
    <xf numFmtId="168" fontId="4" fillId="0" borderId="32" xfId="62" applyNumberFormat="1" applyFont="1" applyFill="1" applyBorder="1" applyAlignment="1" applyProtection="1">
      <alignment horizontal="right"/>
    </xf>
    <xf numFmtId="168" fontId="6" fillId="0" borderId="61" xfId="62" applyNumberFormat="1" applyFont="1" applyFill="1" applyBorder="1" applyAlignment="1" applyProtection="1">
      <alignment horizontal="right"/>
    </xf>
    <xf numFmtId="168" fontId="6" fillId="0" borderId="62" xfId="62" applyNumberFormat="1" applyFont="1" applyFill="1" applyBorder="1" applyAlignment="1" applyProtection="1">
      <alignment horizontal="right"/>
    </xf>
    <xf numFmtId="168" fontId="6" fillId="0" borderId="60" xfId="62" applyNumberFormat="1" applyFont="1" applyFill="1" applyBorder="1" applyProtection="1"/>
    <xf numFmtId="168" fontId="62" fillId="0" borderId="61" xfId="62" applyNumberFormat="1" applyFont="1" applyFill="1" applyBorder="1" applyAlignment="1" applyProtection="1">
      <alignment horizontal="right"/>
    </xf>
    <xf numFmtId="168" fontId="62" fillId="0" borderId="62" xfId="62" applyNumberFormat="1" applyFont="1" applyFill="1" applyBorder="1" applyAlignment="1" applyProtection="1">
      <alignment horizontal="right"/>
    </xf>
    <xf numFmtId="14" fontId="88" fillId="28" borderId="0" xfId="0" applyNumberFormat="1" applyFont="1" applyFill="1" applyBorder="1"/>
    <xf numFmtId="14" fontId="89" fillId="18" borderId="0" xfId="0" applyNumberFormat="1" applyFont="1" applyFill="1"/>
    <xf numFmtId="167" fontId="54" fillId="26" borderId="0" xfId="41" applyNumberFormat="1" applyFont="1" applyFill="1" applyBorder="1" applyAlignment="1">
      <alignment horizontal="right"/>
    </xf>
    <xf numFmtId="173" fontId="54" fillId="0" borderId="32" xfId="0" applyNumberFormat="1" applyFont="1" applyFill="1" applyBorder="1" applyAlignment="1">
      <alignment horizontal="right"/>
    </xf>
    <xf numFmtId="9" fontId="60" fillId="0" borderId="0" xfId="62" applyFont="1" applyFill="1" applyBorder="1" applyAlignment="1">
      <alignment horizontal="right"/>
    </xf>
    <xf numFmtId="168" fontId="55" fillId="0" borderId="0" xfId="62" applyNumberFormat="1" applyFont="1" applyFill="1" applyBorder="1" applyAlignment="1">
      <alignment horizontal="right"/>
    </xf>
    <xf numFmtId="173" fontId="55" fillId="0" borderId="32" xfId="62" applyNumberFormat="1" applyFont="1" applyFill="1" applyBorder="1"/>
    <xf numFmtId="0" fontId="81" fillId="26" borderId="0" xfId="0" applyFont="1" applyFill="1"/>
    <xf numFmtId="10" fontId="6" fillId="26" borderId="0" xfId="62" applyNumberFormat="1" applyFont="1" applyFill="1"/>
    <xf numFmtId="170" fontId="6" fillId="0" borderId="0" xfId="0" applyNumberFormat="1" applyFont="1" applyFill="1"/>
    <xf numFmtId="168" fontId="55" fillId="0" borderId="21" xfId="0" applyNumberFormat="1" applyFont="1" applyFill="1" applyBorder="1"/>
    <xf numFmtId="168" fontId="55" fillId="0" borderId="0" xfId="62" applyNumberFormat="1" applyFont="1" applyFill="1"/>
    <xf numFmtId="175" fontId="55" fillId="0" borderId="21" xfId="41" applyNumberFormat="1" applyFont="1" applyFill="1" applyBorder="1"/>
    <xf numFmtId="175" fontId="55" fillId="0" borderId="0" xfId="0" applyNumberFormat="1" applyFont="1" applyFill="1"/>
    <xf numFmtId="175" fontId="6" fillId="0" borderId="22" xfId="41" applyNumberFormat="1" applyFont="1" applyFill="1" applyBorder="1"/>
    <xf numFmtId="175" fontId="6" fillId="0" borderId="11" xfId="41" applyNumberFormat="1" applyFont="1" applyFill="1" applyBorder="1"/>
    <xf numFmtId="168" fontId="3" fillId="0" borderId="0" xfId="76" applyNumberFormat="1" applyFill="1"/>
    <xf numFmtId="43" fontId="79" fillId="0" borderId="0" xfId="41" applyFont="1" applyFill="1" applyBorder="1"/>
    <xf numFmtId="9" fontId="6" fillId="0" borderId="0" xfId="62" applyFont="1" applyAlignment="1">
      <alignment horizontal="right"/>
    </xf>
    <xf numFmtId="168" fontId="51" fillId="0" borderId="0" xfId="0" applyNumberFormat="1" applyFont="1" applyFill="1" applyBorder="1"/>
    <xf numFmtId="168" fontId="51" fillId="0" borderId="35" xfId="0" applyNumberFormat="1" applyFont="1" applyFill="1" applyBorder="1"/>
    <xf numFmtId="37" fontId="6" fillId="0" borderId="0" xfId="0" applyNumberFormat="1" applyFont="1" applyFill="1" applyBorder="1"/>
    <xf numFmtId="37" fontId="6" fillId="0" borderId="35" xfId="0" applyNumberFormat="1" applyFont="1" applyFill="1" applyBorder="1"/>
    <xf numFmtId="37" fontId="6" fillId="0" borderId="32" xfId="0" applyNumberFormat="1" applyFont="1" applyFill="1" applyBorder="1"/>
    <xf numFmtId="167" fontId="58" fillId="27" borderId="35" xfId="0" applyNumberFormat="1" applyFont="1" applyFill="1" applyBorder="1"/>
    <xf numFmtId="0" fontId="11" fillId="0" borderId="32" xfId="0" applyFont="1" applyFill="1" applyBorder="1" applyAlignment="1">
      <alignment horizontal="left"/>
    </xf>
    <xf numFmtId="168" fontId="83" fillId="0" borderId="0" xfId="62" applyNumberFormat="1" applyFont="1" applyFill="1" applyBorder="1"/>
    <xf numFmtId="168" fontId="83" fillId="0" borderId="0" xfId="62" applyNumberFormat="1" applyFont="1" applyFill="1" applyBorder="1" applyAlignment="1">
      <alignment horizontal="right"/>
    </xf>
    <xf numFmtId="168" fontId="83" fillId="0" borderId="35" xfId="62" applyNumberFormat="1" applyFont="1" applyFill="1" applyBorder="1"/>
    <xf numFmtId="168" fontId="83" fillId="0" borderId="54" xfId="41" applyNumberFormat="1" applyFont="1" applyFill="1" applyBorder="1" applyAlignment="1">
      <alignment horizontal="right"/>
    </xf>
    <xf numFmtId="168" fontId="83" fillId="33" borderId="0" xfId="62" applyNumberFormat="1" applyFont="1" applyFill="1" applyBorder="1"/>
    <xf numFmtId="168" fontId="83" fillId="0" borderId="32" xfId="41" applyNumberFormat="1" applyFont="1" applyFill="1" applyBorder="1" applyAlignment="1">
      <alignment horizontal="right"/>
    </xf>
    <xf numFmtId="168" fontId="83" fillId="0" borderId="32" xfId="62" applyNumberFormat="1" applyFont="1" applyFill="1" applyBorder="1"/>
    <xf numFmtId="9" fontId="11" fillId="0" borderId="32" xfId="62" applyFont="1" applyFill="1" applyBorder="1"/>
    <xf numFmtId="0" fontId="11" fillId="0" borderId="0" xfId="0" applyFont="1" applyFill="1" applyBorder="1"/>
    <xf numFmtId="168" fontId="90" fillId="0" borderId="0" xfId="62" applyNumberFormat="1" applyFont="1" applyFill="1"/>
    <xf numFmtId="0" fontId="11" fillId="0" borderId="32" xfId="0" applyFont="1" applyFill="1" applyBorder="1" applyAlignment="1">
      <alignment horizontal="left" indent="1"/>
    </xf>
    <xf numFmtId="0" fontId="66" fillId="0" borderId="32" xfId="0" applyFont="1" applyFill="1" applyBorder="1" applyAlignment="1">
      <alignment horizontal="left" indent="1"/>
    </xf>
    <xf numFmtId="165" fontId="4" fillId="0" borderId="35" xfId="41" applyNumberFormat="1" applyFont="1" applyFill="1" applyBorder="1"/>
    <xf numFmtId="9" fontId="66" fillId="0" borderId="35" xfId="62" applyFont="1" applyFill="1" applyBorder="1"/>
    <xf numFmtId="168" fontId="90" fillId="0" borderId="0" xfId="62" applyNumberFormat="1" applyFont="1" applyFill="1" applyBorder="1"/>
    <xf numFmtId="168" fontId="83" fillId="0" borderId="62" xfId="62" applyNumberFormat="1" applyFont="1" applyFill="1" applyBorder="1"/>
    <xf numFmtId="168" fontId="83" fillId="0" borderId="34" xfId="62" applyNumberFormat="1" applyFont="1" applyFill="1" applyBorder="1"/>
    <xf numFmtId="168" fontId="83" fillId="0" borderId="60" xfId="41" applyNumberFormat="1" applyFont="1" applyFill="1" applyBorder="1" applyAlignment="1">
      <alignment horizontal="right"/>
    </xf>
    <xf numFmtId="168" fontId="90" fillId="0" borderId="62" xfId="62" applyNumberFormat="1" applyFont="1" applyFill="1" applyBorder="1"/>
    <xf numFmtId="168" fontId="83" fillId="0" borderId="61" xfId="41" applyNumberFormat="1" applyFont="1" applyFill="1" applyBorder="1" applyAlignment="1">
      <alignment horizontal="right"/>
    </xf>
    <xf numFmtId="168" fontId="83" fillId="0" borderId="61" xfId="62" applyNumberFormat="1" applyFont="1" applyFill="1" applyBorder="1"/>
    <xf numFmtId="9" fontId="11" fillId="0" borderId="62" xfId="62" applyFont="1" applyFill="1" applyBorder="1"/>
    <xf numFmtId="9" fontId="6" fillId="0" borderId="62" xfId="62" applyFont="1" applyFill="1" applyBorder="1"/>
    <xf numFmtId="9" fontId="6" fillId="0" borderId="61" xfId="62" applyFont="1" applyFill="1" applyBorder="1"/>
    <xf numFmtId="37" fontId="74" fillId="0" borderId="35" xfId="0" applyNumberFormat="1" applyFont="1" applyFill="1" applyBorder="1"/>
    <xf numFmtId="168" fontId="51" fillId="0" borderId="32" xfId="0" applyNumberFormat="1" applyFont="1" applyFill="1" applyBorder="1"/>
    <xf numFmtId="168" fontId="57" fillId="0" borderId="0" xfId="62" applyNumberFormat="1" applyFont="1" applyFill="1" applyBorder="1" applyAlignment="1">
      <alignment horizontal="right"/>
    </xf>
    <xf numFmtId="168" fontId="4" fillId="0" borderId="62" xfId="62" applyNumberFormat="1" applyFont="1" applyFill="1" applyBorder="1"/>
    <xf numFmtId="168" fontId="4" fillId="0" borderId="60" xfId="41" applyNumberFormat="1" applyFont="1" applyFill="1" applyBorder="1" applyAlignment="1">
      <alignment horizontal="right"/>
    </xf>
    <xf numFmtId="168" fontId="4" fillId="0" borderId="61" xfId="41" applyNumberFormat="1" applyFont="1" applyFill="1" applyBorder="1" applyAlignment="1">
      <alignment horizontal="right"/>
    </xf>
    <xf numFmtId="168" fontId="4" fillId="0" borderId="61" xfId="62" applyNumberFormat="1" applyFont="1" applyFill="1" applyBorder="1"/>
    <xf numFmtId="9" fontId="4" fillId="0" borderId="62" xfId="62" applyFont="1" applyFill="1" applyBorder="1"/>
    <xf numFmtId="165" fontId="4" fillId="0" borderId="34" xfId="41" applyNumberFormat="1" applyFont="1" applyFill="1" applyBorder="1"/>
    <xf numFmtId="9" fontId="4" fillId="0" borderId="61" xfId="62" applyFont="1" applyFill="1" applyBorder="1"/>
    <xf numFmtId="165" fontId="51" fillId="0" borderId="35" xfId="41" applyNumberFormat="1" applyFont="1" applyFill="1" applyBorder="1"/>
    <xf numFmtId="9" fontId="51" fillId="0" borderId="34" xfId="62" applyFont="1" applyFill="1" applyBorder="1"/>
    <xf numFmtId="0" fontId="6" fillId="0" borderId="61" xfId="0" applyFont="1" applyFill="1" applyBorder="1" applyAlignment="1">
      <alignment horizontal="left" indent="1"/>
    </xf>
    <xf numFmtId="168" fontId="66" fillId="0" borderId="35" xfId="62" applyNumberFormat="1" applyFont="1" applyFill="1" applyBorder="1"/>
    <xf numFmtId="0" fontId="74" fillId="0" borderId="32" xfId="0" applyFont="1" applyFill="1" applyBorder="1" applyAlignment="1">
      <alignment horizontal="left"/>
    </xf>
    <xf numFmtId="0" fontId="11" fillId="0" borderId="32" xfId="0" applyFont="1" applyFill="1" applyBorder="1" applyAlignment="1">
      <alignment horizontal="left" indent="2"/>
    </xf>
    <xf numFmtId="0" fontId="4" fillId="0" borderId="61" xfId="0" applyFont="1" applyFill="1" applyBorder="1" applyAlignment="1">
      <alignment horizontal="left" indent="1"/>
    </xf>
    <xf numFmtId="43" fontId="6" fillId="0" borderId="35" xfId="41" applyNumberFormat="1" applyFont="1" applyFill="1" applyBorder="1"/>
    <xf numFmtId="9" fontId="6" fillId="0" borderId="0" xfId="62" applyFont="1" applyFill="1" applyBorder="1" applyAlignment="1">
      <alignment horizontal="right" wrapText="1"/>
    </xf>
    <xf numFmtId="175" fontId="6" fillId="0" borderId="32" xfId="41" applyNumberFormat="1" applyFont="1" applyFill="1" applyBorder="1"/>
    <xf numFmtId="9" fontId="6" fillId="27" borderId="36" xfId="62" applyFont="1" applyFill="1" applyBorder="1"/>
    <xf numFmtId="8" fontId="6" fillId="0" borderId="0" xfId="62" applyNumberFormat="1" applyFont="1" applyFill="1"/>
    <xf numFmtId="8" fontId="6" fillId="0" borderId="0" xfId="0" applyNumberFormat="1" applyFont="1"/>
    <xf numFmtId="9" fontId="6" fillId="0" borderId="0" xfId="0" applyNumberFormat="1" applyFont="1" applyBorder="1"/>
    <xf numFmtId="0" fontId="6" fillId="0" borderId="0" xfId="0" quotePrefix="1" applyFont="1" applyBorder="1"/>
    <xf numFmtId="37" fontId="87" fillId="21" borderId="0" xfId="90" applyNumberFormat="1" applyFont="1" applyFill="1"/>
    <xf numFmtId="0" fontId="86" fillId="0" borderId="0" xfId="90" applyFont="1" applyAlignment="1">
      <alignment wrapText="1"/>
    </xf>
    <xf numFmtId="37" fontId="87" fillId="0" borderId="0" xfId="90" applyNumberFormat="1" applyFont="1"/>
    <xf numFmtId="0" fontId="87" fillId="0" borderId="0" xfId="90" applyFont="1"/>
    <xf numFmtId="0" fontId="86" fillId="21" borderId="0" xfId="90" applyFont="1" applyFill="1" applyAlignment="1">
      <alignment wrapText="1"/>
    </xf>
    <xf numFmtId="0" fontId="87" fillId="21" borderId="0" xfId="90" applyFont="1" applyFill="1"/>
    <xf numFmtId="37" fontId="72" fillId="0" borderId="0" xfId="90" applyNumberFormat="1" applyFont="1"/>
    <xf numFmtId="0" fontId="51" fillId="0" borderId="57" xfId="0" applyFont="1" applyBorder="1"/>
    <xf numFmtId="0" fontId="51" fillId="0" borderId="57" xfId="0" applyFont="1" applyFill="1" applyBorder="1"/>
    <xf numFmtId="0" fontId="51" fillId="0" borderId="57" xfId="0" quotePrefix="1" applyFont="1" applyBorder="1"/>
    <xf numFmtId="9" fontId="51" fillId="0" borderId="57" xfId="0" applyNumberFormat="1" applyFont="1" applyBorder="1"/>
    <xf numFmtId="0" fontId="51" fillId="0" borderId="58" xfId="0" applyFont="1" applyBorder="1"/>
    <xf numFmtId="9" fontId="51" fillId="0" borderId="57" xfId="62" quotePrefix="1" applyFont="1" applyBorder="1"/>
    <xf numFmtId="168" fontId="51" fillId="0" borderId="57" xfId="0" quotePrefix="1" applyNumberFormat="1" applyFont="1" applyBorder="1"/>
    <xf numFmtId="168" fontId="51" fillId="0" borderId="57" xfId="0" applyNumberFormat="1" applyFont="1" applyBorder="1"/>
    <xf numFmtId="168" fontId="6" fillId="0" borderId="57" xfId="0" applyNumberFormat="1" applyFont="1" applyBorder="1"/>
    <xf numFmtId="9" fontId="51" fillId="0" borderId="57" xfId="0" quotePrefix="1" applyNumberFormat="1" applyFont="1" applyBorder="1"/>
    <xf numFmtId="0" fontId="86" fillId="0" borderId="0" xfId="90" applyFont="1" applyFill="1"/>
    <xf numFmtId="37" fontId="72" fillId="0" borderId="0" xfId="90" applyNumberFormat="1" applyFont="1" applyFill="1"/>
    <xf numFmtId="37" fontId="87" fillId="0" borderId="0" xfId="90" applyNumberFormat="1" applyFont="1" applyFill="1"/>
    <xf numFmtId="0" fontId="6" fillId="0" borderId="34" xfId="0" applyFont="1" applyFill="1" applyBorder="1" applyAlignment="1">
      <alignment horizontal="center"/>
    </xf>
    <xf numFmtId="0" fontId="6" fillId="17" borderId="34" xfId="0" applyFont="1" applyFill="1" applyBorder="1" applyAlignment="1">
      <alignment horizontal="center"/>
    </xf>
    <xf numFmtId="0" fontId="4" fillId="17" borderId="34" xfId="0" applyFont="1" applyFill="1" applyBorder="1" applyAlignment="1">
      <alignment horizontal="center"/>
    </xf>
    <xf numFmtId="37" fontId="6" fillId="0" borderId="0" xfId="90" applyNumberFormat="1" applyFont="1"/>
    <xf numFmtId="0" fontId="6" fillId="0" borderId="0" xfId="90" applyFont="1"/>
    <xf numFmtId="37" fontId="51" fillId="21" borderId="0" xfId="90" applyNumberFormat="1" applyFont="1" applyFill="1"/>
    <xf numFmtId="37" fontId="6" fillId="21" borderId="0" xfId="90" applyNumberFormat="1" applyFont="1" applyFill="1"/>
    <xf numFmtId="9" fontId="6" fillId="0" borderId="0" xfId="62" quotePrefix="1" applyFont="1" applyBorder="1"/>
    <xf numFmtId="3" fontId="4" fillId="0" borderId="62" xfId="62" applyNumberFormat="1" applyFont="1" applyFill="1" applyBorder="1"/>
    <xf numFmtId="167" fontId="6" fillId="0" borderId="62" xfId="41" applyNumberFormat="1" applyFont="1" applyFill="1" applyBorder="1" applyAlignment="1">
      <alignment horizontal="right"/>
    </xf>
    <xf numFmtId="0" fontId="91" fillId="21" borderId="0" xfId="90" applyFont="1" applyFill="1" applyAlignment="1">
      <alignment wrapText="1"/>
    </xf>
    <xf numFmtId="9" fontId="91" fillId="20" borderId="0" xfId="90" applyNumberFormat="1" applyFont="1" applyFill="1"/>
    <xf numFmtId="168" fontId="91" fillId="20" borderId="0" xfId="90" applyNumberFormat="1" applyFont="1" applyFill="1"/>
    <xf numFmtId="0" fontId="92" fillId="20" borderId="0" xfId="90" applyFont="1" applyFill="1" applyAlignment="1"/>
    <xf numFmtId="168" fontId="11" fillId="21" borderId="0" xfId="62" applyNumberFormat="1" applyFont="1" applyFill="1"/>
    <xf numFmtId="0" fontId="83" fillId="0" borderId="0" xfId="0" applyFont="1" applyBorder="1"/>
    <xf numFmtId="9" fontId="83" fillId="0" borderId="0" xfId="0" applyNumberFormat="1" applyFont="1" applyFill="1" applyBorder="1"/>
    <xf numFmtId="9" fontId="83" fillId="0" borderId="0" xfId="62" quotePrefix="1" applyFont="1" applyBorder="1"/>
    <xf numFmtId="9" fontId="83" fillId="0" borderId="0" xfId="0" applyNumberFormat="1" applyFont="1" applyBorder="1"/>
    <xf numFmtId="0" fontId="83" fillId="0" borderId="0" xfId="0" applyFont="1" applyFill="1" applyBorder="1"/>
    <xf numFmtId="0" fontId="83" fillId="0" borderId="0" xfId="0" quotePrefix="1" applyFont="1" applyBorder="1"/>
    <xf numFmtId="9" fontId="83" fillId="0" borderId="0" xfId="62" applyFont="1" applyBorder="1"/>
    <xf numFmtId="0" fontId="83" fillId="0" borderId="0" xfId="0" applyFont="1" applyFill="1"/>
    <xf numFmtId="0" fontId="11" fillId="0" borderId="0" xfId="0" applyFont="1" applyBorder="1"/>
    <xf numFmtId="168" fontId="93" fillId="0" borderId="0" xfId="62" applyNumberFormat="1" applyFont="1" applyFill="1" applyBorder="1"/>
    <xf numFmtId="168" fontId="93" fillId="0" borderId="35" xfId="62" applyNumberFormat="1" applyFont="1" applyFill="1" applyBorder="1"/>
    <xf numFmtId="168" fontId="93" fillId="0" borderId="0" xfId="0" applyNumberFormat="1" applyFont="1" applyFill="1" applyBorder="1"/>
    <xf numFmtId="168" fontId="93" fillId="0" borderId="21" xfId="62" applyNumberFormat="1" applyFont="1" applyFill="1" applyBorder="1"/>
    <xf numFmtId="0" fontId="94" fillId="0" borderId="0" xfId="146" applyFont="1"/>
    <xf numFmtId="0" fontId="87" fillId="0" borderId="0" xfId="146" applyFont="1"/>
    <xf numFmtId="0" fontId="95" fillId="0" borderId="0" xfId="146" applyFont="1"/>
    <xf numFmtId="0" fontId="95" fillId="0" borderId="0" xfId="146" applyFont="1" applyAlignment="1">
      <alignment horizontal="right"/>
    </xf>
    <xf numFmtId="0" fontId="51" fillId="0" borderId="0" xfId="146" applyFont="1"/>
    <xf numFmtId="167" fontId="57" fillId="0" borderId="0" xfId="127" applyNumberFormat="1" applyFont="1" applyFill="1" applyBorder="1"/>
    <xf numFmtId="167" fontId="73" fillId="0" borderId="0" xfId="127" applyNumberFormat="1" applyFont="1" applyFill="1" applyBorder="1"/>
    <xf numFmtId="167" fontId="4" fillId="0" borderId="0" xfId="127" applyNumberFormat="1" applyFont="1" applyFill="1" applyBorder="1"/>
    <xf numFmtId="0" fontId="87" fillId="0" borderId="0" xfId="146" applyFont="1" applyAlignment="1">
      <alignment horizontal="left" indent="1"/>
    </xf>
    <xf numFmtId="168" fontId="4" fillId="0" borderId="0" xfId="148" applyNumberFormat="1" applyFont="1" applyFill="1" applyBorder="1"/>
    <xf numFmtId="168" fontId="72" fillId="0" borderId="0" xfId="146" applyNumberFormat="1" applyFont="1"/>
    <xf numFmtId="170" fontId="51" fillId="0" borderId="0" xfId="146" applyNumberFormat="1" applyFont="1" applyBorder="1"/>
    <xf numFmtId="170" fontId="87" fillId="0" borderId="0" xfId="146" applyNumberFormat="1" applyFont="1" applyBorder="1"/>
    <xf numFmtId="0" fontId="91" fillId="0" borderId="0" xfId="146" applyFont="1" applyAlignment="1">
      <alignment horizontal="left" indent="1"/>
    </xf>
    <xf numFmtId="168" fontId="91" fillId="0" borderId="0" xfId="148" applyNumberFormat="1" applyFont="1" applyBorder="1"/>
    <xf numFmtId="168" fontId="96" fillId="0" borderId="0" xfId="148" applyNumberFormat="1" applyFont="1" applyBorder="1"/>
    <xf numFmtId="168" fontId="11" fillId="0" borderId="0" xfId="148" applyNumberFormat="1" applyFont="1" applyBorder="1"/>
    <xf numFmtId="0" fontId="91" fillId="0" borderId="0" xfId="146" applyFont="1"/>
    <xf numFmtId="0" fontId="87" fillId="0" borderId="0" xfId="146" applyFont="1" applyBorder="1"/>
    <xf numFmtId="0" fontId="95" fillId="0" borderId="0" xfId="146" applyFont="1" applyFill="1" applyBorder="1" applyAlignment="1">
      <alignment horizontal="left" indent="1"/>
    </xf>
    <xf numFmtId="168" fontId="73" fillId="0" borderId="0" xfId="148" applyNumberFormat="1" applyFont="1" applyFill="1" applyBorder="1"/>
    <xf numFmtId="0" fontId="95" fillId="21" borderId="0" xfId="146" applyFont="1" applyFill="1"/>
    <xf numFmtId="0" fontId="87" fillId="21" borderId="0" xfId="146" applyFont="1" applyFill="1" applyBorder="1"/>
    <xf numFmtId="0" fontId="87" fillId="21" borderId="0" xfId="146" applyFont="1" applyFill="1"/>
    <xf numFmtId="170" fontId="6" fillId="0" borderId="0" xfId="146" applyNumberFormat="1" applyFont="1" applyBorder="1"/>
    <xf numFmtId="168" fontId="11" fillId="0" borderId="0" xfId="148" applyNumberFormat="1" applyFont="1"/>
    <xf numFmtId="165" fontId="6" fillId="0" borderId="0" xfId="147" applyNumberFormat="1" applyFont="1"/>
    <xf numFmtId="168" fontId="96" fillId="0" borderId="0" xfId="148" applyNumberFormat="1" applyFont="1"/>
    <xf numFmtId="170" fontId="87" fillId="0" borderId="0" xfId="146" applyNumberFormat="1" applyFont="1"/>
    <xf numFmtId="165" fontId="87" fillId="0" borderId="0" xfId="41" applyNumberFormat="1" applyFont="1"/>
    <xf numFmtId="0" fontId="86" fillId="0" borderId="0" xfId="146" applyFont="1"/>
    <xf numFmtId="170" fontId="86" fillId="0" borderId="0" xfId="146" applyNumberFormat="1" applyFont="1"/>
    <xf numFmtId="170" fontId="51" fillId="0" borderId="0" xfId="146" applyNumberFormat="1" applyFont="1"/>
    <xf numFmtId="9" fontId="51" fillId="0" borderId="0" xfId="146" applyNumberFormat="1" applyFont="1"/>
    <xf numFmtId="168" fontId="87" fillId="0" borderId="0" xfId="146" applyNumberFormat="1" applyFont="1"/>
    <xf numFmtId="168" fontId="6" fillId="0" borderId="0" xfId="146" applyNumberFormat="1" applyFont="1"/>
    <xf numFmtId="9" fontId="72" fillId="0" borderId="0" xfId="146" applyNumberFormat="1" applyFont="1"/>
    <xf numFmtId="0" fontId="94" fillId="21" borderId="0" xfId="146" applyFont="1" applyFill="1"/>
    <xf numFmtId="167" fontId="87" fillId="0" borderId="0" xfId="146" applyNumberFormat="1" applyFont="1"/>
    <xf numFmtId="175" fontId="72" fillId="0" borderId="0" xfId="147" applyNumberFormat="1" applyFont="1"/>
    <xf numFmtId="43" fontId="11" fillId="0" borderId="0" xfId="147" applyFont="1"/>
    <xf numFmtId="175" fontId="87" fillId="0" borderId="0" xfId="41" applyNumberFormat="1" applyFont="1"/>
    <xf numFmtId="175" fontId="86" fillId="0" borderId="0" xfId="41" applyNumberFormat="1" applyFont="1" applyFill="1"/>
    <xf numFmtId="0" fontId="87" fillId="0" borderId="23" xfId="146" applyFont="1" applyBorder="1"/>
    <xf numFmtId="0" fontId="87" fillId="0" borderId="17" xfId="146" applyFont="1" applyBorder="1"/>
    <xf numFmtId="206" fontId="86" fillId="0" borderId="26" xfId="43" applyNumberFormat="1" applyFont="1" applyBorder="1"/>
    <xf numFmtId="0" fontId="87" fillId="0" borderId="32" xfId="146" applyFont="1" applyBorder="1"/>
    <xf numFmtId="206" fontId="51" fillId="0" borderId="27" xfId="43" applyNumberFormat="1" applyFont="1" applyBorder="1"/>
    <xf numFmtId="0" fontId="86" fillId="0" borderId="32" xfId="146" applyFont="1" applyFill="1" applyBorder="1"/>
    <xf numFmtId="0" fontId="86" fillId="0" borderId="0" xfId="146" applyFont="1" applyFill="1" applyBorder="1"/>
    <xf numFmtId="206" fontId="86" fillId="0" borderId="27" xfId="43" applyNumberFormat="1" applyFont="1" applyFill="1" applyBorder="1"/>
    <xf numFmtId="0" fontId="87" fillId="0" borderId="32" xfId="146" applyFont="1" applyFill="1" applyBorder="1"/>
    <xf numFmtId="0" fontId="87" fillId="0" borderId="0" xfId="146" applyFont="1" applyFill="1" applyBorder="1"/>
    <xf numFmtId="170" fontId="62" fillId="0" borderId="27" xfId="146" applyNumberFormat="1" applyFont="1" applyFill="1" applyBorder="1"/>
    <xf numFmtId="168" fontId="51" fillId="0" borderId="0" xfId="146" applyNumberFormat="1" applyFont="1"/>
    <xf numFmtId="167" fontId="4" fillId="0" borderId="35" xfId="128" applyNumberFormat="1" applyFont="1" applyFill="1" applyBorder="1"/>
    <xf numFmtId="173" fontId="6" fillId="0" borderId="35" xfId="142" applyNumberFormat="1" applyFont="1" applyFill="1" applyBorder="1"/>
    <xf numFmtId="0" fontId="86" fillId="34" borderId="22" xfId="146" applyFont="1" applyFill="1" applyBorder="1"/>
    <xf numFmtId="0" fontId="86" fillId="34" borderId="11" xfId="146" applyFont="1" applyFill="1" applyBorder="1"/>
    <xf numFmtId="44" fontId="86" fillId="34" borderId="28" xfId="149" applyFont="1" applyFill="1" applyBorder="1"/>
    <xf numFmtId="165" fontId="86" fillId="0" borderId="0" xfId="41" applyNumberFormat="1" applyFont="1" applyFill="1"/>
    <xf numFmtId="43" fontId="87" fillId="0" borderId="0" xfId="146" applyNumberFormat="1" applyFont="1"/>
    <xf numFmtId="0" fontId="97" fillId="25" borderId="0" xfId="0" applyFont="1" applyFill="1" applyBorder="1" applyAlignment="1">
      <alignment horizontal="left" indent="1"/>
    </xf>
    <xf numFmtId="168" fontId="98" fillId="25" borderId="0" xfId="128" applyNumberFormat="1" applyFont="1" applyFill="1" applyBorder="1" applyAlignment="1">
      <alignment horizontal="center" vertical="center"/>
    </xf>
    <xf numFmtId="1" fontId="6" fillId="0" borderId="21" xfId="0" applyNumberFormat="1" applyFont="1" applyFill="1" applyBorder="1"/>
    <xf numFmtId="1" fontId="6" fillId="0" borderId="0" xfId="0" applyNumberFormat="1" applyFont="1" applyFill="1"/>
    <xf numFmtId="0" fontId="4" fillId="0" borderId="16" xfId="0" applyFont="1" applyBorder="1" applyAlignment="1">
      <alignment horizontal="center" wrapText="1"/>
    </xf>
    <xf numFmtId="0" fontId="4" fillId="0" borderId="15" xfId="0" applyFont="1" applyBorder="1" applyAlignment="1">
      <alignment horizontal="center" wrapText="1"/>
    </xf>
    <xf numFmtId="0" fontId="4" fillId="0" borderId="37" xfId="0" applyFont="1" applyBorder="1" applyAlignment="1">
      <alignment horizontal="center" wrapText="1"/>
    </xf>
    <xf numFmtId="0" fontId="3" fillId="35" borderId="0" xfId="150" applyFont="1" applyFill="1" applyAlignment="1">
      <alignment vertical="top"/>
    </xf>
    <xf numFmtId="0" fontId="3" fillId="35" borderId="0" xfId="71" applyFill="1" applyAlignment="1">
      <alignment vertical="top"/>
    </xf>
    <xf numFmtId="0" fontId="3" fillId="35" borderId="0" xfId="71" applyFill="1"/>
    <xf numFmtId="0" fontId="64" fillId="35" borderId="0" xfId="150" applyFont="1" applyFill="1" applyAlignment="1">
      <alignment horizontal="left" vertical="top"/>
    </xf>
    <xf numFmtId="0" fontId="3" fillId="35" borderId="0" xfId="71" applyFont="1" applyFill="1" applyAlignment="1">
      <alignment vertical="top"/>
    </xf>
    <xf numFmtId="0" fontId="68" fillId="35" borderId="0" xfId="150" applyFont="1" applyFill="1" applyAlignment="1">
      <alignment vertical="top"/>
    </xf>
    <xf numFmtId="0" fontId="0" fillId="35" borderId="0" xfId="0" applyFill="1" applyAlignment="1">
      <alignment vertical="top"/>
    </xf>
    <xf numFmtId="0" fontId="100" fillId="35" borderId="0" xfId="0" applyFont="1" applyFill="1" applyAlignment="1">
      <alignment vertical="top"/>
    </xf>
    <xf numFmtId="0" fontId="101" fillId="35" borderId="0" xfId="0" applyFont="1" applyFill="1" applyAlignment="1">
      <alignment vertical="top"/>
    </xf>
    <xf numFmtId="0" fontId="101" fillId="35" borderId="0" xfId="0" applyFont="1" applyFill="1" applyAlignment="1">
      <alignment vertical="top"/>
    </xf>
    <xf numFmtId="0" fontId="100" fillId="35" borderId="0" xfId="0" applyFont="1" applyFill="1" applyAlignment="1">
      <alignment vertical="top"/>
    </xf>
    <xf numFmtId="0" fontId="0" fillId="35" borderId="0" xfId="0" applyFill="1" applyAlignment="1">
      <alignment vertical="top"/>
    </xf>
    <xf numFmtId="0" fontId="0" fillId="35" borderId="67" xfId="0" applyFill="1" applyBorder="1" applyAlignment="1">
      <alignment vertical="top"/>
    </xf>
    <xf numFmtId="0" fontId="100" fillId="35" borderId="63" xfId="0" applyFont="1" applyFill="1" applyBorder="1" applyAlignment="1">
      <alignment vertical="top"/>
    </xf>
    <xf numFmtId="0" fontId="100" fillId="35" borderId="64" xfId="0" applyFont="1" applyFill="1" applyBorder="1" applyAlignment="1">
      <alignment vertical="top"/>
    </xf>
    <xf numFmtId="0" fontId="100" fillId="35" borderId="65" xfId="0" applyFont="1" applyFill="1" applyBorder="1" applyAlignment="1">
      <alignment vertical="top"/>
    </xf>
    <xf numFmtId="0" fontId="100" fillId="35" borderId="66" xfId="0" applyFont="1" applyFill="1" applyBorder="1" applyAlignment="1">
      <alignment vertical="top"/>
    </xf>
    <xf numFmtId="9" fontId="100" fillId="35" borderId="63" xfId="0" applyNumberFormat="1" applyFont="1" applyFill="1" applyBorder="1" applyAlignment="1">
      <alignment vertical="top"/>
    </xf>
    <xf numFmtId="3" fontId="100" fillId="35" borderId="63" xfId="0" applyNumberFormat="1" applyFont="1" applyFill="1" applyBorder="1" applyAlignment="1">
      <alignment vertical="top"/>
    </xf>
    <xf numFmtId="0" fontId="0" fillId="35" borderId="68" xfId="0" applyFill="1" applyBorder="1" applyAlignment="1">
      <alignment vertical="top"/>
    </xf>
    <xf numFmtId="2" fontId="3" fillId="0" borderId="0" xfId="71" applyNumberFormat="1" applyAlignment="1">
      <alignment horizontal="left"/>
    </xf>
    <xf numFmtId="0" fontId="3" fillId="0" borderId="0" xfId="71" applyNumberFormat="1" applyAlignment="1">
      <alignment horizontal="left"/>
    </xf>
    <xf numFmtId="1" fontId="3" fillId="0" borderId="0" xfId="71" applyNumberFormat="1" applyAlignment="1">
      <alignment horizontal="left"/>
    </xf>
    <xf numFmtId="212" fontId="3" fillId="0" borderId="0" xfId="71" applyNumberFormat="1" applyAlignment="1">
      <alignment horizontal="left"/>
    </xf>
    <xf numFmtId="49" fontId="3" fillId="0" borderId="0" xfId="71" applyNumberFormat="1"/>
  </cellXfs>
  <cellStyles count="151">
    <cellStyle name=" 1" xfId="1"/>
    <cellStyle name=" 1 2" xfId="2"/>
    <cellStyle name=" 1 2 2" xfId="80"/>
    <cellStyle name=" 1 2 3" xfId="85"/>
    <cellStyle name=" 1 3" xfId="3"/>
    <cellStyle name=" 1 3 2" xfId="4"/>
    <cellStyle name=" 1 3 2 2" xfId="82"/>
    <cellStyle name=" 1 3 2 3" xfId="86"/>
    <cellStyle name=" 1 3 3" xfId="81"/>
    <cellStyle name=" 1 3 4" xfId="87"/>
    <cellStyle name=" 1 4" xfId="5"/>
    <cellStyle name=" 1 4 2" xfId="83"/>
    <cellStyle name=" 1 4 3" xfId="88"/>
    <cellStyle name="******************************************" xfId="6"/>
    <cellStyle name="_COV 2" xfId="73"/>
    <cellStyle name="_COV_A_Nov20 2 2" xfId="72"/>
    <cellStyle name="_SUMMARY " xfId="8"/>
    <cellStyle name="0_Capex &amp; Depreciation " xfId="9"/>
    <cellStyle name="0_Pension_UTX Example_Acute Care " xfId="10"/>
    <cellStyle name="0_Quarterly " xfId="77"/>
    <cellStyle name="0_TPP.N Ver 15_Acute Care " xfId="11"/>
    <cellStyle name="0_Valuing BP " xfId="12"/>
    <cellStyle name="20% - Accent1" xfId="13" builtinId="30" customBuiltin="1"/>
    <cellStyle name="20% - Accent1 2" xfId="100"/>
    <cellStyle name="20% - Accent2" xfId="14" builtinId="34" customBuiltin="1"/>
    <cellStyle name="20% - Accent2 2" xfId="101"/>
    <cellStyle name="20% - Accent3" xfId="15" builtinId="38" customBuiltin="1"/>
    <cellStyle name="20% - Accent3 2" xfId="102"/>
    <cellStyle name="20% - Accent4" xfId="16" builtinId="42" customBuiltin="1"/>
    <cellStyle name="20% - Accent4 2" xfId="103"/>
    <cellStyle name="20% - Accent5" xfId="17" builtinId="46" customBuiltin="1"/>
    <cellStyle name="20% - Accent5 2" xfId="104"/>
    <cellStyle name="20% - Accent6" xfId="18" builtinId="50" customBuiltin="1"/>
    <cellStyle name="20% - Accent6 2" xfId="105"/>
    <cellStyle name="40% - Accent1" xfId="19" builtinId="31" customBuiltin="1"/>
    <cellStyle name="40% - Accent1 2" xfId="106"/>
    <cellStyle name="40% - Accent2" xfId="20" builtinId="35" customBuiltin="1"/>
    <cellStyle name="40% - Accent2 2" xfId="107"/>
    <cellStyle name="40% - Accent3" xfId="21" builtinId="39" customBuiltin="1"/>
    <cellStyle name="40% - Accent3 2" xfId="108"/>
    <cellStyle name="40% - Accent4" xfId="22" builtinId="43" customBuiltin="1"/>
    <cellStyle name="40% - Accent4 2" xfId="109"/>
    <cellStyle name="40% - Accent5" xfId="23" builtinId="47" customBuiltin="1"/>
    <cellStyle name="40% - Accent5 2" xfId="110"/>
    <cellStyle name="40% - Accent6" xfId="24" builtinId="51" customBuiltin="1"/>
    <cellStyle name="40% - Accent6 2" xfId="111"/>
    <cellStyle name="60% - Accent1" xfId="25" builtinId="32" customBuiltin="1"/>
    <cellStyle name="60% - Accent1 2" xfId="112"/>
    <cellStyle name="60% - Accent2" xfId="26" builtinId="36" customBuiltin="1"/>
    <cellStyle name="60% - Accent2 2" xfId="113"/>
    <cellStyle name="60% - Accent3" xfId="27" builtinId="40" customBuiltin="1"/>
    <cellStyle name="60% - Accent3 2" xfId="114"/>
    <cellStyle name="60% - Accent4" xfId="28" builtinId="44" customBuiltin="1"/>
    <cellStyle name="60% - Accent4 2" xfId="115"/>
    <cellStyle name="60% - Accent5" xfId="29" builtinId="48" customBuiltin="1"/>
    <cellStyle name="60% - Accent5 2" xfId="116"/>
    <cellStyle name="60% - Accent6" xfId="30" builtinId="52" customBuiltin="1"/>
    <cellStyle name="60% - Accent6 2" xfId="117"/>
    <cellStyle name="Accent1" xfId="31" builtinId="29" customBuiltin="1"/>
    <cellStyle name="Accent1 2" xfId="118"/>
    <cellStyle name="Accent2" xfId="32" builtinId="33" customBuiltin="1"/>
    <cellStyle name="Accent2 2" xfId="119"/>
    <cellStyle name="Accent3" xfId="33" builtinId="37" customBuiltin="1"/>
    <cellStyle name="Accent3 2" xfId="120"/>
    <cellStyle name="Accent4" xfId="34" builtinId="41" customBuiltin="1"/>
    <cellStyle name="Accent4 2" xfId="121"/>
    <cellStyle name="Accent5" xfId="35" builtinId="45" customBuiltin="1"/>
    <cellStyle name="Accent5 2" xfId="122"/>
    <cellStyle name="Accent6" xfId="36" builtinId="49" customBuiltin="1"/>
    <cellStyle name="Accent6 2" xfId="123"/>
    <cellStyle name="Bad" xfId="37" builtinId="27" customBuiltin="1"/>
    <cellStyle name="Bad 2" xfId="124"/>
    <cellStyle name="c_HardInc " xfId="38"/>
    <cellStyle name="Calculation" xfId="39" builtinId="22" customBuiltin="1"/>
    <cellStyle name="Calculation 2" xfId="125"/>
    <cellStyle name="Check Cell" xfId="40" builtinId="23" customBuiltin="1"/>
    <cellStyle name="Check Cell 2" xfId="126"/>
    <cellStyle name="Comma" xfId="41" builtinId="3"/>
    <cellStyle name="Comma 2" xfId="42"/>
    <cellStyle name="Comma 2 2" xfId="128"/>
    <cellStyle name="Comma 3" xfId="91"/>
    <cellStyle name="Comma 3 2" xfId="147"/>
    <cellStyle name="Comma 4" xfId="127"/>
    <cellStyle name="Comma 5" xfId="96"/>
    <cellStyle name="Currency" xfId="43" builtinId="4"/>
    <cellStyle name="Currency 2" xfId="93"/>
    <cellStyle name="Currency 2 2" xfId="149"/>
    <cellStyle name="Currency 3" xfId="129"/>
    <cellStyle name="Currency 4" xfId="97"/>
    <cellStyle name="Currency 5 2 2" xfId="84"/>
    <cellStyle name="Explanatory Text" xfId="44" builtinId="53" customBuiltin="1"/>
    <cellStyle name="Explanatory Text 2" xfId="130"/>
    <cellStyle name="Good" xfId="45" builtinId="26" customBuiltin="1"/>
    <cellStyle name="Good 2" xfId="131"/>
    <cellStyle name="Heading 1" xfId="46" builtinId="16" customBuiltin="1"/>
    <cellStyle name="Heading 1 2" xfId="132"/>
    <cellStyle name="Heading 2" xfId="47" builtinId="17" customBuiltin="1"/>
    <cellStyle name="Heading 2 2" xfId="133"/>
    <cellStyle name="Heading 3" xfId="48" builtinId="18" customBuiltin="1"/>
    <cellStyle name="Heading 3 2" xfId="134"/>
    <cellStyle name="Heading 4" xfId="49" builtinId="19" customBuiltin="1"/>
    <cellStyle name="Heading 4 2" xfId="135"/>
    <cellStyle name="Input" xfId="50" builtinId="20" customBuiltin="1"/>
    <cellStyle name="Input 2" xfId="136"/>
    <cellStyle name="Linked Cell" xfId="51" builtinId="24" customBuiltin="1"/>
    <cellStyle name="Linked Cell 2" xfId="137"/>
    <cellStyle name="Neutral" xfId="52" builtinId="28" customBuiltin="1"/>
    <cellStyle name="Neutral 2" xfId="138"/>
    <cellStyle name="Normal" xfId="0" builtinId="0"/>
    <cellStyle name="Normal 1" xfId="71"/>
    <cellStyle name="Normal 2" xfId="90"/>
    <cellStyle name="Normal 2 2" xfId="75"/>
    <cellStyle name="Normal 2 3" xfId="146"/>
    <cellStyle name="Normal 26" xfId="89"/>
    <cellStyle name="Normal 29" xfId="78"/>
    <cellStyle name="Normal 3" xfId="99"/>
    <cellStyle name="Normal 3 2" xfId="53"/>
    <cellStyle name="Normal 3 2 2" xfId="139"/>
    <cellStyle name="Normal 31" xfId="79"/>
    <cellStyle name="Normal 4" xfId="95"/>
    <cellStyle name="Normal 6" xfId="54"/>
    <cellStyle name="Normal 6 2" xfId="74"/>
    <cellStyle name="Normal 6 2 2" xfId="94"/>
    <cellStyle name="Normal 7 2" xfId="76"/>
    <cellStyle name="Normal 9" xfId="70"/>
    <cellStyle name="Normal_bec" xfId="55"/>
    <cellStyle name="Normal_BS" xfId="56"/>
    <cellStyle name="Normal_CYTC" xfId="57"/>
    <cellStyle name="Normal_DisclaimerSheet Samples" xfId="150"/>
    <cellStyle name="Normal_HOLXcurrent" xfId="58"/>
    <cellStyle name="Note" xfId="59" builtinId="10" customBuiltin="1"/>
    <cellStyle name="Note 2" xfId="140"/>
    <cellStyle name="Output" xfId="60" builtinId="21" customBuiltin="1"/>
    <cellStyle name="Output 2" xfId="141"/>
    <cellStyle name="p " xfId="61"/>
    <cellStyle name="Percent" xfId="62" builtinId="5"/>
    <cellStyle name="Percent 2" xfId="92"/>
    <cellStyle name="Percent 2 2" xfId="148"/>
    <cellStyle name="Percent 3" xfId="142"/>
    <cellStyle name="Percent 4" xfId="98"/>
    <cellStyle name="RRSInstruction" xfId="7"/>
    <cellStyle name="RRSInstruction 3" xfId="69"/>
    <cellStyle name="s_HardInc " xfId="63"/>
    <cellStyle name="s_Valuation " xfId="64"/>
    <cellStyle name="ssp " xfId="65"/>
    <cellStyle name="Title" xfId="66" builtinId="15" customBuiltin="1"/>
    <cellStyle name="Title 2" xfId="143"/>
    <cellStyle name="Total" xfId="67" builtinId="25" customBuiltin="1"/>
    <cellStyle name="Total 2" xfId="144"/>
    <cellStyle name="Warning Text" xfId="68" builtinId="11" customBuiltin="1"/>
    <cellStyle name="Warning Text 2" xfId="14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C6D9E2"/>
      <color rgb="FFA591BD"/>
      <color rgb="FF0073B1"/>
      <color rgb="FF238B45"/>
      <color rgb="FF006699"/>
      <color rgb="FF137CB1"/>
      <color rgb="FF2270AB"/>
      <color rgb="FFC0C0C0"/>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externalLinks/externalLink1.xml" Type="http://schemas.openxmlformats.org/officeDocument/2006/relationships/externalLink"/>
<Relationship Id="rId15" Target="externalLinks/externalLink2.xml" Type="http://schemas.openxmlformats.org/officeDocument/2006/relationships/externalLink"/>
<Relationship Id="rId16" Target="externalLinks/externalLink3.xml" Type="http://schemas.openxmlformats.org/officeDocument/2006/relationships/externalLink"/>
<Relationship Id="rId17" Target="externalLinks/externalLink4.xml" Type="http://schemas.openxmlformats.org/officeDocument/2006/relationships/externalLink"/>
<Relationship Id="rId18" Target="externalLinks/externalLink5.xml" Type="http://schemas.openxmlformats.org/officeDocument/2006/relationships/externalLink"/>
<Relationship Id="rId19" Target="externalLinks/externalLink6.xml" Type="http://schemas.openxmlformats.org/officeDocument/2006/relationships/externalLink"/>
<Relationship Id="rId2" Target="worksheets/sheet2.xml" Type="http://schemas.openxmlformats.org/officeDocument/2006/relationships/worksheet"/>
<Relationship Id="rId20" Target="externalLinks/externalLink7.xml" Type="http://schemas.openxmlformats.org/officeDocument/2006/relationships/externalLink"/>
<Relationship Id="rId21" Target="externalLinks/externalLink8.xml" Type="http://schemas.openxmlformats.org/officeDocument/2006/relationships/externalLink"/>
<Relationship Id="rId22" Target="externalLinks/externalLink9.xml" Type="http://schemas.openxmlformats.org/officeDocument/2006/relationships/externalLink"/>
<Relationship Id="rId23" Target="externalLinks/externalLink10.xml" Type="http://schemas.openxmlformats.org/officeDocument/2006/relationships/externalLink"/>
<Relationship Id="rId24" Target="externalLinks/externalLink11.xml" Type="http://schemas.openxmlformats.org/officeDocument/2006/relationships/externalLink"/>
<Relationship Id="rId25" Target="externalLinks/externalLink12.xml" Type="http://schemas.openxmlformats.org/officeDocument/2006/relationships/externalLink"/>
<Relationship Id="rId26" Target="externalLinks/externalLink13.xml" Type="http://schemas.openxmlformats.org/officeDocument/2006/relationships/externalLink"/>
<Relationship Id="rId27" Target="externalLinks/externalLink14.xml" Type="http://schemas.openxmlformats.org/officeDocument/2006/relationships/externalLink"/>
<Relationship Id="rId28" Target="externalLinks/externalLink15.xml" Type="http://schemas.openxmlformats.org/officeDocument/2006/relationships/externalLink"/>
<Relationship Id="rId29" Target="externalLinks/externalLink16.xml" Type="http://schemas.openxmlformats.org/officeDocument/2006/relationships/externalLink"/>
<Relationship Id="rId3" Target="worksheets/sheet3.xml" Type="http://schemas.openxmlformats.org/officeDocument/2006/relationships/worksheet"/>
<Relationship Id="rId30" Target="externalLinks/externalLink17.xml" Type="http://schemas.openxmlformats.org/officeDocument/2006/relationships/externalLink"/>
<Relationship Id="rId31" Target="externalLinks/externalLink18.xml" Type="http://schemas.openxmlformats.org/officeDocument/2006/relationships/externalLink"/>
<Relationship Id="rId32" Target="externalLinks/externalLink19.xml" Type="http://schemas.openxmlformats.org/officeDocument/2006/relationships/externalLink"/>
<Relationship Id="rId33" Target="externalLinks/externalLink20.xml" Type="http://schemas.openxmlformats.org/officeDocument/2006/relationships/externalLink"/>
<Relationship Id="rId34" Target="externalLinks/externalLink21.xml" Type="http://schemas.openxmlformats.org/officeDocument/2006/relationships/externalLink"/>
<Relationship Id="rId35" Target="externalLinks/externalLink22.xml" Type="http://schemas.openxmlformats.org/officeDocument/2006/relationships/externalLink"/>
<Relationship Id="rId36" Target="externalLinks/externalLink23.xml" Type="http://schemas.openxmlformats.org/officeDocument/2006/relationships/externalLink"/>
<Relationship Id="rId37" Target="externalLinks/externalLink24.xml" Type="http://schemas.openxmlformats.org/officeDocument/2006/relationships/externalLink"/>
<Relationship Id="rId38" Target="externalLinks/externalLink25.xml" Type="http://schemas.openxmlformats.org/officeDocument/2006/relationships/externalLink"/>
<Relationship Id="rId39" Target="externalLinks/externalLink26.xml" Type="http://schemas.openxmlformats.org/officeDocument/2006/relationships/externalLink"/>
<Relationship Id="rId4" Target="worksheets/sheet4.xml" Type="http://schemas.openxmlformats.org/officeDocument/2006/relationships/worksheet"/>
<Relationship Id="rId40" Target="externalLinks/externalLink27.xml" Type="http://schemas.openxmlformats.org/officeDocument/2006/relationships/externalLink"/>
<Relationship Id="rId41" Target="externalLinks/externalLink28.xml" Type="http://schemas.openxmlformats.org/officeDocument/2006/relationships/externalLink"/>
<Relationship Id="rId42" Target="externalLinks/externalLink29.xml" Type="http://schemas.openxmlformats.org/officeDocument/2006/relationships/externalLink"/>
<Relationship Id="rId43" Target="externalLinks/externalLink30.xml" Type="http://schemas.openxmlformats.org/officeDocument/2006/relationships/externalLink"/>
<Relationship Id="rId44" Target="externalLinks/externalLink31.xml" Type="http://schemas.openxmlformats.org/officeDocument/2006/relationships/externalLink"/>
<Relationship Id="rId45" Target="externalLinks/externalLink32.xml" Type="http://schemas.openxmlformats.org/officeDocument/2006/relationships/externalLink"/>
<Relationship Id="rId46" Target="externalLinks/externalLink33.xml" Type="http://schemas.openxmlformats.org/officeDocument/2006/relationships/externalLink"/>
<Relationship Id="rId47" Target="externalLinks/externalLink34.xml" Type="http://schemas.openxmlformats.org/officeDocument/2006/relationships/externalLink"/>
<Relationship Id="rId48" Target="externalLinks/externalLink35.xml" Type="http://schemas.openxmlformats.org/officeDocument/2006/relationships/externalLink"/>
<Relationship Id="rId49" Target="externalLinks/externalLink36.xml" Type="http://schemas.openxmlformats.org/officeDocument/2006/relationships/externalLink"/>
<Relationship Id="rId5" Target="worksheets/sheet5.xml" Type="http://schemas.openxmlformats.org/officeDocument/2006/relationships/worksheet"/>
<Relationship Id="rId50" Target="externalLinks/externalLink37.xml" Type="http://schemas.openxmlformats.org/officeDocument/2006/relationships/externalLink"/>
<Relationship Id="rId51" Target="externalLinks/externalLink38.xml" Type="http://schemas.openxmlformats.org/officeDocument/2006/relationships/externalLink"/>
<Relationship Id="rId52" Target="externalLinks/externalLink39.xml" Type="http://schemas.openxmlformats.org/officeDocument/2006/relationships/externalLink"/>
<Relationship Id="rId53" Target="externalLinks/externalLink40.xml" Type="http://schemas.openxmlformats.org/officeDocument/2006/relationships/externalLink"/>
<Relationship Id="rId54" Target="externalLinks/externalLink41.xml" Type="http://schemas.openxmlformats.org/officeDocument/2006/relationships/externalLink"/>
<Relationship Id="rId55" Target="externalLinks/externalLink42.xml" Type="http://schemas.openxmlformats.org/officeDocument/2006/relationships/externalLink"/>
<Relationship Id="rId56" Target="externalLinks/externalLink43.xml" Type="http://schemas.openxmlformats.org/officeDocument/2006/relationships/externalLink"/>
<Relationship Id="rId57" Target="externalLinks/externalLink44.xml" Type="http://schemas.openxmlformats.org/officeDocument/2006/relationships/externalLink"/>
<Relationship Id="rId58" Target="externalLinks/externalLink45.xml" Type="http://schemas.openxmlformats.org/officeDocument/2006/relationships/externalLink"/>
<Relationship Id="rId59" Target="externalLinks/externalLink46.xml" Type="http://schemas.openxmlformats.org/officeDocument/2006/relationships/externalLink"/>
<Relationship Id="rId6" Target="worksheets/sheet6.xml" Type="http://schemas.openxmlformats.org/officeDocument/2006/relationships/worksheet"/>
<Relationship Id="rId60" Target="externalLinks/externalLink47.xml" Type="http://schemas.openxmlformats.org/officeDocument/2006/relationships/externalLink"/>
<Relationship Id="rId61" Target="externalLinks/externalLink48.xml" Type="http://schemas.openxmlformats.org/officeDocument/2006/relationships/externalLink"/>
<Relationship Id="rId62" Target="externalLinks/externalLink49.xml" Type="http://schemas.openxmlformats.org/officeDocument/2006/relationships/externalLink"/>
<Relationship Id="rId63" Target="externalLinks/externalLink50.xml" Type="http://schemas.openxmlformats.org/officeDocument/2006/relationships/externalLink"/>
<Relationship Id="rId64" Target="externalLinks/externalLink51.xml" Type="http://schemas.openxmlformats.org/officeDocument/2006/relationships/externalLink"/>
<Relationship Id="rId65" Target="externalLinks/externalLink52.xml" Type="http://schemas.openxmlformats.org/officeDocument/2006/relationships/externalLink"/>
<Relationship Id="rId66" Target="externalLinks/externalLink53.xml" Type="http://schemas.openxmlformats.org/officeDocument/2006/relationships/externalLink"/>
<Relationship Id="rId67" Target="externalLinks/externalLink54.xml" Type="http://schemas.openxmlformats.org/officeDocument/2006/relationships/externalLink"/>
<Relationship Id="rId68" Target="externalLinks/externalLink55.xml" Type="http://schemas.openxmlformats.org/officeDocument/2006/relationships/externalLink"/>
<Relationship Id="rId69" Target="externalLinks/externalLink56.xml" Type="http://schemas.openxmlformats.org/officeDocument/2006/relationships/externalLink"/>
<Relationship Id="rId7" Target="worksheets/sheet7.xml" Type="http://schemas.openxmlformats.org/officeDocument/2006/relationships/worksheet"/>
<Relationship Id="rId70" Target="externalLinks/externalLink57.xml" Type="http://schemas.openxmlformats.org/officeDocument/2006/relationships/externalLink"/>
<Relationship Id="rId71" Target="externalLinks/externalLink58.xml" Type="http://schemas.openxmlformats.org/officeDocument/2006/relationships/externalLink"/>
<Relationship Id="rId72" Target="externalLinks/externalLink59.xml" Type="http://schemas.openxmlformats.org/officeDocument/2006/relationships/externalLink"/>
<Relationship Id="rId73" Target="externalLinks/externalLink60.xml" Type="http://schemas.openxmlformats.org/officeDocument/2006/relationships/externalLink"/>
<Relationship Id="rId74" Target="externalLinks/externalLink61.xml" Type="http://schemas.openxmlformats.org/officeDocument/2006/relationships/externalLink"/>
<Relationship Id="rId75" Target="externalLinks/externalLink62.xml" Type="http://schemas.openxmlformats.org/officeDocument/2006/relationships/externalLink"/>
<Relationship Id="rId76" Target="externalLinks/externalLink63.xml" Type="http://schemas.openxmlformats.org/officeDocument/2006/relationships/externalLink"/>
<Relationship Id="rId77" Target="externalLinks/externalLink64.xml" Type="http://schemas.openxmlformats.org/officeDocument/2006/relationships/externalLink"/>
<Relationship Id="rId78" Target="externalLinks/externalLink65.xml" Type="http://schemas.openxmlformats.org/officeDocument/2006/relationships/externalLink"/>
<Relationship Id="rId79" Target="externalLinks/externalLink66.xml" Type="http://schemas.openxmlformats.org/officeDocument/2006/relationships/externalLink"/>
<Relationship Id="rId8" Target="worksheets/sheet8.xml" Type="http://schemas.openxmlformats.org/officeDocument/2006/relationships/worksheet"/>
<Relationship Id="rId80" Target="externalLinks/externalLink67.xml" Type="http://schemas.openxmlformats.org/officeDocument/2006/relationships/externalLink"/>
<Relationship Id="rId81" Target="externalLinks/externalLink68.xml" Type="http://schemas.openxmlformats.org/officeDocument/2006/relationships/externalLink"/>
<Relationship Id="rId82" Target="externalLinks/externalLink69.xml" Type="http://schemas.openxmlformats.org/officeDocument/2006/relationships/externalLink"/>
<Relationship Id="rId83" Target="externalLinks/externalLink70.xml" Type="http://schemas.openxmlformats.org/officeDocument/2006/relationships/externalLink"/>
<Relationship Id="rId84" Target="externalLinks/externalLink71.xml" Type="http://schemas.openxmlformats.org/officeDocument/2006/relationships/externalLink"/>
<Relationship Id="rId85" Target="externalLinks/externalLink72.xml" Type="http://schemas.openxmlformats.org/officeDocument/2006/relationships/externalLink"/>
<Relationship Id="rId86" Target="externalLinks/externalLink73.xml" Type="http://schemas.openxmlformats.org/officeDocument/2006/relationships/externalLink"/>
<Relationship Id="rId87" Target="externalLinks/externalLink74.xml" Type="http://schemas.openxmlformats.org/officeDocument/2006/relationships/externalLink"/>
<Relationship Id="rId88" Target="externalLinks/externalLink75.xml" Type="http://schemas.openxmlformats.org/officeDocument/2006/relationships/externalLink"/>
<Relationship Id="rId89" Target="externalLinks/externalLink76.xml" Type="http://schemas.openxmlformats.org/officeDocument/2006/relationships/externalLink"/>
<Relationship Id="rId9" Target="worksheets/sheet9.xml" Type="http://schemas.openxmlformats.org/officeDocument/2006/relationships/worksheet"/>
<Relationship Id="rId90" Target="externalLinks/externalLink77.xml" Type="http://schemas.openxmlformats.org/officeDocument/2006/relationships/externalLink"/>
<Relationship Id="rId91" Target="theme/theme1.xml" Type="http://schemas.openxmlformats.org/officeDocument/2006/relationships/theme"/>
<Relationship Id="rId92" Target="styles.xml" Type="http://schemas.openxmlformats.org/officeDocument/2006/relationships/styles"/>
<Relationship Id="rId93" Target="sharedStrings.xml" Type="http://schemas.openxmlformats.org/officeDocument/2006/relationships/sharedStrings"/>
<Relationship Id="rId94" Target="calcChain.xml" Type="http://schemas.openxmlformats.org/officeDocument/2006/relationships/calcChain"/>
<Relationship Id="rId95" Target="../customXml/item1.xml" Type="http://schemas.openxmlformats.org/officeDocument/2006/relationships/customXml"/>
<Relationship Id="rId96" Target="../customXml/item2.xml" Type="http://schemas.openxmlformats.org/officeDocument/2006/relationships/customXml"/>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59273840769903"/>
          <c:y val="3.2386076229195163E-2"/>
          <c:w val="0.86285170603674544"/>
          <c:h val="0.65261557217849875"/>
        </c:manualLayout>
      </c:layout>
      <c:barChart>
        <c:barDir val="col"/>
        <c:grouping val="clustered"/>
        <c:varyColors val="0"/>
        <c:ser>
          <c:idx val="1"/>
          <c:order val="0"/>
          <c:tx>
            <c:strRef>
              <c:f>OrgGrowth!$A$178</c:f>
              <c:strCache>
                <c:ptCount val="1"/>
                <c:pt idx="0">
                  <c:v>EBIT GROWTH</c:v>
                </c:pt>
              </c:strCache>
            </c:strRef>
          </c:tx>
          <c:spPr>
            <a:solidFill>
              <a:srgbClr val="137CB1"/>
            </a:solidFill>
            <a:ln>
              <a:noFill/>
              <a:prstDash val="solid"/>
            </a:ln>
          </c:spPr>
          <c:invertIfNegative val="0"/>
          <c:cat>
            <c:strRef>
              <c:f>OrgGrowth!$F$177:$BE$177</c:f>
              <c:strCache>
                <c:ptCount val="24"/>
                <c:pt idx="0">
                  <c:v>1Q15</c:v>
                </c:pt>
                <c:pt idx="1">
                  <c:v>2Q15</c:v>
                </c:pt>
                <c:pt idx="2">
                  <c:v>3Q15</c:v>
                </c:pt>
                <c:pt idx="3">
                  <c:v>4Q15</c:v>
                </c:pt>
                <c:pt idx="4">
                  <c:v>1Q16</c:v>
                </c:pt>
                <c:pt idx="5">
                  <c:v>2Q16</c:v>
                </c:pt>
                <c:pt idx="6">
                  <c:v>3Q16</c:v>
                </c:pt>
                <c:pt idx="7">
                  <c:v>4Q16</c:v>
                </c:pt>
                <c:pt idx="8">
                  <c:v>1Q17</c:v>
                </c:pt>
                <c:pt idx="9">
                  <c:v>2Q17</c:v>
                </c:pt>
                <c:pt idx="10">
                  <c:v>3Q17</c:v>
                </c:pt>
                <c:pt idx="11">
                  <c:v>4Q17</c:v>
                </c:pt>
                <c:pt idx="12">
                  <c:v>1Q18E</c:v>
                </c:pt>
                <c:pt idx="13">
                  <c:v>2Q18E</c:v>
                </c:pt>
                <c:pt idx="14">
                  <c:v>3Q18E</c:v>
                </c:pt>
                <c:pt idx="15">
                  <c:v>4Q18E</c:v>
                </c:pt>
                <c:pt idx="16">
                  <c:v>1Q19E</c:v>
                </c:pt>
                <c:pt idx="17">
                  <c:v>2Q19E</c:v>
                </c:pt>
                <c:pt idx="18">
                  <c:v>3Q19E</c:v>
                </c:pt>
                <c:pt idx="19">
                  <c:v>4Q19E</c:v>
                </c:pt>
                <c:pt idx="20">
                  <c:v>1Q20E</c:v>
                </c:pt>
                <c:pt idx="21">
                  <c:v>2Q20E</c:v>
                </c:pt>
                <c:pt idx="22">
                  <c:v>3Q20E</c:v>
                </c:pt>
                <c:pt idx="23">
                  <c:v>4Q20E</c:v>
                </c:pt>
              </c:strCache>
            </c:strRef>
          </c:cat>
          <c:val>
            <c:numRef>
              <c:f>OrgGrowth!$F$178:$BE$178</c:f>
              <c:numCache>
                <c:formatCode>0.0%</c:formatCode>
                <c:ptCount val="24"/>
                <c:pt idx="0">
                  <c:v>6.9696314571304985E-2</c:v>
                </c:pt>
                <c:pt idx="1">
                  <c:v>5.2022737829290122E-2</c:v>
                </c:pt>
                <c:pt idx="2">
                  <c:v>0.13344974955195332</c:v>
                </c:pt>
                <c:pt idx="3">
                  <c:v>5.0063564959436757E-2</c:v>
                </c:pt>
                <c:pt idx="4">
                  <c:v>7.1468058420366853E-2</c:v>
                </c:pt>
                <c:pt idx="5">
                  <c:v>5.6808864032968032E-2</c:v>
                </c:pt>
                <c:pt idx="6">
                  <c:v>4.4450638556658317E-2</c:v>
                </c:pt>
                <c:pt idx="7">
                  <c:v>7.9586301395584647E-2</c:v>
                </c:pt>
                <c:pt idx="8">
                  <c:v>7.6093469143199588E-2</c:v>
                </c:pt>
                <c:pt idx="9">
                  <c:v>4.7756888490997573E-2</c:v>
                </c:pt>
                <c:pt idx="10">
                  <c:v>3.6183045353751941E-2</c:v>
                </c:pt>
                <c:pt idx="11">
                  <c:v>4.8373916596396338E-2</c:v>
                </c:pt>
                <c:pt idx="12">
                  <c:v>6.783952450829478E-2</c:v>
                </c:pt>
                <c:pt idx="13">
                  <c:v>0.11018832002061441</c:v>
                </c:pt>
                <c:pt idx="14">
                  <c:v>0.10354400145402098</c:v>
                </c:pt>
                <c:pt idx="15">
                  <c:v>8.029858648385324E-2</c:v>
                </c:pt>
                <c:pt idx="16">
                  <c:v>2.401494770807755E-2</c:v>
                </c:pt>
                <c:pt idx="17">
                  <c:v>-9.7661223670946207E-3</c:v>
                </c:pt>
                <c:pt idx="18">
                  <c:v>-1.0559230981781464E-2</c:v>
                </c:pt>
                <c:pt idx="19">
                  <c:v>-7.9034699237906514E-3</c:v>
                </c:pt>
                <c:pt idx="20">
                  <c:v>-1.7044507083831206E-2</c:v>
                </c:pt>
                <c:pt idx="21">
                  <c:v>-1.5052976376335292E-2</c:v>
                </c:pt>
                <c:pt idx="22">
                  <c:v>-1.6070727095679582E-2</c:v>
                </c:pt>
                <c:pt idx="23">
                  <c:v>-1.2844594006779397E-2</c:v>
                </c:pt>
              </c:numCache>
            </c:numRef>
          </c:val>
        </c:ser>
        <c:dLbls>
          <c:showLegendKey val="0"/>
          <c:showVal val="0"/>
          <c:showCatName val="0"/>
          <c:showSerName val="0"/>
          <c:showPercent val="0"/>
          <c:showBubbleSize val="0"/>
        </c:dLbls>
        <c:gapWidth val="100"/>
        <c:axId val="170866944"/>
        <c:axId val="170876928"/>
      </c:barChart>
      <c:catAx>
        <c:axId val="170866944"/>
        <c:scaling>
          <c:orientation val="minMax"/>
        </c:scaling>
        <c:delete val="0"/>
        <c:axPos val="b"/>
        <c:numFmt formatCode="General" sourceLinked="1"/>
        <c:majorTickMark val="out"/>
        <c:minorTickMark val="none"/>
        <c:tickLblPos val="low"/>
        <c:spPr>
          <a:ln>
            <a:solidFill>
              <a:srgbClr val="808080"/>
            </a:solidFill>
            <a:prstDash val="solid"/>
          </a:ln>
        </c:spPr>
        <c:txPr>
          <a:bodyPr rot="-5400000" vert="horz"/>
          <a:lstStyle/>
          <a:p>
            <a:pPr>
              <a:defRPr sz="1200">
                <a:solidFill>
                  <a:srgbClr val="808080"/>
                </a:solidFill>
              </a:defRPr>
            </a:pPr>
            <a:endParaRPr lang="en-US"/>
          </a:p>
        </c:txPr>
        <c:crossAx val="170876928"/>
        <c:crosses val="autoZero"/>
        <c:auto val="1"/>
        <c:lblAlgn val="ctr"/>
        <c:lblOffset val="100"/>
        <c:tickLblSkip val="2"/>
        <c:tickMarkSkip val="1"/>
        <c:noMultiLvlLbl val="0"/>
      </c:catAx>
      <c:valAx>
        <c:axId val="170876928"/>
        <c:scaling>
          <c:orientation val="minMax"/>
        </c:scaling>
        <c:delete val="0"/>
        <c:axPos val="l"/>
        <c:majorGridlines>
          <c:spPr>
            <a:ln>
              <a:solidFill>
                <a:srgbClr val="C0C0C0"/>
              </a:solidFill>
              <a:prstDash val="solid"/>
            </a:ln>
          </c:spPr>
        </c:majorGridlines>
        <c:numFmt formatCode="0%" sourceLinked="0"/>
        <c:majorTickMark val="out"/>
        <c:minorTickMark val="none"/>
        <c:tickLblPos val="nextTo"/>
        <c:spPr>
          <a:ln w="9525">
            <a:noFill/>
          </a:ln>
        </c:spPr>
        <c:txPr>
          <a:bodyPr rot="0" vert="horz"/>
          <a:lstStyle/>
          <a:p>
            <a:pPr>
              <a:defRPr sz="1200">
                <a:solidFill>
                  <a:srgbClr val="808080"/>
                </a:solidFill>
              </a:defRPr>
            </a:pPr>
            <a:endParaRPr lang="en-US"/>
          </a:p>
        </c:txPr>
        <c:crossAx val="170866944"/>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b"/>
      <c:layout>
        <c:manualLayout>
          <c:xMode val="edge"/>
          <c:yMode val="edge"/>
          <c:x val="1.9578806789551394E-2"/>
          <c:y val="0.87540931666779309"/>
          <c:w val="0.94965978244399885"/>
          <c:h val="0.12459068333220689"/>
        </c:manualLayout>
      </c:layout>
      <c:overlay val="0"/>
      <c:spPr>
        <a:solidFill>
          <a:srgbClr val="FFFFFF"/>
        </a:solidFill>
        <a:ln w="25400">
          <a:noFill/>
        </a:ln>
      </c:spPr>
      <c:txPr>
        <a:bodyPr/>
        <a:lstStyle/>
        <a:p>
          <a:pPr>
            <a:defRPr sz="1200">
              <a:solidFill>
                <a:srgbClr val="808080"/>
              </a:solidFill>
            </a:defRPr>
          </a:pPr>
          <a:endParaRPr lang="en-US"/>
        </a:p>
      </c:txPr>
    </c:legend>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59273840769903"/>
          <c:y val="3.2386076229195163E-2"/>
          <c:w val="0.86285170603674544"/>
          <c:h val="0.65261557217849875"/>
        </c:manualLayout>
      </c:layout>
      <c:barChart>
        <c:barDir val="col"/>
        <c:grouping val="clustered"/>
        <c:varyColors val="0"/>
        <c:ser>
          <c:idx val="2"/>
          <c:order val="0"/>
          <c:tx>
            <c:strRef>
              <c:f>OrgGrowth!$A$181</c:f>
              <c:strCache>
                <c:ptCount val="1"/>
                <c:pt idx="0">
                  <c:v>HSIC Organic EBIT Margin Y/Y</c:v>
                </c:pt>
              </c:strCache>
            </c:strRef>
          </c:tx>
          <c:spPr>
            <a:solidFill>
              <a:schemeClr val="bg1">
                <a:lumMod val="75000"/>
              </a:schemeClr>
            </a:solidFill>
            <a:ln w="28575">
              <a:noFill/>
              <a:prstDash val="solid"/>
            </a:ln>
          </c:spPr>
          <c:invertIfNegative val="0"/>
          <c:cat>
            <c:strRef>
              <c:f>OrgGrowth!$F$177:$BE$177</c:f>
              <c:strCache>
                <c:ptCount val="24"/>
                <c:pt idx="0">
                  <c:v>1Q15</c:v>
                </c:pt>
                <c:pt idx="1">
                  <c:v>2Q15</c:v>
                </c:pt>
                <c:pt idx="2">
                  <c:v>3Q15</c:v>
                </c:pt>
                <c:pt idx="3">
                  <c:v>4Q15</c:v>
                </c:pt>
                <c:pt idx="4">
                  <c:v>1Q16</c:v>
                </c:pt>
                <c:pt idx="5">
                  <c:v>2Q16</c:v>
                </c:pt>
                <c:pt idx="6">
                  <c:v>3Q16</c:v>
                </c:pt>
                <c:pt idx="7">
                  <c:v>4Q16</c:v>
                </c:pt>
                <c:pt idx="8">
                  <c:v>1Q17</c:v>
                </c:pt>
                <c:pt idx="9">
                  <c:v>2Q17</c:v>
                </c:pt>
                <c:pt idx="10">
                  <c:v>3Q17</c:v>
                </c:pt>
                <c:pt idx="11">
                  <c:v>4Q17</c:v>
                </c:pt>
                <c:pt idx="12">
                  <c:v>1Q18E</c:v>
                </c:pt>
                <c:pt idx="13">
                  <c:v>2Q18E</c:v>
                </c:pt>
                <c:pt idx="14">
                  <c:v>3Q18E</c:v>
                </c:pt>
                <c:pt idx="15">
                  <c:v>4Q18E</c:v>
                </c:pt>
                <c:pt idx="16">
                  <c:v>1Q19E</c:v>
                </c:pt>
                <c:pt idx="17">
                  <c:v>2Q19E</c:v>
                </c:pt>
                <c:pt idx="18">
                  <c:v>3Q19E</c:v>
                </c:pt>
                <c:pt idx="19">
                  <c:v>4Q19E</c:v>
                </c:pt>
                <c:pt idx="20">
                  <c:v>1Q20E</c:v>
                </c:pt>
                <c:pt idx="21">
                  <c:v>2Q20E</c:v>
                </c:pt>
                <c:pt idx="22">
                  <c:v>3Q20E</c:v>
                </c:pt>
                <c:pt idx="23">
                  <c:v>4Q20E</c:v>
                </c:pt>
              </c:strCache>
            </c:strRef>
          </c:cat>
          <c:val>
            <c:numRef>
              <c:f>OrgGrowth!$F$181:$BE$181</c:f>
              <c:numCache>
                <c:formatCode>0.0%</c:formatCode>
                <c:ptCount val="24"/>
                <c:pt idx="0">
                  <c:v>9.2482423778151995E-3</c:v>
                </c:pt>
                <c:pt idx="1">
                  <c:v>1.0933438315988489E-2</c:v>
                </c:pt>
                <c:pt idx="2">
                  <c:v>1.2354570441699478E-2</c:v>
                </c:pt>
                <c:pt idx="3">
                  <c:v>5.4676864078929549E-3</c:v>
                </c:pt>
                <c:pt idx="4">
                  <c:v>4.0369322889419745E-3</c:v>
                </c:pt>
                <c:pt idx="5">
                  <c:v>-1.4263562782775158E-3</c:v>
                </c:pt>
                <c:pt idx="6">
                  <c:v>6.6143496208916075E-4</c:v>
                </c:pt>
                <c:pt idx="7">
                  <c:v>1.2101166703901295E-3</c:v>
                </c:pt>
                <c:pt idx="8">
                  <c:v>1.9815896562758867E-3</c:v>
                </c:pt>
                <c:pt idx="9">
                  <c:v>1.6603260577094381E-4</c:v>
                </c:pt>
                <c:pt idx="10">
                  <c:v>-4.8902321816237243E-3</c:v>
                </c:pt>
                <c:pt idx="11">
                  <c:v>-4.4795230093790384E-3</c:v>
                </c:pt>
                <c:pt idx="12">
                  <c:v>-1.4941933949141895E-4</c:v>
                </c:pt>
                <c:pt idx="13">
                  <c:v>3.114590894350705E-3</c:v>
                </c:pt>
                <c:pt idx="14">
                  <c:v>3.6534693988732186E-3</c:v>
                </c:pt>
                <c:pt idx="15">
                  <c:v>1.7118639794294482E-3</c:v>
                </c:pt>
                <c:pt idx="16">
                  <c:v>-2.3627587469127187E-3</c:v>
                </c:pt>
                <c:pt idx="17">
                  <c:v>-3.9240210282814741E-3</c:v>
                </c:pt>
                <c:pt idx="18">
                  <c:v>-3.9283427454578218E-3</c:v>
                </c:pt>
                <c:pt idx="19">
                  <c:v>-3.9156262483236309E-3</c:v>
                </c:pt>
                <c:pt idx="20">
                  <c:v>-4.7670837926897663E-3</c:v>
                </c:pt>
                <c:pt idx="21">
                  <c:v>-4.7122853455690006E-3</c:v>
                </c:pt>
                <c:pt idx="22">
                  <c:v>-4.4232385351780992E-3</c:v>
                </c:pt>
                <c:pt idx="23">
                  <c:v>-4.3968455430490883E-3</c:v>
                </c:pt>
              </c:numCache>
            </c:numRef>
          </c:val>
        </c:ser>
        <c:dLbls>
          <c:showLegendKey val="0"/>
          <c:showVal val="0"/>
          <c:showCatName val="0"/>
          <c:showSerName val="0"/>
          <c:showPercent val="0"/>
          <c:showBubbleSize val="0"/>
        </c:dLbls>
        <c:gapWidth val="100"/>
        <c:axId val="170909056"/>
        <c:axId val="170914944"/>
      </c:barChart>
      <c:catAx>
        <c:axId val="170909056"/>
        <c:scaling>
          <c:orientation val="minMax"/>
        </c:scaling>
        <c:delete val="0"/>
        <c:axPos val="b"/>
        <c:numFmt formatCode="General" sourceLinked="1"/>
        <c:majorTickMark val="out"/>
        <c:minorTickMark val="none"/>
        <c:tickLblPos val="low"/>
        <c:spPr>
          <a:ln>
            <a:solidFill>
              <a:srgbClr val="808080"/>
            </a:solidFill>
            <a:prstDash val="solid"/>
          </a:ln>
        </c:spPr>
        <c:txPr>
          <a:bodyPr rot="-5400000" vert="horz"/>
          <a:lstStyle/>
          <a:p>
            <a:pPr>
              <a:defRPr sz="1200">
                <a:solidFill>
                  <a:srgbClr val="808080"/>
                </a:solidFill>
              </a:defRPr>
            </a:pPr>
            <a:endParaRPr lang="en-US"/>
          </a:p>
        </c:txPr>
        <c:crossAx val="170914944"/>
        <c:crosses val="autoZero"/>
        <c:auto val="1"/>
        <c:lblAlgn val="ctr"/>
        <c:lblOffset val="100"/>
        <c:tickLblSkip val="2"/>
        <c:tickMarkSkip val="1"/>
        <c:noMultiLvlLbl val="0"/>
      </c:catAx>
      <c:valAx>
        <c:axId val="170914944"/>
        <c:scaling>
          <c:orientation val="minMax"/>
        </c:scaling>
        <c:delete val="0"/>
        <c:axPos val="l"/>
        <c:majorGridlines>
          <c:spPr>
            <a:ln>
              <a:solidFill>
                <a:srgbClr val="C0C0C0"/>
              </a:solidFill>
              <a:prstDash val="solid"/>
            </a:ln>
          </c:spPr>
        </c:majorGridlines>
        <c:numFmt formatCode="0%" sourceLinked="0"/>
        <c:majorTickMark val="out"/>
        <c:minorTickMark val="none"/>
        <c:tickLblPos val="nextTo"/>
        <c:spPr>
          <a:ln w="9525">
            <a:noFill/>
          </a:ln>
        </c:spPr>
        <c:txPr>
          <a:bodyPr rot="0" vert="horz"/>
          <a:lstStyle/>
          <a:p>
            <a:pPr>
              <a:defRPr sz="1200">
                <a:solidFill>
                  <a:srgbClr val="808080"/>
                </a:solidFill>
              </a:defRPr>
            </a:pPr>
            <a:endParaRPr lang="en-US"/>
          </a:p>
        </c:txPr>
        <c:crossAx val="170909056"/>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b"/>
      <c:layout>
        <c:manualLayout>
          <c:xMode val="edge"/>
          <c:yMode val="edge"/>
          <c:x val="1.9578806789551394E-2"/>
          <c:y val="0.87540931666779309"/>
          <c:w val="0.94965978244399885"/>
          <c:h val="0.12459068333220689"/>
        </c:manualLayout>
      </c:layout>
      <c:overlay val="0"/>
      <c:spPr>
        <a:solidFill>
          <a:srgbClr val="FFFFFF"/>
        </a:solidFill>
        <a:ln w="25400">
          <a:noFill/>
        </a:ln>
      </c:spPr>
      <c:txPr>
        <a:bodyPr/>
        <a:lstStyle/>
        <a:p>
          <a:pPr>
            <a:defRPr sz="1200">
              <a:solidFill>
                <a:srgbClr val="808080"/>
              </a:solidFill>
            </a:defRPr>
          </a:pPr>
          <a:endParaRPr lang="en-US"/>
        </a:p>
      </c:txPr>
    </c:legend>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sz="1200" b="1">
                <a:solidFill>
                  <a:schemeClr val="bg1">
                    <a:lumMod val="50000"/>
                  </a:schemeClr>
                </a:solidFill>
              </a:rPr>
              <a:t>Organic EBIT margin Expansion</a:t>
            </a:r>
          </a:p>
        </c:rich>
      </c:tx>
      <c:layout>
        <c:manualLayout>
          <c:xMode val="edge"/>
          <c:yMode val="edge"/>
          <c:x val="0.4634396622751058"/>
          <c:y val="1.3671869393098182E-2"/>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layoutTarget val="inner"/>
          <c:xMode val="edge"/>
          <c:yMode val="edge"/>
          <c:x val="9.2595165384781103E-2"/>
          <c:y val="3.0556807514432613E-2"/>
          <c:w val="0.88789978870211395"/>
          <c:h val="0.75931337790625908"/>
        </c:manualLayout>
      </c:layout>
      <c:barChart>
        <c:barDir val="col"/>
        <c:grouping val="clustered"/>
        <c:varyColors val="0"/>
        <c:ser>
          <c:idx val="2"/>
          <c:order val="0"/>
          <c:tx>
            <c:strRef>
              <c:f>OrgGrowth!$A$181</c:f>
              <c:strCache>
                <c:ptCount val="1"/>
                <c:pt idx="0">
                  <c:v>HSIC Organic EBIT Margin Y/Y</c:v>
                </c:pt>
              </c:strCache>
            </c:strRef>
          </c:tx>
          <c:spPr>
            <a:solidFill>
              <a:srgbClr val="137CB1"/>
            </a:solidFill>
            <a:ln w="25400">
              <a:noFill/>
            </a:ln>
            <a:effectLst/>
          </c:spPr>
          <c:invertIfNegative val="0"/>
          <c:cat>
            <c:strRef>
              <c:f>OrgGrowth!$N$177:$AR$177</c:f>
              <c:strCache>
                <c:ptCount val="11"/>
                <c:pt idx="0">
                  <c:v>1Q15</c:v>
                </c:pt>
                <c:pt idx="1">
                  <c:v>2Q15</c:v>
                </c:pt>
                <c:pt idx="2">
                  <c:v>3Q15</c:v>
                </c:pt>
                <c:pt idx="3">
                  <c:v>4Q15</c:v>
                </c:pt>
                <c:pt idx="4">
                  <c:v>1Q16</c:v>
                </c:pt>
                <c:pt idx="5">
                  <c:v>2Q16</c:v>
                </c:pt>
                <c:pt idx="6">
                  <c:v>3Q16</c:v>
                </c:pt>
                <c:pt idx="7">
                  <c:v>4Q16</c:v>
                </c:pt>
                <c:pt idx="8">
                  <c:v>1Q17</c:v>
                </c:pt>
                <c:pt idx="9">
                  <c:v>2Q17</c:v>
                </c:pt>
                <c:pt idx="10">
                  <c:v>3Q17</c:v>
                </c:pt>
              </c:strCache>
            </c:strRef>
          </c:cat>
          <c:val>
            <c:numRef>
              <c:f>OrgGrowth!$N$181:$AR$181</c:f>
              <c:numCache>
                <c:formatCode>0.0%</c:formatCode>
                <c:ptCount val="11"/>
                <c:pt idx="0">
                  <c:v>9.2482423778151995E-3</c:v>
                </c:pt>
                <c:pt idx="1">
                  <c:v>1.0933438315988489E-2</c:v>
                </c:pt>
                <c:pt idx="2">
                  <c:v>1.2354570441699478E-2</c:v>
                </c:pt>
                <c:pt idx="3">
                  <c:v>5.4676864078929549E-3</c:v>
                </c:pt>
                <c:pt idx="4">
                  <c:v>4.0369322889419745E-3</c:v>
                </c:pt>
                <c:pt idx="5">
                  <c:v>-1.4263562782775158E-3</c:v>
                </c:pt>
                <c:pt idx="6">
                  <c:v>6.6143496208916075E-4</c:v>
                </c:pt>
                <c:pt idx="7">
                  <c:v>1.2101166703901295E-3</c:v>
                </c:pt>
                <c:pt idx="8">
                  <c:v>1.9815896562758867E-3</c:v>
                </c:pt>
                <c:pt idx="9">
                  <c:v>1.6603260577094381E-4</c:v>
                </c:pt>
                <c:pt idx="10">
                  <c:v>-4.8902321816237243E-3</c:v>
                </c:pt>
              </c:numCache>
            </c:numRef>
          </c:val>
        </c:ser>
        <c:ser>
          <c:idx val="0"/>
          <c:order val="1"/>
          <c:tx>
            <c:strRef>
              <c:f>OrgGrowth!$A$183</c:f>
              <c:strCache>
                <c:ptCount val="1"/>
                <c:pt idx="0">
                  <c:v>PDCO Organic EBIT margin Y/Y</c:v>
                </c:pt>
              </c:strCache>
            </c:strRef>
          </c:tx>
          <c:spPr>
            <a:solidFill>
              <a:schemeClr val="bg1">
                <a:lumMod val="75000"/>
              </a:schemeClr>
            </a:solidFill>
            <a:ln w="25400">
              <a:noFill/>
            </a:ln>
            <a:effectLst/>
          </c:spPr>
          <c:invertIfNegative val="0"/>
          <c:cat>
            <c:strRef>
              <c:f>OrgGrowth!$N$177:$AR$177</c:f>
              <c:strCache>
                <c:ptCount val="11"/>
                <c:pt idx="0">
                  <c:v>1Q15</c:v>
                </c:pt>
                <c:pt idx="1">
                  <c:v>2Q15</c:v>
                </c:pt>
                <c:pt idx="2">
                  <c:v>3Q15</c:v>
                </c:pt>
                <c:pt idx="3">
                  <c:v>4Q15</c:v>
                </c:pt>
                <c:pt idx="4">
                  <c:v>1Q16</c:v>
                </c:pt>
                <c:pt idx="5">
                  <c:v>2Q16</c:v>
                </c:pt>
                <c:pt idx="6">
                  <c:v>3Q16</c:v>
                </c:pt>
                <c:pt idx="7">
                  <c:v>4Q16</c:v>
                </c:pt>
                <c:pt idx="8">
                  <c:v>1Q17</c:v>
                </c:pt>
                <c:pt idx="9">
                  <c:v>2Q17</c:v>
                </c:pt>
                <c:pt idx="10">
                  <c:v>3Q17</c:v>
                </c:pt>
              </c:strCache>
            </c:strRef>
          </c:cat>
          <c:val>
            <c:numRef>
              <c:f>OrgGrowth!$N$183:$AR$183</c:f>
              <c:numCache>
                <c:formatCode>0.0%</c:formatCode>
                <c:ptCount val="11"/>
                <c:pt idx="0">
                  <c:v>5.2459601467121034E-3</c:v>
                </c:pt>
                <c:pt idx="1">
                  <c:v>3.7693073660049802E-3</c:v>
                </c:pt>
                <c:pt idx="2">
                  <c:v>3.4313514072410499E-3</c:v>
                </c:pt>
                <c:pt idx="3">
                  <c:v>5.0234005872844311E-3</c:v>
                </c:pt>
                <c:pt idx="4">
                  <c:v>2.2633249224834106E-3</c:v>
                </c:pt>
                <c:pt idx="5">
                  <c:v>-7.6825843784482086E-3</c:v>
                </c:pt>
                <c:pt idx="6">
                  <c:v>-6.3635753865821966E-3</c:v>
                </c:pt>
                <c:pt idx="7">
                  <c:v>-3.700292441455014E-3</c:v>
                </c:pt>
                <c:pt idx="8">
                  <c:v>-3.3196650944936159E-3</c:v>
                </c:pt>
                <c:pt idx="9">
                  <c:v>-4.6268681383393366E-3</c:v>
                </c:pt>
                <c:pt idx="10">
                  <c:v>-6.0421908849635809E-3</c:v>
                </c:pt>
              </c:numCache>
            </c:numRef>
          </c:val>
        </c:ser>
        <c:dLbls>
          <c:showLegendKey val="0"/>
          <c:showVal val="0"/>
          <c:showCatName val="0"/>
          <c:showSerName val="0"/>
          <c:showPercent val="0"/>
          <c:showBubbleSize val="0"/>
        </c:dLbls>
        <c:gapWidth val="60"/>
        <c:axId val="170747008"/>
        <c:axId val="170748544"/>
      </c:barChart>
      <c:catAx>
        <c:axId val="170747008"/>
        <c:scaling>
          <c:orientation val="minMax"/>
        </c:scaling>
        <c:delete val="0"/>
        <c:axPos val="b"/>
        <c:numFmt formatCode="General" sourceLinked="1"/>
        <c:majorTickMark val="none"/>
        <c:minorTickMark val="none"/>
        <c:tickLblPos val="low"/>
        <c:spPr>
          <a:ln w="12700">
            <a:solidFill>
              <a:srgbClr val="808080"/>
            </a:solidFill>
            <a:prstDash val="solid"/>
          </a:ln>
        </c:spPr>
        <c:txPr>
          <a:bodyPr rot="-5400000" vert="horz"/>
          <a:lstStyle/>
          <a:p>
            <a:pPr>
              <a:defRPr sz="1200" b="0" i="0">
                <a:solidFill>
                  <a:srgbClr val="808080"/>
                </a:solidFill>
                <a:latin typeface="Arial"/>
                <a:ea typeface="Arial"/>
                <a:cs typeface="Arial"/>
              </a:defRPr>
            </a:pPr>
            <a:endParaRPr lang="en-US"/>
          </a:p>
        </c:txPr>
        <c:crossAx val="170748544"/>
        <c:crosses val="autoZero"/>
        <c:auto val="1"/>
        <c:lblAlgn val="ctr"/>
        <c:lblOffset val="100"/>
        <c:tickMarkSkip val="1"/>
        <c:noMultiLvlLbl val="0"/>
      </c:catAx>
      <c:valAx>
        <c:axId val="170748544"/>
        <c:scaling>
          <c:orientation val="minMax"/>
        </c:scaling>
        <c:delete val="0"/>
        <c:axPos val="l"/>
        <c:majorGridlines>
          <c:spPr>
            <a:ln w="12700">
              <a:solidFill>
                <a:srgbClr val="C0C0C0"/>
              </a:solidFill>
              <a:prstDash val="solid"/>
            </a:ln>
          </c:spPr>
        </c:majorGridlines>
        <c:numFmt formatCode="0.0%" sourceLinked="0"/>
        <c:majorTickMark val="none"/>
        <c:minorTickMark val="none"/>
        <c:tickLblPos val="nextTo"/>
        <c:spPr>
          <a:ln w="25400">
            <a:noFill/>
          </a:ln>
        </c:spPr>
        <c:txPr>
          <a:bodyPr rot="0" vert="horz"/>
          <a:lstStyle/>
          <a:p>
            <a:pPr>
              <a:defRPr sz="1050" b="0" i="0">
                <a:solidFill>
                  <a:srgbClr val="808080"/>
                </a:solidFill>
                <a:latin typeface="Arial"/>
                <a:ea typeface="Arial"/>
                <a:cs typeface="Arial"/>
              </a:defRPr>
            </a:pPr>
            <a:endParaRPr lang="en-US"/>
          </a:p>
        </c:txPr>
        <c:crossAx val="170747008"/>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b"/>
      <c:layout>
        <c:manualLayout>
          <c:xMode val="edge"/>
          <c:yMode val="edge"/>
          <c:x val="7.2334353624554523E-2"/>
          <c:y val="0.70554130555228611"/>
          <c:w val="0.89999995603456373"/>
          <c:h val="8.0266073955842371E-2"/>
        </c:manualLayout>
      </c:layout>
      <c:overlay val="0"/>
      <c:txPr>
        <a:bodyPr/>
        <a:lstStyle/>
        <a:p>
          <a:pPr>
            <a:defRPr sz="1050"/>
          </a:pPr>
          <a:endParaRPr lang="en-US"/>
        </a:p>
      </c:txPr>
    </c:legend>
    <c:plotVisOnly val="1"/>
    <c:dispBlanksAs val="gap"/>
    <c:showDLblsOverMax val="0"/>
  </c:chart>
  <c:spPr>
    <a:solidFill>
      <a:srgbClr val="FFFFFF"/>
    </a:solidFill>
    <a:ln w="25400">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orientation="portrait"/>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171</xdr:row>
      <xdr:rowOff>0</xdr:rowOff>
    </xdr:from>
    <xdr:to>
      <xdr:col>7</xdr:col>
      <xdr:colOff>390525</xdr:colOff>
      <xdr:row>194</xdr:row>
      <xdr:rowOff>104775</xdr:rowOff>
    </xdr:to>
    <xdr:pic>
      <xdr:nvPicPr>
        <xdr:cNvPr id="125953" name="Picture 1" descr="C:\Users\wachter\AppData\Local\Temp\MercuryPriceRatingHistoryChart\HSIC.O_2018_04_25_18_33_03.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3175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74</xdr:col>
      <xdr:colOff>219075</xdr:colOff>
      <xdr:row>198</xdr:row>
      <xdr:rowOff>134470</xdr:rowOff>
    </xdr:from>
    <xdr:to>
      <xdr:col>83</xdr:col>
      <xdr:colOff>493216</xdr:colOff>
      <xdr:row>220</xdr:row>
      <xdr:rowOff>55411</xdr:rowOff>
    </xdr:to>
    <xdr:graphicFrame macro="">
      <xdr:nvGraphicFramePr>
        <xdr:cNvPr id="2" name="EBITbySegmen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82</xdr:col>
      <xdr:colOff>316567</xdr:colOff>
      <xdr:row>198</xdr:row>
      <xdr:rowOff>89646</xdr:rowOff>
    </xdr:from>
    <xdr:to>
      <xdr:col>90</xdr:col>
      <xdr:colOff>24654</xdr:colOff>
      <xdr:row>216</xdr:row>
      <xdr:rowOff>52508</xdr:rowOff>
    </xdr:to>
    <xdr:graphicFrame macro="">
      <xdr:nvGraphicFramePr>
        <xdr:cNvPr id="3" name="EBITbySegmen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82</xdr:col>
      <xdr:colOff>280147</xdr:colOff>
      <xdr:row>179</xdr:row>
      <xdr:rowOff>0</xdr:rowOff>
    </xdr:from>
    <xdr:to>
      <xdr:col>89</xdr:col>
      <xdr:colOff>593352</xdr:colOff>
      <xdr:row>196</xdr:row>
      <xdr:rowOff>119744</xdr:rowOff>
    </xdr:to>
    <xdr:graphicFrame macro="">
      <xdr:nvGraphicFramePr>
        <xdr:cNvPr id="4" name="EBITbygSegment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
<Relationship Id="rId1" Target="Documents%20and%20Settings/rockefel/Local%20Settings/Temporary%20Internet%20Files/OLK56/USERS/LADIWALA/VALTN/BBL/BIO-VL3.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172.16.68.11/Archimedes/TEMP/Regions%20Fin%20Stmts%20THE%20GOAL%20HC.xls"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5.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lewis/Coverage/Covidien%20(COV)/COV_valuation.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lewis/Coverage/Covidien%20(COV)/Exhibit%20Archive/M&amp;A_Demo.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https://ny.matrix.ms.com/NA/NY/LIB/ER/HEALTH/DVeal/KTD/XRAY/XRAY%20initiation%20charts.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file://///MSAD/ROOT/NA/NY/LIB/ER/HEALTH/RubinJ/Company/Pfe/PFEwork.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file://///nydfs1/root/hayesme/Models/Models/Basic%20Models/casesmodel6.xls" TargetMode="External" Type="http://schemas.openxmlformats.org/officeDocument/2006/relationships/externalLinkPath"/>
</Relationships>

</file>

<file path=xl/externalLinks/_rels/externalLink11.xml.rels><?xml version="1.0" encoding="UTF-8" standalone="yes"?>
<Relationships xmlns="http://schemas.openxmlformats.org/package/2006/relationships">
<Relationship Id="rId1" Target="file://///nydfs1/root/mard/Yeshaya/BMC/Project%20Explorer/Peary/MM%20Model%2010-01-01.xls" TargetMode="External" Type="http://schemas.openxmlformats.org/officeDocument/2006/relationships/externalLinkPath"/>
</Relationships>

</file>

<file path=xl/externalLinks/_rels/externalLink12.xml.rels><?xml version="1.0" encoding="UTF-8" standalone="yes"?>
<Relationships xmlns="http://schemas.openxmlformats.org/package/2006/relationships">
<Relationship Id="rId1" Target="file://///nydfs1/root/health/Smith-Marshall/Project%20Bermuda/Models%20for%20Proj%20Bermuda/Project%20Bermuda%20Model%20-%2008-23-00%20ver4.xls" TargetMode="External" Type="http://schemas.openxmlformats.org/officeDocument/2006/relationships/externalLinkPath"/>
</Relationships>

</file>

<file path=xl/externalLinks/_rels/externalLink13.xml.rels><?xml version="1.0" encoding="UTF-8" standalone="yes"?>
<Relationships xmlns="http://schemas.openxmlformats.org/package/2006/relationships">
<Relationship Id="rId1" Target="file://///nydfs1/root/health/COMPANY/ABT/aqua/Gray%20April%202003/Gray%20Model%205-2-03.xls" TargetMode="External" Type="http://schemas.openxmlformats.org/officeDocument/2006/relationships/externalLinkPath"/>
</Relationships>

</file>

<file path=xl/externalLinks/_rels/externalLink14.xml.rels><?xml version="1.0" encoding="UTF-8" standalone="yes"?>
<Relationships xmlns="http://schemas.openxmlformats.org/package/2006/relationships">
<Relationship Id="rId1" Target="EU/LN/lib/erpublish/ln/Fidelity/ModelwareRepository/Production/NOVN.VX.xls" TargetMode="External" Type="http://schemas.microsoft.com/office/2006/relationships/xlExternalLinkPath/xlAlternateStartup"/>
</Relationships>

</file>

<file path=xl/externalLinks/_rels/externalLink15.xml.rels><?xml version="1.0" encoding="UTF-8" standalone="yes"?>
<Relationships xmlns="http://schemas.openxmlformats.org/package/2006/relationships">
<Relationship Id="rId1" Target="file://///nydfs1/root/Taylor%20Smith/BMC/Symphony/Model/Chopin%20Model%209-7-03%20v2%20(check).xls" TargetMode="External" Type="http://schemas.openxmlformats.org/officeDocument/2006/relationships/externalLinkPath"/>
</Relationships>

</file>

<file path=xl/externalLinks/_rels/externalLink16.xml.rels><?xml version="1.0" encoding="UTF-8" standalone="yes"?>
<Relationships xmlns="http://schemas.openxmlformats.org/package/2006/relationships">
<Relationship Id="rId1" Target="file://///nydfs1/root/mard/Chiu/MI3/Model/Merger3_23.xls" TargetMode="External" Type="http://schemas.openxmlformats.org/officeDocument/2006/relationships/externalLinkPath"/>
</Relationships>

</file>

<file path=xl/externalLinks/_rels/externalLink17.xml.rels><?xml version="1.0" encoding="UTF-8" standalone="yes"?>
<Relationships xmlns="http://schemas.openxmlformats.org/package/2006/relationships">
<Relationship Id="rId1" Target="file://///nydfs1/root/mard/Lewinsohn/PlacerDome/Models/Placer_Barrick_model_version_v5.xls" TargetMode="External" Type="http://schemas.openxmlformats.org/officeDocument/2006/relationships/externalLinkPath"/>
</Relationships>

</file>

<file path=xl/externalLinks/_rels/externalLink18.xml.rels><?xml version="1.0" encoding="UTF-8" standalone="yes"?>
<Relationships xmlns="http://schemas.openxmlformats.org/package/2006/relationships">
<Relationship Id="rId1" Target="file://///nydfs1/root/mard/smithma/Santa%20Fe/Project%20Superbowl/Financials/Model042301v1.xls" TargetMode="External" Type="http://schemas.openxmlformats.org/officeDocument/2006/relationships/externalLinkPath"/>
</Relationships>

</file>

<file path=xl/externalLinks/_rels/externalLink19.xml.rels><?xml version="1.0" encoding="UTF-8" standalone="yes"?>
<Relationships xmlns="http://schemas.openxmlformats.org/package/2006/relationships">
<Relationship Id="rId1" Target="file://///nydfs1/root/health/COMPANY/ABT/April%202002/Minimerger_04.17.02%20.xls" TargetMode="External" Type="http://schemas.openxmlformats.org/officeDocument/2006/relationships/externalLinkPath"/>
</Relationships>

</file>

<file path=xl/externalLinks/_rels/externalLink20.xml.rels><?xml version="1.0" encoding="UTF-8" standalone="yes"?>
<Relationships xmlns="http://schemas.openxmlformats.org/package/2006/relationships">
<Relationship Id="rId1" Target="file://///nydfs1/root/nr/CHEMICAL/COMPANY/ELM/dexmini1.xls" TargetMode="External" Type="http://schemas.openxmlformats.org/officeDocument/2006/relationships/externalLinkPath"/>
</Relationships>

</file>

<file path=xl/externalLinks/_rels/externalLink21.xml.rels><?xml version="1.0" encoding="UTF-8" standalone="yes"?>
<Relationships xmlns="http://schemas.openxmlformats.org/package/2006/relationships">
<Relationship Id="rId1" Target="file://///nydfs1/root/mard/Rockwell/Amarillo/Model/AM0909.xls" TargetMode="External" Type="http://schemas.openxmlformats.org/officeDocument/2006/relationships/externalLinkPath"/>
</Relationships>

</file>

<file path=xl/externalLinks/_rels/externalLink22.xml.rels><?xml version="1.0" encoding="UTF-8" standalone="yes"?>
<Relationships xmlns="http://schemas.openxmlformats.org/package/2006/relationships">
<Relationship Id="rId1" Target="file://///nydfs1/root/Swomp/SEPR2/Sepracor/Dura%20Mini-Merger%20revised%20by%20MAS.xls" TargetMode="External" Type="http://schemas.openxmlformats.org/officeDocument/2006/relationships/externalLinkPath"/>
</Relationships>

</file>

<file path=xl/externalLinks/_rels/externalLink23.xml.rels><?xml version="1.0" encoding="UTF-8" standalone="yes"?>
<Relationships xmlns="http://schemas.openxmlformats.org/package/2006/relationships">
<Relationship Id="rId1" Target="https://ny.matrix.ms.com/Users/clerico/AppData/Local/Microsoft/Windows/Temporary%20Internet%20Files/Content.Outlook/HMBY9NHL/ACT150410-AGN.xlsm" TargetMode="External" Type="http://schemas.openxmlformats.org/officeDocument/2006/relationships/externalLinkPath"/>
</Relationships>

</file>

<file path=xl/externalLinks/_rels/externalLink24.xml.rels><?xml version="1.0" encoding="UTF-8" standalone="yes"?>
<Relationships xmlns="http://schemas.openxmlformats.org/package/2006/relationships">
<Relationship Id="rId1" Target="file://///nydfs1/root/nr/CHEMICAL/STDEXHIB/Comps/2001%20Comps/jessica/Iridium/Models/irval4.xls" TargetMode="External" Type="http://schemas.openxmlformats.org/officeDocument/2006/relationships/externalLinkPath"/>
</Relationships>

</file>

<file path=xl/externalLinks/_rels/externalLink25.xml.rels><?xml version="1.0" encoding="UTF-8" standalone="yes"?>
<Relationships xmlns="http://schemas.openxmlformats.org/package/2006/relationships">
<Relationship Id="rId1" Target="file://///nydfs1/root/lib/ibd/MARD/MARD/Starkand/Copper/Model/Final/01-20-04.xls" TargetMode="External" Type="http://schemas.openxmlformats.org/officeDocument/2006/relationships/externalLinkPath"/>
</Relationships>

</file>

<file path=xl/externalLinks/_rels/externalLink26.xml.rels><?xml version="1.0" encoding="UTF-8" standalone="yes"?>
<Relationships xmlns="http://schemas.openxmlformats.org/package/2006/relationships">
<Relationship Id="rId1" Target="HEALTH/Tools/Companies/XRAY/Models/XRAY_Merger_Model_May0516.xlsm" TargetMode="External" Type="http://schemas.microsoft.com/office/2006/relationships/xlExternalLinkPath/xlAlternateStartup"/>
</Relationships>

</file>

<file path=xl/externalLinks/_rels/externalLink27.xml.rels><?xml version="1.0" encoding="UTF-8" standalone="yes"?>
<Relationships xmlns="http://schemas.openxmlformats.org/package/2006/relationships">
<Relationship Id="rId1" Target="file://///nydfs1/root/mard/Yeshaya/Project%20Merlot/Models/Merlot%20Operating%20Model%2012_6.xls" TargetMode="External" Type="http://schemas.openxmlformats.org/officeDocument/2006/relationships/externalLinkPath"/>
</Relationships>

</file>

<file path=xl/externalLinks/_rels/externalLink28.xml.rels><?xml version="1.0" encoding="UTF-8" standalone="yes"?>
<Relationships xmlns="http://schemas.openxmlformats.org/package/2006/relationships">
<Relationship Id="rId1" Target="file://///nydfs1/root/health/Biotech/Company/Millennium/Presentations/profiles%2004-08-02.xls" TargetMode="External" Type="http://schemas.openxmlformats.org/officeDocument/2006/relationships/externalLinkPath"/>
</Relationships>

</file>

<file path=xl/externalLinks/_rels/externalLink29.xml.rels><?xml version="1.0" encoding="UTF-8" standalone="yes"?>
<Relationships xmlns="http://schemas.openxmlformats.org/package/2006/relationships">
<Relationship Id="rId1" Target="file:///Q:/Fidelity/Inbox/UPS.N.xls" TargetMode="External" Type="http://schemas.openxmlformats.org/officeDocument/2006/relationships/externalLinkPath"/>
</Relationships>

</file>

<file path=xl/externalLinks/_rels/externalLink30.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31.xml.rels><?xml version="1.0" encoding="UTF-8" standalone="yes"?>
<Relationships xmlns="http://schemas.openxmlformats.org/package/2006/relationships">
<Relationship Id="rId1" Target="file://///nydfs1/root/mard/Yeshaya/BMC/Project%20Greek/MM%20Model%2012-5-01A.xls" TargetMode="External" Type="http://schemas.openxmlformats.org/officeDocument/2006/relationships/externalLinkPath"/>
</Relationships>

</file>

<file path=xl/externalLinks/_rels/externalLink32.xml.rels><?xml version="1.0" encoding="UTF-8" standalone="yes"?>
<Relationships xmlns="http://schemas.openxmlformats.org/package/2006/relationships">
<Relationship Id="rId1" Target="file://///nydfs1/root/mard/ZLewis/Training%20Materials/M&amp;A%20Training/Standard%20Models/LBO_Simple.xls" TargetMode="External" Type="http://schemas.openxmlformats.org/officeDocument/2006/relationships/externalLinkPath"/>
</Relationships>

</file>

<file path=xl/externalLinks/_rels/externalLink33.xml.rels><?xml version="1.0" encoding="UTF-8" standalone="yes"?>
<Relationships xmlns="http://schemas.openxmlformats.org/package/2006/relationships">
<Relationship Id="rId1" Target="L" TargetMode="External" Type="http://schemas.microsoft.com/office/2006/relationships/xlExternalLinkPath/xlPathMissing"/>
</Relationships>

</file>

<file path=xl/externalLinks/_rels/externalLink34.xml.rels><?xml version="1.0" encoding="UTF-8" standalone="yes"?>
<Relationships xmlns="http://schemas.openxmlformats.org/package/2006/relationships">
<Relationship Id="rId1" Target="file://///nydfs1/root/nr/CHEMICAL/COMPANY/Tosco/12-3-98/lyodcf.xls" TargetMode="External" Type="http://schemas.openxmlformats.org/officeDocument/2006/relationships/externalLinkPath"/>
</Relationships>

</file>

<file path=xl/externalLinks/_rels/externalLink35.xml.rels><?xml version="1.0" encoding="UTF-8" standalone="yes"?>
<Relationships xmlns="http://schemas.openxmlformats.org/package/2006/relationships">
<Relationship Id="rId1" Target="file://///nydfs1/root/nr/CHEMICAL/Swirsky/Models/DNAMIC97.XLS" TargetMode="External" Type="http://schemas.openxmlformats.org/officeDocument/2006/relationships/externalLinkPath"/>
</Relationships>

</file>

<file path=xl/externalLinks/_rels/externalLink36.xml.rels><?xml version="1.0" encoding="UTF-8" standalone="yes"?>
<Relationships xmlns="http://schemas.openxmlformats.org/package/2006/relationships">
<Relationship Id="rId1" Target="insuranc/nonlife/MODELS/pgr.xls" TargetMode="External" Type="http://schemas.microsoft.com/office/2006/relationships/xlExternalLinkPath/xlStartup"/>
</Relationships>

</file>

<file path=xl/externalLinks/_rels/externalLink37.xml.rels><?xml version="1.0" encoding="UTF-8" standalone="yes"?>
<Relationships xmlns="http://schemas.openxmlformats.org/package/2006/relationships">
<Relationship Id="rId1" Target="PHARM/XLDATA/AstraZeneca/azn.xls" TargetMode="External" Type="http://schemas.microsoft.com/office/2006/relationships/xlExternalLinkPath/xlStartup"/>
</Relationships>

</file>

<file path=xl/externalLinks/_rels/externalLink38.xml.rels><?xml version="1.0" encoding="UTF-8" standalone="yes"?>
<Relationships xmlns="http://schemas.openxmlformats.org/package/2006/relationships">
<Relationship Id="rId1" Target="Documents%20and%20Settings/bosesub/Local%20Settings/Temporary%20Internet%20Files/OLKAD4/TMO.xls" TargetMode="External" Type="http://schemas.microsoft.com/office/2006/relationships/xlExternalLinkPath/xlStartup"/>
</Relationships>

</file>

<file path=xl/externalLinks/_rels/externalLink39.xml.rels><?xml version="1.0" encoding="UTF-8" standalone="yes"?>
<Relationships xmlns="http://schemas.openxmlformats.org/package/2006/relationships">
<Relationship Id="rId1" Target="file://///nydfs1/root/mard/smithma/Santa%20Fe/Project%20Superbowl/Financials/Model042601v2.xls" TargetMode="External" Type="http://schemas.openxmlformats.org/officeDocument/2006/relationships/externalLinkPath"/>
</Relationships>

</file>

<file path=xl/externalLinks/_rels/externalLink40.xml.rels><?xml version="1.0" encoding="UTF-8" standalone="yes"?>
<Relationships xmlns="http://schemas.openxmlformats.org/package/2006/relationships">
<Relationship Id="rId1" Target="file://///nydfs1/root/health/Smith-Marshall/Project%20Bermuda/Models%20for%20Proj%20Bermuda/Project%20Revolution%20Excel%20Files/VALMATRIX.xls" TargetMode="External" Type="http://schemas.openxmlformats.org/officeDocument/2006/relationships/externalLinkPath"/>
</Relationships>

</file>

<file path=xl/externalLinks/_rels/externalLink41.xml.rels><?xml version="1.0" encoding="UTF-8" standalone="yes"?>
<Relationships xmlns="http://schemas.openxmlformats.org/package/2006/relationships">
<Relationship Id="rId1" Target="file://///nydfs1/root/mard/smithma/General/Models/MJS%20New%20Look%20Merger%20Model.xls" TargetMode="External" Type="http://schemas.openxmlformats.org/officeDocument/2006/relationships/externalLinkPath"/>
</Relationships>

</file>

<file path=xl/externalLinks/_rels/externalLink42.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43.xml.rels><?xml version="1.0" encoding="UTF-8" standalone="yes"?>
<Relationships xmlns="http://schemas.openxmlformats.org/package/2006/relationships">
<Relationship Id="rId1" Target="file://///nydfs1/root/Comps/3q99/cro%203Q99%20being%20updated.xls" TargetMode="External" Type="http://schemas.openxmlformats.org/officeDocument/2006/relationships/externalLinkPath"/>
</Relationships>

</file>

<file path=xl/externalLinks/_rels/externalLink44.xml.rels><?xml version="1.0" encoding="UTF-8" standalone="yes"?>
<Relationships xmlns="http://schemas.openxmlformats.org/package/2006/relationships">
<Relationship Id="rId1" Target="file://///nydfs1/root/nr/CHEMICAL/Swirsky/Models/saphire.XLS" TargetMode="External" Type="http://schemas.openxmlformats.org/officeDocument/2006/relationships/externalLinkPath"/>
</Relationships>

</file>

<file path=xl/externalLinks/_rels/externalLink45.xml.rels><?xml version="1.0" encoding="UTF-8" standalone="yes"?>
<Relationships xmlns="http://schemas.openxmlformats.org/package/2006/relationships">
<Relationship Id="rId1" Target="file://///nydfs1/root/mard/Rockwell/Mary/Model/UberStar/upward9.xls" TargetMode="External" Type="http://schemas.openxmlformats.org/officeDocument/2006/relationships/externalLinkPath"/>
</Relationships>

</file>

<file path=xl/externalLinks/_rels/externalLink46.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47.xml.rels><?xml version="1.0" encoding="UTF-8" standalone="yes"?>
<Relationships xmlns="http://schemas.openxmlformats.org/package/2006/relationships">
<Relationship Id="rId1" Target="file://///nydfs1/root/mard/Yeshaya/Project%20Merlot/Models/Merlot%20Operating%20Model%2011_28.xls" TargetMode="External" Type="http://schemas.openxmlformats.org/officeDocument/2006/relationships/externalLinkPath"/>
</Relationships>

</file>

<file path=xl/externalLinks/_rels/externalLink48.xml.rels><?xml version="1.0" encoding="UTF-8" standalone="yes"?>
<Relationships xmlns="http://schemas.openxmlformats.org/package/2006/relationships">
<Relationship Id="rId1" Target="file://///nydfs1/root/Biotech/Company/bioMerieux/March2003/Crimson/Project%20Rainbow%20Preliminary%20Crimson%20Valuation_3-14-03.xls" TargetMode="External" Type="http://schemas.openxmlformats.org/officeDocument/2006/relationships/externalLinkPath"/>
</Relationships>

</file>

<file path=xl/externalLinks/_rels/externalLink49.xml.rels><?xml version="1.0" encoding="UTF-8" standalone="yes"?>
<Relationships xmlns="http://schemas.openxmlformats.org/package/2006/relationships">
<Relationship Id="rId1" Target="file://///nydfs1/root/mard/vmignone/King/Queen%20Divestiture/King%20Queen%20Divestiture2.xls" TargetMode="External" Type="http://schemas.openxmlformats.org/officeDocument/2006/relationships/externalLinkPath"/>
</Relationships>

</file>

<file path=xl/externalLinks/_rels/externalLink50.xml.rels><?xml version="1.0" encoding="UTF-8" standalone="yes"?>
<Relationships xmlns="http://schemas.openxmlformats.org/package/2006/relationships">
<Relationship Id="rId1" Target="file://///nydfs1/root/MARD/Lewinsohn/ABG/Models/Minimerger082902.xls" TargetMode="External" Type="http://schemas.openxmlformats.org/officeDocument/2006/relationships/externalLinkPath"/>
</Relationships>

</file>

<file path=xl/externalLinks/_rels/externalLink51.xml.rels><?xml version="1.0" encoding="UTF-8" standalone="yes"?>
<Relationships xmlns="http://schemas.openxmlformats.org/package/2006/relationships">
<Relationship Id="rId1" Target="file://///nydfs1/root/mard/Doshin/Mosaic/Models/mini-merger_ADI_10.1a.xls" TargetMode="External" Type="http://schemas.openxmlformats.org/officeDocument/2006/relationships/externalLinkPath"/>
</Relationships>

</file>

<file path=xl/externalLinks/_rels/externalLink52.xml.rels><?xml version="1.0" encoding="UTF-8" standalone="yes"?>
<Relationships xmlns="http://schemas.openxmlformats.org/package/2006/relationships">
<Relationship Id="rId1" Target="file://///nydfs1/root/mard/mazer/Shadow/Models/Shadow%20Quick%20LBO2.xls" TargetMode="External" Type="http://schemas.openxmlformats.org/officeDocument/2006/relationships/externalLinkPath"/>
</Relationships>

</file>

<file path=xl/externalLinks/_rels/externalLink53.xml.rels><?xml version="1.0" encoding="UTF-8" standalone="yes"?>
<Relationships xmlns="http://schemas.openxmlformats.org/package/2006/relationships">
<Relationship Id="rId1" Target="file://///nydfs1/root/pdg/Excel/MODELS/DCF/PDGDCF1.XLS" TargetMode="External" Type="http://schemas.openxmlformats.org/officeDocument/2006/relationships/externalLinkPath"/>
</Relationships>

</file>

<file path=xl/externalLinks/_rels/externalLink54.xml.rels><?xml version="1.0" encoding="UTF-8" standalone="yes"?>
<Relationships xmlns="http://schemas.openxmlformats.org/package/2006/relationships">
<Relationship Id="rId1" Target="file://///nydfs1/root/health/Modisettj/traiing/Paperboy/Paperboy%20model.xls" TargetMode="External" Type="http://schemas.openxmlformats.org/officeDocument/2006/relationships/externalLinkPath"/>
</Relationships>

</file>

<file path=xl/externalLinks/_rels/externalLink55.xml.rels><?xml version="1.0" encoding="UTF-8" standalone="yes"?>
<Relationships xmlns="http://schemas.openxmlformats.org/package/2006/relationships">
<Relationship Id="rId1" Target="file://///nydfs1/root/edsona/UPWARD/VALUATION/Logistics%20Valuation%20Model.xls" TargetMode="External" Type="http://schemas.openxmlformats.org/officeDocument/2006/relationships/externalLinkPath"/>
</Relationships>

</file>

<file path=xl/externalLinks/_rels/externalLink56.xml.rels><?xml version="1.0" encoding="UTF-8" standalone="yes"?>
<Relationships xmlns="http://schemas.openxmlformats.org/package/2006/relationships">
<Relationship Id="rId1" Target="file://///nydfs1/root/TEMP/KAMAL/GIBRALTA/DCFYN26.XLS" TargetMode="External" Type="http://schemas.openxmlformats.org/officeDocument/2006/relationships/externalLinkPath"/>
</Relationships>

</file>

<file path=xl/externalLinks/_rels/externalLink57.xml.rels><?xml version="1.0" encoding="UTF-8" standalone="yes"?>
<Relationships xmlns="http://schemas.openxmlformats.org/package/2006/relationships">
<Relationship Id="rId1" Target="file:///A:/KIM/PELICAN/NON_CORE/DCF7.XLS" TargetMode="External" Type="http://schemas.openxmlformats.org/officeDocument/2006/relationships/externalLinkPath"/>
</Relationships>

</file>

<file path=xl/externalLinks/_rels/externalLink58.xml.rels><?xml version="1.0" encoding="UTF-8" standalone="yes"?>
<Relationships xmlns="http://schemas.openxmlformats.org/package/2006/relationships">
<Relationship Id="rId1" Target="file:///G:/M&amp;AHEALT/PROJECTS/CAREMATR/HIST20.XLS" TargetMode="External" Type="http://schemas.openxmlformats.org/officeDocument/2006/relationships/externalLinkPath"/>
</Relationships>

</file>

<file path=xl/externalLinks/_rels/externalLink59.xml.rels><?xml version="1.0" encoding="UTF-8" standalone="yes"?>
<Relationships xmlns="http://schemas.openxmlformats.org/package/2006/relationships">
<Relationship Id="rId1" Target="file://///nydfs1/root/KIM/NOAH/LBO_2.XLS" TargetMode="External" Type="http://schemas.openxmlformats.org/officeDocument/2006/relationships/externalLinkPath"/>
</Relationships>

</file>

<file path=xl/externalLinks/_rels/externalLink60.xml.rels><?xml version="1.0" encoding="UTF-8" standalone="yes"?>
<Relationships xmlns="http://schemas.openxmlformats.org/package/2006/relationships">
<Relationship Id="rId1" Target="file://///nydfs1/root/bowless/Vitamin/mini7.xls" TargetMode="External" Type="http://schemas.openxmlformats.org/officeDocument/2006/relationships/externalLinkPath"/>
</Relationships>

</file>

<file path=xl/externalLinks/_rels/externalLink61.xml.rels><?xml version="1.0" encoding="UTF-8" standalone="yes"?>
<Relationships xmlns="http://schemas.openxmlformats.org/package/2006/relationships">
<Relationship Id="rId1" Target="file://///nydfs1/root/KLIMCZAK/georgia/Sep98/models/TURBOMERG63.XLS" TargetMode="External" Type="http://schemas.openxmlformats.org/officeDocument/2006/relationships/externalLinkPath"/>
</Relationships>

</file>

<file path=xl/externalLinks/_rels/externalLink62.xml.rels><?xml version="1.0" encoding="UTF-8" standalone="yes"?>
<Relationships xmlns="http://schemas.openxmlformats.org/package/2006/relationships">
<Relationship Id="rId1" Target="file://///nydfs1/root/MARD/ATabaee/Alchemy/Models/Minimergers/Alchemy%20Minimerger%20-%20v23%202-27-04%20(Emerald).xls" TargetMode="External" Type="http://schemas.openxmlformats.org/officeDocument/2006/relationships/externalLinkPath"/>
</Relationships>

</file>

<file path=xl/externalLinks/_rels/externalLink63.xml.rels><?xml version="1.0" encoding="UTF-8" standalone="yes"?>
<Relationships xmlns="http://schemas.openxmlformats.org/package/2006/relationships">
<Relationship Id="rId1" Target="file://///nydfs1/root/brenner/Hitch/Model/Corwin.xls" TargetMode="External" Type="http://schemas.openxmlformats.org/officeDocument/2006/relationships/externalLinkPath"/>
</Relationships>

</file>

<file path=xl/externalLinks/_rels/externalLink64.xml.rels><?xml version="1.0" encoding="UTF-8" standalone="yes"?>
<Relationships xmlns="http://schemas.openxmlformats.org/package/2006/relationships">
<Relationship Id="rId1" Target="file://///nydfs1/root/HUI/BLUE/MODEL/BLUE36.XLS" TargetMode="External" Type="http://schemas.openxmlformats.org/officeDocument/2006/relationships/externalLinkPath"/>
</Relationships>

</file>

<file path=xl/externalLinks/_rels/externalLink65.xml.rels><?xml version="1.0" encoding="UTF-8" standalone="yes"?>
<Relationships xmlns="http://schemas.openxmlformats.org/package/2006/relationships">
<Relationship Id="rId1" Target="file://///nydfs1/root/mard/Bear/Simpsons/Simple%20Merger/Simple%20Merger%20with%20Macro112600.xls" TargetMode="External" Type="http://schemas.openxmlformats.org/officeDocument/2006/relationships/externalLinkPath"/>
</Relationships>

</file>

<file path=xl/externalLinks/_rels/externalLink66.xml.rels><?xml version="1.0" encoding="UTF-8" standalone="yes"?>
<Relationships xmlns="http://schemas.openxmlformats.org/package/2006/relationships">
<Relationship Id="rId1" Target="file://///nydfs1/root/Documents%20and%20Settings/artat/Local%20Settings/Temp/MEGA%20Model%20v26.xls" TargetMode="External" Type="http://schemas.openxmlformats.org/officeDocument/2006/relationships/externalLinkPath"/>
</Relationships>

</file>

<file path=xl/externalLinks/_rels/externalLink67.xml.rels><?xml version="1.0" encoding="UTF-8" standalone="yes"?>
<Relationships xmlns="http://schemas.openxmlformats.org/package/2006/relationships">
<Relationship Id="rId1" Target="file://///nydfs1/root/MARD/Bellas/Titan/Current%20Documents/Model%204.8v2.xls" TargetMode="External" Type="http://schemas.openxmlformats.org/officeDocument/2006/relationships/externalLinkPath"/>
</Relationships>

</file>

<file path=xl/externalLinks/_rels/externalLink68.xml.rels><?xml version="1.0" encoding="UTF-8" standalone="yes"?>
<Relationships xmlns="http://schemas.openxmlformats.org/package/2006/relationships">
<Relationship Id="rId1" Target="file://///nydfs1/root/data/mlnm/corpdev/vacation/mlnm/corpdev/base%20case/prod%20base%2014.xls" TargetMode="External" Type="http://schemas.openxmlformats.org/officeDocument/2006/relationships/externalLinkPath"/>
</Relationships>

</file>

<file path=xl/externalLinks/_rels/externalLink69.xml.rels><?xml version="1.0" encoding="UTF-8" standalone="yes"?>
<Relationships xmlns="http://schemas.openxmlformats.org/package/2006/relationships">
<Relationship Id="rId1" Target="file://///nydfs1/root/Taylor%20Smith/BMC/Symphony/Model/Chopin%20MOE%20Model%209.7.03%20v2.xls" TargetMode="External" Type="http://schemas.openxmlformats.org/officeDocument/2006/relationships/externalLinkPath"/>
</Relationships>

</file>

<file path=xl/externalLinks/_rels/externalLink70.xml.rels><?xml version="1.0" encoding="UTF-8" standalone="yes"?>
<Relationships xmlns="http://schemas.openxmlformats.org/package/2006/relationships">
<Relationship Id="rId1" Target="file://///nydfs1/root/mard/vmignone/Auto/Asbury%20Mini-Merger2.xls" TargetMode="External" Type="http://schemas.openxmlformats.org/officeDocument/2006/relationships/externalLinkPath"/>
</Relationships>

</file>

<file path=xl/externalLinks/_rels/externalLink71.xml.rels><?xml version="1.0" encoding="UTF-8" standalone="yes"?>
<Relationships xmlns="http://schemas.openxmlformats.org/package/2006/relationships">
<Relationship Id="rId1" Target="file://///nydfs1/root/mard/panossian/General/Mini%20Template2.xls" TargetMode="External" Type="http://schemas.openxmlformats.org/officeDocument/2006/relationships/externalLinkPath"/>
</Relationships>

</file>

<file path=xl/externalLinks/_rels/externalLink72.xml.rels><?xml version="1.0" encoding="UTF-8" standalone="yes"?>
<Relationships xmlns="http://schemas.openxmlformats.org/package/2006/relationships">
<Relationship Id="rId1" Target="file://///nydfs1/root/DANMOSH/TEMPLATE/STANDB.XLS" TargetMode="External" Type="http://schemas.openxmlformats.org/officeDocument/2006/relationships/externalLinkPath"/>
</Relationships>

</file>

<file path=xl/externalLinks/_rels/externalLink73.xml.rels><?xml version="1.0" encoding="UTF-8" standalone="yes"?>
<Relationships xmlns="http://schemas.openxmlformats.org/package/2006/relationships">
<Relationship Id="rId1" Target="file://///nydfs1/root/nr/CHEMICAL/COMPANY/Tosco/10-22-98/TOS_UK2.xls" TargetMode="External" Type="http://schemas.openxmlformats.org/officeDocument/2006/relationships/externalLinkPath"/>
</Relationships>

</file>

<file path=xl/externalLinks/_rels/externalLink74.xml.rels><?xml version="1.0" encoding="UTF-8" standalone="yes"?>
<Relationships xmlns="http://schemas.openxmlformats.org/package/2006/relationships">
<Relationship Id="rId1" Target="Documents%20and%20Settings/pscavo/Local%20Settings/Temporary%20Internet%20Files/OLK33/OIT%20Screening.xls" TargetMode="External" Type="http://schemas.microsoft.com/office/2006/relationships/xlExternalLinkPath/xlAlternateStartup"/>
</Relationships>

</file>

<file path=xl/externalLinks/_rels/externalLink75.xml.rels><?xml version="1.0" encoding="UTF-8" standalone="yes"?>
<Relationships xmlns="http://schemas.openxmlformats.org/package/2006/relationships">
<Relationship Id="rId1" Target="lewis/Coverage/Baxter%20International%20(BAX)/BAX.xls" TargetMode="External" Type="http://schemas.microsoft.com/office/2006/relationships/xlExternalLinkPath/xlStartup"/>
</Relationships>

</file>

<file path=xl/externalLinks/_rels/externalLink76.xml.rels><?xml version="1.0" encoding="UTF-8" standalone="yes"?>
<Relationships xmlns="http://schemas.openxmlformats.org/package/2006/relationships">
<Relationship Id="rId1" Target="HEALTH/Tools/Weekly/Industry%20Multiples.xlsm" TargetMode="External" Type="http://schemas.microsoft.com/office/2006/relationships/xlExternalLinkPath/xlAlternateStartup"/>
</Relationships>

</file>

<file path=xl/externalLinks/_rels/externalLink77.xml.rels><?xml version="1.0" encoding="UTF-8" standalone="yes"?>
<Relationships xmlns="http://schemas.openxmlformats.org/package/2006/relationships">
<Relationship Id="rId1" Target="/Users/wachter/AppData/Local/Microsoft/Windows/Temporary%20Internet%20Files/Content.Outlook/WV07L1U9/DentalSuppliesModels_201708.xlsx"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
      <sheetName val="Bio (2)"/>
      <sheetName val="Bio (3)"/>
      <sheetName val="Bio (4)"/>
      <sheetName val="Bio (5)"/>
      <sheetName val="Sheet1"/>
      <sheetName val="Sheet2"/>
      <sheetName val="FF-manpwr"/>
    </sheetNames>
    <sheetDataSet>
      <sheetData sheetId="0" refreshError="1">
        <row r="5">
          <cell r="A5" t="str">
            <v>Present Market Value</v>
          </cell>
        </row>
        <row r="6">
          <cell r="A6" t="str">
            <v>(Dollars in millions except per share data)</v>
          </cell>
        </row>
        <row r="8">
          <cell r="C8" t="str">
            <v>PUBLIC</v>
          </cell>
          <cell r="D8" t="str">
            <v>PUBLIC COMPARABLES(2)</v>
          </cell>
          <cell r="H8" t="str">
            <v>TRANSACTION COMPARABLES</v>
          </cell>
        </row>
        <row r="9">
          <cell r="B9" t="str">
            <v>Target</v>
          </cell>
          <cell r="C9" t="str">
            <v>COMP.</v>
          </cell>
          <cell r="J9" t="str">
            <v xml:space="preserve">J &amp; W </v>
          </cell>
          <cell r="K9" t="str">
            <v xml:space="preserve">Baxter </v>
          </cell>
          <cell r="L9" t="str">
            <v>E. Merck/</v>
          </cell>
        </row>
        <row r="10">
          <cell r="B10" t="str">
            <v>@ Offer</v>
          </cell>
          <cell r="C10" t="str">
            <v xml:space="preserve">AVG (1)  </v>
          </cell>
          <cell r="D10" t="str">
            <v>Fisher</v>
          </cell>
          <cell r="E10" t="str">
            <v>VWR</v>
          </cell>
          <cell r="H10" t="str">
            <v>Cosa Rocas</v>
          </cell>
          <cell r="I10" t="str">
            <v>CMS/ FSE</v>
          </cell>
          <cell r="J10" t="str">
            <v>Scientific</v>
          </cell>
          <cell r="K10" t="str">
            <v>Industrial</v>
          </cell>
          <cell r="L10" t="str">
            <v>VWR Equity Purch.</v>
          </cell>
        </row>
        <row r="12">
          <cell r="A12" t="str">
            <v>Market Value or Offer Price</v>
          </cell>
          <cell r="B12">
            <v>123.12350330737669</v>
          </cell>
          <cell r="D12">
            <v>562.5</v>
          </cell>
          <cell r="E12">
            <v>962.55</v>
          </cell>
          <cell r="H12">
            <v>5.5</v>
          </cell>
          <cell r="I12">
            <v>310</v>
          </cell>
          <cell r="J12">
            <v>35</v>
          </cell>
          <cell r="K12">
            <v>475</v>
          </cell>
          <cell r="L12">
            <v>250.88399999999999</v>
          </cell>
        </row>
        <row r="13">
          <cell r="A13" t="str">
            <v>Total Debt (net) (3)</v>
          </cell>
          <cell r="B13">
            <v>-43.806672424171659</v>
          </cell>
          <cell r="D13">
            <v>843.8</v>
          </cell>
          <cell r="E13">
            <v>232.4</v>
          </cell>
          <cell r="H13">
            <v>1</v>
          </cell>
          <cell r="I13">
            <v>0</v>
          </cell>
          <cell r="J13">
            <v>0</v>
          </cell>
          <cell r="K13">
            <v>0</v>
          </cell>
          <cell r="L13">
            <v>408.1</v>
          </cell>
        </row>
        <row r="14">
          <cell r="A14" t="str">
            <v xml:space="preserve">Market Capitalization </v>
          </cell>
          <cell r="B14">
            <v>79.316830883205029</v>
          </cell>
          <cell r="D14">
            <v>1406.3</v>
          </cell>
          <cell r="E14">
            <v>1194.95</v>
          </cell>
          <cell r="H14">
            <v>6.5</v>
          </cell>
          <cell r="I14">
            <v>310</v>
          </cell>
          <cell r="J14">
            <v>35</v>
          </cell>
          <cell r="K14">
            <v>475</v>
          </cell>
          <cell r="L14">
            <v>658.98400000000004</v>
          </cell>
        </row>
        <row r="15">
          <cell r="A15" t="str">
            <v>Annual Sales 1997</v>
          </cell>
          <cell r="B15">
            <v>72.008708029808247</v>
          </cell>
          <cell r="D15">
            <v>2175.3000000000002</v>
          </cell>
          <cell r="E15">
            <v>1230.2</v>
          </cell>
          <cell r="H15">
            <v>10.6</v>
          </cell>
          <cell r="I15">
            <v>764.6</v>
          </cell>
          <cell r="J15">
            <v>21.2</v>
          </cell>
          <cell r="K15">
            <v>479</v>
          </cell>
          <cell r="L15">
            <v>1066</v>
          </cell>
        </row>
        <row r="16">
          <cell r="A16" t="str">
            <v xml:space="preserve">P/E - 1995  </v>
          </cell>
        </row>
        <row r="17">
          <cell r="A17" t="str">
            <v xml:space="preserve">P/E - 1997  </v>
          </cell>
          <cell r="B17">
            <v>20.52516680159685</v>
          </cell>
          <cell r="C17">
            <v>18.990875803081629</v>
          </cell>
          <cell r="D17">
            <v>11.917372881355933</v>
          </cell>
          <cell r="E17">
            <v>32.547169811320757</v>
          </cell>
          <cell r="H17">
            <v>5.6701030927835054</v>
          </cell>
          <cell r="I17">
            <v>19.62025316455696</v>
          </cell>
          <cell r="J17">
            <v>11.29032258064516</v>
          </cell>
          <cell r="K17">
            <v>21.59090909090909</v>
          </cell>
          <cell r="L17">
            <v>30.299999999999997</v>
          </cell>
        </row>
        <row r="18">
          <cell r="A18" t="str">
            <v>P/E - 1998E</v>
          </cell>
          <cell r="B18">
            <v>15.338354997244787</v>
          </cell>
          <cell r="C18">
            <v>16.877516373793622</v>
          </cell>
          <cell r="D18">
            <v>26.533018867924525</v>
          </cell>
          <cell r="E18">
            <v>25.555555555555554</v>
          </cell>
          <cell r="H18">
            <v>4.9107142857142856</v>
          </cell>
          <cell r="I18">
            <v>23.308270676691727</v>
          </cell>
          <cell r="J18">
            <v>10.416666666666668</v>
          </cell>
          <cell r="K18">
            <v>14.660493827160494</v>
          </cell>
          <cell r="L18">
            <v>12.757894736842106</v>
          </cell>
        </row>
        <row r="19">
          <cell r="A19" t="str">
            <v>P/E - 1999E</v>
          </cell>
          <cell r="B19">
            <v>13.649789138902332</v>
          </cell>
          <cell r="C19">
            <v>12.811435440561425</v>
          </cell>
          <cell r="D19">
            <v>13.14252336448598</v>
          </cell>
          <cell r="E19">
            <v>20.17543859649123</v>
          </cell>
          <cell r="H19" t="str">
            <v>na</v>
          </cell>
          <cell r="I19">
            <v>14.761904761904763</v>
          </cell>
          <cell r="J19">
            <v>9.6106150793650809</v>
          </cell>
          <cell r="K19">
            <v>11.098130841121495</v>
          </cell>
          <cell r="L19">
            <v>8.08</v>
          </cell>
        </row>
        <row r="21">
          <cell r="A21" t="str">
            <v xml:space="preserve">Market Value/ Book Value </v>
          </cell>
          <cell r="B21">
            <v>1.8858988512728747</v>
          </cell>
          <cell r="C21">
            <v>2.1165257419001238</v>
          </cell>
          <cell r="D21">
            <v>-1.5818335208098986</v>
          </cell>
          <cell r="E21">
            <v>2.814473684210526</v>
          </cell>
          <cell r="H21">
            <v>1.9642857142857144</v>
          </cell>
          <cell r="I21">
            <v>1.2291831879460746</v>
          </cell>
          <cell r="J21">
            <v>1.8041237113402062</v>
          </cell>
          <cell r="K21">
            <v>6.4189189189189193</v>
          </cell>
          <cell r="L21">
            <v>2.1665284974093262</v>
          </cell>
        </row>
        <row r="22">
          <cell r="A22" t="str">
            <v>Market Cap/ Annual Sales</v>
          </cell>
          <cell r="B22">
            <v>1.1014894316722299</v>
          </cell>
          <cell r="C22">
            <v>0.84246521368052796</v>
          </cell>
          <cell r="D22">
            <v>0.64648554222406096</v>
          </cell>
          <cell r="E22">
            <v>0.97134612258169406</v>
          </cell>
          <cell r="H22">
            <v>0.6132075471698113</v>
          </cell>
          <cell r="I22">
            <v>0.40544075333507718</v>
          </cell>
          <cell r="J22">
            <v>1.6509433962264151</v>
          </cell>
          <cell r="K22">
            <v>0.99164926931106467</v>
          </cell>
          <cell r="L22">
            <v>0.61818386491557231</v>
          </cell>
        </row>
        <row r="23">
          <cell r="A23" t="str">
            <v>Market Cap/1997 EBIT</v>
          </cell>
          <cell r="B23">
            <v>8.328183563424167</v>
          </cell>
          <cell r="C23">
            <v>11.347888984485635</v>
          </cell>
          <cell r="D23">
            <v>12.973247232472323</v>
          </cell>
          <cell r="E23">
            <v>15.458602846054335</v>
          </cell>
          <cell r="H23">
            <v>5</v>
          </cell>
          <cell r="I23">
            <v>14.485981308411215</v>
          </cell>
          <cell r="J23">
            <v>6.7307692307692308</v>
          </cell>
          <cell r="K23">
            <v>10.795454545454545</v>
          </cell>
          <cell r="L23">
            <v>13.991167728237793</v>
          </cell>
        </row>
        <row r="24">
          <cell r="A24" t="str">
            <v>Market Cap/1997  EBITDA</v>
          </cell>
          <cell r="B24">
            <v>7.7583655034326382</v>
          </cell>
          <cell r="C24">
            <v>8.8797536968242294</v>
          </cell>
          <cell r="D24">
            <v>9.0495495495495497</v>
          </cell>
          <cell r="E24">
            <v>12.033736153071501</v>
          </cell>
          <cell r="H24">
            <v>4.6428571428571432</v>
          </cell>
          <cell r="I24">
            <v>8.7570621468926557</v>
          </cell>
          <cell r="J24">
            <v>5.7377049180327875</v>
          </cell>
          <cell r="K24">
            <v>10.416666666666666</v>
          </cell>
          <cell r="L24">
            <v>11.520699300699301</v>
          </cell>
        </row>
        <row r="25">
          <cell r="A25" t="str">
            <v>Market Cap/1998 EBIT</v>
          </cell>
          <cell r="B25">
            <v>7.63972247777241</v>
          </cell>
          <cell r="C25">
            <v>7.949698111747316</v>
          </cell>
          <cell r="D25">
            <v>9.4956110735989192</v>
          </cell>
          <cell r="E25">
            <v>13.687857961053838</v>
          </cell>
          <cell r="H25">
            <v>3.8235294117647061</v>
          </cell>
          <cell r="I25">
            <v>9.1715976331360949</v>
          </cell>
          <cell r="J25">
            <v>6.25</v>
          </cell>
          <cell r="K25">
            <v>7.3302469135802468</v>
          </cell>
          <cell r="L25">
            <v>5.8890437890974088</v>
          </cell>
        </row>
        <row r="26">
          <cell r="A26" t="str">
            <v>Market Cap/1998 EBITDA</v>
          </cell>
          <cell r="B26">
            <v>7.1150894065699646</v>
          </cell>
          <cell r="C26">
            <v>6.4657417325103301</v>
          </cell>
          <cell r="D26">
            <v>7.0279860069965014</v>
          </cell>
          <cell r="E26">
            <v>10.833635539437898</v>
          </cell>
          <cell r="H26">
            <v>3.6111111111111112</v>
          </cell>
          <cell r="I26">
            <v>6.485355648535565</v>
          </cell>
          <cell r="J26">
            <v>5.384615384615385</v>
          </cell>
          <cell r="K26">
            <v>7.0684523809523805</v>
          </cell>
          <cell r="L26">
            <v>4.8490360559234729</v>
          </cell>
        </row>
        <row r="27">
          <cell r="A27" t="str">
            <v>Market Cap/1999 EBIT</v>
          </cell>
          <cell r="B27">
            <v>6.8077486250560355</v>
          </cell>
          <cell r="C27">
            <v>7.7663158778228114</v>
          </cell>
          <cell r="D27">
            <v>9.2763852242744065</v>
          </cell>
          <cell r="E27">
            <v>11.413085004775549</v>
          </cell>
          <cell r="H27" t="str">
            <v>na</v>
          </cell>
          <cell r="I27">
            <v>10.898976412995106</v>
          </cell>
          <cell r="J27">
            <v>5.7294051434676447</v>
          </cell>
          <cell r="K27">
            <v>5.5490654205607477</v>
          </cell>
          <cell r="L27">
            <v>3.7309780608634115</v>
          </cell>
        </row>
        <row r="28">
          <cell r="A28" t="str">
            <v>Market Cap/1999 EBITDA</v>
          </cell>
          <cell r="B28">
            <v>6.3403612624054064</v>
          </cell>
          <cell r="C28">
            <v>5.9545385789637573</v>
          </cell>
          <cell r="D28">
            <v>6.6147695202257761</v>
          </cell>
          <cell r="E28">
            <v>9.2131842713955301</v>
          </cell>
          <cell r="H28" t="str">
            <v>na</v>
          </cell>
          <cell r="I28">
            <v>6.5886467581382835</v>
          </cell>
          <cell r="J28">
            <v>4.8840830731199594</v>
          </cell>
          <cell r="K28">
            <v>5.3543613707165116</v>
          </cell>
          <cell r="L28">
            <v>3.0721864801864802</v>
          </cell>
        </row>
        <row r="30">
          <cell r="A30" t="str">
            <v>Acquisition of Stock</v>
          </cell>
          <cell r="F30" t="str">
            <v>Target Assumptions</v>
          </cell>
        </row>
        <row r="31">
          <cell r="A31" t="str">
            <v>Accretion/(Dilution) To FSH</v>
          </cell>
          <cell r="F31" t="str">
            <v xml:space="preserve">Sales 5 Yr. CAGR </v>
          </cell>
          <cell r="I31">
            <v>7.0000000000000062E-2</v>
          </cell>
        </row>
        <row r="32">
          <cell r="F32" t="str">
            <v>Tax Rate</v>
          </cell>
          <cell r="I32">
            <v>0.4</v>
          </cell>
        </row>
        <row r="33">
          <cell r="B33">
            <v>1998</v>
          </cell>
          <cell r="C33">
            <v>1999</v>
          </cell>
          <cell r="D33">
            <v>2000</v>
          </cell>
          <cell r="F33" t="str">
            <v>Purchase Multiple of 1997 EBIT:</v>
          </cell>
          <cell r="I33">
            <v>8.328183563424167</v>
          </cell>
        </row>
        <row r="34">
          <cell r="A34" t="str">
            <v>Cash for Stock (Debt Financing) (4)</v>
          </cell>
          <cell r="F34" t="str">
            <v>Terminal Multiple of 2002E EBIT:</v>
          </cell>
          <cell r="I34">
            <v>7.204202264628802</v>
          </cell>
        </row>
        <row r="35">
          <cell r="A35" t="str">
            <v xml:space="preserve">            Incremental Net income (chk with Bob)</v>
          </cell>
          <cell r="B35">
            <v>-0.93498943367478837</v>
          </cell>
          <cell r="C35">
            <v>5.8021980701662201E-2</v>
          </cell>
          <cell r="D35">
            <v>1.2004916335835834</v>
          </cell>
        </row>
        <row r="36">
          <cell r="A36" t="str">
            <v xml:space="preserve">            Per share</v>
          </cell>
          <cell r="B36">
            <v>-2.3374735841869665E-2</v>
          </cell>
          <cell r="C36">
            <v>1.4505495175416439E-3</v>
          </cell>
          <cell r="D36">
            <v>3.0012290839589451E-2</v>
          </cell>
          <cell r="F36" t="str">
            <v>Fisher Assumptions</v>
          </cell>
        </row>
        <row r="37">
          <cell r="A37" t="str">
            <v xml:space="preserve">            Dilution Threshold</v>
          </cell>
          <cell r="B37">
            <v>0</v>
          </cell>
          <cell r="C37">
            <v>0</v>
          </cell>
          <cell r="D37">
            <v>0</v>
          </cell>
          <cell r="F37" t="str">
            <v>Tax rate</v>
          </cell>
          <cell r="I37">
            <v>0.4</v>
          </cell>
        </row>
        <row r="38">
          <cell r="F38" t="str">
            <v>Debt financing cost</v>
          </cell>
          <cell r="I38">
            <v>0.09</v>
          </cell>
        </row>
        <row r="39">
          <cell r="A39" t="str">
            <v>Stock for Stock (Purchase)</v>
          </cell>
          <cell r="D39" t="str">
            <v xml:space="preserve"> </v>
          </cell>
          <cell r="F39" t="str">
            <v>Goodwill amortization (Years)</v>
          </cell>
          <cell r="I39">
            <v>25</v>
          </cell>
        </row>
        <row r="40">
          <cell r="A40" t="str">
            <v xml:space="preserve">            Incremental Net income</v>
          </cell>
          <cell r="B40">
            <v>5.713679744923553</v>
          </cell>
          <cell r="C40">
            <v>6.7066911593000036</v>
          </cell>
          <cell r="D40">
            <v>7.8491608121819247</v>
          </cell>
          <cell r="F40" t="str">
            <v>Goodwill Tax Deductible</v>
          </cell>
          <cell r="I40" t="str">
            <v>No</v>
          </cell>
        </row>
        <row r="41">
          <cell r="A41" t="str">
            <v xml:space="preserve">            Per share</v>
          </cell>
          <cell r="B41">
            <v>2.2013779555791091E-2</v>
          </cell>
          <cell r="C41">
            <v>-5.4591629269827857E-2</v>
          </cell>
          <cell r="D41">
            <v>-0.12543788746897855</v>
          </cell>
        </row>
        <row r="42">
          <cell r="A42" t="str">
            <v xml:space="preserve">            Dilution Threshold</v>
          </cell>
          <cell r="B42">
            <v>0</v>
          </cell>
          <cell r="C42">
            <v>0</v>
          </cell>
          <cell r="D42">
            <v>0</v>
          </cell>
          <cell r="I42">
            <v>1998</v>
          </cell>
          <cell r="J42">
            <v>1999</v>
          </cell>
          <cell r="K42">
            <v>2000</v>
          </cell>
        </row>
        <row r="43">
          <cell r="F43" t="str">
            <v>EBIT</v>
          </cell>
          <cell r="I43">
            <v>10.382161277975143</v>
          </cell>
          <cell r="J43">
            <v>11.65096351990408</v>
          </cell>
          <cell r="K43">
            <v>13.0464277509508</v>
          </cell>
        </row>
        <row r="44">
          <cell r="F44" t="str">
            <v>Depreciation &amp; Amortization</v>
          </cell>
          <cell r="I44">
            <v>0.76553151278094744</v>
          </cell>
          <cell r="J44">
            <v>0.85886480068499138</v>
          </cell>
          <cell r="K44">
            <v>0.95085718078720227</v>
          </cell>
        </row>
        <row r="45">
          <cell r="A45" t="str">
            <v>IRR @</v>
          </cell>
          <cell r="B45">
            <v>79.316830883205029</v>
          </cell>
          <cell r="C45" t="str">
            <v>*    equals:</v>
          </cell>
          <cell r="D45">
            <v>0.1455104494284723</v>
          </cell>
          <cell r="F45" t="str">
            <v xml:space="preserve">Working Capital </v>
          </cell>
          <cell r="I45">
            <v>-1.254072741210507</v>
          </cell>
          <cell r="J45">
            <v>-1.3438219478321969</v>
          </cell>
          <cell r="K45">
            <v>-1.4380477381261798</v>
          </cell>
        </row>
        <row r="46">
          <cell r="F46" t="str">
            <v>Capex</v>
          </cell>
          <cell r="I46">
            <v>-1.1557397638784226</v>
          </cell>
          <cell r="J46">
            <v>-1.2366415473499122</v>
          </cell>
          <cell r="K46">
            <v>-1.3232064556644063</v>
          </cell>
        </row>
        <row r="47">
          <cell r="A47" t="str">
            <v>PV @</v>
          </cell>
          <cell r="B47">
            <v>0.15</v>
          </cell>
          <cell r="C47" t="str">
            <v>equals:</v>
          </cell>
          <cell r="D47">
            <v>77.935092001174382</v>
          </cell>
          <cell r="F47" t="str">
            <v>Purchase Accounting Outflows</v>
          </cell>
          <cell r="I47">
            <v>0</v>
          </cell>
          <cell r="J47">
            <v>0</v>
          </cell>
          <cell r="K47">
            <v>0</v>
          </cell>
        </row>
        <row r="48">
          <cell r="A48" t="str">
            <v>NPV @</v>
          </cell>
          <cell r="B48">
            <v>0.15</v>
          </cell>
          <cell r="C48" t="str">
            <v>equals:</v>
          </cell>
          <cell r="D48">
            <v>-1.3817388820306462</v>
          </cell>
          <cell r="F48" t="str">
            <v>Free Cash Flow</v>
          </cell>
          <cell r="I48">
            <v>8.7378802856671616</v>
          </cell>
          <cell r="J48">
            <v>9.929364825406962</v>
          </cell>
          <cell r="K48">
            <v>11.236030737947416</v>
          </cell>
        </row>
        <row r="49">
          <cell r="F49" t="str">
            <v>Interest (after tax)</v>
          </cell>
          <cell r="I49">
            <v>-4.2831088676930715</v>
          </cell>
          <cell r="J49">
            <v>-4.2668058947267342</v>
          </cell>
          <cell r="K49">
            <v>-4.2126885244999297</v>
          </cell>
        </row>
        <row r="50">
          <cell r="B50" t="str">
            <v>* Unlevered</v>
          </cell>
          <cell r="F50" t="str">
            <v>Taxes</v>
          </cell>
          <cell r="I50">
            <v>-4.1528645111900575</v>
          </cell>
          <cell r="J50">
            <v>-4.6603854079616323</v>
          </cell>
          <cell r="K50">
            <v>-5.2185711003803199</v>
          </cell>
        </row>
        <row r="51">
          <cell r="F51" t="str">
            <v>Excess Cash Flow</v>
          </cell>
          <cell r="I51">
            <v>0.30190690678403254</v>
          </cell>
          <cell r="J51">
            <v>1.0021735227185955</v>
          </cell>
          <cell r="K51">
            <v>1.8047711130671669</v>
          </cell>
        </row>
        <row r="52">
          <cell r="A52" t="str">
            <v>Fisher 1997 = Target 1998</v>
          </cell>
        </row>
        <row r="54">
          <cell r="A54" t="str">
            <v>(1) Average multiples include all figures.</v>
          </cell>
        </row>
        <row r="55">
          <cell r="A55" t="str">
            <v>(2) Excludes extraordinary items.  Balance sheet data as of latest quarter.  All data sourced from SEC filings and company earnings releases.</v>
          </cell>
        </row>
        <row r="56">
          <cell r="A56" t="str">
            <v xml:space="preserve">(3) Includes debt less cash.  Target balance sheet estimated as of 06/30/98.  </v>
          </cell>
        </row>
        <row r="57">
          <cell r="A57" t="str">
            <v>(4) Consideration: 100% Debt.</v>
          </cell>
        </row>
        <row r="58">
          <cell r="A58" t="str">
            <v>Present Market Value</v>
          </cell>
        </row>
        <row r="59">
          <cell r="A59" t="str">
            <v>(U.S. $ in millions except per share amounts)</v>
          </cell>
        </row>
        <row r="61">
          <cell r="D61" t="str">
            <v>PUBLIC COMPARABLES(1)</v>
          </cell>
          <cell r="H61" t="str">
            <v>TRANSACTION COMPARABLES</v>
          </cell>
        </row>
        <row r="62">
          <cell r="B62" t="str">
            <v>Target</v>
          </cell>
          <cell r="J62" t="str">
            <v xml:space="preserve">J &amp; W </v>
          </cell>
          <cell r="K62" t="str">
            <v>Baxter</v>
          </cell>
          <cell r="L62" t="str">
            <v>E. Merck/</v>
          </cell>
        </row>
        <row r="63">
          <cell r="A63" t="str">
            <v xml:space="preserve"> </v>
          </cell>
          <cell r="B63" t="str">
            <v>@ Offer</v>
          </cell>
          <cell r="D63" t="str">
            <v>Fisher</v>
          </cell>
          <cell r="E63" t="str">
            <v>VWR</v>
          </cell>
          <cell r="H63" t="str">
            <v>Cosa Rocas</v>
          </cell>
          <cell r="I63" t="str">
            <v>CMS/ FSE</v>
          </cell>
          <cell r="J63" t="str">
            <v>Scientific</v>
          </cell>
          <cell r="K63" t="str">
            <v>Industrial</v>
          </cell>
          <cell r="L63" t="str">
            <v>VWR Equity Purch.</v>
          </cell>
        </row>
        <row r="64">
          <cell r="D64" t="str">
            <v xml:space="preserve"> </v>
          </cell>
        </row>
        <row r="65">
          <cell r="A65" t="str">
            <v>Offer price per share</v>
          </cell>
          <cell r="B65">
            <v>60.118898099305028</v>
          </cell>
          <cell r="D65">
            <v>14.0625</v>
          </cell>
          <cell r="E65">
            <v>34.5</v>
          </cell>
          <cell r="H65">
            <v>5.5</v>
          </cell>
          <cell r="I65">
            <v>310</v>
          </cell>
          <cell r="J65">
            <v>35</v>
          </cell>
          <cell r="K65">
            <v>475</v>
          </cell>
          <cell r="L65">
            <v>12.12</v>
          </cell>
        </row>
        <row r="66">
          <cell r="A66" t="str">
            <v>Shares Outstanding (mms)</v>
          </cell>
          <cell r="B66">
            <v>2.048</v>
          </cell>
          <cell r="D66">
            <v>40</v>
          </cell>
          <cell r="E66">
            <v>27.9</v>
          </cell>
          <cell r="H66">
            <v>1</v>
          </cell>
          <cell r="I66" t="str">
            <v>n/a</v>
          </cell>
          <cell r="J66">
            <v>1</v>
          </cell>
          <cell r="K66" t="str">
            <v>n/a</v>
          </cell>
          <cell r="L66">
            <v>20.7</v>
          </cell>
        </row>
        <row r="68">
          <cell r="A68" t="str">
            <v>EPS - 1997</v>
          </cell>
          <cell r="B68">
            <v>2.9290333511261792</v>
          </cell>
          <cell r="D68">
            <v>1.18</v>
          </cell>
          <cell r="E68">
            <v>1.06</v>
          </cell>
          <cell r="H68">
            <v>0.97</v>
          </cell>
          <cell r="I68">
            <v>15.8</v>
          </cell>
          <cell r="J68">
            <v>3.1</v>
          </cell>
          <cell r="K68">
            <v>22</v>
          </cell>
          <cell r="L68">
            <v>0.4</v>
          </cell>
        </row>
        <row r="69">
          <cell r="A69" t="str">
            <v xml:space="preserve">EPS - 1998E </v>
          </cell>
          <cell r="B69">
            <v>3.9195140619775799</v>
          </cell>
          <cell r="D69">
            <v>0.53</v>
          </cell>
          <cell r="E69">
            <v>1.35</v>
          </cell>
          <cell r="H69">
            <v>1.1200000000000001</v>
          </cell>
          <cell r="I69">
            <v>13.3</v>
          </cell>
          <cell r="J69">
            <v>3.36</v>
          </cell>
          <cell r="K69">
            <v>32.4</v>
          </cell>
          <cell r="L69">
            <v>0.95</v>
          </cell>
        </row>
        <row r="70">
          <cell r="A70" t="str">
            <v>EPS - 1999E</v>
          </cell>
          <cell r="B70">
            <v>4.4043829166535815</v>
          </cell>
          <cell r="D70">
            <v>1.07</v>
          </cell>
          <cell r="E70">
            <v>1.71</v>
          </cell>
          <cell r="H70" t="str">
            <v>na</v>
          </cell>
          <cell r="I70">
            <v>21</v>
          </cell>
          <cell r="J70">
            <v>3.6418064516129025</v>
          </cell>
          <cell r="K70">
            <v>42.8</v>
          </cell>
          <cell r="L70">
            <v>1.5</v>
          </cell>
        </row>
        <row r="72">
          <cell r="A72" t="str">
            <v>Annual Sales (1997)</v>
          </cell>
          <cell r="B72">
            <v>72.008708029808247</v>
          </cell>
          <cell r="D72">
            <v>2175.3000000000002</v>
          </cell>
          <cell r="E72">
            <v>1230.2</v>
          </cell>
          <cell r="H72">
            <v>10.6</v>
          </cell>
          <cell r="I72">
            <v>764.6</v>
          </cell>
          <cell r="J72">
            <v>21.2</v>
          </cell>
          <cell r="K72">
            <v>479</v>
          </cell>
          <cell r="L72">
            <v>1066</v>
          </cell>
        </row>
        <row r="73">
          <cell r="A73" t="str">
            <v>1997 EBIT</v>
          </cell>
          <cell r="B73">
            <v>9.5239052164447724</v>
          </cell>
          <cell r="D73">
            <v>108.4</v>
          </cell>
          <cell r="E73">
            <v>77.3</v>
          </cell>
          <cell r="H73">
            <v>1.3</v>
          </cell>
          <cell r="I73">
            <v>21.4</v>
          </cell>
          <cell r="J73">
            <v>5.2</v>
          </cell>
          <cell r="K73">
            <v>44</v>
          </cell>
          <cell r="L73">
            <v>47.1</v>
          </cell>
        </row>
        <row r="74">
          <cell r="A74" t="str">
            <v>1997 EBITDA</v>
          </cell>
          <cell r="B74">
            <v>10.223394457004096</v>
          </cell>
          <cell r="D74">
            <v>155.4</v>
          </cell>
          <cell r="E74">
            <v>99.3</v>
          </cell>
          <cell r="H74">
            <v>1.4</v>
          </cell>
          <cell r="I74">
            <v>35.4</v>
          </cell>
          <cell r="J74">
            <v>6.1</v>
          </cell>
          <cell r="K74">
            <v>45.6</v>
          </cell>
          <cell r="L74">
            <v>57.2</v>
          </cell>
        </row>
        <row r="75">
          <cell r="A75" t="str">
            <v>1998 EBIT</v>
          </cell>
          <cell r="B75">
            <v>10.382161277975143</v>
          </cell>
          <cell r="D75">
            <v>148.1</v>
          </cell>
          <cell r="E75">
            <v>87.3</v>
          </cell>
          <cell r="H75">
            <v>1.7</v>
          </cell>
          <cell r="I75">
            <v>33.799999999999997</v>
          </cell>
          <cell r="J75">
            <v>5.6</v>
          </cell>
          <cell r="K75">
            <v>64.8</v>
          </cell>
          <cell r="L75">
            <v>111.9</v>
          </cell>
        </row>
        <row r="76">
          <cell r="A76" t="str">
            <v>1998 EBITDA</v>
          </cell>
          <cell r="B76">
            <v>11.147692790756091</v>
          </cell>
          <cell r="D76">
            <v>200.1</v>
          </cell>
          <cell r="E76">
            <v>110.3</v>
          </cell>
          <cell r="H76">
            <v>1.8</v>
          </cell>
          <cell r="I76">
            <v>47.8</v>
          </cell>
          <cell r="J76">
            <v>6.5</v>
          </cell>
          <cell r="K76">
            <v>67.2</v>
          </cell>
          <cell r="L76">
            <v>135.9</v>
          </cell>
        </row>
        <row r="77">
          <cell r="A77" t="str">
            <v>1999 EBIT</v>
          </cell>
          <cell r="B77">
            <v>11.65096351990408</v>
          </cell>
          <cell r="D77">
            <v>151.6</v>
          </cell>
          <cell r="E77">
            <v>104.7</v>
          </cell>
          <cell r="H77" t="str">
            <v>na</v>
          </cell>
          <cell r="I77">
            <v>28.443037974683541</v>
          </cell>
          <cell r="J77">
            <v>6.1088366285119653</v>
          </cell>
          <cell r="K77">
            <v>85.6</v>
          </cell>
          <cell r="L77">
            <v>176.625</v>
          </cell>
        </row>
        <row r="78">
          <cell r="A78" t="str">
            <v>1999 EBITDA</v>
          </cell>
          <cell r="B78">
            <v>12.509828320589071</v>
          </cell>
          <cell r="D78">
            <v>212.6</v>
          </cell>
          <cell r="E78">
            <v>129.69999999999999</v>
          </cell>
          <cell r="H78" t="str">
            <v>na</v>
          </cell>
          <cell r="I78">
            <v>47.050632911392405</v>
          </cell>
          <cell r="J78">
            <v>7.1661352757544208</v>
          </cell>
          <cell r="K78">
            <v>88.712727272727264</v>
          </cell>
          <cell r="L78">
            <v>214.5</v>
          </cell>
        </row>
        <row r="79">
          <cell r="A79" t="str">
            <v>Depreciation &amp; Amortization (1997)</v>
          </cell>
          <cell r="B79">
            <v>0.69948924055932338</v>
          </cell>
          <cell r="D79">
            <v>47</v>
          </cell>
          <cell r="E79">
            <v>22</v>
          </cell>
          <cell r="H79">
            <v>0.8</v>
          </cell>
          <cell r="I79">
            <v>14</v>
          </cell>
          <cell r="J79">
            <v>0.9</v>
          </cell>
          <cell r="K79" t="str">
            <v>n/a</v>
          </cell>
          <cell r="L79">
            <v>9.8000000000000007</v>
          </cell>
        </row>
        <row r="80">
          <cell r="A80" t="str">
            <v>Book Value (1997)</v>
          </cell>
          <cell r="B80">
            <v>65.286376957213434</v>
          </cell>
          <cell r="D80">
            <v>-355.6</v>
          </cell>
          <cell r="E80">
            <v>342</v>
          </cell>
          <cell r="H80">
            <v>2.8</v>
          </cell>
          <cell r="I80">
            <v>252.2</v>
          </cell>
          <cell r="J80">
            <v>19.399999999999999</v>
          </cell>
          <cell r="K80">
            <v>74</v>
          </cell>
          <cell r="L80">
            <v>115.8</v>
          </cell>
        </row>
        <row r="82">
          <cell r="A82" t="str">
            <v>(1) Excludes extraordinary items.  Balance sheet data as of latest quarter.  All data sourced from SEC filings and company earnings releases.</v>
          </cell>
        </row>
        <row r="84">
          <cell r="A84" t="str">
            <v>EPS Analysis</v>
          </cell>
        </row>
        <row r="86">
          <cell r="B86" t="str">
            <v>Acquisition of 100% Of Stock</v>
          </cell>
        </row>
        <row r="87">
          <cell r="A87" t="str">
            <v xml:space="preserve"> </v>
          </cell>
          <cell r="B87" t="str">
            <v xml:space="preserve">        Debt (1)</v>
          </cell>
          <cell r="F87" t="str">
            <v xml:space="preserve">          Stock (Purchase)</v>
          </cell>
          <cell r="J87" t="str">
            <v>Debt Balance</v>
          </cell>
        </row>
        <row r="88">
          <cell r="B88">
            <v>1998</v>
          </cell>
          <cell r="C88">
            <v>1999</v>
          </cell>
          <cell r="D88">
            <v>2000</v>
          </cell>
          <cell r="E88" t="str">
            <v>CAGR</v>
          </cell>
          <cell r="F88">
            <v>1998</v>
          </cell>
          <cell r="G88">
            <v>1999</v>
          </cell>
          <cell r="H88">
            <v>2000</v>
          </cell>
          <cell r="J88">
            <v>1998</v>
          </cell>
          <cell r="K88">
            <v>1999</v>
          </cell>
          <cell r="L88">
            <v>2000</v>
          </cell>
        </row>
        <row r="89">
          <cell r="A89" t="str">
            <v>Net Income (mm)</v>
          </cell>
          <cell r="B89">
            <v>8.0271647989300838</v>
          </cell>
          <cell r="C89">
            <v>9.0201762133065344</v>
          </cell>
          <cell r="D89">
            <v>10.162645866188456</v>
          </cell>
          <cell r="E89">
            <v>0.12518078364180929</v>
          </cell>
          <cell r="F89">
            <v>8.0271647989300838</v>
          </cell>
          <cell r="G89">
            <v>9.0201762133065344</v>
          </cell>
          <cell r="H89">
            <v>10.162645866188456</v>
          </cell>
          <cell r="J89">
            <v>79.316830883205029</v>
          </cell>
          <cell r="K89">
            <v>79.014923976421002</v>
          </cell>
          <cell r="L89">
            <v>78.012750453702409</v>
          </cell>
        </row>
        <row r="90">
          <cell r="A90" t="str">
            <v>Incremental Goodwill Amortization</v>
          </cell>
          <cell r="B90">
            <v>-2.3134850540065304</v>
          </cell>
          <cell r="C90">
            <v>-2.3134850540065304</v>
          </cell>
          <cell r="D90">
            <v>-2.3134850540065304</v>
          </cell>
          <cell r="F90">
            <v>-2.3134850540065304</v>
          </cell>
          <cell r="G90">
            <v>-2.3134850540065304</v>
          </cell>
          <cell r="H90">
            <v>-2.3134850540065304</v>
          </cell>
        </row>
        <row r="91">
          <cell r="A91" t="str">
            <v>Interest on Debt (after tax)</v>
          </cell>
          <cell r="B91">
            <v>-6.6486691785983414</v>
          </cell>
          <cell r="C91">
            <v>-6.6486691785983414</v>
          </cell>
          <cell r="D91">
            <v>-6.6486691785983414</v>
          </cell>
          <cell r="F91">
            <v>0</v>
          </cell>
          <cell r="G91">
            <v>0</v>
          </cell>
          <cell r="H91">
            <v>0</v>
          </cell>
        </row>
        <row r="92">
          <cell r="A92" t="str">
            <v>Incremental Net Income</v>
          </cell>
          <cell r="B92">
            <v>-0.93498943367478837</v>
          </cell>
          <cell r="C92">
            <v>5.8021980701662201E-2</v>
          </cell>
          <cell r="D92">
            <v>1.2004916335835834</v>
          </cell>
          <cell r="F92">
            <v>5.713679744923553</v>
          </cell>
          <cell r="G92">
            <v>6.7066911593000036</v>
          </cell>
          <cell r="H92">
            <v>7.8491608121819247</v>
          </cell>
        </row>
        <row r="93">
          <cell r="A93" t="str">
            <v>Fisher Fully-Diluted Net Income</v>
          </cell>
          <cell r="B93">
            <v>21.200000000000003</v>
          </cell>
          <cell r="C93">
            <v>42.800000000000004</v>
          </cell>
          <cell r="D93">
            <v>63.8</v>
          </cell>
          <cell r="E93">
            <v>0.7347720202563075</v>
          </cell>
          <cell r="F93">
            <v>21.200000000000003</v>
          </cell>
          <cell r="G93">
            <v>42.800000000000004</v>
          </cell>
          <cell r="H93">
            <v>63.8</v>
          </cell>
        </row>
        <row r="94">
          <cell r="A94" t="str">
            <v>Total Net Income</v>
          </cell>
          <cell r="B94">
            <v>20.265010566325216</v>
          </cell>
          <cell r="C94">
            <v>42.858021980701665</v>
          </cell>
          <cell r="D94">
            <v>65.000491633583579</v>
          </cell>
          <cell r="F94">
            <v>26.913679744923556</v>
          </cell>
          <cell r="G94">
            <v>49.506691159300004</v>
          </cell>
          <cell r="H94">
            <v>71.649160812181918</v>
          </cell>
        </row>
        <row r="95">
          <cell r="A95" t="str">
            <v>Fisher Shares (fully diluted) - pre-Acq.</v>
          </cell>
          <cell r="B95">
            <v>40</v>
          </cell>
          <cell r="C95">
            <v>40</v>
          </cell>
          <cell r="D95">
            <v>40</v>
          </cell>
          <cell r="F95">
            <v>40</v>
          </cell>
          <cell r="G95">
            <v>40</v>
          </cell>
          <cell r="H95">
            <v>40</v>
          </cell>
        </row>
        <row r="96">
          <cell r="A96" t="str">
            <v>Fisher Shares  issued - Acq. Currency</v>
          </cell>
          <cell r="B96">
            <v>0</v>
          </cell>
          <cell r="C96">
            <v>0</v>
          </cell>
          <cell r="D96">
            <v>0</v>
          </cell>
          <cell r="F96">
            <v>8.7554491240801209</v>
          </cell>
          <cell r="G96">
            <v>8.7554491240801209</v>
          </cell>
          <cell r="H96">
            <v>8.7554491240801209</v>
          </cell>
        </row>
        <row r="97">
          <cell r="A97" t="str">
            <v>Total Shares (pro forma for acquisition)</v>
          </cell>
          <cell r="B97">
            <v>40</v>
          </cell>
          <cell r="C97">
            <v>40</v>
          </cell>
          <cell r="D97">
            <v>40</v>
          </cell>
          <cell r="F97">
            <v>48.755449124080123</v>
          </cell>
          <cell r="G97">
            <v>48.755449124080123</v>
          </cell>
          <cell r="H97">
            <v>48.755449124080123</v>
          </cell>
        </row>
        <row r="98">
          <cell r="A98" t="str">
            <v>Fisher EPS (pro forma for acquisition)</v>
          </cell>
          <cell r="B98">
            <v>0.50662526415813036</v>
          </cell>
          <cell r="C98">
            <v>1.0714505495175417</v>
          </cell>
          <cell r="D98">
            <v>1.6250122908395894</v>
          </cell>
          <cell r="F98">
            <v>0.55201377955579112</v>
          </cell>
          <cell r="G98">
            <v>1.0154083707301722</v>
          </cell>
          <cell r="H98">
            <v>1.4695621125310214</v>
          </cell>
        </row>
        <row r="99">
          <cell r="A99" t="str">
            <v>Accretion (Dilution) per share</v>
          </cell>
          <cell r="B99">
            <v>-2.3374735841869665E-2</v>
          </cell>
          <cell r="C99">
            <v>1.4505495175416439E-3</v>
          </cell>
          <cell r="D99">
            <v>3.0012290839589451E-2</v>
          </cell>
          <cell r="F99">
            <v>2.2013779555791091E-2</v>
          </cell>
          <cell r="G99">
            <v>-5.4591629269827857E-2</v>
          </cell>
          <cell r="H99">
            <v>-0.12543788746897855</v>
          </cell>
        </row>
        <row r="101">
          <cell r="A101" t="str">
            <v>Goodwill Calculation</v>
          </cell>
        </row>
        <row r="102">
          <cell r="A102" t="str">
            <v>Purchase Price of Equity</v>
          </cell>
          <cell r="B102">
            <v>123.12350330737669</v>
          </cell>
          <cell r="C102">
            <v>123.12350330737669</v>
          </cell>
          <cell r="D102">
            <v>123.12350330737669</v>
          </cell>
          <cell r="F102">
            <v>123.12350330737669</v>
          </cell>
          <cell r="G102">
            <v>123.12350330737669</v>
          </cell>
          <cell r="H102">
            <v>123.12350330737669</v>
          </cell>
        </row>
        <row r="103">
          <cell r="A103" t="str">
            <v>Add Purchase Accounting</v>
          </cell>
          <cell r="B103">
            <v>0</v>
          </cell>
          <cell r="F103">
            <v>0</v>
          </cell>
        </row>
        <row r="104">
          <cell r="A104" t="str">
            <v>Less Net BV of Assets</v>
          </cell>
          <cell r="B104">
            <v>65.286376957213434</v>
          </cell>
          <cell r="C104">
            <v>65.286376957213434</v>
          </cell>
          <cell r="D104">
            <v>65.286376957213434</v>
          </cell>
          <cell r="F104">
            <v>65.286376957213434</v>
          </cell>
          <cell r="G104">
            <v>65.286376957213434</v>
          </cell>
          <cell r="H104">
            <v>65.286376957213434</v>
          </cell>
        </row>
        <row r="105">
          <cell r="A105" t="str">
            <v>Less Asset Write-up</v>
          </cell>
          <cell r="B105">
            <v>0</v>
          </cell>
          <cell r="C105">
            <v>0</v>
          </cell>
          <cell r="D105">
            <v>0</v>
          </cell>
          <cell r="F105">
            <v>0</v>
          </cell>
          <cell r="G105">
            <v>0</v>
          </cell>
          <cell r="H105">
            <v>0</v>
          </cell>
        </row>
        <row r="106">
          <cell r="A106" t="str">
            <v>Total Goodwill</v>
          </cell>
          <cell r="B106">
            <v>57.83712635016326</v>
          </cell>
          <cell r="C106">
            <v>57.83712635016326</v>
          </cell>
          <cell r="D106">
            <v>57.83712635016326</v>
          </cell>
          <cell r="F106">
            <v>57.83712635016326</v>
          </cell>
          <cell r="G106">
            <v>57.83712635016326</v>
          </cell>
          <cell r="H106">
            <v>57.83712635016326</v>
          </cell>
        </row>
        <row r="108">
          <cell r="A108" t="str">
            <v xml:space="preserve">Total Annual Goodwill Expense </v>
          </cell>
          <cell r="B108">
            <v>2.3134850540065304</v>
          </cell>
          <cell r="C108">
            <v>2.3134850540065304</v>
          </cell>
          <cell r="D108">
            <v>2.3134850540065304</v>
          </cell>
          <cell r="F108">
            <v>2.3134850540065304</v>
          </cell>
          <cell r="G108">
            <v>2.3134850540065304</v>
          </cell>
          <cell r="H108">
            <v>2.3134850540065304</v>
          </cell>
        </row>
        <row r="110">
          <cell r="A110" t="str">
            <v>Dilution Purchase Price Threshold</v>
          </cell>
          <cell r="B110">
            <v>0</v>
          </cell>
          <cell r="C110">
            <v>0</v>
          </cell>
          <cell r="D110">
            <v>0</v>
          </cell>
          <cell r="F110">
            <v>0</v>
          </cell>
          <cell r="G110">
            <v>0</v>
          </cell>
          <cell r="H110">
            <v>0</v>
          </cell>
        </row>
        <row r="112">
          <cell r="A112" t="str">
            <v>(1) Capital structure of acquisition: 100% debt.</v>
          </cell>
        </row>
        <row r="113">
          <cell r="G113">
            <v>1</v>
          </cell>
          <cell r="H113">
            <v>2</v>
          </cell>
          <cell r="J113">
            <v>3</v>
          </cell>
          <cell r="K113">
            <v>4</v>
          </cell>
          <cell r="L113">
            <v>5</v>
          </cell>
        </row>
        <row r="115">
          <cell r="A115" t="str">
            <v>Income Statements ($000's)</v>
          </cell>
          <cell r="O115" t="str">
            <v>Income Statements (FFR in millions)</v>
          </cell>
        </row>
        <row r="116">
          <cell r="A116" t="str">
            <v>Fiscal Year Ended June 30,</v>
          </cell>
          <cell r="O116" t="str">
            <v>Year Ended Dec 31,</v>
          </cell>
        </row>
        <row r="117">
          <cell r="A117" t="str">
            <v xml:space="preserve">Exchange rate: per Fr. Franc </v>
          </cell>
          <cell r="B117">
            <v>0.16746211169722849</v>
          </cell>
          <cell r="C117" t="str">
            <v>1995A</v>
          </cell>
          <cell r="D117" t="str">
            <v>1996A</v>
          </cell>
          <cell r="E117" t="str">
            <v>1997A</v>
          </cell>
          <cell r="F117" t="str">
            <v>1998E</v>
          </cell>
          <cell r="G117" t="str">
            <v>1999E</v>
          </cell>
          <cell r="H117" t="str">
            <v>2000E</v>
          </cell>
          <cell r="I117" t="str">
            <v>2001E</v>
          </cell>
          <cell r="J117" t="str">
            <v>2002E</v>
          </cell>
          <cell r="K117" t="str">
            <v>2003E</v>
          </cell>
          <cell r="Q117" t="str">
            <v>1995A</v>
          </cell>
          <cell r="R117" t="str">
            <v>1996A</v>
          </cell>
          <cell r="S117" t="str">
            <v>1997A</v>
          </cell>
        </row>
        <row r="119">
          <cell r="A119" t="str">
            <v>Total Sales (2)</v>
          </cell>
          <cell r="C119">
            <v>59.551369002763117</v>
          </cell>
          <cell r="D119">
            <v>62.831784308800131</v>
          </cell>
          <cell r="E119">
            <v>65.779117474671352</v>
          </cell>
          <cell r="F119">
            <v>72.008708029808247</v>
          </cell>
          <cell r="G119">
            <v>77.049317591894834</v>
          </cell>
          <cell r="H119">
            <v>82.442769823327481</v>
          </cell>
          <cell r="I119">
            <v>88.213763710960421</v>
          </cell>
          <cell r="J119">
            <v>94.388727170727662</v>
          </cell>
          <cell r="K119">
            <v>100.9959380726786</v>
          </cell>
          <cell r="O119" t="str">
            <v>Total Sales</v>
          </cell>
          <cell r="Q119">
            <v>355.61099999999999</v>
          </cell>
          <cell r="R119">
            <v>375.2</v>
          </cell>
          <cell r="S119">
            <v>392.8</v>
          </cell>
        </row>
        <row r="120">
          <cell r="A120" t="str">
            <v>Annual Growth</v>
          </cell>
          <cell r="C120" t="str">
            <v>na</v>
          </cell>
          <cell r="D120">
            <v>5.5085472609115005E-2</v>
          </cell>
          <cell r="E120">
            <v>4.6908315565032055E-2</v>
          </cell>
          <cell r="F120">
            <v>9.4704684317718835E-2</v>
          </cell>
          <cell r="G120">
            <v>7.0000000000000062E-2</v>
          </cell>
          <cell r="H120">
            <v>7.0000000000000062E-2</v>
          </cell>
          <cell r="I120">
            <v>7.0000000000000284E-2</v>
          </cell>
          <cell r="J120">
            <v>7.0000000000000062E-2</v>
          </cell>
          <cell r="K120">
            <v>7.0000000000000062E-2</v>
          </cell>
          <cell r="O120" t="str">
            <v>Annual Growth</v>
          </cell>
          <cell r="Q120" t="str">
            <v>n/a</v>
          </cell>
          <cell r="R120">
            <v>5.5085472609115005E-2</v>
          </cell>
          <cell r="S120">
            <v>4.6908315565032055E-2</v>
          </cell>
        </row>
        <row r="122">
          <cell r="A122" t="str">
            <v xml:space="preserve">Cost of Sales </v>
          </cell>
          <cell r="C122">
            <v>33.289458260068656</v>
          </cell>
          <cell r="D122">
            <v>34.816545256635685</v>
          </cell>
          <cell r="E122">
            <v>36.6407100393536</v>
          </cell>
          <cell r="F122">
            <v>40.00669848446789</v>
          </cell>
          <cell r="G122">
            <v>42.753077116302435</v>
          </cell>
          <cell r="H122">
            <v>45.333578665326968</v>
          </cell>
          <cell r="I122">
            <v>48.065860353345059</v>
          </cell>
          <cell r="J122">
            <v>50.958526942225582</v>
          </cell>
          <cell r="K122">
            <v>54.020644137817989</v>
          </cell>
          <cell r="O122" t="str">
            <v xml:space="preserve">Cost of Sales </v>
          </cell>
          <cell r="Q122">
            <v>198.78800000000001</v>
          </cell>
          <cell r="R122">
            <v>207.90700000000001</v>
          </cell>
          <cell r="S122">
            <v>218.8</v>
          </cell>
        </row>
        <row r="123">
          <cell r="A123" t="str">
            <v>Adjustments to COGS</v>
          </cell>
          <cell r="C123">
            <v>0</v>
          </cell>
          <cell r="D123">
            <v>0</v>
          </cell>
          <cell r="E123">
            <v>0</v>
          </cell>
          <cell r="F123">
            <v>0</v>
          </cell>
          <cell r="G123">
            <v>0</v>
          </cell>
          <cell r="H123">
            <v>0</v>
          </cell>
          <cell r="I123">
            <v>0</v>
          </cell>
          <cell r="J123">
            <v>0</v>
          </cell>
          <cell r="K123">
            <v>0</v>
          </cell>
          <cell r="O123" t="str">
            <v>Adjustments to COGS</v>
          </cell>
          <cell r="Q123">
            <v>0</v>
          </cell>
          <cell r="R123">
            <v>0</v>
          </cell>
          <cell r="S123">
            <v>0</v>
          </cell>
        </row>
        <row r="124">
          <cell r="A124" t="str">
            <v xml:space="preserve">Total Gross Profit </v>
          </cell>
          <cell r="C124">
            <v>26.261910742694461</v>
          </cell>
          <cell r="D124">
            <v>28.015239052164446</v>
          </cell>
          <cell r="E124">
            <v>29.138407435317752</v>
          </cell>
          <cell r="F124">
            <v>32.002009545340357</v>
          </cell>
          <cell r="G124">
            <v>34.296240475592398</v>
          </cell>
          <cell r="H124">
            <v>37.109191158000513</v>
          </cell>
          <cell r="I124">
            <v>40.147903357615363</v>
          </cell>
          <cell r="J124">
            <v>43.430200228502081</v>
          </cell>
          <cell r="K124">
            <v>46.975293934860609</v>
          </cell>
          <cell r="O124" t="str">
            <v xml:space="preserve">Total Gross Profit </v>
          </cell>
          <cell r="Q124">
            <v>156.82299999999998</v>
          </cell>
          <cell r="R124">
            <v>167.29299999999998</v>
          </cell>
          <cell r="S124">
            <v>174</v>
          </cell>
        </row>
        <row r="125">
          <cell r="A125" t="str">
            <v>Gross Margin %</v>
          </cell>
          <cell r="C125">
            <v>0.44099591969877194</v>
          </cell>
          <cell r="D125">
            <v>0.44587686567164181</v>
          </cell>
          <cell r="E125">
            <v>0.44297352342158852</v>
          </cell>
          <cell r="F125">
            <v>0.44441860465116273</v>
          </cell>
          <cell r="G125">
            <v>0.44512062595088026</v>
          </cell>
          <cell r="H125">
            <v>0.45012062595088032</v>
          </cell>
          <cell r="I125">
            <v>0.45512062595088038</v>
          </cell>
          <cell r="J125">
            <v>0.46012062595088038</v>
          </cell>
          <cell r="K125">
            <v>0.46512062595088027</v>
          </cell>
          <cell r="O125" t="str">
            <v>Gross Margin %</v>
          </cell>
          <cell r="Q125">
            <v>0.44099591969877194</v>
          </cell>
          <cell r="R125">
            <v>0.44587686567164175</v>
          </cell>
          <cell r="S125">
            <v>0.44297352342158858</v>
          </cell>
        </row>
        <row r="127">
          <cell r="A127" t="str">
            <v>Operating Expenses:</v>
          </cell>
          <cell r="O127" t="str">
            <v>Operating Expenses:</v>
          </cell>
        </row>
        <row r="128">
          <cell r="A128" t="str">
            <v>Employee costs</v>
          </cell>
          <cell r="C128">
            <v>7.7074436908649409</v>
          </cell>
          <cell r="D128">
            <v>8.3349242233944558</v>
          </cell>
          <cell r="E128">
            <v>9.0429540316503392</v>
          </cell>
          <cell r="F128">
            <v>9.5453403667420247</v>
          </cell>
          <cell r="G128">
            <v>10.180105501130368</v>
          </cell>
          <cell r="H128">
            <v>10.857082516955538</v>
          </cell>
          <cell r="I128">
            <v>11.579078504333081</v>
          </cell>
          <cell r="J128">
            <v>12.34908722487123</v>
          </cell>
          <cell r="K128">
            <v>13.170301525325167</v>
          </cell>
          <cell r="O128" t="str">
            <v>Employee costs</v>
          </cell>
          <cell r="Q128">
            <v>46.024999999999999</v>
          </cell>
          <cell r="R128">
            <v>49.771999999999998</v>
          </cell>
          <cell r="S128">
            <v>54</v>
          </cell>
        </row>
        <row r="129">
          <cell r="A129" t="str">
            <v>As a % of Sales</v>
          </cell>
          <cell r="C129">
            <v>0.12942513026874872</v>
          </cell>
          <cell r="D129">
            <v>0.13265458422174839</v>
          </cell>
          <cell r="E129">
            <v>0.13747454175152751</v>
          </cell>
          <cell r="F129">
            <v>0.13255813953488374</v>
          </cell>
          <cell r="G129">
            <v>0.13212453814388175</v>
          </cell>
          <cell r="H129">
            <v>0.13169235507518681</v>
          </cell>
          <cell r="I129">
            <v>0.13126158568942681</v>
          </cell>
          <cell r="J129">
            <v>0.1308322253624053</v>
          </cell>
          <cell r="K129">
            <v>0.13040426948505163</v>
          </cell>
          <cell r="O129" t="str">
            <v>As a % of Sales</v>
          </cell>
          <cell r="Q129">
            <v>0.12942513026874872</v>
          </cell>
          <cell r="R129">
            <v>0.13265458422174839</v>
          </cell>
          <cell r="S129">
            <v>0.13747454175152748</v>
          </cell>
        </row>
        <row r="131">
          <cell r="A131" t="str">
            <v>Allocation to provisions</v>
          </cell>
          <cell r="C131">
            <v>1.3050322364565017</v>
          </cell>
          <cell r="D131">
            <v>1.4302938960060285</v>
          </cell>
          <cell r="E131">
            <v>1.4974462027966173</v>
          </cell>
          <cell r="F131">
            <v>1.6387842250690781</v>
          </cell>
          <cell r="G131">
            <v>1.7534991208239135</v>
          </cell>
          <cell r="H131">
            <v>1.8762440592815874</v>
          </cell>
          <cell r="I131">
            <v>2.0075811434312985</v>
          </cell>
          <cell r="J131">
            <v>2.1481118234714898</v>
          </cell>
          <cell r="K131">
            <v>2.2984796511144943</v>
          </cell>
          <cell r="O131" t="str">
            <v>Allocation to provisions</v>
          </cell>
          <cell r="Q131">
            <v>7.7930000000000001</v>
          </cell>
          <cell r="R131">
            <v>8.5410000000000004</v>
          </cell>
          <cell r="S131">
            <v>8.9420000000000002</v>
          </cell>
        </row>
        <row r="132">
          <cell r="A132" t="str">
            <v>As a % of Sales</v>
          </cell>
          <cell r="C132">
            <v>2.191439522399476E-2</v>
          </cell>
          <cell r="D132">
            <v>2.2763859275053304E-2</v>
          </cell>
          <cell r="E132">
            <v>2.2764765784114054E-2</v>
          </cell>
          <cell r="F132">
            <v>2.2758139534883724E-2</v>
          </cell>
          <cell r="G132">
            <v>2.2758139534883721E-2</v>
          </cell>
          <cell r="H132">
            <v>2.2758139534883717E-2</v>
          </cell>
          <cell r="I132">
            <v>2.275813953488371E-2</v>
          </cell>
          <cell r="J132">
            <v>2.2758139534883714E-2</v>
          </cell>
          <cell r="K132">
            <v>2.2758139534883717E-2</v>
          </cell>
          <cell r="O132" t="str">
            <v>As a % of Sales</v>
          </cell>
          <cell r="Q132">
            <v>2.191439522399476E-2</v>
          </cell>
          <cell r="R132">
            <v>2.2763859275053307E-2</v>
          </cell>
          <cell r="S132">
            <v>2.2764765784114054E-2</v>
          </cell>
        </row>
        <row r="134">
          <cell r="A134" t="str">
            <v>Other Expenses</v>
          </cell>
          <cell r="C134">
            <v>8.5841078455999327</v>
          </cell>
          <cell r="D134">
            <v>9.3658209830025942</v>
          </cell>
          <cell r="E134">
            <v>9.421418404086074</v>
          </cell>
          <cell r="F134">
            <v>10.003349242233943</v>
          </cell>
          <cell r="G134">
            <v>10.598548522146864</v>
          </cell>
          <cell r="H134">
            <v>11.229162159214603</v>
          </cell>
          <cell r="I134">
            <v>11.897297307687875</v>
          </cell>
          <cell r="J134">
            <v>12.605186497495305</v>
          </cell>
          <cell r="K134">
            <v>13.355195094096278</v>
          </cell>
          <cell r="O134" t="str">
            <v>Other Expenses</v>
          </cell>
          <cell r="Q134">
            <v>51.26</v>
          </cell>
          <cell r="R134">
            <v>55.927999999999997</v>
          </cell>
          <cell r="S134">
            <v>56.26</v>
          </cell>
        </row>
        <row r="135">
          <cell r="A135" t="str">
            <v>As a % of Sales</v>
          </cell>
          <cell r="C135">
            <v>0.14414627219068027</v>
          </cell>
          <cell r="D135">
            <v>0.14906183368869935</v>
          </cell>
          <cell r="E135">
            <v>0.14322810590631363</v>
          </cell>
          <cell r="F135">
            <v>0.13891860465116279</v>
          </cell>
          <cell r="G135">
            <v>0.13755538469897846</v>
          </cell>
          <cell r="H135">
            <v>0.13620554213884831</v>
          </cell>
          <cell r="I135">
            <v>0.13486894569729888</v>
          </cell>
          <cell r="J135">
            <v>0.13354546538905435</v>
          </cell>
          <cell r="K135">
            <v>0.13223497250439542</v>
          </cell>
          <cell r="O135" t="str">
            <v>As a % of Sales</v>
          </cell>
          <cell r="Q135">
            <v>0.14414627219068027</v>
          </cell>
          <cell r="R135">
            <v>0.14906183368869935</v>
          </cell>
          <cell r="S135">
            <v>0.14322810590631363</v>
          </cell>
        </row>
        <row r="137">
          <cell r="A137" t="str">
            <v xml:space="preserve">Depreciation &amp; Amortization </v>
          </cell>
          <cell r="C137">
            <v>0.51930000837310553</v>
          </cell>
          <cell r="D137">
            <v>0.55882106673365151</v>
          </cell>
          <cell r="E137">
            <v>0.65276731139579669</v>
          </cell>
          <cell r="F137">
            <v>0.69948924055932338</v>
          </cell>
          <cell r="G137">
            <v>0.76553151278094744</v>
          </cell>
          <cell r="H137">
            <v>0.83619674405808542</v>
          </cell>
          <cell r="I137">
            <v>0.91180854152462287</v>
          </cell>
          <cell r="J137">
            <v>0.99271316481381811</v>
          </cell>
          <cell r="K137">
            <v>1.079281111733257</v>
          </cell>
          <cell r="O137" t="str">
            <v xml:space="preserve">Depreciation &amp; Amortization </v>
          </cell>
          <cell r="Q137">
            <v>3.101</v>
          </cell>
          <cell r="R137">
            <v>3.3370000000000002</v>
          </cell>
          <cell r="S137">
            <v>3.8980000000000001</v>
          </cell>
        </row>
        <row r="138">
          <cell r="A138" t="str">
            <v>As a % of Sales</v>
          </cell>
          <cell r="C138">
            <v>8.7202026933924995E-3</v>
          </cell>
          <cell r="D138">
            <v>8.8939232409381667E-3</v>
          </cell>
          <cell r="E138">
            <v>9.9236252545824855E-3</v>
          </cell>
          <cell r="F138">
            <v>9.7139534883720936E-3</v>
          </cell>
          <cell r="G138">
            <v>9.9356040612289236E-3</v>
          </cell>
          <cell r="H138">
            <v>1.0142754129319422E-2</v>
          </cell>
          <cell r="I138">
            <v>1.0336352323796519E-2</v>
          </cell>
          <cell r="J138">
            <v>1.0517285215831193E-2</v>
          </cell>
          <cell r="K138">
            <v>1.0686381376611263E-2</v>
          </cell>
          <cell r="O138" t="str">
            <v>As a % of Sales</v>
          </cell>
          <cell r="Q138">
            <v>8.7202026933924995E-3</v>
          </cell>
          <cell r="R138">
            <v>8.8939232409381667E-3</v>
          </cell>
          <cell r="S138">
            <v>9.9236252545824855E-3</v>
          </cell>
        </row>
        <row r="140">
          <cell r="A140" t="str">
            <v>Operating Income</v>
          </cell>
          <cell r="C140">
            <v>8.1460269613999792</v>
          </cell>
          <cell r="D140">
            <v>8.3253788830277173</v>
          </cell>
          <cell r="E140">
            <v>8.5238214853889254</v>
          </cell>
          <cell r="F140">
            <v>10.115046470735988</v>
          </cell>
          <cell r="G140">
            <v>10.998555818710303</v>
          </cell>
          <cell r="H140">
            <v>12.310505678490699</v>
          </cell>
          <cell r="I140">
            <v>13.752137860638483</v>
          </cell>
          <cell r="J140">
            <v>15.335101517850237</v>
          </cell>
          <cell r="K140">
            <v>17.072036552591417</v>
          </cell>
          <cell r="O140" t="str">
            <v>Operating Income</v>
          </cell>
          <cell r="Q140">
            <v>48.64399999999997</v>
          </cell>
          <cell r="R140">
            <v>49.714999999999989</v>
          </cell>
          <cell r="S140">
            <v>50.899999999999991</v>
          </cell>
        </row>
        <row r="141">
          <cell r="A141" t="str">
            <v>Operating Margin</v>
          </cell>
          <cell r="C141">
            <v>0.13678991932195569</v>
          </cell>
          <cell r="D141">
            <v>0.1325026652452026</v>
          </cell>
          <cell r="E141">
            <v>0.12958248472505085</v>
          </cell>
          <cell r="F141">
            <v>0.14046976744186038</v>
          </cell>
          <cell r="G141">
            <v>0.14274695951190736</v>
          </cell>
          <cell r="H141">
            <v>0.14932183507264207</v>
          </cell>
          <cell r="I141">
            <v>0.15589560270547442</v>
          </cell>
          <cell r="J141">
            <v>0.1624675104487058</v>
          </cell>
          <cell r="K141">
            <v>0.16903686304993826</v>
          </cell>
          <cell r="O141" t="str">
            <v>Operating Margin</v>
          </cell>
          <cell r="Q141">
            <v>0.13678991932195564</v>
          </cell>
          <cell r="R141">
            <v>0.13250266524520254</v>
          </cell>
          <cell r="S141">
            <v>0.12958248472505088</v>
          </cell>
        </row>
        <row r="143">
          <cell r="A143" t="str">
            <v>Employee Profit Sharing</v>
          </cell>
          <cell r="C143">
            <v>0.54709871891484552</v>
          </cell>
          <cell r="D143">
            <v>0.51578330402746375</v>
          </cell>
          <cell r="E143">
            <v>0.46889391275223974</v>
          </cell>
          <cell r="F143">
            <v>0.59114125429121656</v>
          </cell>
          <cell r="G143">
            <v>0.61639454073515865</v>
          </cell>
          <cell r="H143">
            <v>0.65954215858661991</v>
          </cell>
          <cell r="I143">
            <v>0.70571010968768333</v>
          </cell>
          <cell r="J143">
            <v>0.75510981736582139</v>
          </cell>
          <cell r="K143">
            <v>0.80796750458142885</v>
          </cell>
          <cell r="O143" t="str">
            <v>Employee Profit Sharing</v>
          </cell>
          <cell r="Q143">
            <v>3.2669999999999999</v>
          </cell>
          <cell r="R143">
            <v>3.08</v>
          </cell>
          <cell r="S143">
            <v>2.8</v>
          </cell>
        </row>
        <row r="144">
          <cell r="A144" t="str">
            <v>As a % of Sales</v>
          </cell>
          <cell r="C144">
            <v>9.1870049014231847E-3</v>
          </cell>
          <cell r="D144">
            <v>8.2089552238805968E-3</v>
          </cell>
          <cell r="E144">
            <v>7.1283095723014252E-3</v>
          </cell>
          <cell r="F144">
            <v>8.2093023255813951E-3</v>
          </cell>
          <cell r="G144">
            <v>8.0000000000000002E-3</v>
          </cell>
          <cell r="H144">
            <v>8.0000000000000002E-3</v>
          </cell>
          <cell r="I144">
            <v>8.0000000000000002E-3</v>
          </cell>
          <cell r="J144">
            <v>8.0000000000000002E-3</v>
          </cell>
          <cell r="K144">
            <v>8.0000000000000002E-3</v>
          </cell>
          <cell r="O144" t="str">
            <v>As a % of Sales</v>
          </cell>
          <cell r="Q144">
            <v>9.1870049014231847E-3</v>
          </cell>
          <cell r="R144">
            <v>8.2089552238805968E-3</v>
          </cell>
          <cell r="S144">
            <v>7.1283095723014252E-3</v>
          </cell>
        </row>
        <row r="146">
          <cell r="A146" t="str">
            <v>Adjustments / (Cost Savings)</v>
          </cell>
          <cell r="C146">
            <v>0</v>
          </cell>
          <cell r="D146">
            <v>0</v>
          </cell>
          <cell r="E146">
            <v>0</v>
          </cell>
          <cell r="F146">
            <v>0</v>
          </cell>
          <cell r="G146">
            <v>0</v>
          </cell>
          <cell r="H146">
            <v>0</v>
          </cell>
          <cell r="I146">
            <v>0</v>
          </cell>
          <cell r="J146">
            <v>0</v>
          </cell>
          <cell r="K146">
            <v>0</v>
          </cell>
          <cell r="O146" t="str">
            <v>Adjustments / Cost Savings</v>
          </cell>
          <cell r="Q146">
            <v>0</v>
          </cell>
          <cell r="R146">
            <v>0</v>
          </cell>
          <cell r="S146">
            <v>0</v>
          </cell>
        </row>
        <row r="147">
          <cell r="A147" t="str">
            <v>As a % of EBIT</v>
          </cell>
          <cell r="C147">
            <v>0</v>
          </cell>
          <cell r="D147">
            <v>0</v>
          </cell>
          <cell r="E147">
            <v>0</v>
          </cell>
          <cell r="F147">
            <v>0</v>
          </cell>
          <cell r="G147">
            <v>0</v>
          </cell>
          <cell r="H147">
            <v>0</v>
          </cell>
          <cell r="I147">
            <v>0</v>
          </cell>
          <cell r="J147">
            <v>0</v>
          </cell>
          <cell r="K147">
            <v>0</v>
          </cell>
          <cell r="O147" t="str">
            <v>As a % of EBIT</v>
          </cell>
          <cell r="Q147">
            <v>0</v>
          </cell>
          <cell r="R147">
            <v>0</v>
          </cell>
          <cell r="S147">
            <v>0</v>
          </cell>
        </row>
        <row r="149">
          <cell r="A149" t="str">
            <v>Adj. EBIT</v>
          </cell>
          <cell r="C149">
            <v>7.5989282424851332</v>
          </cell>
          <cell r="D149">
            <v>7.8095955790002538</v>
          </cell>
          <cell r="E149">
            <v>8.0549275726366858</v>
          </cell>
          <cell r="F149">
            <v>9.5239052164447724</v>
          </cell>
          <cell r="G149">
            <v>10.382161277975143</v>
          </cell>
          <cell r="H149">
            <v>11.65096351990408</v>
          </cell>
          <cell r="I149">
            <v>13.0464277509508</v>
          </cell>
          <cell r="J149">
            <v>14.579991700484415</v>
          </cell>
          <cell r="K149">
            <v>16.264069048009986</v>
          </cell>
          <cell r="O149" t="str">
            <v>Adj. EBIT</v>
          </cell>
          <cell r="Q149">
            <v>45.376999999999967</v>
          </cell>
          <cell r="R149">
            <v>46.634999999999991</v>
          </cell>
          <cell r="S149">
            <v>48.099999999999994</v>
          </cell>
        </row>
        <row r="150">
          <cell r="A150" t="str">
            <v>As a % Of Sales</v>
          </cell>
          <cell r="C150">
            <v>0.12760291442053248</v>
          </cell>
          <cell r="D150">
            <v>0.12429371002132202</v>
          </cell>
          <cell r="E150">
            <v>0.12245417515274942</v>
          </cell>
          <cell r="F150">
            <v>0.13226046511627898</v>
          </cell>
          <cell r="G150">
            <v>0.13474695951190735</v>
          </cell>
          <cell r="H150">
            <v>0.14132183507264209</v>
          </cell>
          <cell r="I150">
            <v>0.14789560270547442</v>
          </cell>
          <cell r="J150">
            <v>0.1544675104487058</v>
          </cell>
          <cell r="K150">
            <v>0.16103686304993822</v>
          </cell>
          <cell r="O150" t="str">
            <v>As a % Of Sales</v>
          </cell>
          <cell r="Q150">
            <v>0.12760291442053245</v>
          </cell>
          <cell r="R150">
            <v>0.12429371002132195</v>
          </cell>
          <cell r="S150">
            <v>0.12245417515274948</v>
          </cell>
        </row>
        <row r="152">
          <cell r="A152" t="str">
            <v>Other Expenses /  (Income)</v>
          </cell>
          <cell r="C152">
            <v>-0.15523737754333083</v>
          </cell>
          <cell r="D152">
            <v>-0.2850205141086829</v>
          </cell>
          <cell r="E152">
            <v>-0.30143180105501127</v>
          </cell>
          <cell r="F152">
            <v>0</v>
          </cell>
          <cell r="G152">
            <v>0</v>
          </cell>
          <cell r="H152">
            <v>0</v>
          </cell>
          <cell r="I152">
            <v>0</v>
          </cell>
          <cell r="J152">
            <v>0</v>
          </cell>
          <cell r="K152">
            <v>0</v>
          </cell>
          <cell r="O152" t="str">
            <v>Extra-ordinary (gains)/ losses</v>
          </cell>
          <cell r="Q152">
            <v>-0.92700000000000005</v>
          </cell>
          <cell r="R152">
            <v>-1.702</v>
          </cell>
          <cell r="S152">
            <v>-1.8</v>
          </cell>
        </row>
        <row r="153">
          <cell r="A153" t="str">
            <v>Financial (income)/ expense</v>
          </cell>
          <cell r="C153">
            <v>-2.1133718496190235</v>
          </cell>
          <cell r="D153">
            <v>-2.5852800803818137</v>
          </cell>
          <cell r="E153">
            <v>-2.5829356108180521</v>
          </cell>
          <cell r="F153">
            <v>-0.47375031399145945</v>
          </cell>
          <cell r="G153">
            <v>-2.9964467202416638</v>
          </cell>
          <cell r="H153">
            <v>-3.3826635022734748</v>
          </cell>
          <cell r="I153">
            <v>-3.8913153593632961</v>
          </cell>
          <cell r="J153">
            <v>-4.4721487484191682</v>
          </cell>
          <cell r="K153">
            <v>-5.1329555676969463</v>
          </cell>
          <cell r="O153" t="str">
            <v>Financial (income)/ expense</v>
          </cell>
          <cell r="Q153">
            <v>-12.62</v>
          </cell>
          <cell r="R153">
            <v>-15.438000000000001</v>
          </cell>
          <cell r="S153">
            <v>-15.423999999999999</v>
          </cell>
        </row>
        <row r="154">
          <cell r="A154" t="str">
            <v>Pre-tax Income</v>
          </cell>
          <cell r="C154">
            <v>9.8675374696474876</v>
          </cell>
          <cell r="D154">
            <v>10.67989617349075</v>
          </cell>
          <cell r="E154">
            <v>10.93929498450975</v>
          </cell>
          <cell r="F154">
            <v>9.9976555304362318</v>
          </cell>
          <cell r="G154">
            <v>13.378607998216808</v>
          </cell>
          <cell r="H154">
            <v>15.033627022177555</v>
          </cell>
          <cell r="I154">
            <v>16.937743110314095</v>
          </cell>
          <cell r="J154">
            <v>19.052140448903582</v>
          </cell>
          <cell r="K154">
            <v>21.397024615706933</v>
          </cell>
          <cell r="O154" t="str">
            <v>Pre-tax Income</v>
          </cell>
          <cell r="Q154">
            <v>58.923999999999964</v>
          </cell>
          <cell r="R154">
            <v>63.774999999999991</v>
          </cell>
          <cell r="S154">
            <v>65.323999999999984</v>
          </cell>
        </row>
        <row r="156">
          <cell r="A156" t="str">
            <v xml:space="preserve">Income Taxes @ </v>
          </cell>
          <cell r="C156">
            <v>3.6920371765887965</v>
          </cell>
          <cell r="D156">
            <v>3.0735995980909316</v>
          </cell>
          <cell r="E156">
            <v>4.3757849786485803</v>
          </cell>
          <cell r="F156">
            <v>3.9989952273298162</v>
          </cell>
          <cell r="G156">
            <v>5.3514431992867229</v>
          </cell>
          <cell r="H156">
            <v>6.0134508088710197</v>
          </cell>
          <cell r="I156">
            <v>6.7750972441256403</v>
          </cell>
          <cell r="J156">
            <v>7.6208561795614331</v>
          </cell>
          <cell r="K156">
            <v>8.5588098462827755</v>
          </cell>
          <cell r="O156" t="str">
            <v xml:space="preserve">Income Taxes @ </v>
          </cell>
          <cell r="Q156">
            <v>22.047000000000001</v>
          </cell>
          <cell r="R156">
            <v>18.353999999999999</v>
          </cell>
          <cell r="S156">
            <v>26.13</v>
          </cell>
        </row>
        <row r="157">
          <cell r="A157" t="str">
            <v>Net Income (check with RG)</v>
          </cell>
          <cell r="C157">
            <v>6.1755002930586915</v>
          </cell>
          <cell r="D157">
            <v>7.6062965753998188</v>
          </cell>
          <cell r="E157">
            <v>6.5635100058611702</v>
          </cell>
          <cell r="F157">
            <v>5.9986603031064156</v>
          </cell>
          <cell r="G157">
            <v>8.0271647989300838</v>
          </cell>
          <cell r="H157">
            <v>9.0201762133065344</v>
          </cell>
          <cell r="I157">
            <v>10.162645866188456</v>
          </cell>
          <cell r="J157">
            <v>11.43128426934215</v>
          </cell>
          <cell r="K157">
            <v>12.838214769424157</v>
          </cell>
          <cell r="O157" t="str">
            <v>Net Income (check with RG)</v>
          </cell>
          <cell r="Q157">
            <v>36.876999999999967</v>
          </cell>
          <cell r="R157">
            <v>45.420999999999992</v>
          </cell>
          <cell r="S157">
            <v>39.193999999999988</v>
          </cell>
        </row>
        <row r="159">
          <cell r="A159" t="str">
            <v>Return on Sales</v>
          </cell>
          <cell r="C159">
            <v>0.10370039172016608</v>
          </cell>
          <cell r="D159">
            <v>0.12105810234541584</v>
          </cell>
          <cell r="E159">
            <v>9.9781059063136404E-2</v>
          </cell>
          <cell r="F159">
            <v>8.3304651162790622E-2</v>
          </cell>
          <cell r="G159">
            <v>0.1041821660439274</v>
          </cell>
          <cell r="H159">
            <v>0.10941136782081093</v>
          </cell>
          <cell r="I159">
            <v>0.11520476441167607</v>
          </cell>
          <cell r="J159">
            <v>0.12110857527155298</v>
          </cell>
          <cell r="K159">
            <v>0.12711614956420855</v>
          </cell>
          <cell r="O159" t="str">
            <v>Return on Sales</v>
          </cell>
          <cell r="Q159">
            <v>0.10370039172016604</v>
          </cell>
          <cell r="R159">
            <v>0.12105810234541577</v>
          </cell>
          <cell r="S159">
            <v>9.9781059063136418E-2</v>
          </cell>
        </row>
        <row r="160">
          <cell r="A160" t="str">
            <v>Adj. EBIT Growth</v>
          </cell>
          <cell r="C160" t="str">
            <v>na</v>
          </cell>
          <cell r="D160">
            <v>2.7723295942879478E-2</v>
          </cell>
          <cell r="E160">
            <v>3.1414173903719478E-2</v>
          </cell>
          <cell r="F160">
            <v>0.18237006237006237</v>
          </cell>
          <cell r="G160">
            <v>9.0115980999940559E-2</v>
          </cell>
          <cell r="H160">
            <v>0.12220983742764524</v>
          </cell>
          <cell r="I160">
            <v>0.11977243158153916</v>
          </cell>
          <cell r="J160">
            <v>0.11754665559097988</v>
          </cell>
          <cell r="K160">
            <v>0.11550605666460134</v>
          </cell>
          <cell r="O160" t="str">
            <v>Adj. EBIT Growth</v>
          </cell>
          <cell r="Q160" t="str">
            <v>n/a</v>
          </cell>
          <cell r="R160">
            <v>2.7723295942879034E-2</v>
          </cell>
          <cell r="S160">
            <v>3.1414173903720366E-2</v>
          </cell>
        </row>
        <row r="161">
          <cell r="A161" t="str">
            <v>Book Value</v>
          </cell>
          <cell r="C161">
            <v>50.510926902788235</v>
          </cell>
          <cell r="D161">
            <v>55.225990119735414</v>
          </cell>
          <cell r="E161">
            <v>59.281085154483797</v>
          </cell>
          <cell r="F161">
            <v>65.286376957213434</v>
          </cell>
          <cell r="G161">
            <v>71.515673723998518</v>
          </cell>
          <cell r="H161">
            <v>80.535849937305045</v>
          </cell>
          <cell r="I161">
            <v>90.698495803493486</v>
          </cell>
          <cell r="J161">
            <v>102.12978007283563</v>
          </cell>
          <cell r="K161">
            <v>114.96799484225981</v>
          </cell>
          <cell r="O161" t="str">
            <v>Book Value</v>
          </cell>
          <cell r="Q161">
            <v>301.62599999999998</v>
          </cell>
          <cell r="R161">
            <v>329.78200000000004</v>
          </cell>
          <cell r="S161">
            <v>353.99700000000001</v>
          </cell>
        </row>
        <row r="162">
          <cell r="A162" t="str">
            <v>EPS</v>
          </cell>
          <cell r="O162" t="str">
            <v>EPS</v>
          </cell>
        </row>
        <row r="163">
          <cell r="A163" t="str">
            <v>Capital Expenditures  (4)</v>
          </cell>
          <cell r="C163">
            <v>7.1338859583019332E-2</v>
          </cell>
          <cell r="D163">
            <v>0.94247676463200203</v>
          </cell>
          <cell r="E163">
            <v>0.98668676212007034</v>
          </cell>
          <cell r="F163">
            <v>1.0801306204471237</v>
          </cell>
          <cell r="G163">
            <v>1.1557397638784226</v>
          </cell>
          <cell r="H163">
            <v>1.2366415473499122</v>
          </cell>
          <cell r="I163">
            <v>1.3232064556644063</v>
          </cell>
          <cell r="J163">
            <v>1.4158309075609148</v>
          </cell>
          <cell r="K163">
            <v>1.5149390710901789</v>
          </cell>
          <cell r="O163" t="str">
            <v>Capital Expenditures  (4)</v>
          </cell>
          <cell r="Q163">
            <v>0.42599999999999999</v>
          </cell>
          <cell r="R163">
            <v>5.6280000000000001</v>
          </cell>
          <cell r="S163">
            <v>5.8920000000000003</v>
          </cell>
        </row>
        <row r="164">
          <cell r="A164" t="str">
            <v>D&amp;A</v>
          </cell>
          <cell r="C164">
            <v>0.51930000837310553</v>
          </cell>
          <cell r="D164">
            <v>0.55882106673365151</v>
          </cell>
          <cell r="E164">
            <v>0.65276731139579669</v>
          </cell>
          <cell r="F164">
            <v>0.69948924055932338</v>
          </cell>
          <cell r="G164">
            <v>0.76553151278094744</v>
          </cell>
          <cell r="H164">
            <v>0.83619674405808542</v>
          </cell>
          <cell r="I164">
            <v>0.91180854152462287</v>
          </cell>
          <cell r="J164">
            <v>0.99271316481381811</v>
          </cell>
          <cell r="K164">
            <v>1.079281111733257</v>
          </cell>
          <cell r="O164" t="str">
            <v>D&amp;A</v>
          </cell>
          <cell r="Q164">
            <v>3.101</v>
          </cell>
          <cell r="R164">
            <v>3.3370000000000002</v>
          </cell>
          <cell r="S164">
            <v>3.8980000000000001</v>
          </cell>
        </row>
        <row r="165">
          <cell r="A165" t="str">
            <v>Tax Rate</v>
          </cell>
          <cell r="C165">
            <v>0.37415993483130827</v>
          </cell>
          <cell r="D165">
            <v>0.28779302234417864</v>
          </cell>
          <cell r="E165">
            <v>0.40000612332374025</v>
          </cell>
          <cell r="F165">
            <v>0.39999329994472477</v>
          </cell>
          <cell r="G165">
            <v>0.39999999999999997</v>
          </cell>
          <cell r="H165">
            <v>0.39999999999999986</v>
          </cell>
          <cell r="I165">
            <v>0.40000000000000013</v>
          </cell>
          <cell r="J165">
            <v>0.4</v>
          </cell>
          <cell r="K165">
            <v>0.40000000000000013</v>
          </cell>
          <cell r="O165" t="str">
            <v>Tax Rate</v>
          </cell>
          <cell r="Q165">
            <v>0.37415993483130838</v>
          </cell>
          <cell r="R165">
            <v>0.28779302234417881</v>
          </cell>
          <cell r="S165">
            <v>0.40000612332374019</v>
          </cell>
        </row>
        <row r="166">
          <cell r="A166" t="str">
            <v>EPS</v>
          </cell>
          <cell r="O166" t="str">
            <v>EPS</v>
          </cell>
        </row>
        <row r="169">
          <cell r="A169" t="str">
            <v>Cash Flow Statements ($000's)</v>
          </cell>
          <cell r="O169" t="str">
            <v>Cash Flow Statements (Lira in millions)</v>
          </cell>
        </row>
        <row r="171">
          <cell r="C171" t="str">
            <v>1995A</v>
          </cell>
          <cell r="D171" t="str">
            <v>1996A</v>
          </cell>
          <cell r="E171" t="str">
            <v>1997A</v>
          </cell>
          <cell r="F171" t="str">
            <v>1998E</v>
          </cell>
          <cell r="G171" t="str">
            <v>1999E</v>
          </cell>
          <cell r="H171" t="str">
            <v>2000E</v>
          </cell>
          <cell r="I171" t="str">
            <v>2001E</v>
          </cell>
          <cell r="J171" t="str">
            <v>2002E</v>
          </cell>
          <cell r="K171" t="str">
            <v>2003E</v>
          </cell>
          <cell r="Q171" t="str">
            <v>1995A</v>
          </cell>
          <cell r="R171" t="str">
            <v>1996A</v>
          </cell>
          <cell r="S171" t="str">
            <v>1997A</v>
          </cell>
        </row>
        <row r="172">
          <cell r="A172" t="str">
            <v>EBIT</v>
          </cell>
          <cell r="C172">
            <v>7.5989282424851332</v>
          </cell>
          <cell r="D172">
            <v>7.8095955790002538</v>
          </cell>
          <cell r="E172">
            <v>8.0549275726366858</v>
          </cell>
          <cell r="F172">
            <v>9.5239052164447724</v>
          </cell>
          <cell r="G172">
            <v>10.382161277975143</v>
          </cell>
          <cell r="H172">
            <v>11.65096351990408</v>
          </cell>
          <cell r="I172">
            <v>13.0464277509508</v>
          </cell>
          <cell r="J172">
            <v>14.579991700484415</v>
          </cell>
          <cell r="K172">
            <v>16.264069048009986</v>
          </cell>
          <cell r="O172" t="str">
            <v>EBIT</v>
          </cell>
          <cell r="Q172">
            <v>45.376999999999967</v>
          </cell>
          <cell r="R172">
            <v>46.634999999999991</v>
          </cell>
          <cell r="S172">
            <v>48.099999999999994</v>
          </cell>
        </row>
        <row r="173">
          <cell r="A173" t="str">
            <v xml:space="preserve">Taxes @ </v>
          </cell>
          <cell r="B173">
            <v>0.4</v>
          </cell>
          <cell r="C173">
            <v>3.0395712969940534</v>
          </cell>
          <cell r="D173">
            <v>3.1238382316001019</v>
          </cell>
          <cell r="E173">
            <v>3.2219710290546746</v>
          </cell>
          <cell r="F173">
            <v>3.809562086577909</v>
          </cell>
          <cell r="G173">
            <v>4.1528645111900575</v>
          </cell>
          <cell r="H173">
            <v>4.6603854079616323</v>
          </cell>
          <cell r="I173">
            <v>5.2185711003803199</v>
          </cell>
          <cell r="J173">
            <v>5.8319966801937664</v>
          </cell>
          <cell r="K173">
            <v>6.5056276192039952</v>
          </cell>
          <cell r="O173" t="str">
            <v xml:space="preserve">Taxes @ </v>
          </cell>
          <cell r="Q173">
            <v>18.150799999999986</v>
          </cell>
          <cell r="R173">
            <v>18.653999999999996</v>
          </cell>
          <cell r="S173">
            <v>19.239999999999998</v>
          </cell>
        </row>
        <row r="174">
          <cell r="A174" t="str">
            <v>EBIAT</v>
          </cell>
          <cell r="C174">
            <v>4.5593569454910803</v>
          </cell>
          <cell r="D174">
            <v>4.6857573474001519</v>
          </cell>
          <cell r="E174">
            <v>4.8329565435820108</v>
          </cell>
          <cell r="F174">
            <v>5.7143431298668634</v>
          </cell>
          <cell r="G174">
            <v>6.2292967667850858</v>
          </cell>
          <cell r="H174">
            <v>6.9905781119424475</v>
          </cell>
          <cell r="I174">
            <v>7.8278566505704799</v>
          </cell>
          <cell r="J174">
            <v>8.7479950202906487</v>
          </cell>
          <cell r="K174">
            <v>9.7584414288059911</v>
          </cell>
          <cell r="O174" t="str">
            <v>EBIAT</v>
          </cell>
          <cell r="Q174">
            <v>27.226199999999981</v>
          </cell>
          <cell r="R174">
            <v>27.980999999999995</v>
          </cell>
          <cell r="S174">
            <v>28.859999999999996</v>
          </cell>
        </row>
        <row r="176">
          <cell r="A176" t="str">
            <v>Pre-Deal Amortization</v>
          </cell>
          <cell r="C176">
            <v>0</v>
          </cell>
          <cell r="D176">
            <v>0</v>
          </cell>
          <cell r="E176">
            <v>0</v>
          </cell>
          <cell r="F176">
            <v>0</v>
          </cell>
          <cell r="G176">
            <v>0</v>
          </cell>
          <cell r="H176">
            <v>0</v>
          </cell>
          <cell r="I176">
            <v>0</v>
          </cell>
          <cell r="J176">
            <v>0</v>
          </cell>
          <cell r="K176">
            <v>0</v>
          </cell>
          <cell r="O176" t="str">
            <v>Pre-Deal Amortization</v>
          </cell>
          <cell r="Q176">
            <v>0</v>
          </cell>
          <cell r="R176">
            <v>0</v>
          </cell>
          <cell r="S176">
            <v>0</v>
          </cell>
        </row>
        <row r="177">
          <cell r="A177" t="str">
            <v>Depreciation</v>
          </cell>
          <cell r="C177">
            <v>0.51930000837310553</v>
          </cell>
          <cell r="D177">
            <v>0.55882106673365151</v>
          </cell>
          <cell r="E177">
            <v>0.65276731139579669</v>
          </cell>
          <cell r="F177">
            <v>0.69948924055932338</v>
          </cell>
          <cell r="G177">
            <v>0.76553151278094744</v>
          </cell>
          <cell r="H177">
            <v>0.85886480068499149</v>
          </cell>
          <cell r="I177">
            <v>0.9508571807872026</v>
          </cell>
          <cell r="J177">
            <v>1.0429747828851776</v>
          </cell>
          <cell r="K177">
            <v>1.1364773100214707</v>
          </cell>
          <cell r="O177" t="str">
            <v>Depreciation</v>
          </cell>
          <cell r="Q177">
            <v>3.101</v>
          </cell>
          <cell r="R177">
            <v>3.3370000000000002</v>
          </cell>
          <cell r="S177">
            <v>3.8980000000000001</v>
          </cell>
        </row>
        <row r="178">
          <cell r="A178" t="str">
            <v>Total D &amp; A</v>
          </cell>
          <cell r="C178">
            <v>0.51930000837310553</v>
          </cell>
          <cell r="D178">
            <v>0.55882106673365151</v>
          </cell>
          <cell r="E178">
            <v>0.65276731139579669</v>
          </cell>
          <cell r="F178">
            <v>0.69948924055932338</v>
          </cell>
          <cell r="G178">
            <v>0.76553151278094744</v>
          </cell>
          <cell r="H178">
            <v>0.85886480068499149</v>
          </cell>
          <cell r="I178">
            <v>0.9508571807872026</v>
          </cell>
          <cell r="J178">
            <v>1.0429747828851776</v>
          </cell>
          <cell r="K178">
            <v>1.1364773100214707</v>
          </cell>
          <cell r="O178" t="str">
            <v>Total D &amp; A</v>
          </cell>
          <cell r="Q178">
            <v>3.101</v>
          </cell>
          <cell r="R178">
            <v>3.3370000000000002</v>
          </cell>
          <cell r="S178">
            <v>3.8980000000000001</v>
          </cell>
        </row>
        <row r="180">
          <cell r="A180" t="str">
            <v>Capex / Sales</v>
          </cell>
          <cell r="C180">
            <v>1.1979381965124814E-3</v>
          </cell>
          <cell r="D180">
            <v>1.5000000000000001E-2</v>
          </cell>
          <cell r="E180">
            <v>1.5000000000000001E-2</v>
          </cell>
          <cell r="F180">
            <v>1.4999999999999999E-2</v>
          </cell>
          <cell r="G180">
            <v>1.5000000000000001E-2</v>
          </cell>
          <cell r="H180">
            <v>1.4999999999999999E-2</v>
          </cell>
          <cell r="I180">
            <v>1.4999999999999999E-2</v>
          </cell>
          <cell r="J180">
            <v>1.4999999999999998E-2</v>
          </cell>
          <cell r="K180">
            <v>1.4999999999999999E-2</v>
          </cell>
          <cell r="O180" t="str">
            <v>Capex / Sales</v>
          </cell>
          <cell r="Q180">
            <v>1.1979381965124814E-3</v>
          </cell>
          <cell r="R180">
            <v>1.5000000000000001E-2</v>
          </cell>
          <cell r="S180">
            <v>1.5000000000000001E-2</v>
          </cell>
        </row>
        <row r="181">
          <cell r="A181" t="str">
            <v>Capex (1)</v>
          </cell>
          <cell r="C181">
            <v>7.1338859583019332E-2</v>
          </cell>
          <cell r="D181">
            <v>0.94247676463200203</v>
          </cell>
          <cell r="E181">
            <v>0.98668676212007034</v>
          </cell>
          <cell r="F181">
            <v>1.0801306204471237</v>
          </cell>
          <cell r="G181">
            <v>1.1557397638784226</v>
          </cell>
          <cell r="H181">
            <v>1.2366415473499122</v>
          </cell>
          <cell r="I181">
            <v>1.3232064556644063</v>
          </cell>
          <cell r="J181">
            <v>1.4158309075609148</v>
          </cell>
          <cell r="K181">
            <v>1.5149390710901789</v>
          </cell>
          <cell r="O181" t="str">
            <v>Capex (1)</v>
          </cell>
          <cell r="Q181">
            <v>0.42599999999999999</v>
          </cell>
          <cell r="R181">
            <v>5.6280000000000001</v>
          </cell>
          <cell r="S181">
            <v>5.8920000000000003</v>
          </cell>
        </row>
        <row r="182">
          <cell r="H182" t="str">
            <v xml:space="preserve"> </v>
          </cell>
          <cell r="I182" t="str">
            <v xml:space="preserve"> </v>
          </cell>
          <cell r="J182" t="str">
            <v xml:space="preserve"> </v>
          </cell>
          <cell r="K182" t="str">
            <v xml:space="preserve"> </v>
          </cell>
        </row>
        <row r="183">
          <cell r="A183" t="str">
            <v>Purchase Accounting Outflows / Sales</v>
          </cell>
          <cell r="C183">
            <v>3.3686758747971279E-6</v>
          </cell>
          <cell r="D183">
            <v>3.9978678038379534E-5</v>
          </cell>
          <cell r="E183">
            <v>3.8187372708757641E-5</v>
          </cell>
          <cell r="F183">
            <v>0</v>
          </cell>
          <cell r="G183">
            <v>0</v>
          </cell>
          <cell r="H183">
            <v>0</v>
          </cell>
          <cell r="I183">
            <v>0</v>
          </cell>
          <cell r="J183">
            <v>0</v>
          </cell>
          <cell r="K183">
            <v>0</v>
          </cell>
          <cell r="O183" t="str">
            <v>Purchase Accounting Outflows / Sales</v>
          </cell>
          <cell r="Q183">
            <v>3.3686758747971279E-6</v>
          </cell>
          <cell r="R183">
            <v>3.9978678038379534E-5</v>
          </cell>
          <cell r="S183">
            <v>3.8187372708757641E-5</v>
          </cell>
        </row>
        <row r="184">
          <cell r="A184" t="str">
            <v>Purchase Accounting Outflows</v>
          </cell>
          <cell r="C184">
            <v>2.0060926007074961E-4</v>
          </cell>
          <cell r="D184">
            <v>2.5119316754584277E-3</v>
          </cell>
          <cell r="E184">
            <v>2.5119316754584277E-3</v>
          </cell>
          <cell r="F184">
            <v>0</v>
          </cell>
          <cell r="G184">
            <v>0</v>
          </cell>
          <cell r="H184">
            <v>0</v>
          </cell>
          <cell r="I184">
            <v>0</v>
          </cell>
          <cell r="J184">
            <v>0</v>
          </cell>
          <cell r="K184">
            <v>0</v>
          </cell>
          <cell r="O184" t="str">
            <v>Purchase Accounting Outflows</v>
          </cell>
          <cell r="Q184">
            <v>1.1979381965124814E-3</v>
          </cell>
          <cell r="R184">
            <v>1.5000000000000001E-2</v>
          </cell>
          <cell r="S184">
            <v>1.5000000000000001E-2</v>
          </cell>
        </row>
        <row r="185">
          <cell r="H185" t="str">
            <v xml:space="preserve"> </v>
          </cell>
          <cell r="I185" t="str">
            <v xml:space="preserve"> </v>
          </cell>
          <cell r="J185" t="str">
            <v xml:space="preserve"> </v>
          </cell>
          <cell r="K185" t="str">
            <v xml:space="preserve"> </v>
          </cell>
        </row>
        <row r="186">
          <cell r="A186" t="str">
            <v>Working Capital / Sales</v>
          </cell>
          <cell r="C186">
            <v>0.25159514188256266</v>
          </cell>
          <cell r="D186">
            <v>0.22048773987206821</v>
          </cell>
          <cell r="E186">
            <v>0.24872708757637482</v>
          </cell>
          <cell r="F186">
            <v>0.24873501306757897</v>
          </cell>
          <cell r="G186">
            <v>0.24873886327580416</v>
          </cell>
          <cell r="H186">
            <v>0.24876628557927766</v>
          </cell>
          <cell r="I186">
            <v>0.24879370788275113</v>
          </cell>
          <cell r="J186">
            <v>0.24882113018622462</v>
          </cell>
          <cell r="K186">
            <v>0.24884855248969814</v>
          </cell>
          <cell r="O186" t="str">
            <v>Working Capital / Sales</v>
          </cell>
          <cell r="Q186">
            <v>0.25159514188256271</v>
          </cell>
          <cell r="R186">
            <v>0.22048773987206824</v>
          </cell>
          <cell r="S186">
            <v>0.24872708757637479</v>
          </cell>
        </row>
        <row r="187">
          <cell r="A187" t="str">
            <v>Working Capital (2)</v>
          </cell>
          <cell r="C187">
            <v>14.982835133551031</v>
          </cell>
          <cell r="D187">
            <v>13.85363811437662</v>
          </cell>
          <cell r="E187">
            <v>16.361048312819229</v>
          </cell>
          <cell r="F187">
            <v>17.911086932773834</v>
          </cell>
          <cell r="G187">
            <v>19.165159673984341</v>
          </cell>
          <cell r="H187">
            <v>20.508981621816538</v>
          </cell>
          <cell r="I187">
            <v>21.947029359942718</v>
          </cell>
          <cell r="J187">
            <v>23.485909771459664</v>
          </cell>
          <cell r="K187">
            <v>25.132692996725265</v>
          </cell>
          <cell r="O187" t="str">
            <v>Working Capital (2)</v>
          </cell>
          <cell r="Q187">
            <v>89.47</v>
          </cell>
          <cell r="R187">
            <v>82.727000000000004</v>
          </cell>
          <cell r="S187">
            <v>97.700000000000017</v>
          </cell>
        </row>
        <row r="188">
          <cell r="A188" t="str">
            <v>Change In WC</v>
          </cell>
          <cell r="C188">
            <v>14.982835133551031</v>
          </cell>
          <cell r="D188">
            <v>-1.129197019174411</v>
          </cell>
          <cell r="E188">
            <v>2.5074101984426083</v>
          </cell>
          <cell r="F188">
            <v>1.5500386199546057</v>
          </cell>
          <cell r="G188">
            <v>1.254072741210507</v>
          </cell>
          <cell r="H188">
            <v>1.3438219478321969</v>
          </cell>
          <cell r="I188">
            <v>1.4380477381261798</v>
          </cell>
          <cell r="J188">
            <v>1.5388804115169457</v>
          </cell>
          <cell r="K188">
            <v>1.6467832252656009</v>
          </cell>
          <cell r="O188" t="str">
            <v>Change In WC</v>
          </cell>
          <cell r="Q188">
            <v>89.47</v>
          </cell>
          <cell r="R188">
            <v>-6.742999999999995</v>
          </cell>
          <cell r="S188">
            <v>14.973000000000013</v>
          </cell>
        </row>
        <row r="191">
          <cell r="A191" t="str">
            <v>Free Cash Flow</v>
          </cell>
          <cell r="C191">
            <v>-9.9757176485299368</v>
          </cell>
          <cell r="D191">
            <v>5.4287867370007534</v>
          </cell>
          <cell r="E191">
            <v>1.98911496273967</v>
          </cell>
          <cell r="F191">
            <v>3.7836631300244576</v>
          </cell>
          <cell r="G191">
            <v>4.5850157744771041</v>
          </cell>
          <cell r="H191">
            <v>5.2689794174453297</v>
          </cell>
          <cell r="I191">
            <v>6.0174596375670966</v>
          </cell>
          <cell r="J191">
            <v>6.8362584840979661</v>
          </cell>
          <cell r="K191">
            <v>7.7331964424716819</v>
          </cell>
          <cell r="O191" t="str">
            <v>Free Cash Flow</v>
          </cell>
          <cell r="Q191">
            <v>-59.569997938196529</v>
          </cell>
          <cell r="R191">
            <v>32.417999999999992</v>
          </cell>
          <cell r="S191">
            <v>11.877999999999982</v>
          </cell>
        </row>
        <row r="192">
          <cell r="A192" t="str">
            <v>Tax Savings For Goodwill Amort.</v>
          </cell>
          <cell r="B192" t="str">
            <v>No</v>
          </cell>
          <cell r="G192">
            <v>0</v>
          </cell>
          <cell r="H192">
            <v>0</v>
          </cell>
          <cell r="I192">
            <v>0</v>
          </cell>
          <cell r="J192">
            <v>0</v>
          </cell>
          <cell r="K192">
            <v>0</v>
          </cell>
          <cell r="O192" t="str">
            <v>Tax Savings For Goodwill Amort.</v>
          </cell>
          <cell r="P192" t="str">
            <v>No</v>
          </cell>
        </row>
        <row r="194">
          <cell r="A194" t="str">
            <v>Purchase Price Payments (3)</v>
          </cell>
          <cell r="F194">
            <v>-79.316830883205029</v>
          </cell>
          <cell r="O194" t="str">
            <v>Purchase Price Payments (3)</v>
          </cell>
        </row>
        <row r="195">
          <cell r="A195" t="str">
            <v>Terminal Value  (4)</v>
          </cell>
          <cell r="G195">
            <v>0</v>
          </cell>
          <cell r="H195">
            <v>0</v>
          </cell>
          <cell r="I195">
            <v>0</v>
          </cell>
          <cell r="J195">
            <v>0</v>
          </cell>
          <cell r="K195">
            <v>117.16964306775274</v>
          </cell>
          <cell r="O195" t="str">
            <v>Terminal Value  (4)</v>
          </cell>
        </row>
        <row r="196">
          <cell r="A196" t="str">
            <v>Unlevered IRR Calculation:</v>
          </cell>
          <cell r="B196">
            <v>0.1455104494284723</v>
          </cell>
          <cell r="F196">
            <v>-79.316830883205029</v>
          </cell>
          <cell r="G196">
            <v>4.5850157744771041</v>
          </cell>
          <cell r="H196">
            <v>5.2689794174453297</v>
          </cell>
          <cell r="I196">
            <v>6.0174596375670966</v>
          </cell>
          <cell r="J196">
            <v>6.8362584840979661</v>
          </cell>
          <cell r="K196">
            <v>124.90283951022442</v>
          </cell>
          <cell r="O196" t="str">
            <v>Unlevered IRR Calculation:</v>
          </cell>
          <cell r="P196">
            <v>0.14551044942847244</v>
          </cell>
        </row>
        <row r="199">
          <cell r="B199" t="str">
            <v>Company Valuation:</v>
          </cell>
          <cell r="E199" t="str">
            <v>As of June 30, 1998</v>
          </cell>
          <cell r="G199" t="str">
            <v>As of June 30, 1998</v>
          </cell>
          <cell r="I199" t="str">
            <v>As of June 30, 1998</v>
          </cell>
          <cell r="O199" t="str">
            <v>Company Valuation:</v>
          </cell>
          <cell r="Q199" t="str">
            <v>As of June 30, 1998</v>
          </cell>
          <cell r="S199" t="str">
            <v>As of June 30, 1998</v>
          </cell>
        </row>
        <row r="201">
          <cell r="B201" t="str">
            <v>PV of Cash Flows @:</v>
          </cell>
          <cell r="D201">
            <v>0.15</v>
          </cell>
          <cell r="E201">
            <v>19.681071384683161</v>
          </cell>
          <cell r="F201">
            <v>0.2</v>
          </cell>
          <cell r="G201">
            <v>17.366791105961902</v>
          </cell>
          <cell r="H201">
            <v>0.25</v>
          </cell>
          <cell r="I201">
            <v>15.455244066536697</v>
          </cell>
          <cell r="O201" t="str">
            <v>PV of Cash Flows @:</v>
          </cell>
          <cell r="P201">
            <v>0.15</v>
          </cell>
          <cell r="Q201">
            <v>117.5255177736355</v>
          </cell>
          <cell r="R201">
            <v>0.2</v>
          </cell>
          <cell r="S201">
            <v>103.7057930892515</v>
          </cell>
        </row>
        <row r="202">
          <cell r="B202" t="str">
            <v>PV of TV @ :</v>
          </cell>
          <cell r="D202">
            <v>0.15</v>
          </cell>
          <cell r="E202">
            <v>58.254020616491218</v>
          </cell>
          <cell r="F202">
            <v>0.2</v>
          </cell>
          <cell r="G202">
            <v>47.087851670103824</v>
          </cell>
          <cell r="H202">
            <v>0.25</v>
          </cell>
          <cell r="I202">
            <v>38.394148640441223</v>
          </cell>
          <cell r="O202" t="str">
            <v>PV of TV @ :</v>
          </cell>
          <cell r="P202">
            <v>0.15</v>
          </cell>
          <cell r="Q202">
            <v>347.86388411137739</v>
          </cell>
          <cell r="R202">
            <v>0.2</v>
          </cell>
          <cell r="S202">
            <v>281.18510624802508</v>
          </cell>
        </row>
        <row r="203">
          <cell r="B203" t="str">
            <v>PV of Tax Benefit @:</v>
          </cell>
          <cell r="D203">
            <v>0.09</v>
          </cell>
          <cell r="E203">
            <v>0</v>
          </cell>
          <cell r="F203">
            <v>0.09</v>
          </cell>
          <cell r="G203">
            <v>0</v>
          </cell>
          <cell r="H203">
            <v>0.09</v>
          </cell>
          <cell r="I203">
            <v>0</v>
          </cell>
          <cell r="O203" t="str">
            <v>PV of Tax Benefit @:</v>
          </cell>
          <cell r="P203">
            <v>0.09</v>
          </cell>
          <cell r="Q203">
            <v>0</v>
          </cell>
          <cell r="R203">
            <v>0.09</v>
          </cell>
          <cell r="S203">
            <v>0</v>
          </cell>
        </row>
        <row r="204">
          <cell r="B204" t="str">
            <v>PV of Firm</v>
          </cell>
          <cell r="E204">
            <v>77.935092001174382</v>
          </cell>
          <cell r="G204">
            <v>64.454642776065725</v>
          </cell>
          <cell r="I204">
            <v>53.849392706977923</v>
          </cell>
          <cell r="O204" t="str">
            <v>PV of Firm</v>
          </cell>
          <cell r="Q204">
            <v>465.38940188501289</v>
          </cell>
          <cell r="S204">
            <v>384.89089933727655</v>
          </cell>
        </row>
        <row r="205">
          <cell r="B205" t="str">
            <v xml:space="preserve">Less Net LT Debt </v>
          </cell>
          <cell r="E205">
            <v>-43.806672424171659</v>
          </cell>
          <cell r="G205">
            <v>-43.806672424171659</v>
          </cell>
          <cell r="I205">
            <v>-43.806672424171659</v>
          </cell>
          <cell r="O205" t="str">
            <v xml:space="preserve">Less Net LT Debt </v>
          </cell>
          <cell r="Q205">
            <v>-261.59154438094106</v>
          </cell>
          <cell r="S205">
            <v>-261.59154438094106</v>
          </cell>
        </row>
        <row r="206">
          <cell r="B206" t="str">
            <v>PV of Equity</v>
          </cell>
          <cell r="E206">
            <v>121.74176442534605</v>
          </cell>
          <cell r="G206">
            <v>108.26131520023739</v>
          </cell>
          <cell r="I206">
            <v>97.656065131149575</v>
          </cell>
          <cell r="O206" t="str">
            <v>PV of Equity</v>
          </cell>
          <cell r="Q206">
            <v>726.98094626595389</v>
          </cell>
          <cell r="S206">
            <v>646.48244371821761</v>
          </cell>
        </row>
        <row r="208">
          <cell r="B208" t="str">
            <v>PV of Purchase Price</v>
          </cell>
          <cell r="E208">
            <v>79.316830883205029</v>
          </cell>
          <cell r="G208">
            <v>79.316830883205029</v>
          </cell>
          <cell r="I208">
            <v>79.316830883205029</v>
          </cell>
          <cell r="O208" t="str">
            <v>PV of Purchase Price</v>
          </cell>
          <cell r="Q208">
            <v>473.64045561905886</v>
          </cell>
          <cell r="S208">
            <v>473.64045561905886</v>
          </cell>
        </row>
        <row r="210">
          <cell r="B210" t="str">
            <v>NPV</v>
          </cell>
          <cell r="E210">
            <v>-1.3817388820306462</v>
          </cell>
          <cell r="G210">
            <v>-14.862188107139303</v>
          </cell>
          <cell r="I210">
            <v>-25.467438176227105</v>
          </cell>
          <cell r="O210" t="str">
            <v>NPV</v>
          </cell>
          <cell r="Q210">
            <v>-8.2510537340459678</v>
          </cell>
          <cell r="S210">
            <v>-88.749556281782304</v>
          </cell>
        </row>
        <row r="213">
          <cell r="A213" t="str">
            <v xml:space="preserve">(1) Capex assumed to be 1.5% of Sales. </v>
          </cell>
          <cell r="O213" t="str">
            <v xml:space="preserve">(1) Capex assumed to be 1.0% of Sales. </v>
          </cell>
        </row>
        <row r="214">
          <cell r="A214" t="str">
            <v>(2) Defined as Receivables + Inventory - Payables.</v>
          </cell>
          <cell r="O214" t="str">
            <v>(2) Defined as Receivables + Inventory - Payables.</v>
          </cell>
        </row>
        <row r="215">
          <cell r="A215" t="str">
            <v xml:space="preserve">(3) Fisher acquires 100% of  company </v>
          </cell>
          <cell r="O215" t="str">
            <v>(3) Fisher acquires 100% of  company</v>
          </cell>
        </row>
        <row r="216">
          <cell r="A216" t="str">
            <v>(4) Terminal value calculated as a perpetuity</v>
          </cell>
          <cell r="E216">
            <v>6.6000000000000003E-2</v>
          </cell>
          <cell r="O216" t="str">
            <v>(4) Terminal value calculated as 10% perpetuity</v>
          </cell>
          <cell r="S216">
            <v>6.6000000000000003E-2</v>
          </cell>
        </row>
        <row r="218">
          <cell r="A218" t="str">
            <v>Balance Sheet ($000's)</v>
          </cell>
          <cell r="O218" t="str">
            <v>Balance Sheet (Lira in millions)</v>
          </cell>
        </row>
        <row r="219">
          <cell r="A219" t="str">
            <v>Fiscal Year Ended June 30,</v>
          </cell>
          <cell r="O219" t="str">
            <v>At Dec 31,</v>
          </cell>
        </row>
        <row r="220">
          <cell r="F220" t="str">
            <v>(1)</v>
          </cell>
        </row>
        <row r="221">
          <cell r="C221" t="str">
            <v>1995A</v>
          </cell>
          <cell r="D221" t="str">
            <v>1996A</v>
          </cell>
          <cell r="E221" t="str">
            <v>1997A</v>
          </cell>
          <cell r="F221" t="str">
            <v>1998E</v>
          </cell>
          <cell r="G221" t="str">
            <v>1999E</v>
          </cell>
          <cell r="H221" t="str">
            <v>2000E</v>
          </cell>
          <cell r="I221" t="str">
            <v>2001E</v>
          </cell>
          <cell r="J221" t="str">
            <v>2002E</v>
          </cell>
          <cell r="K221" t="str">
            <v>2003E</v>
          </cell>
          <cell r="Q221" t="str">
            <v>1995A</v>
          </cell>
          <cell r="R221" t="str">
            <v>1996A</v>
          </cell>
          <cell r="S221" t="str">
            <v>1997A</v>
          </cell>
        </row>
        <row r="222">
          <cell r="A222" t="str">
            <v>Assets</v>
          </cell>
          <cell r="G222" t="str">
            <v xml:space="preserve"> </v>
          </cell>
          <cell r="H222" t="str">
            <v xml:space="preserve"> </v>
          </cell>
          <cell r="I222" t="str">
            <v xml:space="preserve"> </v>
          </cell>
          <cell r="J222" t="str">
            <v xml:space="preserve"> </v>
          </cell>
          <cell r="K222" t="str">
            <v xml:space="preserve"> </v>
          </cell>
          <cell r="O222" t="str">
            <v>Assets</v>
          </cell>
        </row>
        <row r="223">
          <cell r="A223" t="str">
            <v xml:space="preserve">Cash/Equivalents </v>
          </cell>
          <cell r="C223">
            <v>36.739680147366656</v>
          </cell>
          <cell r="D223">
            <v>39.774428535543834</v>
          </cell>
          <cell r="E223">
            <v>39.738759105752322</v>
          </cell>
          <cell r="F223">
            <v>43.806672424171659</v>
          </cell>
          <cell r="G223">
            <v>48.391688198648758</v>
          </cell>
          <cell r="H223">
            <v>55.690265717458168</v>
          </cell>
          <cell r="I223">
            <v>64.042514570643249</v>
          </cell>
          <cell r="J223">
            <v>73.5620623037927</v>
          </cell>
          <cell r="K223">
            <v>84.37503208688257</v>
          </cell>
          <cell r="O223" t="str">
            <v xml:space="preserve">Cash/Equivalents </v>
          </cell>
          <cell r="Q223">
            <v>219.39099999999999</v>
          </cell>
          <cell r="R223">
            <v>237.51300000000001</v>
          </cell>
          <cell r="S223">
            <v>237.3</v>
          </cell>
        </row>
        <row r="224">
          <cell r="A224" t="str">
            <v>Accounts Receivable (Net)</v>
          </cell>
          <cell r="C224">
            <v>15.335845265008791</v>
          </cell>
          <cell r="D224">
            <v>15.042619107426944</v>
          </cell>
          <cell r="E224">
            <v>16.562002846855901</v>
          </cell>
          <cell r="F224">
            <v>18.130502098136549</v>
          </cell>
          <cell r="G224">
            <v>19.399637245006112</v>
          </cell>
          <cell r="H224">
            <v>20.75761185215654</v>
          </cell>
          <cell r="I224">
            <v>22.210644681807498</v>
          </cell>
          <cell r="J224">
            <v>23.765389809534028</v>
          </cell>
          <cell r="K224">
            <v>25.428967096201415</v>
          </cell>
          <cell r="O224" t="str">
            <v>Accounts Receivable (Net)</v>
          </cell>
          <cell r="Q224">
            <v>91.578000000000003</v>
          </cell>
          <cell r="R224">
            <v>89.826999999999998</v>
          </cell>
          <cell r="S224">
            <v>98.9</v>
          </cell>
        </row>
        <row r="225">
          <cell r="A225" t="str">
            <v>Inventories (Net)</v>
          </cell>
          <cell r="C225">
            <v>4.2079879427279572</v>
          </cell>
          <cell r="D225">
            <v>3.6972285020514106</v>
          </cell>
          <cell r="E225">
            <v>4.5549694381646146</v>
          </cell>
          <cell r="F225">
            <v>4.9734104148881455</v>
          </cell>
          <cell r="G225">
            <v>5.3148249431600822</v>
          </cell>
          <cell r="H225">
            <v>5.6356185543733703</v>
          </cell>
          <cell r="I225">
            <v>5.9752806289350335</v>
          </cell>
          <cell r="J225">
            <v>6.3348808630189009</v>
          </cell>
          <cell r="K225">
            <v>6.7155462547927289</v>
          </cell>
          <cell r="O225" t="str">
            <v>Inventories (Net)</v>
          </cell>
          <cell r="Q225">
            <v>25.128</v>
          </cell>
          <cell r="R225">
            <v>22.077999999999999</v>
          </cell>
          <cell r="S225">
            <v>27.2</v>
          </cell>
        </row>
        <row r="226">
          <cell r="A226" t="str">
            <v xml:space="preserve">Prepaid Expenses &amp; Other </v>
          </cell>
          <cell r="C226">
            <v>0.96357699070585279</v>
          </cell>
          <cell r="D226">
            <v>1.7452901281085154</v>
          </cell>
          <cell r="E226">
            <v>3.7946914510591978</v>
          </cell>
          <cell r="F226">
            <v>3.7946914510591978</v>
          </cell>
          <cell r="G226">
            <v>3.7946914510591978</v>
          </cell>
          <cell r="H226">
            <v>3.7946914510591978</v>
          </cell>
          <cell r="I226">
            <v>3.7946914510591978</v>
          </cell>
          <cell r="J226">
            <v>3.7946914510591978</v>
          </cell>
          <cell r="K226">
            <v>3.7946914510591978</v>
          </cell>
          <cell r="O226" t="str">
            <v xml:space="preserve">Prepaid Expenses &amp; Other </v>
          </cell>
          <cell r="Q226">
            <v>5.7540000000000004</v>
          </cell>
          <cell r="R226">
            <v>10.422000000000001</v>
          </cell>
          <cell r="S226">
            <v>22.66</v>
          </cell>
        </row>
        <row r="227">
          <cell r="A227" t="str">
            <v>Total Current Assets</v>
          </cell>
          <cell r="C227">
            <v>57.247090345809262</v>
          </cell>
          <cell r="D227">
            <v>60.259566273130702</v>
          </cell>
          <cell r="E227">
            <v>64.650422841832039</v>
          </cell>
          <cell r="F227">
            <v>70.705276388255555</v>
          </cell>
          <cell r="G227">
            <v>76.90084183787414</v>
          </cell>
          <cell r="H227">
            <v>85.878187575047264</v>
          </cell>
          <cell r="I227">
            <v>96.023131332444976</v>
          </cell>
          <cell r="J227">
            <v>107.45702442740482</v>
          </cell>
          <cell r="K227">
            <v>120.31423688893591</v>
          </cell>
          <cell r="O227" t="str">
            <v>Total Current Assets</v>
          </cell>
          <cell r="Q227">
            <v>341.851</v>
          </cell>
          <cell r="R227">
            <v>359.84000000000003</v>
          </cell>
          <cell r="S227">
            <v>386.06000000000006</v>
          </cell>
        </row>
        <row r="229">
          <cell r="A229" t="str">
            <v>Net PP&amp;E</v>
          </cell>
          <cell r="C229">
            <v>2.9866867621200703</v>
          </cell>
          <cell r="D229">
            <v>2.7137235200535876</v>
          </cell>
          <cell r="E229">
            <v>2.3277233525914762</v>
          </cell>
          <cell r="F229">
            <v>2.7083647324792768</v>
          </cell>
          <cell r="G229">
            <v>3.0985729835767515</v>
          </cell>
          <cell r="H229">
            <v>3.4763497302416719</v>
          </cell>
          <cell r="I229">
            <v>3.8486990051188754</v>
          </cell>
          <cell r="J229">
            <v>4.2215551297946119</v>
          </cell>
          <cell r="K229">
            <v>4.600016890863321</v>
          </cell>
          <cell r="O229" t="str">
            <v>Net PP&amp;E</v>
          </cell>
          <cell r="Q229">
            <v>17.835000000000001</v>
          </cell>
          <cell r="R229">
            <v>16.204999999999998</v>
          </cell>
          <cell r="S229">
            <v>13.9</v>
          </cell>
        </row>
        <row r="230">
          <cell r="A230" t="str">
            <v>Goodwill &amp; Other Intangibles</v>
          </cell>
          <cell r="C230">
            <v>0.66566189399648323</v>
          </cell>
          <cell r="D230">
            <v>1.5696223729381225</v>
          </cell>
          <cell r="E230">
            <v>1.4904127941053336</v>
          </cell>
          <cell r="F230">
            <v>1.4904127941053336</v>
          </cell>
          <cell r="G230">
            <v>1.4904127941053336</v>
          </cell>
          <cell r="H230">
            <v>1.4904127941053336</v>
          </cell>
          <cell r="I230">
            <v>1.4904127941053336</v>
          </cell>
          <cell r="J230">
            <v>1.4904127941053336</v>
          </cell>
          <cell r="K230">
            <v>1.4904127941053336</v>
          </cell>
          <cell r="O230" t="str">
            <v>Goodwill &amp; Other Intangibles</v>
          </cell>
          <cell r="Q230">
            <v>3.9750000000000001</v>
          </cell>
          <cell r="R230">
            <v>9.3729999999999993</v>
          </cell>
          <cell r="S230">
            <v>8.9</v>
          </cell>
        </row>
        <row r="231">
          <cell r="A231" t="str">
            <v>Other Assets</v>
          </cell>
          <cell r="C231">
            <v>0.2662647575985933</v>
          </cell>
          <cell r="D231">
            <v>0.3582014569203717</v>
          </cell>
          <cell r="E231">
            <v>0</v>
          </cell>
          <cell r="F231">
            <v>0</v>
          </cell>
          <cell r="G231">
            <v>0</v>
          </cell>
          <cell r="H231">
            <v>0</v>
          </cell>
          <cell r="I231">
            <v>0</v>
          </cell>
          <cell r="J231">
            <v>0</v>
          </cell>
          <cell r="K231">
            <v>0</v>
          </cell>
          <cell r="O231" t="str">
            <v>Other Assets</v>
          </cell>
          <cell r="Q231">
            <v>1.59</v>
          </cell>
          <cell r="R231">
            <v>2.1389999999999998</v>
          </cell>
          <cell r="S231">
            <v>0</v>
          </cell>
        </row>
        <row r="232">
          <cell r="A232" t="str">
            <v>TOTAL ASSETS</v>
          </cell>
          <cell r="C232">
            <v>61.165703759524412</v>
          </cell>
          <cell r="D232">
            <v>64.901113623042789</v>
          </cell>
          <cell r="E232">
            <v>68.468558988528855</v>
          </cell>
          <cell r="F232">
            <v>74.904053914840176</v>
          </cell>
          <cell r="G232">
            <v>81.489827615556237</v>
          </cell>
          <cell r="H232">
            <v>90.844950099394268</v>
          </cell>
          <cell r="I232">
            <v>101.36224313166919</v>
          </cell>
          <cell r="J232">
            <v>113.16899235130477</v>
          </cell>
          <cell r="K232">
            <v>126.40466657390456</v>
          </cell>
          <cell r="O232" t="str">
            <v>TOTAL ASSETS</v>
          </cell>
          <cell r="Q232">
            <v>365.25099999999998</v>
          </cell>
          <cell r="R232">
            <v>387.55700000000002</v>
          </cell>
          <cell r="S232">
            <v>408.86</v>
          </cell>
        </row>
        <row r="234">
          <cell r="A234" t="str">
            <v>Liabilities &amp; Equity</v>
          </cell>
          <cell r="O234" t="str">
            <v>Liabilities &amp; Equity</v>
          </cell>
        </row>
        <row r="235">
          <cell r="A235" t="str">
            <v>Accounts Payable</v>
          </cell>
          <cell r="C235">
            <v>4.560998074185715</v>
          </cell>
          <cell r="D235">
            <v>4.886209495101733</v>
          </cell>
          <cell r="E235">
            <v>4.7559239722012894</v>
          </cell>
          <cell r="F235">
            <v>5.1928255802508598</v>
          </cell>
          <cell r="G235">
            <v>5.5493025141818517</v>
          </cell>
          <cell r="H235">
            <v>5.8842487847133729</v>
          </cell>
          <cell r="I235">
            <v>6.2388959507998152</v>
          </cell>
          <cell r="J235">
            <v>6.6143609010932662</v>
          </cell>
          <cell r="K235">
            <v>7.0118203542688802</v>
          </cell>
          <cell r="O235" t="str">
            <v>Accounts Payable</v>
          </cell>
          <cell r="Q235">
            <v>27.236000000000001</v>
          </cell>
          <cell r="R235">
            <v>29.178000000000001</v>
          </cell>
          <cell r="S235">
            <v>28.4</v>
          </cell>
        </row>
        <row r="236">
          <cell r="A236" t="str">
            <v>Short term debt</v>
          </cell>
          <cell r="C236">
            <v>0</v>
          </cell>
          <cell r="D236">
            <v>0</v>
          </cell>
          <cell r="E236">
            <v>0</v>
          </cell>
          <cell r="F236">
            <v>0</v>
          </cell>
          <cell r="G236">
            <v>0</v>
          </cell>
          <cell r="H236">
            <v>0</v>
          </cell>
          <cell r="I236">
            <v>0</v>
          </cell>
          <cell r="J236">
            <v>0</v>
          </cell>
          <cell r="K236">
            <v>0</v>
          </cell>
          <cell r="O236" t="str">
            <v>Short term debt</v>
          </cell>
          <cell r="Q236">
            <v>0</v>
          </cell>
          <cell r="R236">
            <v>0</v>
          </cell>
          <cell r="S236">
            <v>0</v>
          </cell>
        </row>
        <row r="237">
          <cell r="A237" t="str">
            <v>Other Accrued Expenses</v>
          </cell>
          <cell r="C237">
            <v>4.842166959725362</v>
          </cell>
          <cell r="D237">
            <v>3.5227329816628981</v>
          </cell>
          <cell r="E237">
            <v>3.0851544837980409</v>
          </cell>
          <cell r="F237">
            <v>3.0851544837980409</v>
          </cell>
          <cell r="G237">
            <v>3.0851544837980409</v>
          </cell>
          <cell r="H237">
            <v>3.0851544837980409</v>
          </cell>
          <cell r="I237">
            <v>3.0851544837980409</v>
          </cell>
          <cell r="J237">
            <v>3.0851544837980409</v>
          </cell>
          <cell r="K237">
            <v>3.0851544837980409</v>
          </cell>
          <cell r="O237" t="str">
            <v>Other Accrued Expenses</v>
          </cell>
          <cell r="Q237">
            <v>28.914999999999999</v>
          </cell>
          <cell r="R237">
            <v>21.035999999999998</v>
          </cell>
          <cell r="S237">
            <v>18.423000000000002</v>
          </cell>
        </row>
        <row r="238">
          <cell r="A238" t="str">
            <v>Total Current Liabilities</v>
          </cell>
          <cell r="C238">
            <v>9.4031650339110762</v>
          </cell>
          <cell r="D238">
            <v>8.408942476764631</v>
          </cell>
          <cell r="E238">
            <v>7.8410784559993303</v>
          </cell>
          <cell r="F238">
            <v>8.2779800640489007</v>
          </cell>
          <cell r="G238">
            <v>8.6344569979798926</v>
          </cell>
          <cell r="H238">
            <v>8.9694032685114138</v>
          </cell>
          <cell r="I238">
            <v>9.3240504345978561</v>
          </cell>
          <cell r="J238">
            <v>9.6995153848913063</v>
          </cell>
          <cell r="K238">
            <v>10.09697483806692</v>
          </cell>
          <cell r="O238" t="str">
            <v>Total Current Liabilities</v>
          </cell>
          <cell r="Q238">
            <v>56.150999999999996</v>
          </cell>
          <cell r="R238">
            <v>50.213999999999999</v>
          </cell>
          <cell r="S238">
            <v>46.823</v>
          </cell>
        </row>
        <row r="240">
          <cell r="A240" t="str">
            <v>Total Debt</v>
          </cell>
          <cell r="C240">
            <v>0</v>
          </cell>
          <cell r="D240">
            <v>0</v>
          </cell>
          <cell r="E240">
            <v>0</v>
          </cell>
          <cell r="F240">
            <v>0</v>
          </cell>
          <cell r="G240">
            <v>0</v>
          </cell>
          <cell r="H240">
            <v>0</v>
          </cell>
          <cell r="I240">
            <v>0</v>
          </cell>
          <cell r="J240">
            <v>0</v>
          </cell>
          <cell r="K240">
            <v>0</v>
          </cell>
          <cell r="O240" t="str">
            <v>Total Debt</v>
          </cell>
          <cell r="Q240">
            <v>0</v>
          </cell>
          <cell r="R240">
            <v>0</v>
          </cell>
          <cell r="S240">
            <v>0</v>
          </cell>
        </row>
        <row r="241">
          <cell r="A241" t="str">
            <v>Other Non-Current</v>
          </cell>
          <cell r="C241">
            <v>1.2516118228250859</v>
          </cell>
          <cell r="D241">
            <v>1.3415389768064974</v>
          </cell>
          <cell r="E241">
            <v>1.339696893577828</v>
          </cell>
          <cell r="F241">
            <v>1.339696893577828</v>
          </cell>
          <cell r="G241">
            <v>1.339696893577828</v>
          </cell>
          <cell r="H241">
            <v>1.339696893577828</v>
          </cell>
          <cell r="I241">
            <v>1.339696893577828</v>
          </cell>
          <cell r="J241">
            <v>1.339696893577828</v>
          </cell>
          <cell r="K241">
            <v>1.339696893577828</v>
          </cell>
          <cell r="O241" t="str">
            <v>Other Non-Current</v>
          </cell>
          <cell r="Q241">
            <v>7.4740000000000002</v>
          </cell>
          <cell r="R241">
            <v>8.0109999999999992</v>
          </cell>
          <cell r="S241">
            <v>8</v>
          </cell>
        </row>
        <row r="242">
          <cell r="A242" t="str">
            <v>Total Liabilities</v>
          </cell>
          <cell r="C242">
            <v>10.654776856736163</v>
          </cell>
          <cell r="D242">
            <v>9.7504814535711279</v>
          </cell>
          <cell r="E242">
            <v>9.1807753495771589</v>
          </cell>
          <cell r="F242">
            <v>9.6176769576267294</v>
          </cell>
          <cell r="G242">
            <v>9.9741538915577213</v>
          </cell>
          <cell r="H242">
            <v>10.309100162089242</v>
          </cell>
          <cell r="I242">
            <v>10.663747328175685</v>
          </cell>
          <cell r="J242">
            <v>11.039212278469135</v>
          </cell>
          <cell r="K242">
            <v>11.436671731644749</v>
          </cell>
          <cell r="O242" t="str">
            <v>Total Liabilities</v>
          </cell>
          <cell r="Q242">
            <v>63.625</v>
          </cell>
          <cell r="R242">
            <v>58.224999999999994</v>
          </cell>
          <cell r="S242">
            <v>54.823</v>
          </cell>
        </row>
        <row r="244">
          <cell r="A244" t="str">
            <v>Shareholders' Equity</v>
          </cell>
          <cell r="C244">
            <v>50.510926902788235</v>
          </cell>
          <cell r="D244">
            <v>55.225990119735414</v>
          </cell>
          <cell r="E244">
            <v>59.281085154483797</v>
          </cell>
          <cell r="F244">
            <v>65.286376957213434</v>
          </cell>
          <cell r="G244">
            <v>71.515673723998518</v>
          </cell>
          <cell r="H244">
            <v>80.535849937305045</v>
          </cell>
          <cell r="I244">
            <v>90.698495803493486</v>
          </cell>
          <cell r="J244">
            <v>102.12978007283563</v>
          </cell>
          <cell r="K244">
            <v>114.96799484225981</v>
          </cell>
          <cell r="O244" t="str">
            <v>Shareholders' Equity</v>
          </cell>
          <cell r="Q244">
            <v>301.62599999999998</v>
          </cell>
          <cell r="R244">
            <v>329.78200000000004</v>
          </cell>
          <cell r="S244">
            <v>353.99700000000001</v>
          </cell>
        </row>
        <row r="245">
          <cell r="A245" t="str">
            <v>TOTAL LIABILITIES &amp; EQUITY</v>
          </cell>
          <cell r="C245">
            <v>61.165703759524398</v>
          </cell>
          <cell r="D245">
            <v>64.97647157330654</v>
          </cell>
          <cell r="E245">
            <v>68.461860504060951</v>
          </cell>
          <cell r="F245">
            <v>74.904053914840162</v>
          </cell>
          <cell r="G245">
            <v>81.489827615556237</v>
          </cell>
          <cell r="H245">
            <v>90.844950099394282</v>
          </cell>
          <cell r="I245">
            <v>101.36224313166917</v>
          </cell>
          <cell r="J245">
            <v>113.16899235130477</v>
          </cell>
          <cell r="K245">
            <v>126.40466657390456</v>
          </cell>
          <cell r="O245" t="str">
            <v>TOTAL LIABILITIES &amp; EQUITY</v>
          </cell>
          <cell r="Q245">
            <v>365.25099999999998</v>
          </cell>
          <cell r="R245">
            <v>388.00700000000006</v>
          </cell>
          <cell r="S245">
            <v>408.82</v>
          </cell>
        </row>
        <row r="246">
          <cell r="H246" t="str">
            <v xml:space="preserve"> </v>
          </cell>
          <cell r="I246" t="str">
            <v xml:space="preserve"> </v>
          </cell>
        </row>
        <row r="248">
          <cell r="A248" t="str">
            <v>(1) Estimated Balance Sheet as of June 30, 1998 .</v>
          </cell>
        </row>
        <row r="253">
          <cell r="A253" t="str">
            <v>Balance Sheet Turnover Analysis</v>
          </cell>
        </row>
        <row r="255">
          <cell r="C255">
            <v>1994</v>
          </cell>
          <cell r="D255" t="str">
            <v>1996A</v>
          </cell>
          <cell r="E255" t="str">
            <v>1997A</v>
          </cell>
          <cell r="F255" t="str">
            <v>1998E</v>
          </cell>
          <cell r="G255" t="str">
            <v>1999E</v>
          </cell>
          <cell r="H255" t="str">
            <v>2000E</v>
          </cell>
          <cell r="I255" t="str">
            <v>2001E</v>
          </cell>
          <cell r="J255" t="str">
            <v>2002E</v>
          </cell>
          <cell r="K255" t="str">
            <v>2003E</v>
          </cell>
        </row>
        <row r="256">
          <cell r="A256" t="str">
            <v>(days)</v>
          </cell>
        </row>
        <row r="257">
          <cell r="A257" t="str">
            <v>Accounts Receivable</v>
          </cell>
          <cell r="C257">
            <v>93.995883141972556</v>
          </cell>
          <cell r="D257">
            <v>87.385007995735606</v>
          </cell>
          <cell r="E257">
            <v>91.900458248472518</v>
          </cell>
          <cell r="F257">
            <v>91.900458248472518</v>
          </cell>
          <cell r="G257">
            <v>91.900458248472518</v>
          </cell>
          <cell r="H257">
            <v>91.900458248472518</v>
          </cell>
          <cell r="I257">
            <v>91.900458248472518</v>
          </cell>
          <cell r="J257">
            <v>91.900458248472518</v>
          </cell>
          <cell r="K257">
            <v>91.900458248472518</v>
          </cell>
        </row>
        <row r="258">
          <cell r="A258" t="str">
            <v>Inventory</v>
          </cell>
          <cell r="C258">
            <v>46.138197476708854</v>
          </cell>
          <cell r="D258">
            <v>38.759974411635973</v>
          </cell>
          <cell r="E258">
            <v>45.374771480804377</v>
          </cell>
          <cell r="F258">
            <v>45.374771480804377</v>
          </cell>
          <cell r="G258">
            <v>45.374771480804377</v>
          </cell>
          <cell r="H258">
            <v>45.374771480804377</v>
          </cell>
          <cell r="I258">
            <v>45.374771480804377</v>
          </cell>
          <cell r="J258">
            <v>45.374771480804377</v>
          </cell>
          <cell r="K258">
            <v>45.374771480804377</v>
          </cell>
        </row>
        <row r="259">
          <cell r="A259" t="str">
            <v>Accounts Payable</v>
          </cell>
          <cell r="C259">
            <v>50.008753043443264</v>
          </cell>
          <cell r="D259">
            <v>51.224682189632865</v>
          </cell>
          <cell r="E259">
            <v>47.376599634369285</v>
          </cell>
          <cell r="F259">
            <v>47.376599634369285</v>
          </cell>
          <cell r="G259">
            <v>47.376599634369285</v>
          </cell>
          <cell r="H259">
            <v>47.376599634369285</v>
          </cell>
          <cell r="I259">
            <v>47.376599634369285</v>
          </cell>
          <cell r="J259">
            <v>47.376599634369285</v>
          </cell>
          <cell r="K259">
            <v>47.376599634369285</v>
          </cell>
        </row>
        <row r="262">
          <cell r="A262" t="str">
            <v>Percentage of Sales</v>
          </cell>
        </row>
        <row r="264">
          <cell r="C264" t="str">
            <v>1995A</v>
          </cell>
          <cell r="D264" t="str">
            <v>1996A</v>
          </cell>
          <cell r="E264" t="str">
            <v>1997A</v>
          </cell>
          <cell r="F264" t="str">
            <v>1998E</v>
          </cell>
          <cell r="G264" t="str">
            <v>1999E</v>
          </cell>
          <cell r="H264" t="str">
            <v>2000E</v>
          </cell>
          <cell r="I264" t="str">
            <v>2001E</v>
          </cell>
          <cell r="J264" t="str">
            <v>2002E</v>
          </cell>
          <cell r="K264" t="str">
            <v>2003E</v>
          </cell>
        </row>
        <row r="266">
          <cell r="A266" t="str">
            <v>Sales Growth</v>
          </cell>
          <cell r="C266" t="str">
            <v>na</v>
          </cell>
          <cell r="D266">
            <v>5.5085472609115109E-2</v>
          </cell>
          <cell r="E266">
            <v>4.6908315565031979E-2</v>
          </cell>
          <cell r="F266">
            <v>9.4704684317718862E-2</v>
          </cell>
          <cell r="G266">
            <v>7.0000000000000007E-2</v>
          </cell>
          <cell r="H266">
            <v>7.0000000000000007E-2</v>
          </cell>
          <cell r="I266">
            <v>7.0000000000000007E-2</v>
          </cell>
          <cell r="J266">
            <v>7.0000000000000007E-2</v>
          </cell>
          <cell r="K266">
            <v>7.0000000000000007E-2</v>
          </cell>
        </row>
        <row r="267">
          <cell r="A267" t="str">
            <v>Cost of Sales</v>
          </cell>
          <cell r="C267">
            <v>0.55900408030122806</v>
          </cell>
          <cell r="D267">
            <v>0.55412313432835825</v>
          </cell>
          <cell r="E267">
            <v>0.55702647657841153</v>
          </cell>
          <cell r="F267">
            <v>0.55558139534883733</v>
          </cell>
          <cell r="G267">
            <v>0.55487937404911969</v>
          </cell>
          <cell r="H267">
            <v>0.54987937404911968</v>
          </cell>
          <cell r="I267">
            <v>0.54487937404911968</v>
          </cell>
          <cell r="J267">
            <v>0.53987937404911968</v>
          </cell>
          <cell r="K267">
            <v>0.53487937404911967</v>
          </cell>
        </row>
        <row r="268">
          <cell r="A268" t="str">
            <v>Total Gross Profit</v>
          </cell>
          <cell r="C268">
            <v>0.44099591969877194</v>
          </cell>
          <cell r="D268">
            <v>0.44587686567164181</v>
          </cell>
          <cell r="E268">
            <v>0.44297352342158852</v>
          </cell>
          <cell r="F268">
            <v>0.44441860465116273</v>
          </cell>
          <cell r="G268">
            <v>0.44512062595088026</v>
          </cell>
          <cell r="H268">
            <v>0.45012062595088032</v>
          </cell>
          <cell r="I268">
            <v>0.45512062595088038</v>
          </cell>
          <cell r="J268">
            <v>0.46012062595088038</v>
          </cell>
          <cell r="K268">
            <v>0.46512062595088027</v>
          </cell>
        </row>
        <row r="269">
          <cell r="F269" t="str">
            <v xml:space="preserve"> </v>
          </cell>
          <cell r="G269" t="str">
            <v xml:space="preserve"> </v>
          </cell>
          <cell r="H269" t="str">
            <v xml:space="preserve"> </v>
          </cell>
          <cell r="I269" t="str">
            <v xml:space="preserve"> </v>
          </cell>
          <cell r="J269" t="str">
            <v xml:space="preserve"> </v>
          </cell>
          <cell r="K269" t="str">
            <v xml:space="preserve"> </v>
          </cell>
        </row>
        <row r="270">
          <cell r="A270" t="str">
            <v>SG&amp;A</v>
          </cell>
          <cell r="C270">
            <v>0.12942513026874872</v>
          </cell>
          <cell r="D270">
            <v>0.13265458422174839</v>
          </cell>
          <cell r="E270">
            <v>0.13747454175152751</v>
          </cell>
          <cell r="F270">
            <v>0.13255813953488374</v>
          </cell>
          <cell r="G270">
            <v>0.13212453814388175</v>
          </cell>
          <cell r="H270">
            <v>0.13169235507518681</v>
          </cell>
          <cell r="I270">
            <v>0.13126158568942681</v>
          </cell>
          <cell r="J270">
            <v>0.1308322253624053</v>
          </cell>
          <cell r="K270">
            <v>0.13040426948505163</v>
          </cell>
        </row>
        <row r="271">
          <cell r="A271" t="str">
            <v>Other Expenses</v>
          </cell>
          <cell r="C271">
            <v>2.191439522399476E-2</v>
          </cell>
          <cell r="D271">
            <v>2.2763859275053304E-2</v>
          </cell>
          <cell r="E271">
            <v>2.2764765784114054E-2</v>
          </cell>
          <cell r="F271">
            <v>2.2758139534883724E-2</v>
          </cell>
          <cell r="G271">
            <v>2.2758139534883721E-2</v>
          </cell>
          <cell r="H271">
            <v>2.2758139534883717E-2</v>
          </cell>
          <cell r="I271">
            <v>2.275813953488371E-2</v>
          </cell>
          <cell r="J271">
            <v>2.2758139534883714E-2</v>
          </cell>
          <cell r="K271">
            <v>2.2758139534883717E-2</v>
          </cell>
        </row>
        <row r="272">
          <cell r="A272" t="str">
            <v>Depreciation &amp; Amortization</v>
          </cell>
          <cell r="C272">
            <v>8.7202026933924995E-3</v>
          </cell>
          <cell r="D272">
            <v>8.8939232409381667E-3</v>
          </cell>
          <cell r="E272">
            <v>9.9236252545824855E-3</v>
          </cell>
          <cell r="F272">
            <v>9.7139534883720936E-3</v>
          </cell>
          <cell r="G272">
            <v>9.9356040612289236E-3</v>
          </cell>
          <cell r="H272">
            <v>1.0142754129319422E-2</v>
          </cell>
          <cell r="I272">
            <v>1.0336352323796519E-2</v>
          </cell>
          <cell r="J272">
            <v>1.0517285215831193E-2</v>
          </cell>
          <cell r="K272">
            <v>1.0686381376611263E-2</v>
          </cell>
        </row>
        <row r="273">
          <cell r="A273" t="str">
            <v>Operating Income</v>
          </cell>
          <cell r="C273">
            <v>0.12760291442053248</v>
          </cell>
          <cell r="D273">
            <v>0.12429371002132202</v>
          </cell>
          <cell r="E273">
            <v>0.12245417515274942</v>
          </cell>
          <cell r="F273">
            <v>0.13226046511627898</v>
          </cell>
          <cell r="G273">
            <v>0.13474695951190735</v>
          </cell>
          <cell r="H273">
            <v>0.14132183507264209</v>
          </cell>
          <cell r="I273">
            <v>0.14789560270547442</v>
          </cell>
          <cell r="J273">
            <v>0.1544675104487058</v>
          </cell>
          <cell r="K273">
            <v>0.16103686304993822</v>
          </cell>
        </row>
        <row r="275">
          <cell r="A275" t="str">
            <v>Adjustments / Cost Savings</v>
          </cell>
          <cell r="C275">
            <v>9.1870049014231847E-3</v>
          </cell>
          <cell r="D275">
            <v>8.2089552238805968E-3</v>
          </cell>
          <cell r="E275">
            <v>7.1283095723014252E-3</v>
          </cell>
          <cell r="F275">
            <v>8.2093023255813951E-3</v>
          </cell>
          <cell r="G275">
            <v>8.0000000000000002E-3</v>
          </cell>
          <cell r="H275">
            <v>8.0000000000000002E-3</v>
          </cell>
          <cell r="I275">
            <v>8.0000000000000002E-3</v>
          </cell>
          <cell r="J275">
            <v>8.0000000000000002E-3</v>
          </cell>
          <cell r="K275">
            <v>8.0000000000000002E-3</v>
          </cell>
        </row>
        <row r="277">
          <cell r="A277" t="str">
            <v>Adjusted Operating Income</v>
          </cell>
          <cell r="C277">
            <v>0.12760291442053248</v>
          </cell>
          <cell r="D277">
            <v>0.12429371002132202</v>
          </cell>
          <cell r="E277">
            <v>0.12245417515274942</v>
          </cell>
          <cell r="F277">
            <v>0.13226046511627898</v>
          </cell>
          <cell r="G277">
            <v>0.13474695951190735</v>
          </cell>
          <cell r="H277">
            <v>0.14132183507264209</v>
          </cell>
          <cell r="I277">
            <v>0.14789560270547442</v>
          </cell>
          <cell r="J277">
            <v>0.1544675104487058</v>
          </cell>
          <cell r="K277">
            <v>0.16103686304993822</v>
          </cell>
        </row>
        <row r="278">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row>
        <row r="279">
          <cell r="A279" t="str">
            <v>Net Interest Expense</v>
          </cell>
          <cell r="C279">
            <v>-3.5488216056308718E-2</v>
          </cell>
          <cell r="D279">
            <v>-4.1146055437100218E-2</v>
          </cell>
          <cell r="E279">
            <v>-3.9266802443991854E-2</v>
          </cell>
          <cell r="F279">
            <v>-6.5790697674418617E-3</v>
          </cell>
          <cell r="G279">
            <v>-3.8889983894638332E-2</v>
          </cell>
          <cell r="H279">
            <v>-4.1030444628709431E-2</v>
          </cell>
          <cell r="I279">
            <v>-4.4112337980652401E-2</v>
          </cell>
          <cell r="J279">
            <v>-4.7380115003882527E-2</v>
          </cell>
          <cell r="K279">
            <v>-5.0823386223742717E-2</v>
          </cell>
        </row>
        <row r="280">
          <cell r="A280" t="str">
            <v>Income Taxes</v>
          </cell>
          <cell r="C280">
            <v>6.1997519761762154E-2</v>
          </cell>
          <cell r="D280">
            <v>4.8917910447761191E-2</v>
          </cell>
          <cell r="E280">
            <v>6.6522403258655799E-2</v>
          </cell>
          <cell r="F280">
            <v>5.5534883720930232E-2</v>
          </cell>
          <cell r="G280">
            <v>6.9454777362618264E-2</v>
          </cell>
          <cell r="H280">
            <v>7.2940911880540582E-2</v>
          </cell>
          <cell r="I280">
            <v>7.6803176274450755E-2</v>
          </cell>
          <cell r="J280">
            <v>8.0739050181035318E-2</v>
          </cell>
          <cell r="K280">
            <v>8.4744099709472401E-2</v>
          </cell>
        </row>
        <row r="281">
          <cell r="A281" t="str">
            <v>Net Income</v>
          </cell>
          <cell r="C281">
            <v>0.10370039172016608</v>
          </cell>
          <cell r="D281">
            <v>0.12105810234541584</v>
          </cell>
          <cell r="E281">
            <v>9.9781059063136404E-2</v>
          </cell>
          <cell r="F281">
            <v>8.3304651162790622E-2</v>
          </cell>
          <cell r="G281">
            <v>0.1041821660439274</v>
          </cell>
          <cell r="H281">
            <v>0.10941136782081093</v>
          </cell>
          <cell r="I281">
            <v>0.11520476441167607</v>
          </cell>
          <cell r="J281">
            <v>0.12110857527155298</v>
          </cell>
          <cell r="K281">
            <v>0.12711614956420855</v>
          </cell>
        </row>
        <row r="284">
          <cell r="A284" t="str">
            <v>Capex</v>
          </cell>
          <cell r="D284">
            <v>1.5000000000000001E-2</v>
          </cell>
          <cell r="E284">
            <v>1.5000000000000001E-2</v>
          </cell>
          <cell r="F284">
            <v>1.4999999999999999E-2</v>
          </cell>
          <cell r="G284">
            <v>1.5000000000000001E-2</v>
          </cell>
          <cell r="H284">
            <v>1.4999999999999999E-2</v>
          </cell>
          <cell r="I284">
            <v>1.4999999999999999E-2</v>
          </cell>
          <cell r="J284">
            <v>1.4999999999999998E-2</v>
          </cell>
          <cell r="K284">
            <v>1.4999999999999999E-2</v>
          </cell>
        </row>
        <row r="285">
          <cell r="A285" t="str">
            <v>Depreciation</v>
          </cell>
          <cell r="D285">
            <v>8.8939232409381667E-3</v>
          </cell>
          <cell r="E285">
            <v>9.9236252545824855E-3</v>
          </cell>
          <cell r="F285">
            <v>9.7139534883720936E-3</v>
          </cell>
          <cell r="G285">
            <v>9.9356040612289236E-3</v>
          </cell>
          <cell r="H285">
            <v>1.0417709188149724E-2</v>
          </cell>
          <cell r="I285">
            <v>1.0779011582622906E-2</v>
          </cell>
          <cell r="J285">
            <v>1.1049781198963243E-2</v>
          </cell>
          <cell r="K285">
            <v>1.1252703145384322E-2</v>
          </cell>
        </row>
        <row r="286">
          <cell r="A286" t="str">
            <v>Depreciation/Net PPE</v>
          </cell>
          <cell r="D286">
            <v>0.2059240975007714</v>
          </cell>
          <cell r="E286">
            <v>0.28043165467625897</v>
          </cell>
          <cell r="F286">
            <v>0.25826995609967224</v>
          </cell>
          <cell r="G286">
            <v>0.24705937760332417</v>
          </cell>
          <cell r="H286">
            <v>0.24705937760332417</v>
          </cell>
          <cell r="I286">
            <v>0.24705937760332417</v>
          </cell>
          <cell r="J286">
            <v>0.24705937760332417</v>
          </cell>
          <cell r="K286">
            <v>0.24705937760332417</v>
          </cell>
        </row>
        <row r="287">
          <cell r="A287" t="str">
            <v>Capex/Depreciation</v>
          </cell>
          <cell r="D287">
            <v>1.686544800719209</v>
          </cell>
          <cell r="E287">
            <v>1.5115443817342227</v>
          </cell>
          <cell r="F287">
            <v>1.5441704572659805</v>
          </cell>
          <cell r="G287">
            <v>1.5097219965249569</v>
          </cell>
          <cell r="H287">
            <v>1.4398558962523824</v>
          </cell>
          <cell r="I287">
            <v>1.3915932722608673</v>
          </cell>
          <cell r="J287">
            <v>1.3574929430645548</v>
          </cell>
          <cell r="K287">
            <v>1.3330130375075928</v>
          </cell>
        </row>
        <row r="288">
          <cell r="A288" t="str">
            <v>Working Capital</v>
          </cell>
          <cell r="D288">
            <v>0.22048773987206821</v>
          </cell>
          <cell r="E288">
            <v>0.24872708757637482</v>
          </cell>
          <cell r="F288">
            <v>0.24873501306757897</v>
          </cell>
          <cell r="G288">
            <v>0.24873886327580416</v>
          </cell>
          <cell r="H288">
            <v>0.24876628557927766</v>
          </cell>
          <cell r="I288">
            <v>0.24879370788275113</v>
          </cell>
          <cell r="J288">
            <v>0.24882113018622462</v>
          </cell>
          <cell r="K288">
            <v>0.24884855248969814</v>
          </cell>
        </row>
        <row r="289">
          <cell r="A289" t="str">
            <v>Prepaid Expenses &amp; Other Current</v>
          </cell>
          <cell r="D289">
            <v>2.7777185501066098E-2</v>
          </cell>
          <cell r="E289">
            <v>5.7688391038696538E-2</v>
          </cell>
          <cell r="F289">
            <v>5.2697674418604658E-2</v>
          </cell>
          <cell r="G289">
            <v>4.9250163008041727E-2</v>
          </cell>
          <cell r="H289">
            <v>4.6028189727141795E-2</v>
          </cell>
          <cell r="I289">
            <v>4.3016999744992325E-2</v>
          </cell>
          <cell r="J289">
            <v>4.0202803499992827E-2</v>
          </cell>
          <cell r="K289">
            <v>3.7572713551395159E-2</v>
          </cell>
        </row>
        <row r="290">
          <cell r="A290" t="str">
            <v>Other Assets</v>
          </cell>
          <cell r="D290">
            <v>5.7009594882729206E-3</v>
          </cell>
          <cell r="E290">
            <v>0</v>
          </cell>
          <cell r="F290">
            <v>0</v>
          </cell>
          <cell r="G290">
            <v>0</v>
          </cell>
          <cell r="H290">
            <v>0</v>
          </cell>
          <cell r="I290">
            <v>0</v>
          </cell>
          <cell r="J290">
            <v>0</v>
          </cell>
          <cell r="K290">
            <v>0</v>
          </cell>
        </row>
        <row r="291">
          <cell r="A291" t="str">
            <v>Accrued Expenses &amp; Other</v>
          </cell>
          <cell r="D291">
            <v>5.6066098081023447E-2</v>
          </cell>
          <cell r="E291">
            <v>4.6901731160896139E-2</v>
          </cell>
          <cell r="F291">
            <v>4.2844186046511634E-2</v>
          </cell>
          <cell r="G291">
            <v>4.004129537057162E-2</v>
          </cell>
          <cell r="H291">
            <v>3.7421771374365996E-2</v>
          </cell>
          <cell r="I291">
            <v>3.4973618106884097E-2</v>
          </cell>
          <cell r="J291">
            <v>3.26856243989571E-2</v>
          </cell>
          <cell r="K291">
            <v>3.0547312522389812E-2</v>
          </cell>
        </row>
        <row r="292">
          <cell r="A292" t="str">
            <v>Other Liabilities</v>
          </cell>
          <cell r="D292">
            <v>2.1351279317697227E-2</v>
          </cell>
          <cell r="E292">
            <v>2.0366598778004074E-2</v>
          </cell>
          <cell r="F292">
            <v>1.8604651162790697E-2</v>
          </cell>
          <cell r="G292">
            <v>1.7387524451206258E-2</v>
          </cell>
          <cell r="H292">
            <v>1.6250022851594631E-2</v>
          </cell>
          <cell r="I292">
            <v>1.5186937244480963E-2</v>
          </cell>
          <cell r="J292">
            <v>1.4193399293907439E-2</v>
          </cell>
          <cell r="K292">
            <v>1.3264859153184523E-2</v>
          </cell>
        </row>
      </sheetData>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Notes"/>
      <sheetName val="ImportHistory"/>
      <sheetName val="Data"/>
      <sheetName val="Contents"/>
      <sheetName val="MW"/>
      <sheetName val="MW1"/>
      <sheetName val="MW2"/>
      <sheetName val="Graphs"/>
      <sheetName val="Americas Exec"/>
      <sheetName val="Consulting Services"/>
      <sheetName val="Corp OH"/>
      <sheetName val="Corp Funding"/>
      <sheetName val="SCEM"/>
      <sheetName val="SPS"/>
      <sheetName val="NA"/>
      <sheetName val="LA"/>
      <sheetName val="AMERICAS"/>
      <sheetName val="EUROPE"/>
      <sheetName val="Asia"/>
      <sheetName val="TOTAL SEI"/>
      <sheetName val="ROE"/>
    </sheetNames>
    <sheetDataSet>
      <sheetData sheetId="0" refreshError="1">
        <row r="16">
          <cell r="D16" t="str">
            <v>Hold Com</v>
          </cell>
          <cell r="E16">
            <v>547</v>
          </cell>
          <cell r="F16" t="str">
            <v>Accounts Payable Associated Companies</v>
          </cell>
        </row>
        <row r="17">
          <cell r="D17" t="str">
            <v>SE Americas Exec</v>
          </cell>
          <cell r="E17">
            <v>3</v>
          </cell>
          <cell r="F17" t="str">
            <v>ACCUMULATED DEPRECIATION</v>
          </cell>
        </row>
        <row r="18">
          <cell r="D18" t="str">
            <v>SE Consulting Serv</v>
          </cell>
          <cell r="E18">
            <v>507</v>
          </cell>
          <cell r="F18" t="str">
            <v>Administrative and General O&amp;M Expense</v>
          </cell>
        </row>
        <row r="19">
          <cell r="D19" t="str">
            <v>SE Corp Funding</v>
          </cell>
          <cell r="E19">
            <v>518</v>
          </cell>
          <cell r="F19" t="str">
            <v>AFUDC Debt</v>
          </cell>
        </row>
        <row r="23">
          <cell r="D23" t="str">
            <v>SEG SCEM</v>
          </cell>
          <cell r="E23">
            <v>493</v>
          </cell>
          <cell r="F23" t="str">
            <v>Associated Revenues</v>
          </cell>
        </row>
        <row r="24">
          <cell r="D24" t="str">
            <v>SEI Asia</v>
          </cell>
          <cell r="E24">
            <v>1130</v>
          </cell>
          <cell r="F24" t="str">
            <v>Average Price Per Share</v>
          </cell>
        </row>
        <row r="25">
          <cell r="D25" t="str">
            <v>SEI Europe</v>
          </cell>
          <cell r="E25">
            <v>291</v>
          </cell>
          <cell r="F25" t="str">
            <v>Average Return on Equity %</v>
          </cell>
        </row>
        <row r="83">
          <cell r="E83">
            <v>1104</v>
          </cell>
          <cell r="F83" t="str">
            <v>Intercompany Preferred Stock</v>
          </cell>
        </row>
        <row r="88">
          <cell r="E88">
            <v>16</v>
          </cell>
          <cell r="F88" t="str">
            <v>LONG TERM DEBT</v>
          </cell>
        </row>
        <row r="92">
          <cell r="E92">
            <v>579</v>
          </cell>
          <cell r="F92" t="str">
            <v>Minority Interest Debt B Redemptions</v>
          </cell>
        </row>
      </sheetData>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Operating Leases tagged"/>
      <sheetName val="exh 11"/>
      <sheetName val="exh 14"/>
      <sheetName val="exh 12"/>
      <sheetName val="exh 10"/>
      <sheetName val="exh 1 and 5"/>
      <sheetName val="exh 15"/>
      <sheetName val="exh 3"/>
      <sheetName val="exh 9"/>
      <sheetName val="Good 12-00 (2)"/>
      <sheetName val="Good 11-36"/>
      <sheetName val="Good 11-50"/>
      <sheetName val="Sheet3 (5)"/>
      <sheetName val="WACC"/>
      <sheetName val="Sheet1"/>
      <sheetName val="Fixed Line Mkt"/>
      <sheetName val="Cash Flow"/>
      <sheetName val="upside_downside"/>
      <sheetName val="Income Statement"/>
      <sheetName val="Balance Sheet"/>
      <sheetName val="Valsum"/>
      <sheetName val="Total_Production"/>
      <sheetName val="RFS"/>
      <sheetName val="Corn_Uses"/>
      <sheetName val="US_Production"/>
      <sheetName val="DCF"/>
      <sheetName val="OP"/>
      <sheetName val="Inputs"/>
      <sheetName val="MWA RR"/>
      <sheetName val="Summary"/>
      <sheetName val="IS"/>
      <sheetName val="Risk-Reward_View_Chart"/>
      <sheetName val="variables"/>
      <sheetName val="IS Quarterly"/>
      <sheetName val="Sheet1 (2)"/>
      <sheetName val="1Q11 Preview"/>
      <sheetName val="2Q11 Preview"/>
      <sheetName val="Model"/>
      <sheetName val="Intrinsic Value"/>
      <sheetName val="Rev by Geo"/>
      <sheetName val="fin"/>
      <sheetName val="Report template"/>
      <sheetName val="Model (WIP)"/>
      <sheetName val="sales bkd"/>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Summary"/>
      <sheetName val="Floater Demand"/>
      <sheetName val="Inputs"/>
      <sheetName val="FX"/>
      <sheetName val="Good 12-00 (2)"/>
      <sheetName val="Good 11-36"/>
      <sheetName val="Good 11-50"/>
      <sheetName val="Sheet3 (5)"/>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Z"/>
      <sheetName val="TPP"/>
      <sheetName val="EPE"/>
      <sheetName val="WMZ"/>
      <sheetName val="HEP"/>
      <sheetName val="MGG"/>
      <sheetName val="ETE"/>
      <sheetName val="BGH"/>
      <sheetName val="SEP"/>
      <sheetName val="TCLP"/>
      <sheetName val="SXL"/>
      <sheetName val="WES"/>
      <sheetName val="WP Detail "/>
      <sheetName val="Model"/>
      <sheetName val="Sheet4"/>
      <sheetName val="ForeignStake"/>
      <sheetName val="rev change analysis"/>
      <sheetName val="rev contribution analysi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s"/>
      <sheetName val="Pension"/>
      <sheetName val="Walk"/>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C2"/>
      <sheetName val="Comps_old"/>
      <sheetName val="Valuation metrics"/>
      <sheetName val="EBITgrowth"/>
      <sheetName val="__FDSCACHE__"/>
      <sheetName val="Comps"/>
      <sheetName val="SOTP"/>
      <sheetName val="10 yr Weekly PEs-HospSuply"/>
      <sheetName val="#REF"/>
    </sheetNames>
    <sheetDataSet>
      <sheetData sheetId="0" refreshError="1">
        <row r="1">
          <cell r="C1">
            <v>0</v>
          </cell>
          <cell r="D1" t="str">
            <v>1FY</v>
          </cell>
          <cell r="E1" t="str">
            <v>2FY</v>
          </cell>
          <cell r="F1" t="str">
            <v>3FY</v>
          </cell>
          <cell r="G1" t="str">
            <v>4FY</v>
          </cell>
          <cell r="H1" t="str">
            <v>5FY</v>
          </cell>
          <cell r="I1" t="str">
            <v>6FY</v>
          </cell>
          <cell r="Q1" t="str">
            <v>0FY</v>
          </cell>
          <cell r="R1" t="str">
            <v>1FY</v>
          </cell>
        </row>
        <row r="2">
          <cell r="C2" t="str">
            <v>Dividend Yield</v>
          </cell>
          <cell r="J2" t="str">
            <v>Dividend Yield</v>
          </cell>
          <cell r="O2" t="str">
            <v>Share buybacks</v>
          </cell>
          <cell r="Q2" t="str">
            <v>Shares</v>
          </cell>
          <cell r="T2" t="str">
            <v>Avg. Share Price</v>
          </cell>
        </row>
        <row r="3">
          <cell r="B3" t="str">
            <v>Ticker</v>
          </cell>
          <cell r="C3">
            <v>2007</v>
          </cell>
          <cell r="D3">
            <v>2008</v>
          </cell>
          <cell r="E3">
            <v>2009</v>
          </cell>
          <cell r="F3">
            <v>2010</v>
          </cell>
          <cell r="G3">
            <v>2011</v>
          </cell>
          <cell r="H3">
            <v>2012</v>
          </cell>
          <cell r="I3">
            <v>2013</v>
          </cell>
          <cell r="J3" t="str">
            <v>FDS</v>
          </cell>
          <cell r="K3" t="str">
            <v>FDY</v>
          </cell>
          <cell r="L3" t="str">
            <v>TDY</v>
          </cell>
          <cell r="M3" t="str">
            <v>5DY</v>
          </cell>
          <cell r="N3" t="str">
            <v>PR</v>
          </cell>
          <cell r="O3">
            <v>2007</v>
          </cell>
          <cell r="P3" t="str">
            <v>2008YTD</v>
          </cell>
          <cell r="Q3">
            <v>2007</v>
          </cell>
          <cell r="R3">
            <v>2008</v>
          </cell>
          <cell r="S3" t="str">
            <v>%Δ</v>
          </cell>
          <cell r="T3">
            <v>2007</v>
          </cell>
          <cell r="U3">
            <v>2008</v>
          </cell>
        </row>
        <row r="4">
          <cell r="B4" t="str">
            <v>COV</v>
          </cell>
          <cell r="C4" t="e">
            <v>#VALUE!</v>
          </cell>
          <cell r="D4" t="e">
            <v>#VALUE!</v>
          </cell>
          <cell r="E4" t="e">
            <v>#VALUE!</v>
          </cell>
          <cell r="F4" t="e">
            <v>#VALUE!</v>
          </cell>
          <cell r="G4" t="e">
            <v>#VALUE!</v>
          </cell>
          <cell r="H4" t="e">
            <v>#VALUE!</v>
          </cell>
          <cell r="I4" t="e">
            <v>#VALUE!</v>
          </cell>
          <cell r="J4" t="e">
            <v>#VALUE!</v>
          </cell>
          <cell r="K4">
            <v>1.2E-2</v>
          </cell>
          <cell r="L4">
            <v>1.2E-2</v>
          </cell>
          <cell r="M4" t="str">
            <v>N/A</v>
          </cell>
          <cell r="N4">
            <v>0.21</v>
          </cell>
          <cell r="O4" t="e">
            <v>#VALUE!</v>
          </cell>
          <cell r="P4" t="e">
            <v>#VALUE!</v>
          </cell>
          <cell r="Q4" t="str">
            <v>#Calc</v>
          </cell>
          <cell r="R4" t="str">
            <v>#Calc</v>
          </cell>
          <cell r="S4" t="e">
            <v>#VALUE!</v>
          </cell>
          <cell r="T4" t="str">
            <v>#Calc</v>
          </cell>
          <cell r="U4" t="str">
            <v>#Calc</v>
          </cell>
        </row>
        <row r="5">
          <cell r="B5" t="str">
            <v>ABT</v>
          </cell>
          <cell r="C5" t="e">
            <v>#VALUE!</v>
          </cell>
          <cell r="D5" t="e">
            <v>#VALUE!</v>
          </cell>
          <cell r="E5" t="e">
            <v>#VALUE!</v>
          </cell>
          <cell r="F5" t="e">
            <v>#VALUE!</v>
          </cell>
          <cell r="G5" t="e">
            <v>#VALUE!</v>
          </cell>
          <cell r="H5" t="e">
            <v>#VALUE!</v>
          </cell>
          <cell r="I5" t="e">
            <v>#VALUE!</v>
          </cell>
          <cell r="J5" t="e">
            <v>#VALUE!</v>
          </cell>
          <cell r="K5">
            <v>2.5000000000000001E-2</v>
          </cell>
          <cell r="L5">
            <v>2.4E-2</v>
          </cell>
          <cell r="M5">
            <v>2.3E-2</v>
          </cell>
          <cell r="N5">
            <v>0.5</v>
          </cell>
          <cell r="O5" t="e">
            <v>#VALUE!</v>
          </cell>
          <cell r="P5" t="e">
            <v>#VALUE!</v>
          </cell>
          <cell r="Q5" t="str">
            <v>#Calc</v>
          </cell>
          <cell r="R5" t="str">
            <v>#Calc</v>
          </cell>
          <cell r="S5" t="e">
            <v>#VALUE!</v>
          </cell>
          <cell r="T5" t="str">
            <v>#Calc</v>
          </cell>
          <cell r="U5" t="str">
            <v>#Calc</v>
          </cell>
        </row>
        <row r="6">
          <cell r="B6" t="str">
            <v>BAX</v>
          </cell>
          <cell r="C6" t="e">
            <v>#VALUE!</v>
          </cell>
          <cell r="D6" t="e">
            <v>#VALUE!</v>
          </cell>
          <cell r="E6" t="e">
            <v>#VALUE!</v>
          </cell>
          <cell r="F6" t="e">
            <v>#VALUE!</v>
          </cell>
          <cell r="G6" t="e">
            <v>#VALUE!</v>
          </cell>
          <cell r="H6" t="e">
            <v>#VALUE!</v>
          </cell>
          <cell r="I6" t="e">
            <v>#VALUE!</v>
          </cell>
          <cell r="J6" t="e">
            <v>#VALUE!</v>
          </cell>
          <cell r="K6">
            <v>1.2999999999999999E-2</v>
          </cell>
          <cell r="L6">
            <v>1.2E-2</v>
          </cell>
          <cell r="M6">
            <v>1.6E-2</v>
          </cell>
          <cell r="N6">
            <v>0.27</v>
          </cell>
          <cell r="O6" t="e">
            <v>#VALUE!</v>
          </cell>
          <cell r="P6" t="e">
            <v>#VALUE!</v>
          </cell>
          <cell r="Q6" t="str">
            <v>#Calc</v>
          </cell>
          <cell r="R6" t="str">
            <v>#Calc</v>
          </cell>
          <cell r="S6" t="e">
            <v>#VALUE!</v>
          </cell>
          <cell r="T6" t="str">
            <v>#Calc</v>
          </cell>
          <cell r="U6" t="str">
            <v>#Calc</v>
          </cell>
        </row>
        <row r="7">
          <cell r="B7" t="str">
            <v>BDX</v>
          </cell>
          <cell r="C7" t="e">
            <v>#VALUE!</v>
          </cell>
          <cell r="D7" t="e">
            <v>#VALUE!</v>
          </cell>
          <cell r="E7" t="e">
            <v>#VALUE!</v>
          </cell>
          <cell r="F7" t="e">
            <v>#VALUE!</v>
          </cell>
          <cell r="G7" t="e">
            <v>#VALUE!</v>
          </cell>
          <cell r="H7" t="e">
            <v>#VALUE!</v>
          </cell>
          <cell r="I7" t="e">
            <v>#VALUE!</v>
          </cell>
          <cell r="J7" t="e">
            <v>#VALUE!</v>
          </cell>
          <cell r="K7">
            <v>1.2999999999999999E-2</v>
          </cell>
          <cell r="L7">
            <v>1.2999999999999999E-2</v>
          </cell>
          <cell r="M7">
            <v>1.2E-2</v>
          </cell>
          <cell r="N7">
            <v>0.25</v>
          </cell>
          <cell r="O7" t="e">
            <v>#VALUE!</v>
          </cell>
          <cell r="P7" t="e">
            <v>#VALUE!</v>
          </cell>
          <cell r="Q7" t="str">
            <v>#Calc</v>
          </cell>
          <cell r="R7" t="str">
            <v>#Calc</v>
          </cell>
          <cell r="S7" t="e">
            <v>#VALUE!</v>
          </cell>
          <cell r="T7" t="str">
            <v>#Calc</v>
          </cell>
          <cell r="U7" t="str">
            <v>#Calc</v>
          </cell>
        </row>
        <row r="8">
          <cell r="B8" t="str">
            <v>JNJ</v>
          </cell>
          <cell r="C8" t="e">
            <v>#VALUE!</v>
          </cell>
          <cell r="D8" t="e">
            <v>#VALUE!</v>
          </cell>
          <cell r="E8" t="e">
            <v>#VALUE!</v>
          </cell>
          <cell r="F8" t="e">
            <v>#VALUE!</v>
          </cell>
          <cell r="G8" t="e">
            <v>#VALUE!</v>
          </cell>
          <cell r="H8" t="e">
            <v>#VALUE!</v>
          </cell>
          <cell r="I8" t="e">
            <v>#VALUE!</v>
          </cell>
          <cell r="J8" t="e">
            <v>#VALUE!</v>
          </cell>
          <cell r="K8">
            <v>2.5999999999999999E-2</v>
          </cell>
          <cell r="L8">
            <v>2.4E-2</v>
          </cell>
          <cell r="M8">
            <v>2.1000000000000001E-2</v>
          </cell>
          <cell r="N8">
            <v>0.42</v>
          </cell>
          <cell r="O8" t="e">
            <v>#VALUE!</v>
          </cell>
          <cell r="P8" t="e">
            <v>#VALUE!</v>
          </cell>
          <cell r="Q8" t="str">
            <v>#Calc</v>
          </cell>
          <cell r="R8" t="str">
            <v>#Calc</v>
          </cell>
          <cell r="S8" t="e">
            <v>#VALUE!</v>
          </cell>
          <cell r="T8" t="str">
            <v>#Calc</v>
          </cell>
          <cell r="U8" t="str">
            <v>#Calc</v>
          </cell>
        </row>
        <row r="9">
          <cell r="B9" t="str">
            <v>MDT</v>
          </cell>
          <cell r="C9" t="e">
            <v>#VALUE!</v>
          </cell>
          <cell r="D9" t="e">
            <v>#VALUE!</v>
          </cell>
          <cell r="E9" t="e">
            <v>#VALUE!</v>
          </cell>
          <cell r="F9" t="e">
            <v>#VALUE!</v>
          </cell>
          <cell r="G9" t="e">
            <v>#VALUE!</v>
          </cell>
          <cell r="H9" t="e">
            <v>#VALUE!</v>
          </cell>
          <cell r="I9" t="e">
            <v>#VALUE!</v>
          </cell>
          <cell r="J9" t="e">
            <v>#VALUE!</v>
          </cell>
          <cell r="K9">
            <v>1.2999999999999999E-2</v>
          </cell>
          <cell r="L9">
            <v>0.01</v>
          </cell>
          <cell r="M9">
            <v>0.8</v>
          </cell>
          <cell r="N9">
            <v>0.28999999999999998</v>
          </cell>
          <cell r="O9" t="e">
            <v>#VALUE!</v>
          </cell>
          <cell r="P9" t="e">
            <v>#VALUE!</v>
          </cell>
          <cell r="Q9" t="str">
            <v>#Calc</v>
          </cell>
          <cell r="R9" t="str">
            <v>#Calc</v>
          </cell>
          <cell r="S9" t="e">
            <v>#VALUE!</v>
          </cell>
          <cell r="T9" t="str">
            <v>#Calc</v>
          </cell>
          <cell r="U9" t="str">
            <v>#Calc</v>
          </cell>
        </row>
        <row r="10">
          <cell r="B10" t="str">
            <v>Average</v>
          </cell>
          <cell r="C10" t="e">
            <v>#VALUE!</v>
          </cell>
          <cell r="D10" t="e">
            <v>#VALUE!</v>
          </cell>
          <cell r="E10" t="e">
            <v>#VALUE!</v>
          </cell>
          <cell r="F10" t="e">
            <v>#VALUE!</v>
          </cell>
          <cell r="G10" t="e">
            <v>#VALUE!</v>
          </cell>
          <cell r="H10" t="e">
            <v>#VALUE!</v>
          </cell>
          <cell r="I10" t="e">
            <v>#VALUE!</v>
          </cell>
          <cell r="J10" t="e">
            <v>#VALUE!</v>
          </cell>
          <cell r="K10">
            <v>1.6999999999999998E-2</v>
          </cell>
          <cell r="L10">
            <v>1.5833333333333331E-2</v>
          </cell>
          <cell r="M10">
            <v>0.17440000000000003</v>
          </cell>
          <cell r="N10">
            <v>0.32333333333333331</v>
          </cell>
        </row>
        <row r="13">
          <cell r="V13" t="str">
            <v>Company</v>
          </cell>
          <cell r="W13" t="str">
            <v>Ticker</v>
          </cell>
          <cell r="X13" t="str">
            <v>Dividend Yield</v>
          </cell>
          <cell r="Y13" t="str">
            <v>Payout Ratio</v>
          </cell>
        </row>
        <row r="14">
          <cell r="V14" t="str">
            <v>Covidien</v>
          </cell>
          <cell r="W14" t="str">
            <v>COV</v>
          </cell>
          <cell r="X14">
            <v>1.2E-2</v>
          </cell>
          <cell r="Y14">
            <v>0.21</v>
          </cell>
        </row>
        <row r="15">
          <cell r="V15" t="str">
            <v>Abbott</v>
          </cell>
          <cell r="W15" t="str">
            <v>ABT</v>
          </cell>
          <cell r="X15">
            <v>2.5000000000000001E-2</v>
          </cell>
          <cell r="Y15">
            <v>0.5</v>
          </cell>
        </row>
        <row r="16">
          <cell r="V16" t="str">
            <v>Baxter</v>
          </cell>
          <cell r="W16" t="str">
            <v>BAX</v>
          </cell>
          <cell r="X16">
            <v>1.2999999999999999E-2</v>
          </cell>
          <cell r="Y16">
            <v>0.27</v>
          </cell>
        </row>
        <row r="17">
          <cell r="V17" t="str">
            <v>Becton Dickinson</v>
          </cell>
          <cell r="W17" t="str">
            <v>BDX</v>
          </cell>
          <cell r="X17">
            <v>1.2999999999999999E-2</v>
          </cell>
          <cell r="Y17">
            <v>0.25</v>
          </cell>
        </row>
        <row r="18">
          <cell r="V18" t="str">
            <v>Johnson &amp; Johnson</v>
          </cell>
          <cell r="W18" t="str">
            <v>JNJ</v>
          </cell>
          <cell r="X18">
            <v>2.5999999999999999E-2</v>
          </cell>
          <cell r="Y18">
            <v>0.42</v>
          </cell>
        </row>
        <row r="19">
          <cell r="V19" t="str">
            <v>Medtronic</v>
          </cell>
          <cell r="W19" t="str">
            <v>MDT</v>
          </cell>
          <cell r="X19">
            <v>1.2999999999999999E-2</v>
          </cell>
          <cell r="Y19">
            <v>0.28999999999999998</v>
          </cell>
        </row>
        <row r="20">
          <cell r="V20" t="str">
            <v>Average (ex-COV)</v>
          </cell>
          <cell r="X20">
            <v>1.7999999999999999E-2</v>
          </cell>
          <cell r="Y20">
            <v>0.34599999999999997</v>
          </cell>
        </row>
        <row r="23">
          <cell r="AA23" t="str">
            <v>(share count in millions)</v>
          </cell>
        </row>
        <row r="24">
          <cell r="AB24" t="str">
            <v>Share buybacks</v>
          </cell>
          <cell r="AD24" t="str">
            <v>%Δ OS Shares</v>
          </cell>
        </row>
        <row r="25">
          <cell r="AA25" t="str">
            <v>Ticker</v>
          </cell>
          <cell r="AB25">
            <v>2007</v>
          </cell>
          <cell r="AC25" t="str">
            <v>2008YTD</v>
          </cell>
        </row>
        <row r="26">
          <cell r="AA26" t="str">
            <v>COV</v>
          </cell>
          <cell r="AB26" t="e">
            <v>#VALUE!</v>
          </cell>
          <cell r="AC26" t="e">
            <v>#VALUE!</v>
          </cell>
          <cell r="AD26" t="e">
            <v>#VALUE!</v>
          </cell>
        </row>
        <row r="27">
          <cell r="AA27" t="str">
            <v>ABT</v>
          </cell>
          <cell r="AB27" t="e">
            <v>#VALUE!</v>
          </cell>
          <cell r="AC27" t="e">
            <v>#VALUE!</v>
          </cell>
          <cell r="AD27" t="e">
            <v>#VALUE!</v>
          </cell>
        </row>
        <row r="28">
          <cell r="AA28" t="str">
            <v>BAX</v>
          </cell>
          <cell r="AB28" t="e">
            <v>#VALUE!</v>
          </cell>
          <cell r="AC28" t="e">
            <v>#VALUE!</v>
          </cell>
          <cell r="AD28" t="e">
            <v>#VALUE!</v>
          </cell>
        </row>
        <row r="29">
          <cell r="AA29" t="str">
            <v>BDX</v>
          </cell>
          <cell r="AB29" t="e">
            <v>#VALUE!</v>
          </cell>
          <cell r="AC29" t="e">
            <v>#VALUE!</v>
          </cell>
          <cell r="AD29" t="e">
            <v>#VALUE!</v>
          </cell>
        </row>
        <row r="30">
          <cell r="AA30" t="str">
            <v>JNJ</v>
          </cell>
          <cell r="AB30" t="e">
            <v>#VALUE!</v>
          </cell>
          <cell r="AC30" t="e">
            <v>#VALUE!</v>
          </cell>
          <cell r="AD30" t="e">
            <v>#VALUE!</v>
          </cell>
        </row>
        <row r="31">
          <cell r="AA31" t="str">
            <v>MDT</v>
          </cell>
          <cell r="AB31" t="e">
            <v>#VALUE!</v>
          </cell>
          <cell r="AC31" t="e">
            <v>#VALUE!</v>
          </cell>
          <cell r="AD31" t="e">
            <v>#VALUE!</v>
          </cell>
        </row>
        <row r="35">
          <cell r="AF35" t="str">
            <v>($ and shares in millions)</v>
          </cell>
        </row>
        <row r="36">
          <cell r="AG36" t="str">
            <v>F2007</v>
          </cell>
          <cell r="AH36" t="str">
            <v>F2008e</v>
          </cell>
          <cell r="AI36" t="str">
            <v>F2009e</v>
          </cell>
          <cell r="AJ36" t="str">
            <v>F2010e</v>
          </cell>
          <cell r="AK36" t="str">
            <v>F2011e</v>
          </cell>
        </row>
        <row r="37">
          <cell r="AF37" t="str">
            <v>CF from operating</v>
          </cell>
          <cell r="AG37">
            <v>-113</v>
          </cell>
          <cell r="AH37">
            <v>-5</v>
          </cell>
          <cell r="AI37">
            <v>0</v>
          </cell>
          <cell r="AJ37">
            <v>0</v>
          </cell>
          <cell r="AK37">
            <v>0</v>
          </cell>
        </row>
        <row r="38">
          <cell r="AF38" t="str">
            <v>CF from investing</v>
          </cell>
          <cell r="AG38">
            <v>-9</v>
          </cell>
          <cell r="AH38">
            <v>-11</v>
          </cell>
          <cell r="AI38">
            <v>0</v>
          </cell>
          <cell r="AJ38">
            <v>20</v>
          </cell>
          <cell r="AK38">
            <v>-2</v>
          </cell>
        </row>
        <row r="39">
          <cell r="AF39" t="str">
            <v>CF from financing</v>
          </cell>
          <cell r="AG39">
            <v>0</v>
          </cell>
          <cell r="AH39">
            <v>0</v>
          </cell>
          <cell r="AI39">
            <v>0</v>
          </cell>
          <cell r="AJ39">
            <v>0</v>
          </cell>
          <cell r="AK39">
            <v>100</v>
          </cell>
        </row>
        <row r="40">
          <cell r="AF40" t="str">
            <v>CF from FX</v>
          </cell>
          <cell r="AG40">
            <v>-726</v>
          </cell>
          <cell r="AH40">
            <v>-27</v>
          </cell>
          <cell r="AI40">
            <v>-19</v>
          </cell>
          <cell r="AJ40">
            <v>-20</v>
          </cell>
          <cell r="AK40">
            <v>1</v>
          </cell>
        </row>
        <row r="42">
          <cell r="AF42" t="str">
            <v>Net increase in cash</v>
          </cell>
          <cell r="AG42">
            <v>0</v>
          </cell>
          <cell r="AH42">
            <v>0</v>
          </cell>
          <cell r="AI42">
            <v>0</v>
          </cell>
          <cell r="AJ42">
            <v>0</v>
          </cell>
          <cell r="AK42">
            <v>0</v>
          </cell>
        </row>
        <row r="43">
          <cell r="AF43" t="str">
            <v>Beginning cash</v>
          </cell>
          <cell r="AG43">
            <v>110</v>
          </cell>
          <cell r="AH43">
            <v>253</v>
          </cell>
          <cell r="AI43">
            <v>18</v>
          </cell>
          <cell r="AJ43">
            <v>-41</v>
          </cell>
          <cell r="AK43">
            <v>242</v>
          </cell>
        </row>
        <row r="44">
          <cell r="AF44" t="str">
            <v>Ending cash</v>
          </cell>
          <cell r="AG44">
            <v>-9</v>
          </cell>
          <cell r="AH44">
            <v>0</v>
          </cell>
          <cell r="AI44">
            <v>0</v>
          </cell>
          <cell r="AJ44">
            <v>0</v>
          </cell>
          <cell r="AK44">
            <v>0</v>
          </cell>
        </row>
        <row r="46">
          <cell r="AF46" t="str">
            <v>Share count</v>
          </cell>
          <cell r="AG46">
            <v>0</v>
          </cell>
          <cell r="AH46">
            <v>0</v>
          </cell>
          <cell r="AI46">
            <v>0</v>
          </cell>
          <cell r="AJ46">
            <v>0</v>
          </cell>
          <cell r="AK46">
            <v>0</v>
          </cell>
        </row>
        <row r="47">
          <cell r="AF47" t="str">
            <v>Net debt</v>
          </cell>
          <cell r="AG47">
            <v>0</v>
          </cell>
          <cell r="AH47">
            <v>0</v>
          </cell>
          <cell r="AI47">
            <v>0</v>
          </cell>
          <cell r="AJ47">
            <v>0</v>
          </cell>
          <cell r="AK47">
            <v>0</v>
          </cell>
        </row>
      </sheetData>
      <sheetData sheetId="1"/>
      <sheetData sheetId="2" refreshError="1">
        <row r="1">
          <cell r="A1" t="str">
            <v>Covidien Valuation Metrics</v>
          </cell>
        </row>
        <row r="2">
          <cell r="A2" t="str">
            <v>COV</v>
          </cell>
        </row>
        <row r="3">
          <cell r="C3" t="str">
            <v>Calendar EPS</v>
          </cell>
          <cell r="F3" t="str">
            <v>Current</v>
          </cell>
          <cell r="G3" t="str">
            <v>Out Year</v>
          </cell>
          <cell r="H3" t="str">
            <v>EPS</v>
          </cell>
          <cell r="I3" t="str">
            <v>LTM</v>
          </cell>
          <cell r="K3" t="str">
            <v>Sales</v>
          </cell>
          <cell r="L3" t="str">
            <v>Price to</v>
          </cell>
          <cell r="O3" t="str">
            <v>Enterprise</v>
          </cell>
          <cell r="P3" t="str">
            <v>EV to</v>
          </cell>
          <cell r="Q3" t="str">
            <v>LTM</v>
          </cell>
          <cell r="R3" t="str">
            <v>EV to</v>
          </cell>
          <cell r="V3" t="str">
            <v>Book Value</v>
          </cell>
          <cell r="W3" t="str">
            <v>TB</v>
          </cell>
          <cell r="X3" t="str">
            <v>Price to</v>
          </cell>
          <cell r="Y3" t="str">
            <v>Price to</v>
          </cell>
          <cell r="Z3" t="str">
            <v>Stock</v>
          </cell>
        </row>
        <row r="4">
          <cell r="A4" t="str">
            <v>Date</v>
          </cell>
          <cell r="B4" t="str">
            <v>Close</v>
          </cell>
          <cell r="C4" t="str">
            <v>CY</v>
          </cell>
          <cell r="D4" t="str">
            <v>Year out</v>
          </cell>
          <cell r="F4" t="str">
            <v>Year P/E</v>
          </cell>
          <cell r="G4" t="str">
            <v>P/E</v>
          </cell>
          <cell r="H4" t="str">
            <v>Growth Rate</v>
          </cell>
          <cell r="I4" t="str">
            <v>Sales</v>
          </cell>
          <cell r="J4" t="str">
            <v>S/O</v>
          </cell>
          <cell r="K4" t="str">
            <v>Per Share</v>
          </cell>
          <cell r="L4" t="str">
            <v>Sales</v>
          </cell>
          <cell r="M4" t="str">
            <v>Cash</v>
          </cell>
          <cell r="N4" t="str">
            <v>Debt</v>
          </cell>
          <cell r="O4" t="str">
            <v>Value</v>
          </cell>
          <cell r="P4" t="str">
            <v>Sales</v>
          </cell>
          <cell r="Q4" t="str">
            <v>EBITDA</v>
          </cell>
          <cell r="R4" t="str">
            <v>EBITDA</v>
          </cell>
          <cell r="S4" t="str">
            <v>Equity</v>
          </cell>
          <cell r="T4" t="str">
            <v>Goodwill</v>
          </cell>
          <cell r="U4" t="str">
            <v>TB</v>
          </cell>
          <cell r="V4" t="str">
            <v>Per Share</v>
          </cell>
          <cell r="W4" t="str">
            <v>Per Share</v>
          </cell>
          <cell r="X4" t="str">
            <v>Book</v>
          </cell>
          <cell r="Y4" t="str">
            <v>Tan Book</v>
          </cell>
          <cell r="Z4" t="str">
            <v>Return</v>
          </cell>
        </row>
        <row r="6">
          <cell r="A6">
            <v>40118</v>
          </cell>
          <cell r="B6" t="str">
            <v>#Calc</v>
          </cell>
          <cell r="C6" t="str">
            <v>#Calc</v>
          </cell>
          <cell r="D6" t="str">
            <v>#Calc</v>
          </cell>
          <cell r="E6" t="e">
            <v>#VALUE!</v>
          </cell>
          <cell r="F6" t="e">
            <v>#VALUE!</v>
          </cell>
          <cell r="G6" t="e">
            <v>#VALUE!</v>
          </cell>
          <cell r="H6" t="e">
            <v>#VALUE!</v>
          </cell>
          <cell r="I6" t="str">
            <v>#Calc</v>
          </cell>
          <cell r="J6" t="str">
            <v>#Calc</v>
          </cell>
          <cell r="K6" t="e">
            <v>#VALUE!</v>
          </cell>
          <cell r="L6" t="e">
            <v>#VALUE!</v>
          </cell>
          <cell r="M6" t="str">
            <v>#Calc</v>
          </cell>
          <cell r="N6" t="str">
            <v>#Calc</v>
          </cell>
          <cell r="O6" t="e">
            <v>#VALUE!</v>
          </cell>
          <cell r="P6" t="e">
            <v>#VALUE!</v>
          </cell>
          <cell r="Q6" t="str">
            <v>#Calc</v>
          </cell>
          <cell r="R6" t="e">
            <v>#VALUE!</v>
          </cell>
          <cell r="S6" t="str">
            <v>#Calc</v>
          </cell>
          <cell r="T6" t="e">
            <v>#VALUE!</v>
          </cell>
          <cell r="U6" t="e">
            <v>#VALUE!</v>
          </cell>
          <cell r="V6" t="e">
            <v>#VALUE!</v>
          </cell>
          <cell r="W6" t="e">
            <v>#VALUE!</v>
          </cell>
          <cell r="X6" t="e">
            <v>#VALUE!</v>
          </cell>
          <cell r="Y6" t="e">
            <v>#VALUE!</v>
          </cell>
          <cell r="Z6" t="e">
            <v>#VALUE!</v>
          </cell>
        </row>
        <row r="7">
          <cell r="A7">
            <v>39807</v>
          </cell>
          <cell r="B7" t="str">
            <v>#Calc</v>
          </cell>
          <cell r="C7" t="str">
            <v>#Calc</v>
          </cell>
          <cell r="D7" t="str">
            <v>#Calc</v>
          </cell>
          <cell r="E7" t="e">
            <v>#VALUE!</v>
          </cell>
          <cell r="F7" t="e">
            <v>#VALUE!</v>
          </cell>
          <cell r="G7" t="e">
            <v>#VALUE!</v>
          </cell>
          <cell r="H7" t="e">
            <v>#VALUE!</v>
          </cell>
          <cell r="I7" t="str">
            <v>#Calc</v>
          </cell>
          <cell r="J7" t="str">
            <v>#Calc</v>
          </cell>
          <cell r="K7" t="e">
            <v>#VALUE!</v>
          </cell>
          <cell r="L7" t="e">
            <v>#VALUE!</v>
          </cell>
          <cell r="M7" t="str">
            <v>#Calc</v>
          </cell>
          <cell r="N7" t="str">
            <v>#Calc</v>
          </cell>
          <cell r="O7" t="e">
            <v>#VALUE!</v>
          </cell>
          <cell r="P7" t="e">
            <v>#VALUE!</v>
          </cell>
          <cell r="Q7" t="str">
            <v>#Calc</v>
          </cell>
          <cell r="R7" t="e">
            <v>#VALUE!</v>
          </cell>
          <cell r="S7" t="str">
            <v>#Calc</v>
          </cell>
          <cell r="T7" t="e">
            <v>#VALUE!</v>
          </cell>
          <cell r="U7" t="e">
            <v>#VALUE!</v>
          </cell>
          <cell r="V7" t="e">
            <v>#VALUE!</v>
          </cell>
          <cell r="W7" t="e">
            <v>#VALUE!</v>
          </cell>
          <cell r="X7" t="e">
            <v>#VALUE!</v>
          </cell>
          <cell r="Y7" t="e">
            <v>#VALUE!</v>
          </cell>
          <cell r="Z7" t="e">
            <v>#VALUE!</v>
          </cell>
        </row>
        <row r="8">
          <cell r="A8">
            <v>39777</v>
          </cell>
          <cell r="B8" t="str">
            <v>#Calc</v>
          </cell>
          <cell r="C8" t="str">
            <v>#Calc</v>
          </cell>
          <cell r="D8" t="str">
            <v>#Calc</v>
          </cell>
          <cell r="E8" t="e">
            <v>#VALUE!</v>
          </cell>
          <cell r="F8" t="e">
            <v>#VALUE!</v>
          </cell>
          <cell r="G8" t="e">
            <v>#VALUE!</v>
          </cell>
          <cell r="H8" t="e">
            <v>#VALUE!</v>
          </cell>
          <cell r="I8" t="str">
            <v>#Calc</v>
          </cell>
          <cell r="J8" t="str">
            <v>#Calc</v>
          </cell>
          <cell r="K8" t="e">
            <v>#VALUE!</v>
          </cell>
          <cell r="L8" t="e">
            <v>#VALUE!</v>
          </cell>
          <cell r="M8" t="str">
            <v>#Calc</v>
          </cell>
          <cell r="N8" t="str">
            <v>#Calc</v>
          </cell>
          <cell r="O8" t="e">
            <v>#VALUE!</v>
          </cell>
          <cell r="P8" t="e">
            <v>#VALUE!</v>
          </cell>
          <cell r="Q8" t="str">
            <v>#Calc</v>
          </cell>
          <cell r="R8" t="e">
            <v>#VALUE!</v>
          </cell>
          <cell r="S8" t="str">
            <v>#Calc</v>
          </cell>
          <cell r="T8" t="e">
            <v>#VALUE!</v>
          </cell>
          <cell r="U8" t="e">
            <v>#VALUE!</v>
          </cell>
          <cell r="V8" t="e">
            <v>#VALUE!</v>
          </cell>
          <cell r="W8" t="e">
            <v>#VALUE!</v>
          </cell>
          <cell r="X8" t="e">
            <v>#VALUE!</v>
          </cell>
          <cell r="Y8" t="e">
            <v>#VALUE!</v>
          </cell>
          <cell r="Z8" t="e">
            <v>#VALUE!</v>
          </cell>
        </row>
        <row r="9">
          <cell r="A9">
            <v>39747</v>
          </cell>
          <cell r="B9" t="str">
            <v>#Calc</v>
          </cell>
          <cell r="C9" t="str">
            <v>#Calc</v>
          </cell>
          <cell r="D9" t="str">
            <v>#Calc</v>
          </cell>
          <cell r="E9" t="e">
            <v>#VALUE!</v>
          </cell>
          <cell r="F9" t="e">
            <v>#VALUE!</v>
          </cell>
          <cell r="G9" t="e">
            <v>#VALUE!</v>
          </cell>
          <cell r="H9" t="e">
            <v>#VALUE!</v>
          </cell>
          <cell r="I9" t="str">
            <v>#Calc</v>
          </cell>
          <cell r="J9" t="str">
            <v>#Calc</v>
          </cell>
          <cell r="K9" t="e">
            <v>#VALUE!</v>
          </cell>
          <cell r="L9" t="e">
            <v>#VALUE!</v>
          </cell>
          <cell r="M9" t="str">
            <v>#Calc</v>
          </cell>
          <cell r="N9" t="str">
            <v>#Calc</v>
          </cell>
          <cell r="O9" t="e">
            <v>#VALUE!</v>
          </cell>
          <cell r="P9" t="e">
            <v>#VALUE!</v>
          </cell>
          <cell r="Q9" t="str">
            <v>#Calc</v>
          </cell>
          <cell r="R9" t="e">
            <v>#VALUE!</v>
          </cell>
          <cell r="S9" t="str">
            <v>#Calc</v>
          </cell>
          <cell r="T9" t="e">
            <v>#VALUE!</v>
          </cell>
          <cell r="U9" t="e">
            <v>#VALUE!</v>
          </cell>
          <cell r="V9" t="e">
            <v>#VALUE!</v>
          </cell>
          <cell r="W9" t="e">
            <v>#VALUE!</v>
          </cell>
          <cell r="X9" t="e">
            <v>#VALUE!</v>
          </cell>
          <cell r="Y9" t="e">
            <v>#VALUE!</v>
          </cell>
          <cell r="Z9" t="e">
            <v>#VALUE!</v>
          </cell>
        </row>
        <row r="10">
          <cell r="A10">
            <v>39717</v>
          </cell>
          <cell r="B10" t="str">
            <v>#Calc</v>
          </cell>
          <cell r="C10" t="str">
            <v>#Calc</v>
          </cell>
          <cell r="D10" t="str">
            <v>#Calc</v>
          </cell>
          <cell r="E10" t="e">
            <v>#VALUE!</v>
          </cell>
          <cell r="F10" t="e">
            <v>#VALUE!</v>
          </cell>
          <cell r="G10" t="e">
            <v>#VALUE!</v>
          </cell>
          <cell r="H10" t="e">
            <v>#VALUE!</v>
          </cell>
          <cell r="I10" t="str">
            <v>#Calc</v>
          </cell>
          <cell r="J10" t="str">
            <v>#Calc</v>
          </cell>
          <cell r="K10" t="e">
            <v>#VALUE!</v>
          </cell>
          <cell r="L10" t="e">
            <v>#VALUE!</v>
          </cell>
          <cell r="M10" t="str">
            <v>#Calc</v>
          </cell>
          <cell r="N10" t="str">
            <v>#Calc</v>
          </cell>
          <cell r="O10" t="e">
            <v>#VALUE!</v>
          </cell>
          <cell r="P10" t="e">
            <v>#VALUE!</v>
          </cell>
          <cell r="Q10" t="str">
            <v>#Calc</v>
          </cell>
          <cell r="R10" t="e">
            <v>#VALUE!</v>
          </cell>
          <cell r="S10" t="str">
            <v>#Calc</v>
          </cell>
          <cell r="T10" t="e">
            <v>#VALUE!</v>
          </cell>
          <cell r="U10" t="e">
            <v>#VALUE!</v>
          </cell>
          <cell r="V10" t="e">
            <v>#VALUE!</v>
          </cell>
          <cell r="W10" t="e">
            <v>#VALUE!</v>
          </cell>
          <cell r="X10" t="e">
            <v>#VALUE!</v>
          </cell>
          <cell r="Y10" t="e">
            <v>#VALUE!</v>
          </cell>
          <cell r="Z10" t="e">
            <v>#VALUE!</v>
          </cell>
        </row>
        <row r="11">
          <cell r="A11">
            <v>39687</v>
          </cell>
          <cell r="B11" t="str">
            <v>#Calc</v>
          </cell>
          <cell r="C11" t="str">
            <v>#Calc</v>
          </cell>
          <cell r="D11" t="str">
            <v>#Calc</v>
          </cell>
          <cell r="E11" t="e">
            <v>#VALUE!</v>
          </cell>
          <cell r="F11" t="e">
            <v>#VALUE!</v>
          </cell>
          <cell r="G11" t="e">
            <v>#VALUE!</v>
          </cell>
          <cell r="H11" t="e">
            <v>#VALUE!</v>
          </cell>
          <cell r="I11" t="str">
            <v>#Calc</v>
          </cell>
          <cell r="J11" t="str">
            <v>#Calc</v>
          </cell>
          <cell r="K11" t="e">
            <v>#VALUE!</v>
          </cell>
          <cell r="L11" t="e">
            <v>#VALUE!</v>
          </cell>
          <cell r="M11" t="str">
            <v>#Calc</v>
          </cell>
          <cell r="N11" t="str">
            <v>#Calc</v>
          </cell>
          <cell r="O11" t="e">
            <v>#VALUE!</v>
          </cell>
          <cell r="P11" t="e">
            <v>#VALUE!</v>
          </cell>
          <cell r="Q11" t="str">
            <v>#Calc</v>
          </cell>
          <cell r="R11" t="e">
            <v>#VALUE!</v>
          </cell>
          <cell r="S11" t="str">
            <v>#Calc</v>
          </cell>
          <cell r="T11" t="e">
            <v>#VALUE!</v>
          </cell>
          <cell r="U11" t="e">
            <v>#VALUE!</v>
          </cell>
          <cell r="V11" t="e">
            <v>#VALUE!</v>
          </cell>
          <cell r="W11" t="e">
            <v>#VALUE!</v>
          </cell>
          <cell r="X11" t="e">
            <v>#VALUE!</v>
          </cell>
          <cell r="Y11" t="e">
            <v>#VALUE!</v>
          </cell>
          <cell r="Z11" t="e">
            <v>#VALUE!</v>
          </cell>
        </row>
        <row r="12">
          <cell r="A12">
            <v>39657</v>
          </cell>
          <cell r="B12" t="str">
            <v>#Calc</v>
          </cell>
          <cell r="C12" t="str">
            <v>#Calc</v>
          </cell>
          <cell r="D12" t="str">
            <v>#Calc</v>
          </cell>
          <cell r="E12" t="e">
            <v>#VALUE!</v>
          </cell>
          <cell r="F12" t="e">
            <v>#VALUE!</v>
          </cell>
          <cell r="G12" t="e">
            <v>#VALUE!</v>
          </cell>
          <cell r="H12" t="e">
            <v>#VALUE!</v>
          </cell>
          <cell r="I12" t="str">
            <v>#Calc</v>
          </cell>
          <cell r="J12" t="str">
            <v>#Calc</v>
          </cell>
          <cell r="K12" t="e">
            <v>#VALUE!</v>
          </cell>
          <cell r="L12" t="e">
            <v>#VALUE!</v>
          </cell>
          <cell r="M12" t="str">
            <v>#Calc</v>
          </cell>
          <cell r="N12" t="str">
            <v>#Calc</v>
          </cell>
          <cell r="O12" t="e">
            <v>#VALUE!</v>
          </cell>
          <cell r="P12" t="e">
            <v>#VALUE!</v>
          </cell>
          <cell r="Q12" t="str">
            <v>#Calc</v>
          </cell>
          <cell r="R12" t="e">
            <v>#VALUE!</v>
          </cell>
          <cell r="S12" t="str">
            <v>#Calc</v>
          </cell>
          <cell r="T12" t="e">
            <v>#VALUE!</v>
          </cell>
          <cell r="U12" t="e">
            <v>#VALUE!</v>
          </cell>
          <cell r="V12" t="e">
            <v>#VALUE!</v>
          </cell>
          <cell r="W12" t="e">
            <v>#VALUE!</v>
          </cell>
          <cell r="X12" t="e">
            <v>#VALUE!</v>
          </cell>
          <cell r="Y12" t="e">
            <v>#VALUE!</v>
          </cell>
          <cell r="Z12" t="e">
            <v>#VALUE!</v>
          </cell>
        </row>
        <row r="13">
          <cell r="A13">
            <v>39627</v>
          </cell>
          <cell r="B13" t="str">
            <v>#Calc</v>
          </cell>
          <cell r="C13" t="str">
            <v>#Calc</v>
          </cell>
          <cell r="D13" t="str">
            <v>#Calc</v>
          </cell>
          <cell r="E13" t="e">
            <v>#VALUE!</v>
          </cell>
          <cell r="F13" t="e">
            <v>#VALUE!</v>
          </cell>
          <cell r="G13" t="e">
            <v>#VALUE!</v>
          </cell>
          <cell r="H13" t="e">
            <v>#VALUE!</v>
          </cell>
          <cell r="I13" t="str">
            <v>#Calc</v>
          </cell>
          <cell r="J13" t="str">
            <v>#Calc</v>
          </cell>
          <cell r="K13" t="e">
            <v>#VALUE!</v>
          </cell>
          <cell r="L13" t="e">
            <v>#VALUE!</v>
          </cell>
          <cell r="M13" t="str">
            <v>#Calc</v>
          </cell>
          <cell r="N13" t="str">
            <v>#Calc</v>
          </cell>
          <cell r="O13" t="e">
            <v>#VALUE!</v>
          </cell>
          <cell r="P13" t="e">
            <v>#VALUE!</v>
          </cell>
          <cell r="Q13" t="str">
            <v>#Calc</v>
          </cell>
          <cell r="R13" t="e">
            <v>#VALUE!</v>
          </cell>
          <cell r="S13" t="str">
            <v>#Calc</v>
          </cell>
          <cell r="T13" t="e">
            <v>#VALUE!</v>
          </cell>
          <cell r="U13" t="e">
            <v>#VALUE!</v>
          </cell>
          <cell r="V13" t="e">
            <v>#VALUE!</v>
          </cell>
          <cell r="W13" t="e">
            <v>#VALUE!</v>
          </cell>
          <cell r="X13" t="e">
            <v>#VALUE!</v>
          </cell>
          <cell r="Y13" t="e">
            <v>#VALUE!</v>
          </cell>
          <cell r="Z13" t="e">
            <v>#VALUE!</v>
          </cell>
        </row>
        <row r="14">
          <cell r="A14">
            <v>39597</v>
          </cell>
          <cell r="B14" t="str">
            <v>#Calc</v>
          </cell>
          <cell r="C14" t="str">
            <v>#Calc</v>
          </cell>
          <cell r="D14" t="str">
            <v>#Calc</v>
          </cell>
          <cell r="E14" t="e">
            <v>#VALUE!</v>
          </cell>
          <cell r="F14" t="e">
            <v>#VALUE!</v>
          </cell>
          <cell r="G14" t="e">
            <v>#VALUE!</v>
          </cell>
          <cell r="H14" t="e">
            <v>#VALUE!</v>
          </cell>
          <cell r="I14" t="str">
            <v>#Calc</v>
          </cell>
          <cell r="J14" t="str">
            <v>#Calc</v>
          </cell>
          <cell r="K14" t="e">
            <v>#VALUE!</v>
          </cell>
          <cell r="L14" t="e">
            <v>#VALUE!</v>
          </cell>
          <cell r="M14" t="str">
            <v>#Calc</v>
          </cell>
          <cell r="N14" t="str">
            <v>#Calc</v>
          </cell>
          <cell r="O14" t="e">
            <v>#VALUE!</v>
          </cell>
          <cell r="P14" t="e">
            <v>#VALUE!</v>
          </cell>
          <cell r="Q14" t="str">
            <v>#Calc</v>
          </cell>
          <cell r="R14" t="e">
            <v>#VALUE!</v>
          </cell>
          <cell r="S14" t="str">
            <v>#Calc</v>
          </cell>
          <cell r="T14" t="e">
            <v>#VALUE!</v>
          </cell>
          <cell r="U14" t="e">
            <v>#VALUE!</v>
          </cell>
          <cell r="V14" t="e">
            <v>#VALUE!</v>
          </cell>
          <cell r="W14" t="e">
            <v>#VALUE!</v>
          </cell>
          <cell r="X14" t="e">
            <v>#VALUE!</v>
          </cell>
          <cell r="Y14" t="e">
            <v>#VALUE!</v>
          </cell>
          <cell r="Z14" t="e">
            <v>#VALUE!</v>
          </cell>
        </row>
        <row r="15">
          <cell r="A15">
            <v>39567</v>
          </cell>
          <cell r="B15" t="str">
            <v>#Calc</v>
          </cell>
          <cell r="C15" t="str">
            <v>#Calc</v>
          </cell>
          <cell r="D15" t="str">
            <v>#Calc</v>
          </cell>
          <cell r="E15" t="e">
            <v>#VALUE!</v>
          </cell>
          <cell r="F15" t="e">
            <v>#VALUE!</v>
          </cell>
          <cell r="G15" t="e">
            <v>#VALUE!</v>
          </cell>
          <cell r="H15" t="e">
            <v>#VALUE!</v>
          </cell>
          <cell r="I15" t="str">
            <v>#Calc</v>
          </cell>
          <cell r="J15" t="str">
            <v>#Calc</v>
          </cell>
          <cell r="K15" t="e">
            <v>#VALUE!</v>
          </cell>
          <cell r="L15" t="e">
            <v>#VALUE!</v>
          </cell>
          <cell r="M15" t="str">
            <v>#Calc</v>
          </cell>
          <cell r="N15" t="str">
            <v>#Calc</v>
          </cell>
          <cell r="O15" t="e">
            <v>#VALUE!</v>
          </cell>
          <cell r="P15" t="e">
            <v>#VALUE!</v>
          </cell>
          <cell r="Q15" t="str">
            <v>#Calc</v>
          </cell>
          <cell r="R15" t="e">
            <v>#VALUE!</v>
          </cell>
          <cell r="S15" t="str">
            <v>#Calc</v>
          </cell>
          <cell r="T15" t="e">
            <v>#VALUE!</v>
          </cell>
          <cell r="U15" t="e">
            <v>#VALUE!</v>
          </cell>
          <cell r="V15" t="e">
            <v>#VALUE!</v>
          </cell>
          <cell r="W15" t="e">
            <v>#VALUE!</v>
          </cell>
          <cell r="X15" t="e">
            <v>#VALUE!</v>
          </cell>
          <cell r="Y15" t="e">
            <v>#VALUE!</v>
          </cell>
          <cell r="Z15" t="e">
            <v>#VALUE!</v>
          </cell>
        </row>
        <row r="16">
          <cell r="A16">
            <v>39537</v>
          </cell>
          <cell r="B16" t="str">
            <v>#Calc</v>
          </cell>
          <cell r="C16" t="str">
            <v>#Calc</v>
          </cell>
          <cell r="D16" t="str">
            <v>#Calc</v>
          </cell>
          <cell r="E16" t="e">
            <v>#VALUE!</v>
          </cell>
          <cell r="F16" t="e">
            <v>#VALUE!</v>
          </cell>
          <cell r="G16" t="e">
            <v>#VALUE!</v>
          </cell>
          <cell r="H16" t="e">
            <v>#VALUE!</v>
          </cell>
          <cell r="I16" t="str">
            <v>#Calc</v>
          </cell>
          <cell r="J16" t="str">
            <v>#Calc</v>
          </cell>
          <cell r="K16" t="e">
            <v>#VALUE!</v>
          </cell>
          <cell r="L16" t="e">
            <v>#VALUE!</v>
          </cell>
          <cell r="M16" t="str">
            <v>#Calc</v>
          </cell>
          <cell r="N16" t="str">
            <v>#Calc</v>
          </cell>
          <cell r="O16" t="e">
            <v>#VALUE!</v>
          </cell>
          <cell r="P16" t="e">
            <v>#VALUE!</v>
          </cell>
          <cell r="Q16" t="str">
            <v>#Calc</v>
          </cell>
          <cell r="R16" t="e">
            <v>#VALUE!</v>
          </cell>
          <cell r="S16" t="str">
            <v>#Calc</v>
          </cell>
          <cell r="T16" t="e">
            <v>#VALUE!</v>
          </cell>
          <cell r="U16" t="e">
            <v>#VALUE!</v>
          </cell>
          <cell r="V16" t="e">
            <v>#VALUE!</v>
          </cell>
          <cell r="W16" t="e">
            <v>#VALUE!</v>
          </cell>
          <cell r="X16" t="e">
            <v>#VALUE!</v>
          </cell>
          <cell r="Y16" t="e">
            <v>#VALUE!</v>
          </cell>
          <cell r="Z16" t="e">
            <v>#VALUE!</v>
          </cell>
        </row>
        <row r="17">
          <cell r="A17">
            <v>39506</v>
          </cell>
          <cell r="B17" t="str">
            <v>#Calc</v>
          </cell>
          <cell r="C17" t="str">
            <v>#Calc</v>
          </cell>
          <cell r="D17" t="str">
            <v>#Calc</v>
          </cell>
          <cell r="E17" t="e">
            <v>#VALUE!</v>
          </cell>
          <cell r="F17" t="e">
            <v>#VALUE!</v>
          </cell>
          <cell r="G17" t="e">
            <v>#VALUE!</v>
          </cell>
          <cell r="H17" t="e">
            <v>#VALUE!</v>
          </cell>
          <cell r="I17" t="str">
            <v>#Calc</v>
          </cell>
          <cell r="J17" t="str">
            <v>#Calc</v>
          </cell>
          <cell r="K17" t="e">
            <v>#VALUE!</v>
          </cell>
          <cell r="L17" t="e">
            <v>#VALUE!</v>
          </cell>
          <cell r="M17" t="str">
            <v>#Calc</v>
          </cell>
          <cell r="N17" t="str">
            <v>#Calc</v>
          </cell>
          <cell r="O17" t="e">
            <v>#VALUE!</v>
          </cell>
          <cell r="P17" t="e">
            <v>#VALUE!</v>
          </cell>
          <cell r="Q17" t="str">
            <v>#Calc</v>
          </cell>
          <cell r="R17" t="e">
            <v>#VALUE!</v>
          </cell>
          <cell r="S17" t="str">
            <v>#Calc</v>
          </cell>
          <cell r="T17" t="e">
            <v>#VALUE!</v>
          </cell>
          <cell r="U17" t="e">
            <v>#VALUE!</v>
          </cell>
          <cell r="V17" t="e">
            <v>#VALUE!</v>
          </cell>
          <cell r="W17" t="e">
            <v>#VALUE!</v>
          </cell>
          <cell r="X17" t="e">
            <v>#VALUE!</v>
          </cell>
          <cell r="Y17" t="e">
            <v>#VALUE!</v>
          </cell>
          <cell r="Z17" t="e">
            <v>#VALUE!</v>
          </cell>
        </row>
        <row r="18">
          <cell r="A18">
            <v>39477</v>
          </cell>
          <cell r="B18" t="str">
            <v>#Calc</v>
          </cell>
          <cell r="C18" t="str">
            <v>#Calc</v>
          </cell>
          <cell r="D18" t="str">
            <v>#Calc</v>
          </cell>
          <cell r="E18" t="e">
            <v>#VALUE!</v>
          </cell>
          <cell r="F18" t="e">
            <v>#VALUE!</v>
          </cell>
          <cell r="G18" t="e">
            <v>#VALUE!</v>
          </cell>
          <cell r="H18" t="e">
            <v>#VALUE!</v>
          </cell>
          <cell r="I18" t="str">
            <v>#Calc</v>
          </cell>
          <cell r="J18" t="str">
            <v>#Calc</v>
          </cell>
          <cell r="K18" t="e">
            <v>#VALUE!</v>
          </cell>
          <cell r="L18" t="e">
            <v>#VALUE!</v>
          </cell>
          <cell r="M18" t="str">
            <v>#Calc</v>
          </cell>
          <cell r="N18" t="str">
            <v>#Calc</v>
          </cell>
          <cell r="O18" t="e">
            <v>#VALUE!</v>
          </cell>
          <cell r="P18" t="e">
            <v>#VALUE!</v>
          </cell>
          <cell r="Q18" t="str">
            <v>#Calc</v>
          </cell>
          <cell r="R18" t="e">
            <v>#VALUE!</v>
          </cell>
          <cell r="S18" t="str">
            <v>#Calc</v>
          </cell>
          <cell r="T18" t="e">
            <v>#VALUE!</v>
          </cell>
          <cell r="U18" t="e">
            <v>#VALUE!</v>
          </cell>
          <cell r="V18" t="e">
            <v>#VALUE!</v>
          </cell>
          <cell r="W18" t="e">
            <v>#VALUE!</v>
          </cell>
          <cell r="X18" t="e">
            <v>#VALUE!</v>
          </cell>
          <cell r="Y18" t="e">
            <v>#VALUE!</v>
          </cell>
          <cell r="Z18" t="e">
            <v>#VALUE!</v>
          </cell>
        </row>
        <row r="19">
          <cell r="A19">
            <v>39446</v>
          </cell>
          <cell r="B19" t="str">
            <v>#Calc</v>
          </cell>
          <cell r="C19" t="str">
            <v>#Calc</v>
          </cell>
          <cell r="D19" t="str">
            <v>#Calc</v>
          </cell>
          <cell r="E19" t="e">
            <v>#VALUE!</v>
          </cell>
          <cell r="F19" t="e">
            <v>#VALUE!</v>
          </cell>
          <cell r="G19" t="e">
            <v>#VALUE!</v>
          </cell>
          <cell r="H19" t="e">
            <v>#VALUE!</v>
          </cell>
          <cell r="I19" t="str">
            <v>#Calc</v>
          </cell>
          <cell r="J19" t="str">
            <v>#Calc</v>
          </cell>
          <cell r="K19" t="e">
            <v>#VALUE!</v>
          </cell>
          <cell r="L19" t="e">
            <v>#VALUE!</v>
          </cell>
          <cell r="M19" t="str">
            <v>#Calc</v>
          </cell>
          <cell r="N19" t="str">
            <v>#Calc</v>
          </cell>
          <cell r="O19" t="e">
            <v>#VALUE!</v>
          </cell>
          <cell r="P19" t="e">
            <v>#VALUE!</v>
          </cell>
          <cell r="Q19" t="str">
            <v>#Calc</v>
          </cell>
          <cell r="R19" t="e">
            <v>#VALUE!</v>
          </cell>
          <cell r="S19" t="str">
            <v>#Calc</v>
          </cell>
          <cell r="T19" t="e">
            <v>#VALUE!</v>
          </cell>
          <cell r="U19" t="e">
            <v>#VALUE!</v>
          </cell>
          <cell r="V19" t="e">
            <v>#VALUE!</v>
          </cell>
          <cell r="W19" t="e">
            <v>#VALUE!</v>
          </cell>
          <cell r="X19" t="e">
            <v>#VALUE!</v>
          </cell>
          <cell r="Y19" t="e">
            <v>#VALUE!</v>
          </cell>
          <cell r="Z19" t="e">
            <v>#VALUE!</v>
          </cell>
        </row>
        <row r="20">
          <cell r="A20">
            <v>39416</v>
          </cell>
          <cell r="B20" t="str">
            <v>#Calc</v>
          </cell>
          <cell r="C20" t="str">
            <v>#Calc</v>
          </cell>
          <cell r="D20" t="str">
            <v>#Calc</v>
          </cell>
          <cell r="E20" t="e">
            <v>#VALUE!</v>
          </cell>
          <cell r="F20" t="e">
            <v>#VALUE!</v>
          </cell>
          <cell r="G20" t="e">
            <v>#VALUE!</v>
          </cell>
          <cell r="H20" t="e">
            <v>#VALUE!</v>
          </cell>
          <cell r="I20" t="str">
            <v>#Calc</v>
          </cell>
          <cell r="J20" t="str">
            <v>#Calc</v>
          </cell>
          <cell r="K20" t="e">
            <v>#VALUE!</v>
          </cell>
          <cell r="L20" t="e">
            <v>#VALUE!</v>
          </cell>
          <cell r="M20" t="str">
            <v>#Calc</v>
          </cell>
          <cell r="N20" t="str">
            <v>#Calc</v>
          </cell>
          <cell r="O20" t="e">
            <v>#VALUE!</v>
          </cell>
          <cell r="P20" t="e">
            <v>#VALUE!</v>
          </cell>
          <cell r="Q20" t="str">
            <v>#Calc</v>
          </cell>
          <cell r="R20" t="e">
            <v>#VALUE!</v>
          </cell>
          <cell r="S20" t="str">
            <v>#Calc</v>
          </cell>
          <cell r="T20" t="e">
            <v>#VALUE!</v>
          </cell>
          <cell r="U20" t="e">
            <v>#VALUE!</v>
          </cell>
          <cell r="V20" t="e">
            <v>#VALUE!</v>
          </cell>
          <cell r="W20" t="e">
            <v>#VALUE!</v>
          </cell>
          <cell r="X20" t="e">
            <v>#VALUE!</v>
          </cell>
          <cell r="Y20" t="e">
            <v>#VALUE!</v>
          </cell>
          <cell r="Z20" t="e">
            <v>#VALUE!</v>
          </cell>
        </row>
        <row r="21">
          <cell r="A21">
            <v>39385</v>
          </cell>
          <cell r="B21" t="str">
            <v>#Calc</v>
          </cell>
          <cell r="C21" t="str">
            <v>#Calc</v>
          </cell>
          <cell r="D21" t="str">
            <v>#Calc</v>
          </cell>
          <cell r="E21" t="e">
            <v>#VALUE!</v>
          </cell>
          <cell r="F21" t="e">
            <v>#VALUE!</v>
          </cell>
          <cell r="G21" t="e">
            <v>#VALUE!</v>
          </cell>
          <cell r="H21" t="e">
            <v>#VALUE!</v>
          </cell>
          <cell r="I21" t="str">
            <v>#Calc</v>
          </cell>
          <cell r="J21" t="str">
            <v>#Calc</v>
          </cell>
          <cell r="K21" t="e">
            <v>#VALUE!</v>
          </cell>
          <cell r="L21" t="e">
            <v>#VALUE!</v>
          </cell>
          <cell r="M21" t="str">
            <v>#Calc</v>
          </cell>
          <cell r="N21" t="str">
            <v>#Calc</v>
          </cell>
          <cell r="O21" t="e">
            <v>#VALUE!</v>
          </cell>
          <cell r="P21" t="e">
            <v>#VALUE!</v>
          </cell>
          <cell r="Q21" t="str">
            <v>#Calc</v>
          </cell>
          <cell r="R21" t="e">
            <v>#VALUE!</v>
          </cell>
          <cell r="S21" t="str">
            <v>#Calc</v>
          </cell>
          <cell r="T21" t="e">
            <v>#VALUE!</v>
          </cell>
          <cell r="U21" t="e">
            <v>#VALUE!</v>
          </cell>
          <cell r="V21" t="e">
            <v>#VALUE!</v>
          </cell>
          <cell r="W21" t="e">
            <v>#VALUE!</v>
          </cell>
          <cell r="X21" t="e">
            <v>#VALUE!</v>
          </cell>
          <cell r="Y21" t="e">
            <v>#VALUE!</v>
          </cell>
          <cell r="Z21" t="e">
            <v>#VALUE!</v>
          </cell>
        </row>
        <row r="22">
          <cell r="A22">
            <v>39355</v>
          </cell>
          <cell r="B22" t="str">
            <v>#Calc</v>
          </cell>
          <cell r="C22" t="str">
            <v>#Calc</v>
          </cell>
          <cell r="D22" t="str">
            <v>#Calc</v>
          </cell>
          <cell r="E22" t="e">
            <v>#VALUE!</v>
          </cell>
          <cell r="F22" t="e">
            <v>#VALUE!</v>
          </cell>
          <cell r="G22" t="e">
            <v>#VALUE!</v>
          </cell>
          <cell r="H22" t="e">
            <v>#VALUE!</v>
          </cell>
          <cell r="I22" t="str">
            <v>#Calc</v>
          </cell>
          <cell r="J22" t="str">
            <v>#Calc</v>
          </cell>
          <cell r="K22" t="e">
            <v>#VALUE!</v>
          </cell>
          <cell r="L22" t="e">
            <v>#VALUE!</v>
          </cell>
          <cell r="M22" t="str">
            <v>#Calc</v>
          </cell>
          <cell r="N22" t="str">
            <v>#Calc</v>
          </cell>
          <cell r="O22" t="e">
            <v>#VALUE!</v>
          </cell>
          <cell r="P22" t="e">
            <v>#VALUE!</v>
          </cell>
          <cell r="Q22" t="str">
            <v>#Calc</v>
          </cell>
          <cell r="R22" t="e">
            <v>#VALUE!</v>
          </cell>
          <cell r="S22" t="str">
            <v>#Calc</v>
          </cell>
          <cell r="T22" t="e">
            <v>#VALUE!</v>
          </cell>
          <cell r="U22" t="e">
            <v>#VALUE!</v>
          </cell>
          <cell r="V22" t="e">
            <v>#VALUE!</v>
          </cell>
          <cell r="W22" t="e">
            <v>#VALUE!</v>
          </cell>
          <cell r="X22" t="e">
            <v>#VALUE!</v>
          </cell>
          <cell r="Y22" t="e">
            <v>#VALUE!</v>
          </cell>
          <cell r="Z22" t="e">
            <v>#VALUE!</v>
          </cell>
        </row>
        <row r="23">
          <cell r="A23">
            <v>39324</v>
          </cell>
          <cell r="B23" t="str">
            <v>#Calc</v>
          </cell>
          <cell r="C23" t="str">
            <v>#Calc</v>
          </cell>
          <cell r="D23" t="str">
            <v>#Calc</v>
          </cell>
          <cell r="E23" t="e">
            <v>#VALUE!</v>
          </cell>
          <cell r="F23" t="e">
            <v>#VALUE!</v>
          </cell>
          <cell r="G23" t="e">
            <v>#VALUE!</v>
          </cell>
          <cell r="H23" t="e">
            <v>#VALUE!</v>
          </cell>
          <cell r="I23" t="str">
            <v>#Calc</v>
          </cell>
          <cell r="J23" t="str">
            <v>#Calc</v>
          </cell>
          <cell r="K23" t="e">
            <v>#VALUE!</v>
          </cell>
          <cell r="L23" t="e">
            <v>#VALUE!</v>
          </cell>
          <cell r="M23" t="str">
            <v>#Calc</v>
          </cell>
          <cell r="N23" t="str">
            <v>#Calc</v>
          </cell>
          <cell r="O23" t="e">
            <v>#VALUE!</v>
          </cell>
          <cell r="P23" t="e">
            <v>#VALUE!</v>
          </cell>
          <cell r="Q23" t="str">
            <v>#Calc</v>
          </cell>
          <cell r="R23" t="e">
            <v>#VALUE!</v>
          </cell>
          <cell r="S23" t="str">
            <v>#Calc</v>
          </cell>
          <cell r="T23" t="e">
            <v>#VALUE!</v>
          </cell>
          <cell r="U23" t="e">
            <v>#VALUE!</v>
          </cell>
          <cell r="V23" t="e">
            <v>#VALUE!</v>
          </cell>
          <cell r="W23" t="e">
            <v>#VALUE!</v>
          </cell>
          <cell r="X23" t="e">
            <v>#VALUE!</v>
          </cell>
          <cell r="Y23" t="e">
            <v>#VALUE!</v>
          </cell>
          <cell r="Z23" t="e">
            <v>#VALUE!</v>
          </cell>
        </row>
        <row r="24">
          <cell r="A24">
            <v>39293</v>
          </cell>
          <cell r="B24" t="str">
            <v>#Calc</v>
          </cell>
          <cell r="C24" t="str">
            <v>#Calc</v>
          </cell>
          <cell r="D24" t="str">
            <v>#Calc</v>
          </cell>
          <cell r="E24" t="e">
            <v>#VALUE!</v>
          </cell>
          <cell r="F24" t="e">
            <v>#VALUE!</v>
          </cell>
          <cell r="G24" t="e">
            <v>#VALUE!</v>
          </cell>
          <cell r="H24" t="e">
            <v>#VALUE!</v>
          </cell>
          <cell r="I24" t="str">
            <v>#Calc</v>
          </cell>
          <cell r="J24" t="str">
            <v>#Calc</v>
          </cell>
          <cell r="K24" t="e">
            <v>#VALUE!</v>
          </cell>
          <cell r="L24" t="e">
            <v>#VALUE!</v>
          </cell>
          <cell r="M24" t="str">
            <v>#Calc</v>
          </cell>
          <cell r="N24" t="str">
            <v>#Calc</v>
          </cell>
          <cell r="O24" t="e">
            <v>#VALUE!</v>
          </cell>
          <cell r="P24" t="e">
            <v>#VALUE!</v>
          </cell>
          <cell r="Q24" t="str">
            <v>#Calc</v>
          </cell>
          <cell r="R24" t="e">
            <v>#VALUE!</v>
          </cell>
          <cell r="S24" t="str">
            <v>#Calc</v>
          </cell>
          <cell r="T24" t="e">
            <v>#VALUE!</v>
          </cell>
          <cell r="U24" t="e">
            <v>#VALUE!</v>
          </cell>
          <cell r="V24" t="e">
            <v>#VALUE!</v>
          </cell>
          <cell r="W24" t="e">
            <v>#VALUE!</v>
          </cell>
          <cell r="X24" t="e">
            <v>#VALUE!</v>
          </cell>
          <cell r="Y24" t="e">
            <v>#VALUE!</v>
          </cell>
          <cell r="Z24" t="e">
            <v>#VALUE!</v>
          </cell>
        </row>
        <row r="25">
          <cell r="A25">
            <v>39263</v>
          </cell>
          <cell r="B25" t="str">
            <v>#Calc</v>
          </cell>
          <cell r="C25" t="str">
            <v>#Calc</v>
          </cell>
          <cell r="D25" t="str">
            <v>#Calc</v>
          </cell>
          <cell r="E25" t="e">
            <v>#VALUE!</v>
          </cell>
          <cell r="F25" t="e">
            <v>#VALUE!</v>
          </cell>
          <cell r="G25" t="e">
            <v>#VALUE!</v>
          </cell>
          <cell r="H25" t="e">
            <v>#VALUE!</v>
          </cell>
          <cell r="I25" t="str">
            <v>#Calc</v>
          </cell>
          <cell r="J25" t="str">
            <v>#Calc</v>
          </cell>
          <cell r="K25" t="e">
            <v>#VALUE!</v>
          </cell>
          <cell r="L25" t="e">
            <v>#VALUE!</v>
          </cell>
          <cell r="M25" t="str">
            <v>#Calc</v>
          </cell>
          <cell r="N25" t="str">
            <v>#Calc</v>
          </cell>
          <cell r="O25" t="e">
            <v>#VALUE!</v>
          </cell>
          <cell r="P25" t="e">
            <v>#VALUE!</v>
          </cell>
          <cell r="Q25" t="str">
            <v>#Calc</v>
          </cell>
          <cell r="R25" t="e">
            <v>#VALUE!</v>
          </cell>
          <cell r="S25" t="str">
            <v>#Calc</v>
          </cell>
          <cell r="T25" t="e">
            <v>#VALUE!</v>
          </cell>
          <cell r="U25" t="e">
            <v>#VALUE!</v>
          </cell>
          <cell r="V25" t="e">
            <v>#VALUE!</v>
          </cell>
          <cell r="W25" t="e">
            <v>#VALUE!</v>
          </cell>
          <cell r="X25" t="e">
            <v>#VALUE!</v>
          </cell>
          <cell r="Y25" t="e">
            <v>#VALUE!</v>
          </cell>
          <cell r="Z25" t="e">
            <v>#VALUE!</v>
          </cell>
        </row>
        <row r="26">
          <cell r="A26">
            <v>39232</v>
          </cell>
        </row>
        <row r="27">
          <cell r="A27">
            <v>39202</v>
          </cell>
          <cell r="G27" t="e">
            <v>#VALUE!</v>
          </cell>
        </row>
        <row r="28">
          <cell r="A28">
            <v>39171</v>
          </cell>
          <cell r="G28" t="e">
            <v>#VALUE!</v>
          </cell>
        </row>
        <row r="29">
          <cell r="G29" t="e">
            <v>#VALUE!</v>
          </cell>
        </row>
        <row r="34">
          <cell r="A34" t="str">
            <v>Since 2001</v>
          </cell>
          <cell r="AB34" t="str">
            <v>Price-to-Tangible Book:</v>
          </cell>
        </row>
        <row r="35">
          <cell r="A35" t="str">
            <v>Average</v>
          </cell>
          <cell r="F35" t="e">
            <v>#VALUE!</v>
          </cell>
          <cell r="G35" t="e">
            <v>#VALUE!</v>
          </cell>
          <cell r="H35" t="e">
            <v>#VALUE!</v>
          </cell>
          <cell r="L35" t="e">
            <v>#VALUE!</v>
          </cell>
          <cell r="P35" t="e">
            <v>#VALUE!</v>
          </cell>
          <cell r="R35" t="e">
            <v>#VALUE!</v>
          </cell>
          <cell r="X35" t="e">
            <v>#VALUE!</v>
          </cell>
          <cell r="Y35" t="e">
            <v>#VALUE!</v>
          </cell>
        </row>
        <row r="36">
          <cell r="A36" t="str">
            <v>Median</v>
          </cell>
          <cell r="F36" t="e">
            <v>#VALUE!</v>
          </cell>
          <cell r="G36" t="e">
            <v>#VALUE!</v>
          </cell>
          <cell r="H36" t="e">
            <v>#VALUE!</v>
          </cell>
          <cell r="L36" t="e">
            <v>#VALUE!</v>
          </cell>
          <cell r="P36" t="e">
            <v>#VALUE!</v>
          </cell>
          <cell r="R36" t="e">
            <v>#VALUE!</v>
          </cell>
          <cell r="X36" t="e">
            <v>#VALUE!</v>
          </cell>
          <cell r="Y36" t="e">
            <v>#VALUE!</v>
          </cell>
        </row>
        <row r="37">
          <cell r="A37" t="str">
            <v>Max</v>
          </cell>
          <cell r="F37" t="e">
            <v>#VALUE!</v>
          </cell>
          <cell r="G37" t="e">
            <v>#VALUE!</v>
          </cell>
          <cell r="H37" t="e">
            <v>#VALUE!</v>
          </cell>
          <cell r="L37" t="e">
            <v>#VALUE!</v>
          </cell>
          <cell r="P37" t="e">
            <v>#VALUE!</v>
          </cell>
          <cell r="R37" t="e">
            <v>#VALUE!</v>
          </cell>
          <cell r="X37" t="e">
            <v>#VALUE!</v>
          </cell>
          <cell r="Y37" t="e">
            <v>#VALUE!</v>
          </cell>
        </row>
        <row r="38">
          <cell r="A38" t="str">
            <v>Min</v>
          </cell>
          <cell r="F38" t="e">
            <v>#VALUE!</v>
          </cell>
          <cell r="G38" t="e">
            <v>#VALUE!</v>
          </cell>
          <cell r="H38" t="e">
            <v>#VALUE!</v>
          </cell>
          <cell r="L38" t="e">
            <v>#VALUE!</v>
          </cell>
          <cell r="P38" t="e">
            <v>#VALUE!</v>
          </cell>
          <cell r="R38" t="e">
            <v>#VALUE!</v>
          </cell>
          <cell r="X38" t="e">
            <v>#VALUE!</v>
          </cell>
          <cell r="Y38" t="e">
            <v>#VALUE!</v>
          </cell>
        </row>
        <row r="39">
          <cell r="A39" t="str">
            <v>75 Percentile</v>
          </cell>
          <cell r="F39" t="e">
            <v>#VALUE!</v>
          </cell>
          <cell r="G39" t="e">
            <v>#VALUE!</v>
          </cell>
          <cell r="H39" t="e">
            <v>#VALUE!</v>
          </cell>
          <cell r="L39" t="e">
            <v>#VALUE!</v>
          </cell>
          <cell r="P39" t="e">
            <v>#VALUE!</v>
          </cell>
          <cell r="R39" t="e">
            <v>#VALUE!</v>
          </cell>
          <cell r="X39" t="e">
            <v>#VALUE!</v>
          </cell>
          <cell r="Y39" t="e">
            <v>#VALUE!</v>
          </cell>
        </row>
        <row r="40">
          <cell r="A40" t="str">
            <v>25 Percentile</v>
          </cell>
          <cell r="F40" t="e">
            <v>#VALUE!</v>
          </cell>
          <cell r="G40" t="e">
            <v>#VALUE!</v>
          </cell>
          <cell r="H40" t="e">
            <v>#VALUE!</v>
          </cell>
          <cell r="L40" t="e">
            <v>#VALUE!</v>
          </cell>
          <cell r="P40" t="e">
            <v>#VALUE!</v>
          </cell>
          <cell r="R40" t="e">
            <v>#VALUE!</v>
          </cell>
          <cell r="X40" t="e">
            <v>#VALUE!</v>
          </cell>
          <cell r="Y40" t="e">
            <v>#VALUE!</v>
          </cell>
        </row>
        <row r="42">
          <cell r="A42" t="str">
            <v>Since 2005</v>
          </cell>
        </row>
        <row r="43">
          <cell r="A43" t="str">
            <v>Average</v>
          </cell>
          <cell r="F43" t="e">
            <v>#VALUE!</v>
          </cell>
          <cell r="G43" t="e">
            <v>#VALUE!</v>
          </cell>
          <cell r="H43" t="e">
            <v>#VALUE!</v>
          </cell>
          <cell r="L43" t="e">
            <v>#VALUE!</v>
          </cell>
          <cell r="P43" t="e">
            <v>#VALUE!</v>
          </cell>
          <cell r="R43" t="e">
            <v>#VALUE!</v>
          </cell>
          <cell r="X43" t="e">
            <v>#VALUE!</v>
          </cell>
          <cell r="Y43" t="e">
            <v>#VALUE!</v>
          </cell>
        </row>
        <row r="44">
          <cell r="A44" t="str">
            <v>Median</v>
          </cell>
          <cell r="F44" t="e">
            <v>#VALUE!</v>
          </cell>
          <cell r="G44" t="e">
            <v>#VALUE!</v>
          </cell>
          <cell r="H44" t="e">
            <v>#VALUE!</v>
          </cell>
          <cell r="L44" t="e">
            <v>#VALUE!</v>
          </cell>
          <cell r="P44" t="e">
            <v>#VALUE!</v>
          </cell>
          <cell r="R44" t="e">
            <v>#VALUE!</v>
          </cell>
          <cell r="X44" t="e">
            <v>#VALUE!</v>
          </cell>
          <cell r="Y44" t="e">
            <v>#VALUE!</v>
          </cell>
        </row>
        <row r="45">
          <cell r="A45" t="str">
            <v>Max</v>
          </cell>
          <cell r="F45" t="e">
            <v>#VALUE!</v>
          </cell>
          <cell r="G45" t="e">
            <v>#VALUE!</v>
          </cell>
          <cell r="H45" t="e">
            <v>#VALUE!</v>
          </cell>
          <cell r="L45" t="e">
            <v>#VALUE!</v>
          </cell>
          <cell r="P45" t="e">
            <v>#VALUE!</v>
          </cell>
          <cell r="R45" t="e">
            <v>#VALUE!</v>
          </cell>
          <cell r="X45" t="e">
            <v>#VALUE!</v>
          </cell>
          <cell r="Y45" t="e">
            <v>#VALUE!</v>
          </cell>
        </row>
        <row r="46">
          <cell r="A46" t="str">
            <v>Min</v>
          </cell>
          <cell r="F46" t="e">
            <v>#VALUE!</v>
          </cell>
          <cell r="G46" t="e">
            <v>#VALUE!</v>
          </cell>
          <cell r="H46" t="e">
            <v>#VALUE!</v>
          </cell>
          <cell r="L46" t="e">
            <v>#VALUE!</v>
          </cell>
          <cell r="P46" t="e">
            <v>#VALUE!</v>
          </cell>
          <cell r="R46" t="e">
            <v>#VALUE!</v>
          </cell>
          <cell r="X46" t="e">
            <v>#VALUE!</v>
          </cell>
          <cell r="Y46" t="e">
            <v>#VALUE!</v>
          </cell>
        </row>
        <row r="47">
          <cell r="A47" t="str">
            <v>75 Percentile</v>
          </cell>
          <cell r="F47" t="e">
            <v>#VALUE!</v>
          </cell>
          <cell r="G47" t="e">
            <v>#VALUE!</v>
          </cell>
          <cell r="H47" t="e">
            <v>#VALUE!</v>
          </cell>
          <cell r="L47" t="e">
            <v>#VALUE!</v>
          </cell>
          <cell r="P47" t="e">
            <v>#VALUE!</v>
          </cell>
          <cell r="R47" t="e">
            <v>#VALUE!</v>
          </cell>
          <cell r="X47" t="e">
            <v>#VALUE!</v>
          </cell>
          <cell r="Y47" t="e">
            <v>#VALUE!</v>
          </cell>
        </row>
        <row r="48">
          <cell r="A48" t="str">
            <v>25 Percentile</v>
          </cell>
          <cell r="F48" t="e">
            <v>#VALUE!</v>
          </cell>
          <cell r="G48" t="e">
            <v>#VALUE!</v>
          </cell>
          <cell r="H48" t="e">
            <v>#VALUE!</v>
          </cell>
          <cell r="L48" t="e">
            <v>#VALUE!</v>
          </cell>
          <cell r="P48" t="e">
            <v>#VALUE!</v>
          </cell>
          <cell r="R48" t="e">
            <v>#VALUE!</v>
          </cell>
          <cell r="X48" t="e">
            <v>#VALUE!</v>
          </cell>
          <cell r="Y48" t="e">
            <v>#VALUE!</v>
          </cell>
        </row>
        <row r="53">
          <cell r="A53">
            <v>2008</v>
          </cell>
          <cell r="B53" t="e">
            <v>#DIV/0!</v>
          </cell>
        </row>
      </sheetData>
      <sheetData sheetId="3"/>
      <sheetData sheetId="4"/>
      <sheetData sheetId="5" refreshError="1">
        <row r="1">
          <cell r="A1" t="str">
            <v>VALUATION</v>
          </cell>
          <cell r="T1" t="str">
            <v>INPUTS</v>
          </cell>
        </row>
        <row r="2">
          <cell r="C2" t="str">
            <v>Price</v>
          </cell>
          <cell r="D2" t="str">
            <v>Market</v>
          </cell>
          <cell r="E2" t="str">
            <v>Enterprise</v>
          </cell>
          <cell r="G2" t="str">
            <v>P/E</v>
          </cell>
          <cell r="J2" t="str">
            <v>EV/EBITDA</v>
          </cell>
          <cell r="M2" t="str">
            <v>FCF Yield</v>
          </cell>
          <cell r="P2" t="str">
            <v>PEG</v>
          </cell>
          <cell r="T2" t="str">
            <v>EPS</v>
          </cell>
          <cell r="X2" t="str">
            <v>EV</v>
          </cell>
          <cell r="Y2">
            <v>40118</v>
          </cell>
          <cell r="AD2" t="str">
            <v>EBITDA</v>
          </cell>
        </row>
        <row r="3">
          <cell r="C3">
            <v>40118</v>
          </cell>
          <cell r="D3" t="str">
            <v>Cap ($mm)</v>
          </cell>
          <cell r="E3" t="str">
            <v>Value</v>
          </cell>
          <cell r="G3" t="str">
            <v>C2010</v>
          </cell>
          <cell r="H3" t="str">
            <v>C2011</v>
          </cell>
          <cell r="J3" t="str">
            <v>C2010</v>
          </cell>
          <cell r="K3" t="str">
            <v>C2011</v>
          </cell>
          <cell r="M3" t="str">
            <v>C2010</v>
          </cell>
          <cell r="N3" t="str">
            <v>C2011</v>
          </cell>
          <cell r="P3" t="str">
            <v>C2010</v>
          </cell>
          <cell r="Q3" t="str">
            <v>C2011</v>
          </cell>
          <cell r="S3">
            <v>2008</v>
          </cell>
          <cell r="T3">
            <v>2009</v>
          </cell>
          <cell r="U3">
            <v>2010</v>
          </cell>
          <cell r="V3">
            <v>2011</v>
          </cell>
          <cell r="X3" t="str">
            <v>Shares</v>
          </cell>
          <cell r="Y3" t="str">
            <v>Price</v>
          </cell>
          <cell r="Z3" t="str">
            <v>Debt</v>
          </cell>
          <cell r="AA3" t="str">
            <v>Cash</v>
          </cell>
          <cell r="AB3" t="str">
            <v>EV</v>
          </cell>
          <cell r="AD3">
            <v>2009</v>
          </cell>
          <cell r="AE3">
            <v>2010</v>
          </cell>
          <cell r="AF3">
            <v>2011</v>
          </cell>
          <cell r="AH3" t="str">
            <v>CFFO</v>
          </cell>
          <cell r="AI3" t="str">
            <v>Capex</v>
          </cell>
          <cell r="AJ3" t="str">
            <v>FCF (2010)</v>
          </cell>
          <cell r="AK3" t="str">
            <v>FCF (2011)</v>
          </cell>
        </row>
        <row r="4">
          <cell r="A4" t="str">
            <v>Hospital Supply</v>
          </cell>
        </row>
        <row r="5">
          <cell r="A5" t="str">
            <v>HSP</v>
          </cell>
          <cell r="C5">
            <v>44.64</v>
          </cell>
          <cell r="D5">
            <v>7227.2160000000003</v>
          </cell>
          <cell r="E5">
            <v>8417.0159999999996</v>
          </cell>
          <cell r="G5">
            <v>13.663313788224146</v>
          </cell>
          <cell r="H5">
            <v>11.929449492250134</v>
          </cell>
          <cell r="J5">
            <v>8.6495940699885132</v>
          </cell>
          <cell r="K5">
            <v>7.7778192577588605</v>
          </cell>
          <cell r="M5">
            <v>6.6693938578838652E-2</v>
          </cell>
          <cell r="N5">
            <v>7.8951563091514076E-2</v>
          </cell>
          <cell r="P5">
            <v>1.0936035669353594</v>
          </cell>
          <cell r="Q5">
            <v>0.8207779900571871</v>
          </cell>
          <cell r="S5">
            <v>2.5300000000000002</v>
          </cell>
          <cell r="T5">
            <v>2.9042859999999999</v>
          </cell>
          <cell r="U5">
            <v>3.2671429999999999</v>
          </cell>
          <cell r="V5">
            <v>3.742</v>
          </cell>
          <cell r="X5">
            <v>161.9</v>
          </cell>
          <cell r="Y5">
            <v>44.64</v>
          </cell>
          <cell r="Z5">
            <v>2110.4</v>
          </cell>
          <cell r="AA5">
            <v>920.6</v>
          </cell>
          <cell r="AB5">
            <v>8417.0159999999996</v>
          </cell>
          <cell r="AD5">
            <v>920.67200000000003</v>
          </cell>
          <cell r="AE5">
            <v>973.11110000000008</v>
          </cell>
          <cell r="AF5">
            <v>1082.182</v>
          </cell>
          <cell r="AJ5">
            <v>482.01150000000001</v>
          </cell>
          <cell r="AK5">
            <v>570.6</v>
          </cell>
        </row>
        <row r="6">
          <cell r="A6" t="str">
            <v>BAX</v>
          </cell>
          <cell r="C6">
            <v>54.06</v>
          </cell>
          <cell r="D6">
            <v>32614.333128000002</v>
          </cell>
          <cell r="E6">
            <v>34212.333127999998</v>
          </cell>
          <cell r="G6">
            <v>12.609708075694636</v>
          </cell>
          <cell r="H6">
            <v>11.328896775853819</v>
          </cell>
          <cell r="J6">
            <v>8.4125660874989823</v>
          </cell>
          <cell r="K6">
            <v>7.7010731308951339</v>
          </cell>
          <cell r="M6">
            <v>5.397166923792758E-2</v>
          </cell>
          <cell r="N6">
            <v>5.5406621159719942E-2</v>
          </cell>
          <cell r="P6">
            <v>0.98362727405924755</v>
          </cell>
          <cell r="Q6">
            <v>1.0020516072422379</v>
          </cell>
          <cell r="S6">
            <v>3.38</v>
          </cell>
          <cell r="T6">
            <v>3.8000249999999998</v>
          </cell>
          <cell r="U6">
            <v>4.2871730000000001</v>
          </cell>
          <cell r="V6">
            <v>4.7718679999999996</v>
          </cell>
          <cell r="X6">
            <v>603.29880000000003</v>
          </cell>
          <cell r="Y6">
            <v>54.06</v>
          </cell>
          <cell r="Z6">
            <v>4169</v>
          </cell>
          <cell r="AA6">
            <v>2571</v>
          </cell>
          <cell r="AB6">
            <v>34212.333127999998</v>
          </cell>
          <cell r="AD6">
            <v>3606.5419999999999</v>
          </cell>
          <cell r="AE6">
            <v>4066.8130000000001</v>
          </cell>
          <cell r="AF6">
            <v>4442.5410000000002</v>
          </cell>
          <cell r="AJ6">
            <v>1760.25</v>
          </cell>
          <cell r="AK6">
            <v>1807.05</v>
          </cell>
        </row>
        <row r="7">
          <cell r="A7" t="str">
            <v>BDX</v>
          </cell>
          <cell r="C7">
            <v>68.36</v>
          </cell>
          <cell r="D7">
            <v>16364.700400000002</v>
          </cell>
          <cell r="E7">
            <v>16502.037400000001</v>
          </cell>
          <cell r="G7">
            <v>13.037526180901207</v>
          </cell>
          <cell r="H7">
            <v>11.955268826531602</v>
          </cell>
          <cell r="J7">
            <v>7.1658602378163936</v>
          </cell>
          <cell r="K7">
            <v>6.7229138318485004</v>
          </cell>
          <cell r="M7">
            <v>7.6997437728832469E-2</v>
          </cell>
          <cell r="N7">
            <v>0</v>
          </cell>
          <cell r="P7">
            <v>2.7155864367755012</v>
          </cell>
          <cell r="Q7">
            <v>1.3206512493314637</v>
          </cell>
          <cell r="S7">
            <v>4.5890379999999995</v>
          </cell>
          <cell r="T7">
            <v>5.003126</v>
          </cell>
          <cell r="U7">
            <v>5.2433259999999997</v>
          </cell>
          <cell r="V7">
            <v>5.717981</v>
          </cell>
          <cell r="X7">
            <v>239.39000000000001</v>
          </cell>
          <cell r="Y7">
            <v>68.36</v>
          </cell>
          <cell r="Z7">
            <v>1889.297</v>
          </cell>
          <cell r="AA7">
            <v>1751.96</v>
          </cell>
          <cell r="AB7">
            <v>16502.037400000001</v>
          </cell>
          <cell r="AD7">
            <v>2216.1210000000001</v>
          </cell>
          <cell r="AE7">
            <v>2302.8690000000001</v>
          </cell>
          <cell r="AF7">
            <v>2454.596</v>
          </cell>
          <cell r="AJ7">
            <v>1260.04</v>
          </cell>
          <cell r="AK7">
            <v>0</v>
          </cell>
        </row>
        <row r="8">
          <cell r="A8" t="str">
            <v>JNJ</v>
          </cell>
          <cell r="C8">
            <v>59.050000000000004</v>
          </cell>
          <cell r="D8">
            <v>162643.77700000003</v>
          </cell>
          <cell r="E8">
            <v>161541.77700000003</v>
          </cell>
          <cell r="G8">
            <v>12.000398319741011</v>
          </cell>
          <cell r="H8">
            <v>10.964981507154814</v>
          </cell>
          <cell r="J8">
            <v>7.6706444144134744</v>
          </cell>
          <cell r="K8">
            <v>7.1344370817054985</v>
          </cell>
          <cell r="M8">
            <v>7.4562336313672789E-2</v>
          </cell>
          <cell r="N8">
            <v>6.6566334105730943E-2</v>
          </cell>
          <cell r="P8">
            <v>1.5499620801510046</v>
          </cell>
          <cell r="Q8">
            <v>1.1611828008852034</v>
          </cell>
          <cell r="S8">
            <v>4.55</v>
          </cell>
          <cell r="T8">
            <v>4.5670700000000002</v>
          </cell>
          <cell r="U8">
            <v>4.9206700000000003</v>
          </cell>
          <cell r="V8">
            <v>5.3853260000000001</v>
          </cell>
          <cell r="X8">
            <v>2754.34</v>
          </cell>
          <cell r="Y8">
            <v>59.050000000000004</v>
          </cell>
          <cell r="Z8">
            <v>13614</v>
          </cell>
          <cell r="AA8">
            <v>14716</v>
          </cell>
          <cell r="AB8">
            <v>161541.77700000003</v>
          </cell>
          <cell r="AD8">
            <v>19834.29</v>
          </cell>
          <cell r="AE8">
            <v>21059.74</v>
          </cell>
          <cell r="AF8">
            <v>22642.54</v>
          </cell>
          <cell r="AJ8">
            <v>12127.1</v>
          </cell>
          <cell r="AK8">
            <v>10826.6</v>
          </cell>
        </row>
        <row r="9">
          <cell r="A9" t="str">
            <v>IART</v>
          </cell>
          <cell r="C9">
            <v>30.54</v>
          </cell>
          <cell r="D9">
            <v>867.00005999999996</v>
          </cell>
          <cell r="E9">
            <v>1184.43806</v>
          </cell>
          <cell r="G9">
            <v>12.866531850353892</v>
          </cell>
          <cell r="H9">
            <v>11.484156076224112</v>
          </cell>
          <cell r="J9">
            <v>9.3539037314906217</v>
          </cell>
          <cell r="K9">
            <v>6.8464627745664739</v>
          </cell>
          <cell r="M9">
            <v>7.8662047612776412E-2</v>
          </cell>
          <cell r="N9">
            <v>8.2352935477305517E-2</v>
          </cell>
          <cell r="P9">
            <v>0.81207482898381522</v>
          </cell>
          <cell r="Q9">
            <v>0.95405202587624005</v>
          </cell>
          <cell r="S9">
            <v>2.09</v>
          </cell>
          <cell r="T9">
            <v>2.048962</v>
          </cell>
          <cell r="U9">
            <v>2.3736000000000002</v>
          </cell>
          <cell r="V9">
            <v>2.659316</v>
          </cell>
          <cell r="X9">
            <v>28.388999999999999</v>
          </cell>
          <cell r="Y9">
            <v>30.54</v>
          </cell>
          <cell r="Z9">
            <v>456.15500000000003</v>
          </cell>
          <cell r="AA9">
            <v>138.71700000000001</v>
          </cell>
          <cell r="AB9">
            <v>1184.43806</v>
          </cell>
          <cell r="AD9">
            <v>141.80000000000001</v>
          </cell>
          <cell r="AE9">
            <v>126.625</v>
          </cell>
          <cell r="AF9">
            <v>173</v>
          </cell>
          <cell r="AJ9">
            <v>68.2</v>
          </cell>
          <cell r="AK9">
            <v>71.400000000000006</v>
          </cell>
        </row>
        <row r="10">
          <cell r="A10" t="str">
            <v>CFN</v>
          </cell>
          <cell r="C10">
            <v>22.37</v>
          </cell>
          <cell r="D10">
            <v>5055.62</v>
          </cell>
          <cell r="E10">
            <v>5561.62</v>
          </cell>
          <cell r="G10">
            <v>17.601810381999417</v>
          </cell>
          <cell r="H10">
            <v>14.749369508958743</v>
          </cell>
          <cell r="J10">
            <v>8.612717309043461</v>
          </cell>
          <cell r="K10">
            <v>7.7102061990300719</v>
          </cell>
          <cell r="M10">
            <v>6.9441295034041325E-2</v>
          </cell>
          <cell r="N10">
            <v>7.0907227995775007E-2</v>
          </cell>
          <cell r="P10" t="str">
            <v>n/a</v>
          </cell>
          <cell r="Q10">
            <v>0.76265875646320436</v>
          </cell>
          <cell r="S10">
            <v>0</v>
          </cell>
          <cell r="T10">
            <v>1.2997029999999998</v>
          </cell>
          <cell r="U10">
            <v>1.2708919999999999</v>
          </cell>
          <cell r="V10">
            <v>1.516675</v>
          </cell>
          <cell r="X10">
            <v>226</v>
          </cell>
          <cell r="Y10">
            <v>22.37</v>
          </cell>
          <cell r="Z10">
            <v>1289</v>
          </cell>
          <cell r="AA10">
            <v>783</v>
          </cell>
          <cell r="AB10">
            <v>5561.62</v>
          </cell>
          <cell r="AD10">
            <v>646.55110000000002</v>
          </cell>
          <cell r="AE10">
            <v>645.74509999999998</v>
          </cell>
          <cell r="AF10">
            <v>721.33220000000006</v>
          </cell>
          <cell r="AJ10">
            <v>351.06880000000001</v>
          </cell>
          <cell r="AK10">
            <v>358.48</v>
          </cell>
        </row>
        <row r="11">
          <cell r="A11" t="str">
            <v>ABT</v>
          </cell>
          <cell r="C11">
            <v>50.57</v>
          </cell>
          <cell r="D11">
            <v>78176.82041</v>
          </cell>
          <cell r="E11">
            <v>87028.330409999995</v>
          </cell>
          <cell r="G11">
            <v>12.196857325470615</v>
          </cell>
          <cell r="H11">
            <v>11.027550996153987</v>
          </cell>
          <cell r="J11">
            <v>8.4545236805036073</v>
          </cell>
          <cell r="K11">
            <v>7.6705908865673855</v>
          </cell>
          <cell r="M11">
            <v>6.2190249929608261E-2</v>
          </cell>
          <cell r="N11">
            <v>6.3260439271682067E-2</v>
          </cell>
          <cell r="P11">
            <v>1.0329061307187282</v>
          </cell>
          <cell r="Q11">
            <v>1.0399916422572251</v>
          </cell>
          <cell r="S11">
            <v>3.3200000000000003</v>
          </cell>
          <cell r="T11">
            <v>3.7082669999999998</v>
          </cell>
          <cell r="U11">
            <v>4.1461500000000004</v>
          </cell>
          <cell r="V11">
            <v>4.5857869999999998</v>
          </cell>
          <cell r="X11">
            <v>1545.913</v>
          </cell>
          <cell r="Y11">
            <v>50.57</v>
          </cell>
          <cell r="Z11">
            <v>15739.453</v>
          </cell>
          <cell r="AA11">
            <v>6887.9430000000002</v>
          </cell>
          <cell r="AB11">
            <v>87028.330409999995</v>
          </cell>
          <cell r="AD11">
            <v>9110.6489999999994</v>
          </cell>
          <cell r="AE11">
            <v>10293.700000000001</v>
          </cell>
          <cell r="AF11">
            <v>11345.714</v>
          </cell>
          <cell r="AJ11">
            <v>4861.8360000000002</v>
          </cell>
          <cell r="AK11">
            <v>4945.5</v>
          </cell>
        </row>
        <row r="12">
          <cell r="A12" t="str">
            <v>BCR</v>
          </cell>
          <cell r="C12">
            <v>75.070000000000007</v>
          </cell>
          <cell r="D12">
            <v>7246.9575200000008</v>
          </cell>
          <cell r="E12">
            <v>6764.6575200000007</v>
          </cell>
          <cell r="G12">
            <v>13.209967568975317</v>
          </cell>
          <cell r="H12">
            <v>11.752641878669277</v>
          </cell>
          <cell r="J12">
            <v>7.5624566114924088</v>
          </cell>
          <cell r="K12">
            <v>6.8635920817024934</v>
          </cell>
          <cell r="M12">
            <v>9.2872146434218372E-2</v>
          </cell>
          <cell r="N12">
            <v>8.1090857560318627E-2</v>
          </cell>
          <cell r="P12">
            <v>1.0733657862072918</v>
          </cell>
          <cell r="Q12">
            <v>0.94779493730906794</v>
          </cell>
          <cell r="S12">
            <v>4.4400000000000004</v>
          </cell>
          <cell r="T12">
            <v>5.0600829999999997</v>
          </cell>
          <cell r="U12">
            <v>5.68283</v>
          </cell>
          <cell r="V12">
            <v>6.3875000000000002</v>
          </cell>
          <cell r="X12">
            <v>96.536000000000001</v>
          </cell>
          <cell r="Y12">
            <v>75.070000000000007</v>
          </cell>
          <cell r="Z12">
            <v>149.80000000000001</v>
          </cell>
          <cell r="AA12">
            <v>632.1</v>
          </cell>
          <cell r="AB12">
            <v>6764.6575200000007</v>
          </cell>
          <cell r="AD12">
            <v>818.41800000000001</v>
          </cell>
          <cell r="AE12">
            <v>894.50530000000003</v>
          </cell>
          <cell r="AF12">
            <v>985.5856</v>
          </cell>
          <cell r="AJ12">
            <v>673.04050000000007</v>
          </cell>
          <cell r="AK12">
            <v>587.66200000000003</v>
          </cell>
        </row>
        <row r="13">
          <cell r="A13" t="str">
            <v>Average</v>
          </cell>
          <cell r="G13">
            <v>13.398264186420029</v>
          </cell>
          <cell r="H13">
            <v>11.899039382724562</v>
          </cell>
          <cell r="J13">
            <v>8.2352832677809324</v>
          </cell>
          <cell r="K13">
            <v>7.303386905509301</v>
          </cell>
          <cell r="M13">
            <v>7.192389010873948E-2</v>
          </cell>
          <cell r="N13">
            <v>6.2316997332755773E-2</v>
          </cell>
          <cell r="P13">
            <v>1.3230180148329926</v>
          </cell>
          <cell r="Q13">
            <v>1.0011451261777287</v>
          </cell>
        </row>
        <row r="14">
          <cell r="A14" t="str">
            <v>Median</v>
          </cell>
          <cell r="G14">
            <v>12.952029015627549</v>
          </cell>
          <cell r="H14">
            <v>11.618398977446695</v>
          </cell>
          <cell r="J14">
            <v>8.4335448840012948</v>
          </cell>
          <cell r="K14">
            <v>7.4025139841364425</v>
          </cell>
          <cell r="M14">
            <v>7.200181567385705E-2</v>
          </cell>
          <cell r="N14">
            <v>6.8736781050752982E-2</v>
          </cell>
          <cell r="P14">
            <v>1.0733657862072918</v>
          </cell>
          <cell r="Q14">
            <v>0.9780518165592389</v>
          </cell>
        </row>
        <row r="16">
          <cell r="A16" t="str">
            <v>Medical Devices</v>
          </cell>
        </row>
        <row r="17">
          <cell r="A17" t="str">
            <v>BSX</v>
          </cell>
          <cell r="C17">
            <v>8.120000000000001</v>
          </cell>
          <cell r="D17">
            <v>12263.230000000001</v>
          </cell>
          <cell r="E17">
            <v>17319.230000000003</v>
          </cell>
          <cell r="G17">
            <v>12.387758819489303</v>
          </cell>
          <cell r="H17">
            <v>10.387769552705459</v>
          </cell>
          <cell r="J17">
            <v>7.2651860465311406</v>
          </cell>
          <cell r="K17">
            <v>6.7282871008495428</v>
          </cell>
          <cell r="M17">
            <v>0.11811879904397128</v>
          </cell>
          <cell r="N17">
            <v>0.1775959514744484</v>
          </cell>
          <cell r="P17">
            <v>0.46335926713728226</v>
          </cell>
          <cell r="Q17">
            <v>0.53953167685562819</v>
          </cell>
          <cell r="S17">
            <v>0.51518000000000008</v>
          </cell>
          <cell r="T17">
            <v>0.51721109999999992</v>
          </cell>
          <cell r="U17">
            <v>0.65548580000000001</v>
          </cell>
          <cell r="V17">
            <v>0.78168850000000001</v>
          </cell>
          <cell r="X17">
            <v>1510.25</v>
          </cell>
          <cell r="Y17">
            <v>8.120000000000001</v>
          </cell>
          <cell r="Z17">
            <v>6250</v>
          </cell>
          <cell r="AA17">
            <v>1194</v>
          </cell>
          <cell r="AB17">
            <v>17319.230000000003</v>
          </cell>
          <cell r="AD17">
            <v>2206.98</v>
          </cell>
          <cell r="AE17">
            <v>2383.866</v>
          </cell>
          <cell r="AF17">
            <v>2574.0920000000001</v>
          </cell>
          <cell r="AJ17">
            <v>1448.518</v>
          </cell>
          <cell r="AK17">
            <v>2177.9</v>
          </cell>
        </row>
        <row r="18">
          <cell r="A18" t="str">
            <v>MDT</v>
          </cell>
          <cell r="C18">
            <v>35.700000000000003</v>
          </cell>
          <cell r="D18">
            <v>39627</v>
          </cell>
          <cell r="E18">
            <v>45048</v>
          </cell>
          <cell r="G18">
            <v>10.648359839397679</v>
          </cell>
          <cell r="H18">
            <v>9.6694667492227868</v>
          </cell>
          <cell r="J18">
            <v>7.6777944236796758</v>
          </cell>
          <cell r="K18">
            <v>7.0698518247069719</v>
          </cell>
          <cell r="M18">
            <v>0.10068741009917481</v>
          </cell>
          <cell r="N18">
            <v>0</v>
          </cell>
          <cell r="P18">
            <v>1.1692408308354794</v>
          </cell>
          <cell r="Q18">
            <v>0.95514605376998085</v>
          </cell>
          <cell r="S18">
            <v>2.819563</v>
          </cell>
          <cell r="T18">
            <v>3.0727880000000001</v>
          </cell>
          <cell r="U18">
            <v>3.3526289999999999</v>
          </cell>
          <cell r="V18">
            <v>3.692034</v>
          </cell>
          <cell r="X18">
            <v>1110</v>
          </cell>
          <cell r="Y18">
            <v>35.700000000000003</v>
          </cell>
          <cell r="Z18">
            <v>6965</v>
          </cell>
          <cell r="AA18">
            <v>1544</v>
          </cell>
          <cell r="AB18">
            <v>45048</v>
          </cell>
          <cell r="AD18">
            <v>5464.7860000000001</v>
          </cell>
          <cell r="AE18">
            <v>5867.31</v>
          </cell>
          <cell r="AF18">
            <v>6371.8450000000003</v>
          </cell>
          <cell r="AJ18">
            <v>3989.94</v>
          </cell>
          <cell r="AK18">
            <v>0</v>
          </cell>
        </row>
        <row r="19">
          <cell r="A19" t="str">
            <v>STJ</v>
          </cell>
          <cell r="C19">
            <v>34.08</v>
          </cell>
          <cell r="D19">
            <v>11847.571199999998</v>
          </cell>
          <cell r="E19">
            <v>12646.549199999998</v>
          </cell>
          <cell r="G19">
            <v>12.495265694885997</v>
          </cell>
          <cell r="H19">
            <v>11.000741452556237</v>
          </cell>
          <cell r="J19">
            <v>8.1545395458003931</v>
          </cell>
          <cell r="K19">
            <v>7.3179950281920938</v>
          </cell>
          <cell r="M19">
            <v>6.389832879839541E-2</v>
          </cell>
          <cell r="N19">
            <v>5.612120735767346E-2</v>
          </cell>
          <cell r="P19">
            <v>0.99786175909209984</v>
          </cell>
          <cell r="Q19">
            <v>0.80973134512251954</v>
          </cell>
          <cell r="S19">
            <v>2.31</v>
          </cell>
          <cell r="T19">
            <v>2.4239100000000002</v>
          </cell>
          <cell r="U19">
            <v>2.727433</v>
          </cell>
          <cell r="V19">
            <v>3.0979729999999996</v>
          </cell>
          <cell r="X19">
            <v>347.64</v>
          </cell>
          <cell r="Y19">
            <v>34.08</v>
          </cell>
          <cell r="Z19">
            <v>1285.547</v>
          </cell>
          <cell r="AA19">
            <v>486.56900000000002</v>
          </cell>
          <cell r="AB19">
            <v>12646.549199999998</v>
          </cell>
          <cell r="AD19">
            <v>1388.6000000000001</v>
          </cell>
          <cell r="AE19">
            <v>1550.8600000000001</v>
          </cell>
          <cell r="AF19">
            <v>1728.144</v>
          </cell>
          <cell r="AJ19">
            <v>757.04</v>
          </cell>
          <cell r="AK19">
            <v>664.90000000000009</v>
          </cell>
        </row>
        <row r="20">
          <cell r="A20" t="str">
            <v>EW</v>
          </cell>
          <cell r="C20">
            <v>76.94</v>
          </cell>
          <cell r="D20">
            <v>4339.4160000000002</v>
          </cell>
          <cell r="E20">
            <v>4265.0160000000005</v>
          </cell>
          <cell r="G20">
            <v>22.056304637299352</v>
          </cell>
          <cell r="H20">
            <v>18.35940333609496</v>
          </cell>
          <cell r="J20">
            <v>13.152685296432352</v>
          </cell>
          <cell r="K20">
            <v>11.257573098064576</v>
          </cell>
          <cell r="M20">
            <v>4.5474621469801468E-2</v>
          </cell>
          <cell r="N20">
            <v>5.6574433057351492E-2</v>
          </cell>
          <cell r="P20">
            <v>1.8070818654083789</v>
          </cell>
          <cell r="Q20">
            <v>0.91175734323121815</v>
          </cell>
          <cell r="S20">
            <v>2.5500000000000003</v>
          </cell>
          <cell r="T20">
            <v>3.1088900000000002</v>
          </cell>
          <cell r="U20">
            <v>3.4883449999999998</v>
          </cell>
          <cell r="V20">
            <v>4.1907679999999994</v>
          </cell>
          <cell r="X20">
            <v>56.400000000000006</v>
          </cell>
          <cell r="Y20">
            <v>76.94</v>
          </cell>
          <cell r="Z20">
            <v>113.9</v>
          </cell>
          <cell r="AA20">
            <v>188.3</v>
          </cell>
          <cell r="AB20">
            <v>4265.0160000000005</v>
          </cell>
          <cell r="AD20">
            <v>292.5129</v>
          </cell>
          <cell r="AE20">
            <v>324.26960000000003</v>
          </cell>
          <cell r="AF20">
            <v>378.85750000000002</v>
          </cell>
          <cell r="AJ20">
            <v>197.33330000000001</v>
          </cell>
          <cell r="AK20">
            <v>245.5</v>
          </cell>
        </row>
        <row r="21">
          <cell r="A21" t="str">
            <v>KCI</v>
          </cell>
          <cell r="C21">
            <v>33.19</v>
          </cell>
          <cell r="D21">
            <v>2359.4107200000003</v>
          </cell>
          <cell r="E21">
            <v>3520.2477200000003</v>
          </cell>
          <cell r="G21">
            <v>8.2380030822392971</v>
          </cell>
          <cell r="H21">
            <v>7.987966305655835</v>
          </cell>
          <cell r="J21">
            <v>5.2564547110646558</v>
          </cell>
          <cell r="K21">
            <v>5.0793560637760624</v>
          </cell>
          <cell r="M21">
            <v>0.13374737909133513</v>
          </cell>
          <cell r="N21">
            <v>0</v>
          </cell>
          <cell r="P21">
            <v>0.67576679245333116</v>
          </cell>
          <cell r="Q21">
            <v>2.5519288231182955</v>
          </cell>
          <cell r="S21">
            <v>3.7800000000000002</v>
          </cell>
          <cell r="T21">
            <v>3.5911109999999997</v>
          </cell>
          <cell r="U21">
            <v>4.0288889999999995</v>
          </cell>
          <cell r="V21">
            <v>4.1550000000000002</v>
          </cell>
          <cell r="X21">
            <v>71.088000000000008</v>
          </cell>
          <cell r="Y21">
            <v>33.19</v>
          </cell>
          <cell r="Z21">
            <v>1396.1110000000001</v>
          </cell>
          <cell r="AA21">
            <v>235.274</v>
          </cell>
          <cell r="AB21">
            <v>3520.2477200000003</v>
          </cell>
          <cell r="AD21">
            <v>627.46670000000006</v>
          </cell>
          <cell r="AE21">
            <v>669.7</v>
          </cell>
          <cell r="AF21">
            <v>693.05000000000007</v>
          </cell>
          <cell r="AJ21">
            <v>315.565</v>
          </cell>
          <cell r="AK21">
            <v>0</v>
          </cell>
        </row>
        <row r="22">
          <cell r="A22" t="str">
            <v>CNMD</v>
          </cell>
          <cell r="C22">
            <v>21.19</v>
          </cell>
          <cell r="D22">
            <v>616.14163000000008</v>
          </cell>
          <cell r="E22">
            <v>791.84163000000012</v>
          </cell>
          <cell r="G22">
            <v>17.404517453798768</v>
          </cell>
          <cell r="H22">
            <v>14.975265017667844</v>
          </cell>
          <cell r="J22">
            <v>8.5144261290322589</v>
          </cell>
          <cell r="K22" t="str">
            <v>n/a</v>
          </cell>
          <cell r="M22">
            <v>6.4920138572684971E-2</v>
          </cell>
          <cell r="N22">
            <v>8.1312473562287935E-2</v>
          </cell>
          <cell r="P22">
            <v>0.49335640026516181</v>
          </cell>
          <cell r="Q22">
            <v>0.92315874222838479</v>
          </cell>
          <cell r="S22">
            <v>1.54</v>
          </cell>
          <cell r="T22">
            <v>0.9</v>
          </cell>
          <cell r="U22">
            <v>1.2175</v>
          </cell>
          <cell r="V22">
            <v>1.415</v>
          </cell>
          <cell r="X22">
            <v>29.077000000000002</v>
          </cell>
          <cell r="Y22">
            <v>21.19</v>
          </cell>
          <cell r="Z22">
            <v>186.37899999999999</v>
          </cell>
          <cell r="AA22">
            <v>10.679</v>
          </cell>
          <cell r="AB22">
            <v>791.84163000000012</v>
          </cell>
          <cell r="AD22">
            <v>76</v>
          </cell>
          <cell r="AE22">
            <v>93</v>
          </cell>
          <cell r="AF22">
            <v>0</v>
          </cell>
          <cell r="AJ22">
            <v>40</v>
          </cell>
          <cell r="AK22">
            <v>50.1</v>
          </cell>
        </row>
        <row r="23">
          <cell r="A23" t="str">
            <v>VARI</v>
          </cell>
          <cell r="C23">
            <v>51.2</v>
          </cell>
          <cell r="D23">
            <v>1475.7888000000003</v>
          </cell>
          <cell r="E23">
            <v>1328.1618000000003</v>
          </cell>
          <cell r="G23">
            <v>18.953612514122664</v>
          </cell>
          <cell r="H23">
            <v>16.501176836859763</v>
          </cell>
          <cell r="J23">
            <v>9.265206551265651</v>
          </cell>
          <cell r="K23">
            <v>8.7075789978849993</v>
          </cell>
          <cell r="M23">
            <v>0</v>
          </cell>
          <cell r="N23">
            <v>0</v>
          </cell>
          <cell r="P23">
            <v>1.3251895527133057</v>
          </cell>
          <cell r="Q23">
            <v>1.1102792196581142</v>
          </cell>
          <cell r="S23">
            <v>2.5671439999999999</v>
          </cell>
          <cell r="T23">
            <v>2.3633169999999999</v>
          </cell>
          <cell r="U23">
            <v>2.7013319999999998</v>
          </cell>
          <cell r="V23">
            <v>3.1028089999999997</v>
          </cell>
          <cell r="X23">
            <v>28.824000000000002</v>
          </cell>
          <cell r="Y23">
            <v>51.2</v>
          </cell>
          <cell r="Z23">
            <v>18.75</v>
          </cell>
          <cell r="AA23">
            <v>166.37700000000001</v>
          </cell>
          <cell r="AB23">
            <v>1328.1618000000003</v>
          </cell>
          <cell r="AD23">
            <v>130.42180000000002</v>
          </cell>
          <cell r="AE23">
            <v>143.3494</v>
          </cell>
          <cell r="AF23">
            <v>152.52940000000001</v>
          </cell>
          <cell r="AJ23">
            <v>0</v>
          </cell>
          <cell r="AK23">
            <v>0</v>
          </cell>
        </row>
        <row r="24">
          <cell r="A24" t="str">
            <v>Average</v>
          </cell>
          <cell r="G24">
            <v>11.518059329443492</v>
          </cell>
          <cell r="H24">
            <v>10.028618150964123</v>
          </cell>
          <cell r="J24">
            <v>7.4714902351054082</v>
          </cell>
          <cell r="K24">
            <v>6.8990694627782574</v>
          </cell>
          <cell r="M24">
            <v>0.10940310457157304</v>
          </cell>
          <cell r="N24">
            <v>8.87979757372242E-2</v>
          </cell>
          <cell r="P24">
            <v>0.81630004898638076</v>
          </cell>
          <cell r="Q24">
            <v>0.74733886531280458</v>
          </cell>
        </row>
        <row r="25">
          <cell r="A25" t="str">
            <v>Median</v>
          </cell>
          <cell r="G25">
            <v>11.518059329443492</v>
          </cell>
          <cell r="H25">
            <v>10.028618150964123</v>
          </cell>
          <cell r="J25">
            <v>7.4714902351054082</v>
          </cell>
          <cell r="K25">
            <v>6.8990694627782574</v>
          </cell>
          <cell r="M25">
            <v>0.10940310457157304</v>
          </cell>
          <cell r="N25">
            <v>8.87979757372242E-2</v>
          </cell>
          <cell r="P25">
            <v>0.81630004898638076</v>
          </cell>
          <cell r="Q25">
            <v>0.74733886531280458</v>
          </cell>
        </row>
        <row r="27">
          <cell r="A27" t="str">
            <v>Pharmaceuticals</v>
          </cell>
        </row>
        <row r="28">
          <cell r="A28" t="str">
            <v>TEVA</v>
          </cell>
          <cell r="C28">
            <v>50.480000000000004</v>
          </cell>
          <cell r="D28">
            <v>43059.44</v>
          </cell>
          <cell r="E28">
            <v>49078.44</v>
          </cell>
          <cell r="G28">
            <v>11.304262925331852</v>
          </cell>
          <cell r="H28">
            <v>10.3620880592741</v>
          </cell>
          <cell r="J28">
            <v>8.5772602751696319</v>
          </cell>
          <cell r="K28">
            <v>8.5291360586422815</v>
          </cell>
          <cell r="M28">
            <v>8.5259678249415216E-2</v>
          </cell>
          <cell r="N28">
            <v>0.11219374892009742</v>
          </cell>
          <cell r="P28">
            <v>0.33806879562608438</v>
          </cell>
          <cell r="Q28">
            <v>1.1396278208674859</v>
          </cell>
          <cell r="S28">
            <v>2.930758</v>
          </cell>
          <cell r="T28">
            <v>3.3465579999999999</v>
          </cell>
          <cell r="U28">
            <v>4.4655719999999999</v>
          </cell>
          <cell r="V28">
            <v>4.8716049999999997</v>
          </cell>
          <cell r="X28">
            <v>853</v>
          </cell>
          <cell r="Y28">
            <v>50.480000000000004</v>
          </cell>
          <cell r="Z28">
            <v>8419</v>
          </cell>
          <cell r="AA28">
            <v>2400</v>
          </cell>
          <cell r="AB28">
            <v>49078.44</v>
          </cell>
          <cell r="AD28">
            <v>4427.9520000000002</v>
          </cell>
          <cell r="AE28">
            <v>5721.9250000000002</v>
          </cell>
          <cell r="AF28">
            <v>5754.21</v>
          </cell>
          <cell r="AJ28">
            <v>3671.2339999999999</v>
          </cell>
          <cell r="AK28">
            <v>4831</v>
          </cell>
        </row>
        <row r="29">
          <cell r="A29" t="str">
            <v>MYL</v>
          </cell>
          <cell r="C29">
            <v>16.240000000000002</v>
          </cell>
          <cell r="D29">
            <v>4955.1488000000008</v>
          </cell>
          <cell r="E29">
            <v>9576.4328000000005</v>
          </cell>
          <cell r="G29">
            <v>10.752218307108251</v>
          </cell>
          <cell r="H29">
            <v>9.3082332010463755</v>
          </cell>
          <cell r="J29">
            <v>6.6850908826908926</v>
          </cell>
          <cell r="K29">
            <v>6.114102277617242</v>
          </cell>
          <cell r="M29">
            <v>0.12357247475595484</v>
          </cell>
          <cell r="N29">
            <v>0.15954919456707331</v>
          </cell>
          <cell r="P29">
            <v>0.4839868935337136</v>
          </cell>
          <cell r="Q29">
            <v>0.60002838645171896</v>
          </cell>
          <cell r="S29">
            <v>0.8</v>
          </cell>
          <cell r="T29">
            <v>1.2358339999999999</v>
          </cell>
          <cell r="U29">
            <v>1.510386</v>
          </cell>
          <cell r="V29">
            <v>1.7446919999999999</v>
          </cell>
          <cell r="X29">
            <v>305.12</v>
          </cell>
          <cell r="Y29">
            <v>16.240000000000002</v>
          </cell>
          <cell r="Z29">
            <v>5136.9279999999999</v>
          </cell>
          <cell r="AA29">
            <v>515.64400000000001</v>
          </cell>
          <cell r="AB29">
            <v>9576.4328000000005</v>
          </cell>
          <cell r="AD29">
            <v>1336.0070000000001</v>
          </cell>
          <cell r="AE29">
            <v>1432.5060000000001</v>
          </cell>
          <cell r="AF29">
            <v>1566.2860000000001</v>
          </cell>
          <cell r="AJ29">
            <v>612.32000000000005</v>
          </cell>
          <cell r="AK29">
            <v>790.59</v>
          </cell>
        </row>
        <row r="30">
          <cell r="A30" t="str">
            <v>WPI</v>
          </cell>
          <cell r="C30">
            <v>34.42</v>
          </cell>
          <cell r="D30">
            <v>3634.7520000000004</v>
          </cell>
          <cell r="E30">
            <v>3860.2520000000004</v>
          </cell>
          <cell r="G30">
            <v>13.114859036221702</v>
          </cell>
          <cell r="H30">
            <v>12.513319487004798</v>
          </cell>
          <cell r="J30">
            <v>5.509275744513598</v>
          </cell>
          <cell r="K30">
            <v>5.8679053523051916</v>
          </cell>
          <cell r="M30">
            <v>0.11445086212209252</v>
          </cell>
          <cell r="N30">
            <v>0.1293045577800081</v>
          </cell>
          <cell r="P30">
            <v>2.3731805084576485</v>
          </cell>
          <cell r="Q30">
            <v>2.6030402288211563</v>
          </cell>
          <cell r="S30">
            <v>2.0300000000000002</v>
          </cell>
          <cell r="T30">
            <v>2.4870619999999999</v>
          </cell>
          <cell r="U30">
            <v>2.6245039999999999</v>
          </cell>
          <cell r="V30">
            <v>2.7506689999999998</v>
          </cell>
          <cell r="X30">
            <v>105.60000000000001</v>
          </cell>
          <cell r="Y30">
            <v>34.42</v>
          </cell>
          <cell r="Z30">
            <v>876.40000000000009</v>
          </cell>
          <cell r="AA30">
            <v>650.90000000000009</v>
          </cell>
          <cell r="AB30">
            <v>3860.2520000000004</v>
          </cell>
          <cell r="AD30">
            <v>659.95960000000002</v>
          </cell>
          <cell r="AE30">
            <v>700.68230000000005</v>
          </cell>
          <cell r="AF30">
            <v>657.85860000000002</v>
          </cell>
          <cell r="AJ30">
            <v>416.00050000000005</v>
          </cell>
          <cell r="AK30">
            <v>469.99</v>
          </cell>
        </row>
        <row r="31">
          <cell r="A31" t="str">
            <v>PRGO</v>
          </cell>
          <cell r="C31">
            <v>37.19</v>
          </cell>
          <cell r="D31">
            <v>3429.2527099999998</v>
          </cell>
          <cell r="E31">
            <v>4005.2977099999998</v>
          </cell>
          <cell r="G31">
            <v>16.726078200149853</v>
          </cell>
          <cell r="H31">
            <v>15.242865281597487</v>
          </cell>
          <cell r="J31">
            <v>10.486719668010682</v>
          </cell>
          <cell r="K31">
            <v>9.8241490540084442</v>
          </cell>
          <cell r="M31">
            <v>5.872638065218589E-2</v>
          </cell>
          <cell r="N31">
            <v>6.2233879520649273E-2</v>
          </cell>
          <cell r="P31">
            <v>1.4118519595997781</v>
          </cell>
          <cell r="Q31">
            <v>1.5664975613865419</v>
          </cell>
          <cell r="S31">
            <v>1.7283679999999999</v>
          </cell>
          <cell r="T31">
            <v>1.987962</v>
          </cell>
          <cell r="U31">
            <v>2.223474</v>
          </cell>
          <cell r="V31">
            <v>2.4398300000000002</v>
          </cell>
          <cell r="X31">
            <v>92.209000000000003</v>
          </cell>
          <cell r="Y31">
            <v>37.19</v>
          </cell>
          <cell r="Z31">
            <v>892.18100000000004</v>
          </cell>
          <cell r="AA31">
            <v>316.13600000000002</v>
          </cell>
          <cell r="AB31">
            <v>4005.2977099999998</v>
          </cell>
          <cell r="AD31">
            <v>352.82089999999999</v>
          </cell>
          <cell r="AE31">
            <v>381.94</v>
          </cell>
          <cell r="AF31">
            <v>407.69920000000002</v>
          </cell>
          <cell r="AJ31">
            <v>201.38760000000002</v>
          </cell>
          <cell r="AK31">
            <v>213.41570000000002</v>
          </cell>
        </row>
        <row r="32">
          <cell r="A32" t="str">
            <v>KV.A</v>
          </cell>
          <cell r="C32">
            <v>3.8000000000000003</v>
          </cell>
          <cell r="D32">
            <v>188.52560000000003</v>
          </cell>
          <cell r="E32">
            <v>322.41160000000002</v>
          </cell>
          <cell r="G32" t="str">
            <v>n/a</v>
          </cell>
          <cell r="H32" t="str">
            <v>n/a</v>
          </cell>
          <cell r="J32" t="str">
            <v>n/a</v>
          </cell>
          <cell r="K32" t="str">
            <v>n/a</v>
          </cell>
          <cell r="M32">
            <v>0</v>
          </cell>
          <cell r="N32" t="str">
            <v>n/a</v>
          </cell>
          <cell r="P32" t="str">
            <v>n/a</v>
          </cell>
          <cell r="Q32" t="str">
            <v>n/a</v>
          </cell>
          <cell r="S32">
            <v>0</v>
          </cell>
          <cell r="T32">
            <v>0</v>
          </cell>
          <cell r="U32">
            <v>0</v>
          </cell>
          <cell r="V32">
            <v>0</v>
          </cell>
          <cell r="X32">
            <v>49.612000000000002</v>
          </cell>
          <cell r="Y32">
            <v>3.8000000000000003</v>
          </cell>
          <cell r="Z32">
            <v>268.96300000000002</v>
          </cell>
          <cell r="AA32">
            <v>135.077</v>
          </cell>
          <cell r="AB32">
            <v>322.41160000000002</v>
          </cell>
          <cell r="AD32">
            <v>0</v>
          </cell>
          <cell r="AE32">
            <v>0</v>
          </cell>
          <cell r="AF32">
            <v>0</v>
          </cell>
          <cell r="AJ32">
            <v>0</v>
          </cell>
          <cell r="AK32">
            <v>0</v>
          </cell>
        </row>
        <row r="33">
          <cell r="A33" t="str">
            <v>Average</v>
          </cell>
          <cell r="G33">
            <v>12.974354617202916</v>
          </cell>
          <cell r="H33">
            <v>11.856626507230692</v>
          </cell>
          <cell r="J33">
            <v>7.8145866425962014</v>
          </cell>
          <cell r="K33">
            <v>7.5838231856432898</v>
          </cell>
          <cell r="M33">
            <v>7.6401879155929692E-2</v>
          </cell>
          <cell r="N33">
            <v>0.11582034519695704</v>
          </cell>
          <cell r="P33">
            <v>1.1517720393043061</v>
          </cell>
          <cell r="Q33">
            <v>1.4772984993817257</v>
          </cell>
        </row>
        <row r="34">
          <cell r="A34" t="str">
            <v>Median</v>
          </cell>
          <cell r="G34">
            <v>12.209560980776777</v>
          </cell>
          <cell r="H34">
            <v>11.43770377313945</v>
          </cell>
          <cell r="J34">
            <v>7.6311755789302627</v>
          </cell>
          <cell r="K34">
            <v>7.3216191681297618</v>
          </cell>
          <cell r="M34">
            <v>8.5259678249415216E-2</v>
          </cell>
          <cell r="N34">
            <v>0.12074915335005276</v>
          </cell>
          <cell r="P34">
            <v>0.94791942656674588</v>
          </cell>
          <cell r="Q34">
            <v>1.3530626911270138</v>
          </cell>
        </row>
        <row r="36">
          <cell r="A36" t="str">
            <v>Hospital Capex</v>
          </cell>
        </row>
        <row r="37">
          <cell r="A37" t="str">
            <v>HRC</v>
          </cell>
          <cell r="C37">
            <v>19.59</v>
          </cell>
          <cell r="D37">
            <v>1226.86293</v>
          </cell>
          <cell r="E37">
            <v>1296.86293</v>
          </cell>
          <cell r="G37">
            <v>15.547619047619047</v>
          </cell>
          <cell r="H37" t="str">
            <v>n/a</v>
          </cell>
          <cell r="J37">
            <v>6.8255943684210525</v>
          </cell>
          <cell r="K37" t="str">
            <v>n/a</v>
          </cell>
          <cell r="M37">
            <v>0.10729935413404333</v>
          </cell>
          <cell r="N37">
            <v>0.11312315060330333</v>
          </cell>
          <cell r="P37">
            <v>1.2269927763064461</v>
          </cell>
          <cell r="Q37" t="str">
            <v>n/a</v>
          </cell>
          <cell r="S37">
            <v>1.318206</v>
          </cell>
          <cell r="T37">
            <v>1.1182969999999999</v>
          </cell>
          <cell r="U37">
            <v>1.26</v>
          </cell>
          <cell r="V37">
            <v>0</v>
          </cell>
          <cell r="X37">
            <v>62.627000000000002</v>
          </cell>
          <cell r="Y37">
            <v>19.59</v>
          </cell>
          <cell r="Z37">
            <v>198.3</v>
          </cell>
          <cell r="AA37">
            <v>128.30000000000001</v>
          </cell>
          <cell r="AB37">
            <v>1296.86293</v>
          </cell>
          <cell r="AD37">
            <v>216.12140000000002</v>
          </cell>
          <cell r="AE37">
            <v>190</v>
          </cell>
          <cell r="AF37">
            <v>0</v>
          </cell>
          <cell r="AJ37">
            <v>131.64160000000001</v>
          </cell>
          <cell r="AK37">
            <v>138.78659999999999</v>
          </cell>
        </row>
        <row r="38">
          <cell r="A38" t="str">
            <v>SYK</v>
          </cell>
          <cell r="C38">
            <v>46</v>
          </cell>
          <cell r="D38">
            <v>18285</v>
          </cell>
          <cell r="E38">
            <v>15876.5</v>
          </cell>
          <cell r="G38">
            <v>14.084994367533232</v>
          </cell>
          <cell r="H38">
            <v>12.469747308703234</v>
          </cell>
          <cell r="J38">
            <v>7.6334941945248849</v>
          </cell>
          <cell r="K38">
            <v>6.9945058116098267</v>
          </cell>
          <cell r="M38">
            <v>6.6160568772217668E-2</v>
          </cell>
          <cell r="N38">
            <v>8.2571780147662019E-2</v>
          </cell>
          <cell r="P38">
            <v>1.3047544761030507</v>
          </cell>
          <cell r="Q38">
            <v>0.96266758136395392</v>
          </cell>
          <cell r="S38">
            <v>2.83</v>
          </cell>
          <cell r="T38">
            <v>2.9476809999999998</v>
          </cell>
          <cell r="U38">
            <v>3.2658869999999998</v>
          </cell>
          <cell r="V38">
            <v>3.6889279999999998</v>
          </cell>
          <cell r="X38">
            <v>397.5</v>
          </cell>
          <cell r="Y38">
            <v>46</v>
          </cell>
          <cell r="Z38">
            <v>19.400000000000002</v>
          </cell>
          <cell r="AA38">
            <v>2427.9</v>
          </cell>
          <cell r="AB38">
            <v>15876.5</v>
          </cell>
          <cell r="AD38">
            <v>1907.8590000000002</v>
          </cell>
          <cell r="AE38">
            <v>2079.8470000000002</v>
          </cell>
          <cell r="AF38">
            <v>2269.8530000000001</v>
          </cell>
          <cell r="AJ38">
            <v>1209.7460000000001</v>
          </cell>
          <cell r="AK38">
            <v>1509.825</v>
          </cell>
        </row>
        <row r="39">
          <cell r="A39" t="str">
            <v>HOLX</v>
          </cell>
          <cell r="C39">
            <v>14.780000000000001</v>
          </cell>
          <cell r="D39">
            <v>3792.5893840000003</v>
          </cell>
          <cell r="E39">
            <v>5554.652384</v>
          </cell>
          <cell r="G39">
            <v>11.537761970818364</v>
          </cell>
          <cell r="H39">
            <v>10.470128609732686</v>
          </cell>
          <cell r="J39">
            <v>7.8002893997192837</v>
          </cell>
          <cell r="K39">
            <v>8.0170081107541868</v>
          </cell>
          <cell r="M39">
            <v>7.0328951270223983E-2</v>
          </cell>
          <cell r="N39">
            <v>7.7747290165159966E-2</v>
          </cell>
          <cell r="P39">
            <v>1.3283342240036613</v>
          </cell>
          <cell r="Q39">
            <v>1.0267906296302576</v>
          </cell>
          <cell r="S39">
            <v>1.1243209999999999</v>
          </cell>
          <cell r="T39">
            <v>1.178636</v>
          </cell>
          <cell r="U39">
            <v>1.2810109999999999</v>
          </cell>
          <cell r="V39">
            <v>1.411635</v>
          </cell>
          <cell r="X39">
            <v>256.6028</v>
          </cell>
          <cell r="Y39">
            <v>14.780000000000001</v>
          </cell>
          <cell r="Z39">
            <v>2006.6949999999999</v>
          </cell>
          <cell r="AA39">
            <v>244.63200000000001</v>
          </cell>
          <cell r="AB39">
            <v>5554.652384</v>
          </cell>
          <cell r="AD39">
            <v>663.33680000000004</v>
          </cell>
          <cell r="AE39">
            <v>712.10850000000005</v>
          </cell>
          <cell r="AF39">
            <v>692.85852119182334</v>
          </cell>
          <cell r="AJ39">
            <v>266.72883397530484</v>
          </cell>
          <cell r="AK39">
            <v>294.86354731515331</v>
          </cell>
        </row>
        <row r="40">
          <cell r="A40" t="str">
            <v>ISRG</v>
          </cell>
          <cell r="C40">
            <v>246.35</v>
          </cell>
          <cell r="D40">
            <v>9408.1064999999999</v>
          </cell>
          <cell r="E40">
            <v>8895.3094999999994</v>
          </cell>
          <cell r="G40">
            <v>35.333469207387168</v>
          </cell>
          <cell r="H40">
            <v>29.885963848113548</v>
          </cell>
          <cell r="J40">
            <v>19.340892072227835</v>
          </cell>
          <cell r="K40">
            <v>16.138993172327606</v>
          </cell>
          <cell r="M40">
            <v>3.4437641623210793E-2</v>
          </cell>
          <cell r="N40">
            <v>4.309049860351815E-2</v>
          </cell>
          <cell r="P40">
            <v>1.5820751772201658</v>
          </cell>
          <cell r="Q40">
            <v>1.6395960650323198</v>
          </cell>
          <cell r="S40">
            <v>5.12</v>
          </cell>
          <cell r="T40">
            <v>5.6992859999999999</v>
          </cell>
          <cell r="U40">
            <v>6.972143</v>
          </cell>
          <cell r="V40">
            <v>8.2430000000000003</v>
          </cell>
          <cell r="X40">
            <v>38.19</v>
          </cell>
          <cell r="Y40">
            <v>246.35</v>
          </cell>
          <cell r="Z40">
            <v>0</v>
          </cell>
          <cell r="AA40">
            <v>512.79700000000003</v>
          </cell>
          <cell r="AB40">
            <v>8895.3094999999994</v>
          </cell>
          <cell r="AD40">
            <v>378.24860000000001</v>
          </cell>
          <cell r="AE40">
            <v>459.92240000000004</v>
          </cell>
          <cell r="AF40">
            <v>551.16880000000003</v>
          </cell>
          <cell r="AJ40">
            <v>323.99299999999999</v>
          </cell>
          <cell r="AK40">
            <v>405.40000000000003</v>
          </cell>
        </row>
        <row r="41">
          <cell r="A41" t="str">
            <v>VAR</v>
          </cell>
          <cell r="C41">
            <v>40.980000000000004</v>
          </cell>
          <cell r="D41">
            <v>5144.2194000000009</v>
          </cell>
          <cell r="E41">
            <v>4702.3294000000005</v>
          </cell>
          <cell r="G41">
            <v>14.713998010127455</v>
          </cell>
          <cell r="H41">
            <v>13.087960162523212</v>
          </cell>
          <cell r="J41">
            <v>8.491996736354432</v>
          </cell>
          <cell r="K41">
            <v>7.494374273943702</v>
          </cell>
          <cell r="M41">
            <v>6.9007165596397371E-2</v>
          </cell>
          <cell r="N41">
            <v>7.3692424549388374E-2</v>
          </cell>
          <cell r="P41">
            <v>3.7802916636122625</v>
          </cell>
          <cell r="Q41">
            <v>1.0534484266044319</v>
          </cell>
          <cell r="S41">
            <v>2.4023300000000001</v>
          </cell>
          <cell r="T41">
            <v>2.6807600000000003</v>
          </cell>
          <cell r="U41">
            <v>2.7851029999999999</v>
          </cell>
          <cell r="V41">
            <v>3.131122</v>
          </cell>
          <cell r="X41">
            <v>125.53</v>
          </cell>
          <cell r="Y41">
            <v>40.980000000000004</v>
          </cell>
          <cell r="Z41">
            <v>32.46</v>
          </cell>
          <cell r="AA41">
            <v>474.35</v>
          </cell>
          <cell r="AB41">
            <v>4702.3294000000005</v>
          </cell>
          <cell r="AD41">
            <v>523.50549999999998</v>
          </cell>
          <cell r="AE41">
            <v>553.73660000000007</v>
          </cell>
          <cell r="AF41">
            <v>627.4479</v>
          </cell>
          <cell r="AJ41">
            <v>354.988</v>
          </cell>
          <cell r="AK41">
            <v>379.09000000000003</v>
          </cell>
        </row>
        <row r="42">
          <cell r="A42" t="str">
            <v>ZOLL</v>
          </cell>
          <cell r="C42">
            <v>19.420000000000002</v>
          </cell>
          <cell r="D42">
            <v>408.92694000000006</v>
          </cell>
          <cell r="E42">
            <v>353.66294000000005</v>
          </cell>
          <cell r="G42">
            <v>22.176579932867316</v>
          </cell>
          <cell r="H42">
            <v>15.023866440767131</v>
          </cell>
          <cell r="J42" t="str">
            <v>n/a</v>
          </cell>
          <cell r="K42" t="str">
            <v>n/a</v>
          </cell>
          <cell r="M42" t="str">
            <v>n/a</v>
          </cell>
          <cell r="N42" t="str">
            <v>n/a</v>
          </cell>
          <cell r="P42">
            <v>0.2731926083631131</v>
          </cell>
          <cell r="Q42">
            <v>0.31556773954290435</v>
          </cell>
          <cell r="S42">
            <v>0.91927799999999993</v>
          </cell>
          <cell r="T42">
            <v>0.48334240000000001</v>
          </cell>
          <cell r="U42">
            <v>0.87569859999999999</v>
          </cell>
          <cell r="V42">
            <v>1.29261</v>
          </cell>
          <cell r="X42">
            <v>21.057000000000002</v>
          </cell>
          <cell r="Y42">
            <v>19.420000000000002</v>
          </cell>
          <cell r="Z42">
            <v>0</v>
          </cell>
          <cell r="AA42">
            <v>55.264000000000003</v>
          </cell>
          <cell r="AB42">
            <v>353.66294000000005</v>
          </cell>
          <cell r="AD42">
            <v>0</v>
          </cell>
          <cell r="AE42">
            <v>0</v>
          </cell>
          <cell r="AF42">
            <v>0</v>
          </cell>
          <cell r="AJ42">
            <v>0</v>
          </cell>
          <cell r="AK42">
            <v>0</v>
          </cell>
        </row>
        <row r="43">
          <cell r="A43" t="str">
            <v>Average</v>
          </cell>
          <cell r="G43">
            <v>18.89907042272543</v>
          </cell>
          <cell r="H43">
            <v>16.187533273967965</v>
          </cell>
          <cell r="J43">
            <v>10.018453354249498</v>
          </cell>
          <cell r="K43">
            <v>9.6612203421588312</v>
          </cell>
          <cell r="M43">
            <v>6.9446736279218629E-2</v>
          </cell>
          <cell r="N43">
            <v>7.8045028813806372E-2</v>
          </cell>
          <cell r="P43">
            <v>1.5826068209347832</v>
          </cell>
          <cell r="Q43">
            <v>0.99961408843477351</v>
          </cell>
        </row>
        <row r="44">
          <cell r="A44" t="str">
            <v>Median</v>
          </cell>
          <cell r="G44">
            <v>15.130808528873251</v>
          </cell>
          <cell r="H44">
            <v>13.087960162523212</v>
          </cell>
          <cell r="J44">
            <v>7.8002893997192837</v>
          </cell>
          <cell r="K44">
            <v>7.7556911923489444</v>
          </cell>
          <cell r="M44">
            <v>6.9007165596397371E-2</v>
          </cell>
          <cell r="N44">
            <v>7.7747290165159966E-2</v>
          </cell>
          <cell r="P44">
            <v>1.316544350053356</v>
          </cell>
          <cell r="Q44">
            <v>1.0267906296302576</v>
          </cell>
        </row>
        <row r="46">
          <cell r="A46" t="str">
            <v>Hospitals</v>
          </cell>
        </row>
        <row r="47">
          <cell r="A47" t="str">
            <v>CYH</v>
          </cell>
          <cell r="C47">
            <v>31.28</v>
          </cell>
          <cell r="D47">
            <v>2907.0068000000001</v>
          </cell>
          <cell r="E47">
            <v>11578.7258</v>
          </cell>
          <cell r="G47">
            <v>10.618215739196526</v>
          </cell>
          <cell r="H47">
            <v>9.568145660946886</v>
          </cell>
          <cell r="J47">
            <v>6.6905266624870352</v>
          </cell>
          <cell r="K47">
            <v>6.4785076754704995</v>
          </cell>
          <cell r="M47">
            <v>0.11539126774660451</v>
          </cell>
          <cell r="N47">
            <v>0.1496384528581082</v>
          </cell>
          <cell r="P47">
            <v>0.85780396219408694</v>
          </cell>
          <cell r="Q47">
            <v>0.87184096838279845</v>
          </cell>
          <cell r="S47">
            <v>2.173</v>
          </cell>
          <cell r="T47">
            <v>2.6213949999999997</v>
          </cell>
          <cell r="U47">
            <v>2.945881</v>
          </cell>
          <cell r="V47">
            <v>3.2691809999999997</v>
          </cell>
          <cell r="X47">
            <v>92.935000000000002</v>
          </cell>
          <cell r="Y47">
            <v>31.28</v>
          </cell>
          <cell r="Z47">
            <v>8940.5439999999999</v>
          </cell>
          <cell r="AA47">
            <v>268.82499999999999</v>
          </cell>
          <cell r="AB47">
            <v>11578.7258</v>
          </cell>
          <cell r="AD47">
            <v>1644.0810000000001</v>
          </cell>
          <cell r="AE47">
            <v>1730.615</v>
          </cell>
          <cell r="AF47">
            <v>1787.252</v>
          </cell>
          <cell r="AJ47">
            <v>335.44319999999999</v>
          </cell>
          <cell r="AK47">
            <v>435</v>
          </cell>
        </row>
        <row r="48">
          <cell r="A48" t="str">
            <v>HMA</v>
          </cell>
          <cell r="C48">
            <v>6.1000000000000005</v>
          </cell>
          <cell r="D48">
            <v>1504.3942000000002</v>
          </cell>
          <cell r="E48">
            <v>4370.9742000000006</v>
          </cell>
          <cell r="G48">
            <v>11.217010725484995</v>
          </cell>
          <cell r="H48">
            <v>10.348981219143919</v>
          </cell>
          <cell r="J48">
            <v>6.2868566811155437</v>
          </cell>
          <cell r="K48">
            <v>6.0913558259124549</v>
          </cell>
          <cell r="M48">
            <v>0.13621675754931784</v>
          </cell>
          <cell r="N48" t="str">
            <v>n/a</v>
          </cell>
          <cell r="P48">
            <v>0.88471177694996683</v>
          </cell>
          <cell r="Q48">
            <v>1.2338452954859569</v>
          </cell>
          <cell r="S48">
            <v>0.39</v>
          </cell>
          <cell r="T48">
            <v>0.4826261</v>
          </cell>
          <cell r="U48">
            <v>0.54381689999999994</v>
          </cell>
          <cell r="V48">
            <v>0.58943000000000001</v>
          </cell>
          <cell r="X48">
            <v>246.62200000000001</v>
          </cell>
          <cell r="Y48">
            <v>6.1000000000000005</v>
          </cell>
          <cell r="Z48">
            <v>3069.4569999999999</v>
          </cell>
          <cell r="AA48">
            <v>202.87700000000001</v>
          </cell>
          <cell r="AB48">
            <v>4370.9742000000006</v>
          </cell>
          <cell r="AD48">
            <v>670.60820000000001</v>
          </cell>
          <cell r="AE48">
            <v>695.2559</v>
          </cell>
          <cell r="AF48">
            <v>717.57</v>
          </cell>
          <cell r="AJ48">
            <v>204.9237</v>
          </cell>
          <cell r="AK48">
            <v>0</v>
          </cell>
        </row>
        <row r="49">
          <cell r="A49" t="str">
            <v>LPNT</v>
          </cell>
          <cell r="C49">
            <v>28.330000000000002</v>
          </cell>
          <cell r="D49">
            <v>1551.23748</v>
          </cell>
          <cell r="E49">
            <v>2868.8374800000001</v>
          </cell>
          <cell r="G49">
            <v>10.752582061975561</v>
          </cell>
          <cell r="H49">
            <v>9.8087892013990601</v>
          </cell>
          <cell r="J49">
            <v>5.9131939301511034</v>
          </cell>
          <cell r="K49">
            <v>5.7255596757261635</v>
          </cell>
          <cell r="M49">
            <v>9.7335386713322591E-2</v>
          </cell>
          <cell r="N49">
            <v>0</v>
          </cell>
          <cell r="P49">
            <v>1.2990437978736791</v>
          </cell>
          <cell r="Q49">
            <v>1.0194222653762499</v>
          </cell>
          <cell r="S49">
            <v>2.58</v>
          </cell>
          <cell r="T49">
            <v>2.4333039999999997</v>
          </cell>
          <cell r="U49">
            <v>2.6347160000000001</v>
          </cell>
          <cell r="V49">
            <v>2.888226</v>
          </cell>
          <cell r="X49">
            <v>54.756</v>
          </cell>
          <cell r="Y49">
            <v>28.330000000000002</v>
          </cell>
          <cell r="Z49">
            <v>1389.6000000000001</v>
          </cell>
          <cell r="AA49">
            <v>72</v>
          </cell>
          <cell r="AB49">
            <v>2868.8374800000001</v>
          </cell>
          <cell r="AD49">
            <v>463.79670000000004</v>
          </cell>
          <cell r="AE49">
            <v>485.15870000000001</v>
          </cell>
          <cell r="AF49">
            <v>501.05799999999999</v>
          </cell>
          <cell r="AJ49">
            <v>150.99030000000002</v>
          </cell>
          <cell r="AK49">
            <v>0</v>
          </cell>
        </row>
        <row r="50">
          <cell r="A50" t="str">
            <v>UHS</v>
          </cell>
          <cell r="C50">
            <v>55.65</v>
          </cell>
          <cell r="D50">
            <v>2732.0810999999999</v>
          </cell>
          <cell r="E50">
            <v>3643.3361</v>
          </cell>
          <cell r="G50">
            <v>11.126619732925137</v>
          </cell>
          <cell r="H50">
            <v>10.592063014114757</v>
          </cell>
          <cell r="J50">
            <v>5.2325334169772075</v>
          </cell>
          <cell r="K50">
            <v>5.0507091273407108</v>
          </cell>
          <cell r="M50">
            <v>7.5144182213331814E-2</v>
          </cell>
          <cell r="N50">
            <v>4.6484710867477547E-2</v>
          </cell>
          <cell r="P50">
            <v>1.7848026539903321</v>
          </cell>
          <cell r="Q50">
            <v>2.0987819430022876</v>
          </cell>
          <cell r="S50">
            <v>3.89</v>
          </cell>
          <cell r="T50">
            <v>4.7080169999999999</v>
          </cell>
          <cell r="U50">
            <v>5.001519</v>
          </cell>
          <cell r="V50">
            <v>5.2539340000000001</v>
          </cell>
          <cell r="X50">
            <v>49.094000000000001</v>
          </cell>
          <cell r="Y50">
            <v>55.65</v>
          </cell>
          <cell r="Z50">
            <v>921.87800000000004</v>
          </cell>
          <cell r="AA50">
            <v>10.623000000000001</v>
          </cell>
          <cell r="AB50">
            <v>3643.3361</v>
          </cell>
          <cell r="AD50">
            <v>675.28110000000004</v>
          </cell>
          <cell r="AE50">
            <v>696.28530000000001</v>
          </cell>
          <cell r="AF50">
            <v>721.35140000000001</v>
          </cell>
          <cell r="AJ50">
            <v>205.3</v>
          </cell>
          <cell r="AK50">
            <v>127</v>
          </cell>
        </row>
        <row r="51">
          <cell r="A51" t="str">
            <v>THC</v>
          </cell>
          <cell r="C51">
            <v>5.12</v>
          </cell>
          <cell r="D51">
            <v>2461.7774079999999</v>
          </cell>
          <cell r="E51">
            <v>6320.7774079999999</v>
          </cell>
          <cell r="G51">
            <v>36.92242900545255</v>
          </cell>
          <cell r="H51">
            <v>22.120175630738231</v>
          </cell>
          <cell r="J51">
            <v>6.4356014083273765</v>
          </cell>
          <cell r="K51">
            <v>6.1594551189788254</v>
          </cell>
          <cell r="M51">
            <v>1.1198888214023289E-2</v>
          </cell>
          <cell r="N51">
            <v>7.2508586446496465E-2</v>
          </cell>
          <cell r="P51">
            <v>0.43769122809713368</v>
          </cell>
          <cell r="Q51">
            <v>0.33055924496640965</v>
          </cell>
          <cell r="S51">
            <v>0.05</v>
          </cell>
          <cell r="T51">
            <v>7.5217599999999996E-2</v>
          </cell>
          <cell r="U51">
            <v>0.13866909999999999</v>
          </cell>
          <cell r="V51">
            <v>0.2314629</v>
          </cell>
          <cell r="X51">
            <v>480.8159</v>
          </cell>
          <cell r="Y51">
            <v>5.12</v>
          </cell>
          <cell r="Z51">
            <v>4626</v>
          </cell>
          <cell r="AA51">
            <v>767</v>
          </cell>
          <cell r="AB51">
            <v>6320.7774079999999</v>
          </cell>
          <cell r="AD51">
            <v>933.04930000000002</v>
          </cell>
          <cell r="AE51">
            <v>982.15800000000002</v>
          </cell>
          <cell r="AF51">
            <v>1026.191</v>
          </cell>
          <cell r="AJ51">
            <v>27.569170000000003</v>
          </cell>
          <cell r="AK51">
            <v>178.5</v>
          </cell>
        </row>
        <row r="52">
          <cell r="A52" t="str">
            <v>Average</v>
          </cell>
          <cell r="G52">
            <v>16.127371453006951</v>
          </cell>
          <cell r="H52">
            <v>12.48763094526857</v>
          </cell>
          <cell r="J52">
            <v>6.1117424198116534</v>
          </cell>
          <cell r="K52">
            <v>5.9011174846857308</v>
          </cell>
          <cell r="M52">
            <v>8.705729648732001E-2</v>
          </cell>
          <cell r="N52">
            <v>6.7157937543020546E-2</v>
          </cell>
          <cell r="P52">
            <v>1.0528106838210398</v>
          </cell>
          <cell r="Q52">
            <v>1.1108899434427406</v>
          </cell>
        </row>
        <row r="53">
          <cell r="A53" t="str">
            <v>Median</v>
          </cell>
          <cell r="G53">
            <v>11.126619732925137</v>
          </cell>
          <cell r="H53">
            <v>10.348981219143919</v>
          </cell>
          <cell r="J53">
            <v>6.2868566811155437</v>
          </cell>
          <cell r="K53">
            <v>6.0913558259124549</v>
          </cell>
          <cell r="M53">
            <v>9.7335386713322591E-2</v>
          </cell>
          <cell r="N53">
            <v>5.9496648656987006E-2</v>
          </cell>
          <cell r="P53">
            <v>0.88471177694996683</v>
          </cell>
          <cell r="Q53">
            <v>1.0194222653762499</v>
          </cell>
        </row>
        <row r="55">
          <cell r="A55" t="str">
            <v>COV</v>
          </cell>
          <cell r="C55">
            <v>42.12</v>
          </cell>
          <cell r="D55">
            <v>21146.131187999999</v>
          </cell>
          <cell r="E55">
            <v>22934.131187999999</v>
          </cell>
          <cell r="G55">
            <v>12.754746691699722</v>
          </cell>
          <cell r="H55">
            <v>11.496728263691056</v>
          </cell>
          <cell r="J55">
            <v>8.5969678704502002</v>
          </cell>
          <cell r="K55">
            <v>7.9726438399737463</v>
          </cell>
          <cell r="M55">
            <v>7.0499893656481183E-2</v>
          </cell>
          <cell r="N55">
            <v>0</v>
          </cell>
          <cell r="P55">
            <v>1.0978400487930966</v>
          </cell>
          <cell r="Q55">
            <v>1.0506583832668803</v>
          </cell>
          <cell r="S55">
            <v>2.7457389999999999</v>
          </cell>
          <cell r="T55">
            <v>2.9585719999999998</v>
          </cell>
          <cell r="U55">
            <v>3.3023000000000002</v>
          </cell>
          <cell r="V55">
            <v>3.6636509999999998</v>
          </cell>
          <cell r="X55">
            <v>502.04490000000004</v>
          </cell>
          <cell r="Y55">
            <v>42.12</v>
          </cell>
          <cell r="Z55">
            <v>3009</v>
          </cell>
          <cell r="AA55">
            <v>1221</v>
          </cell>
          <cell r="AB55">
            <v>22934.131187999999</v>
          </cell>
          <cell r="AD55">
            <v>2606.4749999999999</v>
          </cell>
          <cell r="AE55">
            <v>2667.7000000000003</v>
          </cell>
          <cell r="AF55">
            <v>2876.6030000000001</v>
          </cell>
          <cell r="AJ55">
            <v>1490.8000000000002</v>
          </cell>
          <cell r="AK55">
            <v>0</v>
          </cell>
        </row>
        <row r="57">
          <cell r="A57" t="str">
            <v>MCK</v>
          </cell>
          <cell r="G57">
            <v>12.502823407039605</v>
          </cell>
          <cell r="H57">
            <v>11.47302910238443</v>
          </cell>
          <cell r="J57">
            <v>5.8859493669399505</v>
          </cell>
          <cell r="K57">
            <v>5.4654683254423357</v>
          </cell>
          <cell r="M57">
            <v>9.6430413910356269E-2</v>
          </cell>
          <cell r="N57">
            <v>0.11775739470534269</v>
          </cell>
          <cell r="P57">
            <v>1.818811254368508</v>
          </cell>
          <cell r="Q57">
            <v>1.278220283304405</v>
          </cell>
          <cell r="S57">
            <v>3.8894169999999999</v>
          </cell>
          <cell r="T57">
            <v>4.3952049999999998</v>
          </cell>
          <cell r="U57">
            <v>4.6973389999999995</v>
          </cell>
          <cell r="V57">
            <v>5.1189619999999998</v>
          </cell>
          <cell r="X57">
            <v>268</v>
          </cell>
          <cell r="Y57">
            <v>58.730000000000004</v>
          </cell>
          <cell r="Z57">
            <v>2511</v>
          </cell>
          <cell r="AA57">
            <v>3215</v>
          </cell>
          <cell r="AB57">
            <v>15035.640000000001</v>
          </cell>
          <cell r="AD57">
            <v>2402.694</v>
          </cell>
          <cell r="AE57">
            <v>2554.4969999999998</v>
          </cell>
          <cell r="AF57">
            <v>2751.0250000000001</v>
          </cell>
          <cell r="AJ57">
            <v>1517.78</v>
          </cell>
          <cell r="AK57">
            <v>1853.4590000000001</v>
          </cell>
        </row>
        <row r="60">
          <cell r="A60" t="str">
            <v>RANGES</v>
          </cell>
        </row>
        <row r="62">
          <cell r="A62" t="str">
            <v>2011 P/E</v>
          </cell>
        </row>
        <row r="63">
          <cell r="A63" t="str">
            <v>Low</v>
          </cell>
        </row>
        <row r="64">
          <cell r="A64" t="str">
            <v>High</v>
          </cell>
        </row>
        <row r="66">
          <cell r="A66" t="str">
            <v>2011 EV/EBITDA</v>
          </cell>
        </row>
        <row r="67">
          <cell r="A67" t="str">
            <v>Low</v>
          </cell>
        </row>
        <row r="68">
          <cell r="A68" t="str">
            <v>High</v>
          </cell>
        </row>
        <row r="70">
          <cell r="A70" t="str">
            <v>FCF Yield</v>
          </cell>
        </row>
        <row r="71">
          <cell r="A71" t="str">
            <v xml:space="preserve">Low </v>
          </cell>
        </row>
        <row r="72">
          <cell r="A72" t="str">
            <v>High</v>
          </cell>
        </row>
        <row r="74">
          <cell r="A74" t="str">
            <v>DCF</v>
          </cell>
        </row>
        <row r="75">
          <cell r="A75" t="str">
            <v>Low</v>
          </cell>
        </row>
        <row r="76">
          <cell r="A76" t="str">
            <v>High</v>
          </cell>
        </row>
        <row r="78">
          <cell r="A78" t="str">
            <v>Residual Income</v>
          </cell>
        </row>
        <row r="79">
          <cell r="A79" t="str">
            <v>Low</v>
          </cell>
        </row>
        <row r="80">
          <cell r="A80" t="str">
            <v>High</v>
          </cell>
        </row>
      </sheetData>
      <sheetData sheetId="6"/>
      <sheetData sheetId="7"/>
      <sheetData sheetId="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mp;Acalcs"/>
      <sheetName val="#REF"/>
    </sheetNames>
    <sheetDataSet>
      <sheetData sheetId="0" refreshError="1">
        <row r="2">
          <cell r="D2">
            <v>2008</v>
          </cell>
          <cell r="E2">
            <v>2009</v>
          </cell>
          <cell r="F2">
            <v>2010</v>
          </cell>
          <cell r="G2">
            <v>2011</v>
          </cell>
          <cell r="H2">
            <v>2012</v>
          </cell>
        </row>
        <row r="3">
          <cell r="O3" t="str">
            <v>'08-'12</v>
          </cell>
        </row>
        <row r="4">
          <cell r="A4" t="str">
            <v>x</v>
          </cell>
          <cell r="B4" t="str">
            <v>Net income</v>
          </cell>
          <cell r="D4">
            <v>1329</v>
          </cell>
          <cell r="E4">
            <v>1403</v>
          </cell>
          <cell r="F4">
            <v>1588.3802256779072</v>
          </cell>
          <cell r="G4">
            <v>1781.0107797417249</v>
          </cell>
          <cell r="H4">
            <v>2042.3698208147043</v>
          </cell>
          <cell r="L4" t="str">
            <v>EPS Impact</v>
          </cell>
          <cell r="O4" t="str">
            <v>EPS CAGR w/</v>
          </cell>
          <cell r="P4" t="str">
            <v>2012 ROIC</v>
          </cell>
        </row>
        <row r="5">
          <cell r="B5" t="str">
            <v>Diluted shares</v>
          </cell>
          <cell r="D5">
            <v>504.5</v>
          </cell>
          <cell r="E5">
            <v>505.25</v>
          </cell>
          <cell r="F5">
            <v>505.625</v>
          </cell>
          <cell r="G5">
            <v>505.5</v>
          </cell>
          <cell r="H5">
            <v>502.5</v>
          </cell>
          <cell r="K5" t="str">
            <v>Deal size</v>
          </cell>
          <cell r="L5">
            <v>2010</v>
          </cell>
          <cell r="M5">
            <v>2011</v>
          </cell>
          <cell r="N5">
            <v>2012</v>
          </cell>
          <cell r="O5" t="str">
            <v>Acquisition</v>
          </cell>
          <cell r="P5" t="str">
            <v>Implications</v>
          </cell>
        </row>
        <row r="6">
          <cell r="B6" t="str">
            <v>EPS</v>
          </cell>
          <cell r="D6">
            <v>2.6342913776015857</v>
          </cell>
          <cell r="E6">
            <v>2.7768431469569519</v>
          </cell>
          <cell r="F6">
            <v>3.1414194821812753</v>
          </cell>
          <cell r="G6">
            <v>3.5232656374712659</v>
          </cell>
          <cell r="H6">
            <v>4.0644175538601077</v>
          </cell>
          <cell r="I6">
            <v>0.11450912089796494</v>
          </cell>
          <cell r="K6" t="str">
            <v>$3 billion</v>
          </cell>
          <cell r="L6">
            <v>-0.10867485686871481</v>
          </cell>
          <cell r="M6">
            <v>7.4726613669497954E-2</v>
          </cell>
          <cell r="N6">
            <v>0.2673850790822776</v>
          </cell>
          <cell r="O6">
            <v>0.151</v>
          </cell>
          <cell r="P6" t="str">
            <v>- 330 bps</v>
          </cell>
        </row>
        <row r="7">
          <cell r="B7" t="str">
            <v>True EPS</v>
          </cell>
          <cell r="D7">
            <v>2.6328445034712136</v>
          </cell>
          <cell r="E7">
            <v>3.1397692413279228</v>
          </cell>
          <cell r="F7">
            <v>3.5517677792599502</v>
          </cell>
          <cell r="G7">
            <v>3.9558950226562675</v>
          </cell>
          <cell r="H7">
            <v>4.3628859787806906</v>
          </cell>
          <cell r="K7" t="str">
            <v>$2 billion</v>
          </cell>
          <cell r="L7">
            <v>-7.2449904809567034E-2</v>
          </cell>
          <cell r="M7">
            <v>4.9817741925000991E-2</v>
          </cell>
          <cell r="N7">
            <v>0.17825671869181559</v>
          </cell>
          <cell r="O7">
            <v>0.14499999999999999</v>
          </cell>
          <cell r="P7" t="str">
            <v>- 240 bps</v>
          </cell>
        </row>
        <row r="8">
          <cell r="K8" t="str">
            <v>$1 billion</v>
          </cell>
          <cell r="L8">
            <v>-3.6224952516461961E-2</v>
          </cell>
          <cell r="M8">
            <v>2.4908870709831721E-2</v>
          </cell>
          <cell r="N8">
            <v>8.9128359008404878E-2</v>
          </cell>
          <cell r="O8">
            <v>0.13900000000000001</v>
          </cell>
          <cell r="P8" t="str">
            <v>- 130 bps</v>
          </cell>
        </row>
        <row r="9">
          <cell r="B9" t="str">
            <v>Δ EPS</v>
          </cell>
          <cell r="D9">
            <v>1.4468741303721444E-3</v>
          </cell>
          <cell r="E9">
            <v>-0.3629260943709709</v>
          </cell>
          <cell r="F9">
            <v>-0.41034829707867493</v>
          </cell>
          <cell r="G9">
            <v>-0.4326293851850016</v>
          </cell>
          <cell r="H9">
            <v>-0.2984684249205829</v>
          </cell>
        </row>
        <row r="10">
          <cell r="K10" t="str">
            <v>Notes</v>
          </cell>
        </row>
        <row r="11">
          <cell r="K11" t="str">
            <v>Assumptions include:</v>
          </cell>
        </row>
        <row r="12">
          <cell r="B12" t="str">
            <v>Assumptions</v>
          </cell>
          <cell r="K12" t="str">
            <v>1) 30% premium to market price</v>
          </cell>
        </row>
        <row r="13">
          <cell r="A13" t="str">
            <v>x</v>
          </cell>
          <cell r="B13" t="str">
            <v>Acquisition</v>
          </cell>
          <cell r="D13">
            <v>0</v>
          </cell>
          <cell r="E13">
            <v>-600</v>
          </cell>
          <cell r="F13">
            <v>0</v>
          </cell>
          <cell r="G13">
            <v>0</v>
          </cell>
          <cell r="H13">
            <v>0</v>
          </cell>
          <cell r="K13" t="str">
            <v>2) 3.5x price/sales</v>
          </cell>
        </row>
        <row r="14">
          <cell r="K14" t="str">
            <v>3) 15% NI margin ramping to 30% by 2012</v>
          </cell>
        </row>
        <row r="15">
          <cell r="B15" t="str">
            <v>High-ball premium</v>
          </cell>
          <cell r="D15">
            <v>0.4</v>
          </cell>
          <cell r="K15" t="str">
            <v>4) 10% sales growth rate</v>
          </cell>
        </row>
        <row r="16">
          <cell r="B16" t="str">
            <v>High price/sales</v>
          </cell>
          <cell r="D16">
            <v>4.5</v>
          </cell>
        </row>
        <row r="17">
          <cell r="B17" t="str">
            <v>Low NI margin</v>
          </cell>
          <cell r="D17">
            <v>0.2</v>
          </cell>
          <cell r="E17">
            <v>0.2</v>
          </cell>
          <cell r="F17">
            <v>0.2</v>
          </cell>
          <cell r="G17">
            <v>0.3</v>
          </cell>
          <cell r="H17">
            <v>0.4</v>
          </cell>
        </row>
        <row r="18">
          <cell r="O18" t="str">
            <v>'08-'12</v>
          </cell>
        </row>
        <row r="19">
          <cell r="B19" t="str">
            <v>Growth rate</v>
          </cell>
          <cell r="D19">
            <v>0.15</v>
          </cell>
          <cell r="E19">
            <v>0.15</v>
          </cell>
          <cell r="F19">
            <v>0.15</v>
          </cell>
          <cell r="G19">
            <v>0.15</v>
          </cell>
          <cell r="H19">
            <v>0.15</v>
          </cell>
          <cell r="L19" t="str">
            <v>EPS Impact</v>
          </cell>
          <cell r="O19" t="str">
            <v>EPS CAGR w/</v>
          </cell>
          <cell r="P19" t="str">
            <v>2012 ROIC</v>
          </cell>
        </row>
        <row r="20">
          <cell r="B20" t="str">
            <v>Interest rate on cash</v>
          </cell>
          <cell r="K20" t="str">
            <v>Deal size</v>
          </cell>
          <cell r="L20">
            <v>2010</v>
          </cell>
          <cell r="M20">
            <v>2011</v>
          </cell>
          <cell r="N20">
            <v>2012</v>
          </cell>
          <cell r="O20" t="str">
            <v>Acquisition</v>
          </cell>
          <cell r="P20" t="str">
            <v>Implications</v>
          </cell>
        </row>
        <row r="21">
          <cell r="B21" t="str">
            <v>Tax rate</v>
          </cell>
          <cell r="D21">
            <v>0.29283618562593206</v>
          </cell>
          <cell r="E21">
            <v>0.25884838880084521</v>
          </cell>
          <cell r="F21">
            <v>0.21195873009091332</v>
          </cell>
          <cell r="G21">
            <v>0.22200000000000006</v>
          </cell>
          <cell r="H21">
            <v>0.21799999999999994</v>
          </cell>
          <cell r="K21" t="str">
            <v>$500 million</v>
          </cell>
          <cell r="L21">
            <v>-1.9276210715227116E-2</v>
          </cell>
          <cell r="M21">
            <v>1.9030028510921504E-2</v>
          </cell>
          <cell r="N21">
            <v>4.9011373164352001E-2</v>
          </cell>
          <cell r="O21">
            <v>0.13600000000000001</v>
          </cell>
          <cell r="P21" t="str">
            <v>- 70 bps</v>
          </cell>
        </row>
        <row r="22">
          <cell r="B22" t="str">
            <v>Amortization discount</v>
          </cell>
          <cell r="D22">
            <v>0.3</v>
          </cell>
          <cell r="E22">
            <v>0.3</v>
          </cell>
          <cell r="F22">
            <v>0.3</v>
          </cell>
          <cell r="G22">
            <v>0.3</v>
          </cell>
          <cell r="H22">
            <v>0.3</v>
          </cell>
          <cell r="K22" t="str">
            <v>$300 million</v>
          </cell>
          <cell r="L22">
            <v>-1.1565726040420721E-2</v>
          </cell>
          <cell r="M22">
            <v>1.1418017983345408E-2</v>
          </cell>
          <cell r="N22">
            <v>2.9406825068802434E-2</v>
          </cell>
          <cell r="O22">
            <v>0.1343</v>
          </cell>
          <cell r="P22" t="str">
            <v>- 40 bps</v>
          </cell>
        </row>
        <row r="23">
          <cell r="B23" t="str">
            <v>Amortization years</v>
          </cell>
          <cell r="D23">
            <v>15</v>
          </cell>
          <cell r="E23">
            <v>15</v>
          </cell>
          <cell r="F23">
            <v>15</v>
          </cell>
          <cell r="G23">
            <v>15</v>
          </cell>
          <cell r="H23">
            <v>15</v>
          </cell>
          <cell r="K23" t="str">
            <v>$100 million</v>
          </cell>
          <cell r="L23">
            <v>-3.8552425373379329E-3</v>
          </cell>
          <cell r="M23">
            <v>3.806004811448549E-3</v>
          </cell>
          <cell r="N23">
            <v>9.802273443562548E-3</v>
          </cell>
          <cell r="O23">
            <v>0.13300000000000001</v>
          </cell>
          <cell r="P23" t="str">
            <v>- 15 bps</v>
          </cell>
        </row>
        <row r="24">
          <cell r="B24" t="str">
            <v>EBIT</v>
          </cell>
          <cell r="D24">
            <v>0.75</v>
          </cell>
          <cell r="E24">
            <v>0.75</v>
          </cell>
          <cell r="F24">
            <v>0.75</v>
          </cell>
          <cell r="G24">
            <v>0.75</v>
          </cell>
          <cell r="H24">
            <v>0.75</v>
          </cell>
        </row>
        <row r="25">
          <cell r="K25" t="str">
            <v>Notes</v>
          </cell>
        </row>
        <row r="26">
          <cell r="B26" t="str">
            <v>Results of Acquisition</v>
          </cell>
          <cell r="K26" t="str">
            <v>Assumptions include:</v>
          </cell>
        </row>
        <row r="27">
          <cell r="A27" t="str">
            <v>x</v>
          </cell>
          <cell r="B27" t="str">
            <v>MINIMUM RESULTS</v>
          </cell>
          <cell r="K27" t="str">
            <v>1) 40% premium to market price</v>
          </cell>
        </row>
        <row r="28">
          <cell r="B28" t="str">
            <v>Value w/o premium</v>
          </cell>
          <cell r="D28">
            <v>0</v>
          </cell>
          <cell r="E28">
            <v>428.57142857142861</v>
          </cell>
          <cell r="F28">
            <v>0</v>
          </cell>
          <cell r="G28">
            <v>0</v>
          </cell>
          <cell r="H28">
            <v>0</v>
          </cell>
          <cell r="K28" t="str">
            <v>2) 4.5x price/sales</v>
          </cell>
        </row>
        <row r="29">
          <cell r="B29" t="str">
            <v>Sales</v>
          </cell>
          <cell r="D29">
            <v>0</v>
          </cell>
          <cell r="E29">
            <v>95.238095238095241</v>
          </cell>
          <cell r="F29">
            <v>0</v>
          </cell>
          <cell r="G29">
            <v>0</v>
          </cell>
          <cell r="H29">
            <v>0</v>
          </cell>
          <cell r="K29" t="str">
            <v>3) 20% NI margin ramping to 40% by 2012</v>
          </cell>
        </row>
        <row r="30">
          <cell r="B30" t="str">
            <v>Sales growth</v>
          </cell>
          <cell r="D30">
            <v>0</v>
          </cell>
          <cell r="E30">
            <v>0</v>
          </cell>
          <cell r="F30">
            <v>109.52380952380952</v>
          </cell>
          <cell r="G30">
            <v>125.95238095238093</v>
          </cell>
          <cell r="H30">
            <v>144.84523809523807</v>
          </cell>
          <cell r="K30" t="str">
            <v>4) 15% sales growth rate</v>
          </cell>
        </row>
        <row r="31">
          <cell r="B31" t="str">
            <v>Total Sales</v>
          </cell>
          <cell r="D31">
            <v>0</v>
          </cell>
          <cell r="E31">
            <v>95.238095238095241</v>
          </cell>
          <cell r="F31">
            <v>109.52380952380952</v>
          </cell>
          <cell r="G31">
            <v>125.95238095238093</v>
          </cell>
          <cell r="H31">
            <v>144.84523809523807</v>
          </cell>
        </row>
        <row r="32">
          <cell r="B32" t="str">
            <v>Net income</v>
          </cell>
          <cell r="D32">
            <v>0</v>
          </cell>
          <cell r="E32">
            <v>19.047619047619047</v>
          </cell>
          <cell r="F32">
            <v>21.904761904761905</v>
          </cell>
          <cell r="G32">
            <v>37.785714285714278</v>
          </cell>
          <cell r="H32">
            <v>57.938095238095229</v>
          </cell>
        </row>
        <row r="33">
          <cell r="B33" t="str">
            <v>Loss in interest</v>
          </cell>
          <cell r="D33">
            <v>0</v>
          </cell>
          <cell r="E33">
            <v>0</v>
          </cell>
          <cell r="F33">
            <v>0</v>
          </cell>
          <cell r="G33">
            <v>0</v>
          </cell>
          <cell r="H33">
            <v>0</v>
          </cell>
        </row>
        <row r="34">
          <cell r="B34" t="str">
            <v>Amortization Expense</v>
          </cell>
          <cell r="D34">
            <v>0</v>
          </cell>
          <cell r="E34">
            <v>-12</v>
          </cell>
          <cell r="F34">
            <v>-12</v>
          </cell>
          <cell r="G34">
            <v>-12</v>
          </cell>
          <cell r="H34">
            <v>-12</v>
          </cell>
        </row>
        <row r="35">
          <cell r="B35" t="str">
            <v>Taxes</v>
          </cell>
          <cell r="D35">
            <v>0</v>
          </cell>
          <cell r="E35">
            <v>3.1061806656101423</v>
          </cell>
          <cell r="F35">
            <v>2.5435047610909596</v>
          </cell>
          <cell r="G35">
            <v>2.6640000000000006</v>
          </cell>
          <cell r="H35">
            <v>2.6159999999999992</v>
          </cell>
        </row>
        <row r="36">
          <cell r="B36" t="str">
            <v>Total Net income</v>
          </cell>
          <cell r="D36">
            <v>0</v>
          </cell>
          <cell r="E36">
            <v>10.153799713229191</v>
          </cell>
          <cell r="F36">
            <v>12.448266665852865</v>
          </cell>
          <cell r="G36">
            <v>28.449714285714279</v>
          </cell>
          <cell r="H36">
            <v>48.554095238095229</v>
          </cell>
        </row>
        <row r="38">
          <cell r="B38" t="str">
            <v>ANALYSIS</v>
          </cell>
        </row>
        <row r="39">
          <cell r="B39" t="str">
            <v>EBIT</v>
          </cell>
          <cell r="D39">
            <v>0</v>
          </cell>
          <cell r="E39">
            <v>126.98412698412699</v>
          </cell>
          <cell r="F39">
            <v>29.206349206349206</v>
          </cell>
          <cell r="G39">
            <v>50.380952380952372</v>
          </cell>
          <cell r="H39">
            <v>77.250793650793639</v>
          </cell>
        </row>
        <row r="40">
          <cell r="B40" t="str">
            <v>ROIC</v>
          </cell>
          <cell r="E40">
            <v>0</v>
          </cell>
          <cell r="F40">
            <v>0</v>
          </cell>
          <cell r="G40">
            <v>0</v>
          </cell>
          <cell r="H40">
            <v>0</v>
          </cell>
        </row>
        <row r="41">
          <cell r="B41" t="str">
            <v>True ROIC</v>
          </cell>
          <cell r="E41">
            <v>0.17502255439956466</v>
          </cell>
          <cell r="F41">
            <v>0.18862898877766771</v>
          </cell>
          <cell r="G41">
            <v>0.20370948647918324</v>
          </cell>
          <cell r="H41">
            <v>0.2193134469870652</v>
          </cell>
        </row>
        <row r="43">
          <cell r="B43" t="str">
            <v>ROIC CHANGE</v>
          </cell>
          <cell r="H43">
            <v>2193.1344698706521</v>
          </cell>
        </row>
        <row r="45">
          <cell r="A45" t="str">
            <v>x</v>
          </cell>
        </row>
        <row r="48">
          <cell r="A48" t="str">
            <v>x</v>
          </cell>
        </row>
      </sheetData>
      <sheetData sheetId="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row r="7">
          <cell r="A7" t="str">
            <v>2005A Geographic Mix</v>
          </cell>
        </row>
        <row r="9">
          <cell r="B9" t="str">
            <v>US</v>
          </cell>
          <cell r="C9">
            <v>0.4</v>
          </cell>
        </row>
        <row r="10">
          <cell r="B10" t="str">
            <v>Europe</v>
          </cell>
          <cell r="C10">
            <v>0.41</v>
          </cell>
        </row>
        <row r="11">
          <cell r="B11" t="str">
            <v>Japan</v>
          </cell>
          <cell r="C11">
            <v>0.05</v>
          </cell>
        </row>
        <row r="12">
          <cell r="B12" t="str">
            <v>Latin America</v>
          </cell>
          <cell r="C12">
            <v>0.04</v>
          </cell>
        </row>
        <row r="13">
          <cell r="B13" t="str">
            <v>Asia</v>
          </cell>
          <cell r="C13">
            <v>0.04</v>
          </cell>
        </row>
        <row r="14">
          <cell r="B14" t="str">
            <v>Other</v>
          </cell>
          <cell r="C14">
            <v>0.06</v>
          </cell>
        </row>
        <row r="31">
          <cell r="A31" t="str">
            <v>2005A Product Mix</v>
          </cell>
        </row>
        <row r="32">
          <cell r="B32" t="str">
            <v>Consumable</v>
          </cell>
          <cell r="C32">
            <v>0.36</v>
          </cell>
        </row>
        <row r="33">
          <cell r="B33" t="str">
            <v>Laboratory Products</v>
          </cell>
          <cell r="C33">
            <v>0.28000000000000003</v>
          </cell>
        </row>
        <row r="34">
          <cell r="B34" t="str">
            <v>Specialty Products</v>
          </cell>
          <cell r="C34">
            <v>0.34</v>
          </cell>
        </row>
        <row r="51">
          <cell r="A51" t="str">
            <v>Edentulous rate</v>
          </cell>
        </row>
        <row r="52">
          <cell r="C52" t="str">
            <v>1971 - 1974</v>
          </cell>
          <cell r="D52" t="str">
            <v>1988 - 1994</v>
          </cell>
        </row>
        <row r="53">
          <cell r="B53" t="str">
            <v>Total</v>
          </cell>
          <cell r="C53">
            <v>0.15</v>
          </cell>
          <cell r="D53">
            <v>0.08</v>
          </cell>
        </row>
        <row r="54">
          <cell r="B54" t="str">
            <v>18 - 24</v>
          </cell>
          <cell r="C54">
            <v>0.01</v>
          </cell>
          <cell r="D54">
            <v>0</v>
          </cell>
        </row>
        <row r="55">
          <cell r="B55" t="str">
            <v>25 - 34</v>
          </cell>
          <cell r="C55">
            <v>0.03</v>
          </cell>
          <cell r="D55">
            <v>0.01</v>
          </cell>
        </row>
        <row r="56">
          <cell r="B56" t="str">
            <v>35 - 44</v>
          </cell>
          <cell r="C56">
            <v>0.09</v>
          </cell>
          <cell r="D56">
            <v>0.03</v>
          </cell>
        </row>
        <row r="57">
          <cell r="B57" t="str">
            <v>45 - 54</v>
          </cell>
          <cell r="C57">
            <v>0.16</v>
          </cell>
          <cell r="D57">
            <v>0.09</v>
          </cell>
        </row>
        <row r="58">
          <cell r="B58" t="str">
            <v>55 - 64</v>
          </cell>
          <cell r="C58">
            <v>0.33</v>
          </cell>
          <cell r="D58">
            <v>0.2</v>
          </cell>
        </row>
        <row r="59">
          <cell r="B59" t="str">
            <v>65 - 74</v>
          </cell>
          <cell r="C59">
            <v>0.46</v>
          </cell>
          <cell r="D59">
            <v>0.28999999999999998</v>
          </cell>
        </row>
        <row r="79">
          <cell r="A79" t="str">
            <v>XRAY Market Growth Rate Projections</v>
          </cell>
        </row>
        <row r="81">
          <cell r="B81" t="str">
            <v>Total</v>
          </cell>
          <cell r="C81">
            <v>4.4999999999999998E-2</v>
          </cell>
        </row>
        <row r="82">
          <cell r="B82" t="str">
            <v>US</v>
          </cell>
          <cell r="C82">
            <v>5.5E-2</v>
          </cell>
        </row>
        <row r="83">
          <cell r="B83" t="str">
            <v>Europe</v>
          </cell>
          <cell r="C83">
            <v>0.04</v>
          </cell>
        </row>
        <row r="84">
          <cell r="B84" t="str">
            <v>Japan</v>
          </cell>
          <cell r="C84">
            <v>0</v>
          </cell>
        </row>
        <row r="85">
          <cell r="B85" t="str">
            <v>Latin America</v>
          </cell>
          <cell r="C85">
            <v>0.03</v>
          </cell>
        </row>
        <row r="86">
          <cell r="B86" t="str">
            <v>Asia</v>
          </cell>
          <cell r="C86">
            <v>0.1</v>
          </cell>
        </row>
        <row r="87">
          <cell r="B87" t="str">
            <v>Other</v>
          </cell>
          <cell r="C87">
            <v>0.06</v>
          </cell>
        </row>
        <row r="104">
          <cell r="A104" t="str">
            <v>XRAY Estimated Total Retail Market Size</v>
          </cell>
        </row>
        <row r="106">
          <cell r="B106" t="str">
            <v>US</v>
          </cell>
          <cell r="C106">
            <v>5000</v>
          </cell>
        </row>
        <row r="107">
          <cell r="B107" t="str">
            <v>Europe</v>
          </cell>
          <cell r="C107">
            <v>3800</v>
          </cell>
        </row>
        <row r="108">
          <cell r="B108" t="str">
            <v>Japan</v>
          </cell>
          <cell r="C108">
            <v>1700</v>
          </cell>
        </row>
        <row r="109">
          <cell r="B109" t="str">
            <v>Latin America</v>
          </cell>
          <cell r="C109">
            <v>800</v>
          </cell>
        </row>
        <row r="110">
          <cell r="B110" t="str">
            <v>Asia</v>
          </cell>
          <cell r="C110">
            <v>440</v>
          </cell>
        </row>
        <row r="111">
          <cell r="B111" t="str">
            <v>Other</v>
          </cell>
          <cell r="C111">
            <v>760</v>
          </cell>
        </row>
      </sheetData>
      <sheetData sheetId="1" refreshError="1"/>
      <sheetData sheetId="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Client Title Page "/>
      <sheetName val="Title Page"/>
      <sheetName val="__FDSCACHE__"/>
      <sheetName val="Drivers"/>
      <sheetName val="Valuations"/>
      <sheetName val="Lipitor NPV"/>
      <sheetName val="mwareTaxoPres"/>
      <sheetName val="mwareValPrintout"/>
      <sheetName val="Lipitor NPV-Mar 2010"/>
      <sheetName val="5 yr Sales and Earnings"/>
      <sheetName val="Qtr Income"/>
      <sheetName val="Qtr Margin"/>
      <sheetName val="Qtr Sales"/>
      <sheetName val="Gross Mgn Calc"/>
      <sheetName val="Alliance revenues"/>
      <sheetName val="Product History"/>
      <sheetName val="mwarePreview"/>
      <sheetName val="BalanceSheet"/>
      <sheetName val="Cashflow"/>
      <sheetName val="ROIC"/>
      <sheetName val="RI Valuation"/>
      <sheetName val="Dynamic Convergence"/>
      <sheetName val="Global Feed"/>
      <sheetName val="Summary"/>
      <sheetName val="Q-Preview"/>
      <sheetName val="PFE Qtr Incomesolo"/>
      <sheetName val="PFE Qtr Marginsolo"/>
      <sheetName val="PFE Qrt Salessolo"/>
      <sheetName val="PFE 2 Qtr Salessolo"/>
      <sheetName val="PHAPharmaSales"/>
      <sheetName val="Combined products"/>
      <sheetName val="PFE-PHA mergerold"/>
      <sheetName val="P&amp;L Charts"/>
      <sheetName val="setbacks"/>
      <sheetName val="mwareDates"/>
      <sheetName val="TO DO"/>
      <sheetName val="mwareSettings"/>
      <sheetName val="mStartup"/>
      <sheetName val="EPS Sensitivity"/>
      <sheetName val="PFE Qtr Income"/>
      <sheetName val="PFE Qtr Margin"/>
      <sheetName val="PFE Qtr Sales"/>
      <sheetName val="PFE Q-Preview"/>
      <sheetName val="Implied ROIC "/>
      <sheetName val="P&amp;L Charts (2)"/>
      <sheetName val="ADJ ROIC"/>
      <sheetName val="PFEwork"/>
      <sheetName val="xbrlPreview"/>
      <sheetName val="xbrldates"/>
      <sheetName val="xbrlSettings"/>
      <sheetName val="BS CHeck"/>
      <sheetName val="MWare_Cached"/>
      <sheetName val="Sheet1"/>
      <sheetName val=""/>
      <sheetName val="Torcetrapib"/>
      <sheetName val="Divestiture calculation"/>
      <sheetName val="Annu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5">
          <cell r="C5" t="str">
            <v>2001A</v>
          </cell>
        </row>
        <row r="6">
          <cell r="C6">
            <v>6449</v>
          </cell>
        </row>
        <row r="7">
          <cell r="C7">
            <v>3582</v>
          </cell>
        </row>
        <row r="8">
          <cell r="C8">
            <v>551</v>
          </cell>
        </row>
        <row r="9">
          <cell r="C9">
            <v>604</v>
          </cell>
        </row>
        <row r="10">
          <cell r="C10">
            <v>284</v>
          </cell>
        </row>
        <row r="11">
          <cell r="C11">
            <v>0</v>
          </cell>
        </row>
        <row r="12">
          <cell r="C12">
            <v>0</v>
          </cell>
        </row>
        <row r="13">
          <cell r="C13">
            <v>2367</v>
          </cell>
        </row>
        <row r="14">
          <cell r="C14">
            <v>1751</v>
          </cell>
        </row>
        <row r="15">
          <cell r="C15">
            <v>323</v>
          </cell>
        </row>
        <row r="16">
          <cell r="C16">
            <v>149</v>
          </cell>
        </row>
        <row r="17">
          <cell r="C17">
            <v>0</v>
          </cell>
        </row>
        <row r="18">
          <cell r="C18">
            <v>0</v>
          </cell>
        </row>
        <row r="19">
          <cell r="C19">
            <v>0</v>
          </cell>
        </row>
        <row r="20">
          <cell r="C20">
            <v>0</v>
          </cell>
        </row>
        <row r="21">
          <cell r="C21">
            <v>0</v>
          </cell>
        </row>
        <row r="22">
          <cell r="C22">
            <v>0</v>
          </cell>
        </row>
        <row r="23">
          <cell r="C23">
            <v>1507</v>
          </cell>
        </row>
        <row r="24">
          <cell r="C24">
            <v>1067</v>
          </cell>
        </row>
        <row r="25">
          <cell r="C25">
            <v>365</v>
          </cell>
        </row>
        <row r="26">
          <cell r="C26">
            <v>0</v>
          </cell>
        </row>
        <row r="27">
          <cell r="C27">
            <v>0</v>
          </cell>
        </row>
        <row r="28">
          <cell r="C28">
            <v>1518</v>
          </cell>
        </row>
        <row r="29">
          <cell r="C29">
            <v>0</v>
          </cell>
        </row>
        <row r="30">
          <cell r="C30">
            <v>0</v>
          </cell>
        </row>
        <row r="31">
          <cell r="C31">
            <v>0</v>
          </cell>
        </row>
        <row r="32">
          <cell r="C32">
            <v>261</v>
          </cell>
        </row>
        <row r="33">
          <cell r="C33">
            <v>0</v>
          </cell>
        </row>
        <row r="34">
          <cell r="C34">
            <v>989</v>
          </cell>
        </row>
        <row r="35">
          <cell r="C35">
            <v>323</v>
          </cell>
        </row>
        <row r="36">
          <cell r="C36">
            <v>3050</v>
          </cell>
        </row>
        <row r="37">
          <cell r="C37">
            <v>3050</v>
          </cell>
        </row>
        <row r="38">
          <cell r="C38">
            <v>3050</v>
          </cell>
        </row>
        <row r="45">
          <cell r="C45">
            <v>1378</v>
          </cell>
        </row>
        <row r="47">
          <cell r="C47">
            <v>1378</v>
          </cell>
        </row>
        <row r="48">
          <cell r="C48">
            <v>1201.5</v>
          </cell>
        </row>
        <row r="49">
          <cell r="C49">
            <v>24116</v>
          </cell>
        </row>
        <row r="50">
          <cell r="C50">
            <v>1201.5</v>
          </cell>
        </row>
        <row r="51">
          <cell r="C51">
            <v>2986</v>
          </cell>
        </row>
        <row r="52">
          <cell r="C52">
            <v>1880.25</v>
          </cell>
        </row>
        <row r="53">
          <cell r="C53">
            <v>5033.5</v>
          </cell>
        </row>
        <row r="54">
          <cell r="C54">
            <v>31803.75</v>
          </cell>
        </row>
        <row r="55">
          <cell r="C55">
            <v>5033.5</v>
          </cell>
        </row>
        <row r="56">
          <cell r="C56">
            <v>26770.25</v>
          </cell>
        </row>
        <row r="57">
          <cell r="C57">
            <v>11023</v>
          </cell>
        </row>
        <row r="58">
          <cell r="C58">
            <v>278</v>
          </cell>
        </row>
        <row r="59">
          <cell r="C59">
            <v>11178.25</v>
          </cell>
        </row>
        <row r="60">
          <cell r="C60">
            <v>278</v>
          </cell>
        </row>
        <row r="61">
          <cell r="C61">
            <v>11178.25</v>
          </cell>
        </row>
        <row r="62">
          <cell r="C62">
            <v>16</v>
          </cell>
        </row>
        <row r="63">
          <cell r="C63">
            <v>2850.8362414456324</v>
          </cell>
        </row>
        <row r="64">
          <cell r="C64">
            <v>16</v>
          </cell>
        </row>
        <row r="65">
          <cell r="C65">
            <v>8311.4137585543685</v>
          </cell>
        </row>
        <row r="66">
          <cell r="C66">
            <v>8311.4137585543685</v>
          </cell>
        </row>
        <row r="67">
          <cell r="C67">
            <v>8311.4137585543685</v>
          </cell>
        </row>
        <row r="68">
          <cell r="C68">
            <v>-523</v>
          </cell>
        </row>
        <row r="69">
          <cell r="C69">
            <v>8311.4137585543685</v>
          </cell>
        </row>
        <row r="70">
          <cell r="C70">
            <v>-523</v>
          </cell>
        </row>
        <row r="71">
          <cell r="C71">
            <v>-523</v>
          </cell>
        </row>
        <row r="72">
          <cell r="C72">
            <v>7788</v>
          </cell>
        </row>
        <row r="73">
          <cell r="C73">
            <v>0.24</v>
          </cell>
        </row>
        <row r="74">
          <cell r="C74">
            <v>1.3066206191722007</v>
          </cell>
        </row>
        <row r="75">
          <cell r="C75">
            <v>0.24</v>
          </cell>
        </row>
        <row r="76">
          <cell r="C76" t="str">
            <v>--</v>
          </cell>
        </row>
        <row r="77">
          <cell r="C77">
            <v>1.3066206191722007</v>
          </cell>
        </row>
        <row r="78">
          <cell r="C78">
            <v>1.3066206191722007</v>
          </cell>
        </row>
        <row r="79">
          <cell r="C79">
            <v>6361</v>
          </cell>
        </row>
        <row r="80">
          <cell r="C80">
            <v>6361</v>
          </cell>
        </row>
        <row r="81">
          <cell r="C81" t="str">
            <v>2001A</v>
          </cell>
        </row>
        <row r="82">
          <cell r="C82" t="str">
            <v>2001A</v>
          </cell>
        </row>
        <row r="83">
          <cell r="C83">
            <v>0.84173250009825884</v>
          </cell>
        </row>
        <row r="84">
          <cell r="C84">
            <v>0.84173250009825884</v>
          </cell>
        </row>
        <row r="85">
          <cell r="C85">
            <v>0.34273474040011004</v>
          </cell>
        </row>
        <row r="86">
          <cell r="C86">
            <v>0.35147584797390247</v>
          </cell>
        </row>
        <row r="87">
          <cell r="C87">
            <v>0.34273474040011004</v>
          </cell>
        </row>
        <row r="88">
          <cell r="C88">
            <v>0.35147584797390247</v>
          </cell>
        </row>
        <row r="89">
          <cell r="C89" t="str">
            <v>--</v>
          </cell>
        </row>
        <row r="90">
          <cell r="C90" t="str">
            <v>--</v>
          </cell>
        </row>
        <row r="91">
          <cell r="C91" t="str">
            <v>--</v>
          </cell>
        </row>
        <row r="92">
          <cell r="C92" t="str">
            <v>--</v>
          </cell>
        </row>
        <row r="93">
          <cell r="C93" t="str">
            <v>--</v>
          </cell>
        </row>
        <row r="94">
          <cell r="C94" t="str">
            <v>--</v>
          </cell>
        </row>
        <row r="95">
          <cell r="C95" t="str">
            <v>--</v>
          </cell>
        </row>
        <row r="96">
          <cell r="C96" t="str">
            <v>--</v>
          </cell>
        </row>
        <row r="97">
          <cell r="C97" t="str">
            <v>--</v>
          </cell>
        </row>
        <row r="98">
          <cell r="C98" t="str">
            <v>--</v>
          </cell>
        </row>
        <row r="99">
          <cell r="C99" t="str">
            <v>--</v>
          </cell>
        </row>
        <row r="100">
          <cell r="C100" t="str">
            <v>--</v>
          </cell>
        </row>
        <row r="101">
          <cell r="C101" t="str">
            <v>--</v>
          </cell>
        </row>
        <row r="102">
          <cell r="C102" t="str">
            <v>--</v>
          </cell>
        </row>
        <row r="103">
          <cell r="C103">
            <v>10</v>
          </cell>
        </row>
        <row r="104">
          <cell r="C104">
            <v>7</v>
          </cell>
        </row>
        <row r="105">
          <cell r="C105">
            <v>10</v>
          </cell>
        </row>
        <row r="106">
          <cell r="C106">
            <v>7</v>
          </cell>
        </row>
        <row r="107">
          <cell r="C107">
            <v>0.26741582351965498</v>
          </cell>
        </row>
        <row r="108">
          <cell r="C108">
            <v>0.41594791839442691</v>
          </cell>
        </row>
        <row r="109">
          <cell r="C109" t="e">
            <v>#REF!</v>
          </cell>
        </row>
        <row r="110">
          <cell r="C110" t="e">
            <v>#REF!</v>
          </cell>
        </row>
        <row r="111">
          <cell r="C111" t="e">
            <v>#REF!</v>
          </cell>
        </row>
        <row r="112">
          <cell r="C112" t="e">
            <v>#REF!</v>
          </cell>
        </row>
        <row r="113">
          <cell r="C113" t="e">
            <v>#REF!</v>
          </cell>
        </row>
        <row r="114">
          <cell r="C114" t="e">
            <v>#REF!</v>
          </cell>
        </row>
        <row r="115">
          <cell r="C115" t="e">
            <v>#REF!</v>
          </cell>
        </row>
        <row r="116">
          <cell r="C116" t="e">
            <v>#REF!</v>
          </cell>
        </row>
        <row r="117">
          <cell r="C117" t="e">
            <v>#REF!</v>
          </cell>
        </row>
        <row r="120">
          <cell r="C120" t="str">
            <v>2001A</v>
          </cell>
        </row>
        <row r="121">
          <cell r="C121" t="str">
            <v>2001A</v>
          </cell>
        </row>
        <row r="122">
          <cell r="C122">
            <v>0.15826749990174116</v>
          </cell>
        </row>
        <row r="123">
          <cell r="C123">
            <v>0.15826749990174116</v>
          </cell>
        </row>
        <row r="124">
          <cell r="C124">
            <v>0.15826749990174116</v>
          </cell>
        </row>
        <row r="125">
          <cell r="C125">
            <v>0.15826749990174116</v>
          </cell>
        </row>
        <row r="126">
          <cell r="C126">
            <v>0</v>
          </cell>
        </row>
        <row r="127">
          <cell r="C127">
            <v>0.34659434815076839</v>
          </cell>
        </row>
        <row r="128">
          <cell r="C128">
            <v>0.34659434815076839</v>
          </cell>
        </row>
        <row r="129">
          <cell r="C129">
            <v>0.15240341154738041</v>
          </cell>
        </row>
        <row r="130">
          <cell r="C130">
            <v>0.15240341154738041</v>
          </cell>
        </row>
        <row r="131">
          <cell r="C131">
            <v>0.15240341154738041</v>
          </cell>
        </row>
        <row r="132">
          <cell r="C132">
            <v>0.15240341154738041</v>
          </cell>
        </row>
        <row r="133">
          <cell r="C133">
            <v>6449</v>
          </cell>
        </row>
        <row r="134">
          <cell r="C134">
            <v>6449</v>
          </cell>
        </row>
        <row r="135">
          <cell r="C135">
            <v>3582</v>
          </cell>
        </row>
        <row r="136">
          <cell r="C136">
            <v>551</v>
          </cell>
        </row>
        <row r="137">
          <cell r="C137">
            <v>604</v>
          </cell>
        </row>
        <row r="138">
          <cell r="C138">
            <v>284</v>
          </cell>
        </row>
        <row r="139">
          <cell r="C139">
            <v>0</v>
          </cell>
        </row>
        <row r="140">
          <cell r="C140">
            <v>0</v>
          </cell>
        </row>
        <row r="141">
          <cell r="C141" t="str">
            <v>_2001</v>
          </cell>
        </row>
        <row r="142">
          <cell r="C142" t="str">
            <v>2001-fy</v>
          </cell>
        </row>
        <row r="143">
          <cell r="C143">
            <v>323</v>
          </cell>
        </row>
        <row r="144">
          <cell r="C144">
            <v>149</v>
          </cell>
        </row>
        <row r="145">
          <cell r="C145">
            <v>0</v>
          </cell>
        </row>
        <row r="146">
          <cell r="C146">
            <v>0</v>
          </cell>
        </row>
        <row r="147">
          <cell r="C147">
            <v>0</v>
          </cell>
        </row>
        <row r="148">
          <cell r="C148">
            <v>0</v>
          </cell>
        </row>
        <row r="149">
          <cell r="C149">
            <v>0</v>
          </cell>
        </row>
        <row r="150">
          <cell r="C150">
            <v>0</v>
          </cell>
        </row>
        <row r="151">
          <cell r="C151">
            <v>1507</v>
          </cell>
        </row>
        <row r="152">
          <cell r="C152">
            <v>1067</v>
          </cell>
        </row>
        <row r="153">
          <cell r="C153">
            <v>365</v>
          </cell>
        </row>
        <row r="154">
          <cell r="C154">
            <v>0</v>
          </cell>
        </row>
        <row r="155">
          <cell r="C155">
            <v>0</v>
          </cell>
        </row>
        <row r="156">
          <cell r="C156">
            <v>1518</v>
          </cell>
        </row>
        <row r="157">
          <cell r="C157">
            <v>0</v>
          </cell>
        </row>
        <row r="158">
          <cell r="C158">
            <v>2004</v>
          </cell>
        </row>
        <row r="159">
          <cell r="C159">
            <v>0</v>
          </cell>
        </row>
        <row r="160">
          <cell r="C160">
            <v>10862</v>
          </cell>
        </row>
        <row r="161">
          <cell r="C161">
            <v>50</v>
          </cell>
        </row>
        <row r="162">
          <cell r="C162">
            <v>5</v>
          </cell>
        </row>
        <row r="163">
          <cell r="C163">
            <v>323</v>
          </cell>
        </row>
        <row r="164">
          <cell r="C164">
            <v>2723</v>
          </cell>
        </row>
        <row r="165">
          <cell r="C165">
            <v>10</v>
          </cell>
        </row>
        <row r="166">
          <cell r="C166">
            <v>0</v>
          </cell>
        </row>
        <row r="167">
          <cell r="C167">
            <v>4588</v>
          </cell>
        </row>
        <row r="168">
          <cell r="C168">
            <v>0</v>
          </cell>
        </row>
        <row r="169">
          <cell r="C169">
            <v>0</v>
          </cell>
        </row>
        <row r="170">
          <cell r="C170">
            <v>721</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ci"/>
      <sheetName val="Inputs"/>
      <sheetName val="Scen 1"/>
      <sheetName val="Scen 2"/>
      <sheetName val="Scen 3"/>
      <sheetName val="Scen 4"/>
      <sheetName val="Scen 5"/>
      <sheetName val="__FDSCACHE__"/>
      <sheetName val="Target"/>
      <sheetName val="10-Year DCF"/>
      <sheetName val="5-Year DCF"/>
      <sheetName val="Acq Scen1"/>
      <sheetName val="Acq Scen 2"/>
      <sheetName val="Acq Scen 3"/>
      <sheetName val="Acq Scen 4"/>
      <sheetName val="Acq Scen 5"/>
      <sheetName val="Acquiror"/>
      <sheetName val="Val-Matrix"/>
      <sheetName val="Switches"/>
      <sheetName val="Sources &amp; Uses"/>
      <sheetName val="AdditionalPrintCode"/>
      <sheetName val="MainPrintCode"/>
      <sheetName val="Combined"/>
      <sheetName val="Combined  PF BS"/>
      <sheetName val="LBO Summary"/>
      <sheetName val="LBO Financials"/>
      <sheetName val="LBO PF BS"/>
      <sheetName val="Spinoff"/>
      <sheetName val="SPIN PFBS "/>
      <sheetName val="PF Comb Summary"/>
    </sheetNames>
    <sheetDataSet>
      <sheetData sheetId="0" refreshError="1"/>
      <sheetData sheetId="1" refreshError="1">
        <row r="9">
          <cell r="F9" t="str">
            <v>Scenario 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8">
          <cell r="AE8">
            <v>0.33300000000000002</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 Shares"/>
      <sheetName val="EPS to March"/>
      <sheetName val="__FDSCACHE__"/>
      <sheetName val="merger output"/>
      <sheetName val="MM on ownership"/>
      <sheetName val="SBS"/>
      <sheetName val="SBS (1)"/>
      <sheetName val="PP Analysis"/>
      <sheetName val="Ownership Analysis"/>
      <sheetName val="Spending"/>
    </sheetNames>
    <sheetDataSet>
      <sheetData sheetId="0" refreshError="1">
        <row r="2">
          <cell r="B2" t="str">
            <v>Balboa</v>
          </cell>
        </row>
        <row r="3">
          <cell r="B3" t="str">
            <v>Peary</v>
          </cell>
        </row>
      </sheetData>
      <sheetData sheetId="1"/>
      <sheetData sheetId="2"/>
      <sheetData sheetId="3"/>
      <sheetData sheetId="4"/>
      <sheetData sheetId="5"/>
      <sheetData sheetId="6"/>
      <sheetData sheetId="7"/>
      <sheetData sheetId="8"/>
      <sheetData sheetId="9"/>
      <sheetData sheetId="10"/>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amp; Cases"/>
      <sheetName val="Case Comparison"/>
      <sheetName val="Crossover"/>
      <sheetName val="Rev Mult"/>
      <sheetName val="MLNM Internal Model"/>
      <sheetName val="Aruba MSDW Model"/>
      <sheetName val="Pro Forma P&amp;L"/>
      <sheetName val="A DCF Adj"/>
      <sheetName val="Aruba Int Adj"/>
      <sheetName val="Change"/>
      <sheetName val="Premium Paid Matrix"/>
      <sheetName val="Trading Matrix"/>
      <sheetName val="Aruba DCF"/>
      <sheetName val="Antegren"/>
      <sheetName val="In-license"/>
      <sheetName val="__FDSCACHE__"/>
      <sheetName val="Contribution Analysis"/>
      <sheetName val="Inputs"/>
      <sheetName val="Side-by-Side Agg Value"/>
      <sheetName val="Selections"/>
      <sheetName val="AdditionalPrintCode"/>
      <sheetName val="MainPrintCode"/>
      <sheetName val="Calculations"/>
      <sheetName val="A Val Mat"/>
      <sheetName val="Exchange Analysis"/>
      <sheetName val="PEGrowth"/>
      <sheetName val="Aggregate Value"/>
      <sheetName val="Aggregate Value (fee)"/>
      <sheetName val="Summary Fin"/>
      <sheetName val="DE Analysis"/>
      <sheetName val="Output "/>
      <sheetName val="Bar Chart"/>
      <sheetName val="Accretion Dilution Matrix"/>
    </sheetNames>
    <sheetDataSet>
      <sheetData sheetId="0" refreshError="1">
        <row r="6">
          <cell r="F6" t="str">
            <v>Project Bermuda</v>
          </cell>
        </row>
        <row r="13">
          <cell r="F13">
            <v>0.3</v>
          </cell>
        </row>
        <row r="16">
          <cell r="F16">
            <v>20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6">
          <cell r="I6" t="str">
            <v>MLNM-INT</v>
          </cell>
          <cell r="J6" t="str">
            <v>MLNM</v>
          </cell>
          <cell r="K6" t="str">
            <v>BGEN</v>
          </cell>
        </row>
        <row r="7">
          <cell r="I7" t="str">
            <v>MILLENNIUM PHARMACTCLS INC</v>
          </cell>
          <cell r="J7" t="str">
            <v>MILLENNIUM PHARMACTCLS INC</v>
          </cell>
          <cell r="K7" t="str">
            <v>BIOGEN INC</v>
          </cell>
        </row>
        <row r="11">
          <cell r="I11">
            <v>62.40625</v>
          </cell>
          <cell r="J11">
            <v>62.40625</v>
          </cell>
          <cell r="K11">
            <v>70.875</v>
          </cell>
        </row>
        <row r="12">
          <cell r="I12">
            <v>158</v>
          </cell>
          <cell r="J12">
            <v>158</v>
          </cell>
          <cell r="K12">
            <v>129</v>
          </cell>
        </row>
        <row r="13">
          <cell r="I13">
            <v>28.375</v>
          </cell>
          <cell r="J13">
            <v>28.375</v>
          </cell>
          <cell r="K13">
            <v>48.5</v>
          </cell>
        </row>
        <row r="16">
          <cell r="I16">
            <v>95.828300488185121</v>
          </cell>
          <cell r="J16">
            <v>95.828300488185121</v>
          </cell>
          <cell r="K16">
            <v>147.97635700000001</v>
          </cell>
        </row>
        <row r="17">
          <cell r="I17">
            <v>107.01811834701336</v>
          </cell>
          <cell r="J17">
            <v>107.01811834701336</v>
          </cell>
          <cell r="K17">
            <v>159.76488066843032</v>
          </cell>
        </row>
        <row r="20">
          <cell r="I20">
            <v>5980.2848773408032</v>
          </cell>
          <cell r="J20">
            <v>5980.2848773408032</v>
          </cell>
          <cell r="K20">
            <v>10487.824302375</v>
          </cell>
        </row>
        <row r="21">
          <cell r="I21">
            <v>6678.5994480933023</v>
          </cell>
          <cell r="J21">
            <v>6678.5994480933023</v>
          </cell>
          <cell r="K21">
            <v>11323.335917375</v>
          </cell>
        </row>
        <row r="25">
          <cell r="I25">
            <v>183.679</v>
          </cell>
          <cell r="J25">
            <v>183.679</v>
          </cell>
          <cell r="K25">
            <v>794.43599999999992</v>
          </cell>
        </row>
        <row r="26">
          <cell r="I26">
            <v>215.7</v>
          </cell>
          <cell r="J26">
            <v>215.7</v>
          </cell>
          <cell r="K26">
            <v>948.04599999999994</v>
          </cell>
        </row>
        <row r="27">
          <cell r="I27">
            <v>239.82749268750001</v>
          </cell>
          <cell r="J27">
            <v>239.82749268750001</v>
          </cell>
          <cell r="K27">
            <v>1068.7070000000001</v>
          </cell>
        </row>
        <row r="28">
          <cell r="I28">
            <v>278.89494427083338</v>
          </cell>
          <cell r="J28">
            <v>278.89494427083338</v>
          </cell>
          <cell r="K28">
            <v>1166.3430000000001</v>
          </cell>
        </row>
        <row r="31">
          <cell r="I31">
            <v>159.87700000000001</v>
          </cell>
          <cell r="J31">
            <v>159.87700000000001</v>
          </cell>
          <cell r="K31">
            <v>221.15299999999999</v>
          </cell>
        </row>
        <row r="32">
          <cell r="I32">
            <v>259.11900000000003</v>
          </cell>
          <cell r="J32">
            <v>259.11900000000003</v>
          </cell>
          <cell r="K32">
            <v>300.44299999999998</v>
          </cell>
        </row>
        <row r="33">
          <cell r="I33">
            <v>289.32096000000001</v>
          </cell>
          <cell r="J33">
            <v>289.32096000000001</v>
          </cell>
          <cell r="K33">
            <v>316.96699999999998</v>
          </cell>
        </row>
        <row r="34">
          <cell r="I34">
            <v>329.92834192307691</v>
          </cell>
          <cell r="J34">
            <v>329.92834192307691</v>
          </cell>
          <cell r="K34">
            <v>326.476</v>
          </cell>
        </row>
        <row r="37">
          <cell r="I37">
            <v>32.896000000000001</v>
          </cell>
          <cell r="J37">
            <v>32.896000000000001</v>
          </cell>
          <cell r="K37">
            <v>146.02600000000001</v>
          </cell>
        </row>
        <row r="38">
          <cell r="I38">
            <v>43</v>
          </cell>
          <cell r="J38">
            <v>43</v>
          </cell>
          <cell r="K38">
            <v>170.39099999999999</v>
          </cell>
        </row>
        <row r="39">
          <cell r="I39">
            <v>43.398144000000002</v>
          </cell>
          <cell r="J39">
            <v>43.398144000000002</v>
          </cell>
          <cell r="K39">
            <v>177.20699999999999</v>
          </cell>
        </row>
        <row r="40">
          <cell r="I40">
            <v>51.716751288461538</v>
          </cell>
          <cell r="J40">
            <v>51.716751288461538</v>
          </cell>
          <cell r="K40">
            <v>193.333</v>
          </cell>
        </row>
        <row r="43">
          <cell r="I43">
            <v>-9.0940000000000225</v>
          </cell>
          <cell r="J43">
            <v>-9.0940000000000225</v>
          </cell>
          <cell r="K43">
            <v>300.96499999999997</v>
          </cell>
        </row>
        <row r="44">
          <cell r="I44">
            <v>-86.41900000000004</v>
          </cell>
          <cell r="J44">
            <v>-86.41900000000004</v>
          </cell>
          <cell r="K44">
            <v>347.71799999999996</v>
          </cell>
        </row>
        <row r="45">
          <cell r="I45">
            <v>-92.891611312500004</v>
          </cell>
          <cell r="J45">
            <v>-92.891611312500004</v>
          </cell>
          <cell r="K45">
            <v>424.49000000000012</v>
          </cell>
        </row>
        <row r="46">
          <cell r="I46">
            <v>-102.75014894070506</v>
          </cell>
          <cell r="J46">
            <v>-102.75014894070506</v>
          </cell>
          <cell r="K46">
            <v>482.20500000000004</v>
          </cell>
        </row>
        <row r="49">
          <cell r="I49">
            <v>-351.96000000000004</v>
          </cell>
          <cell r="J49">
            <v>-351.96000000000004</v>
          </cell>
          <cell r="K49">
            <v>220.45042749999996</v>
          </cell>
        </row>
        <row r="50">
          <cell r="I50">
            <v>-239.91900000000004</v>
          </cell>
          <cell r="J50">
            <v>-239.91900000000004</v>
          </cell>
          <cell r="K50">
            <v>300.65692000000001</v>
          </cell>
        </row>
        <row r="51">
          <cell r="I51">
            <v>-92.967179312500008</v>
          </cell>
          <cell r="J51">
            <v>-92.967179312500008</v>
          </cell>
          <cell r="K51">
            <v>344.62152000000003</v>
          </cell>
        </row>
        <row r="52">
          <cell r="I52">
            <v>-83.904591878178834</v>
          </cell>
          <cell r="J52">
            <v>-83.904591878178834</v>
          </cell>
          <cell r="K52">
            <v>410.89765500000004</v>
          </cell>
        </row>
        <row r="55">
          <cell r="I55">
            <v>72.706000000000003</v>
          </cell>
          <cell r="J55">
            <v>72.706000000000003</v>
          </cell>
          <cell r="K55">
            <v>157.78775000000002</v>
          </cell>
        </row>
        <row r="56">
          <cell r="I56">
            <v>99.919767919799511</v>
          </cell>
          <cell r="J56">
            <v>99.919767919799511</v>
          </cell>
          <cell r="K56">
            <v>157.41200000000001</v>
          </cell>
        </row>
        <row r="57">
          <cell r="I57">
            <v>104.62810125313284</v>
          </cell>
          <cell r="J57">
            <v>104.62810125313284</v>
          </cell>
          <cell r="K57">
            <v>159.547</v>
          </cell>
        </row>
        <row r="58">
          <cell r="I58">
            <v>107.38435125313283</v>
          </cell>
          <cell r="J58">
            <v>107.38435125313283</v>
          </cell>
          <cell r="K58">
            <v>160.821</v>
          </cell>
        </row>
        <row r="59">
          <cell r="I59" t="str">
            <v>MSDW</v>
          </cell>
          <cell r="J59" t="str">
            <v>MSDW</v>
          </cell>
          <cell r="K59" t="str">
            <v>MSDW</v>
          </cell>
        </row>
        <row r="60">
          <cell r="I60">
            <v>1.4999999999999999E-2</v>
          </cell>
          <cell r="J60">
            <v>1.4999999999999999E-2</v>
          </cell>
          <cell r="K60">
            <v>0</v>
          </cell>
        </row>
        <row r="62">
          <cell r="I62">
            <v>-4.8408659532913383</v>
          </cell>
          <cell r="J62">
            <v>-4.8408659532913383</v>
          </cell>
          <cell r="K62">
            <v>1.3971327146752517</v>
          </cell>
        </row>
        <row r="63">
          <cell r="I63">
            <v>-2.4011164656884585</v>
          </cell>
          <cell r="J63">
            <v>-2.4011164656884585</v>
          </cell>
          <cell r="K63">
            <v>1.9100000000000001</v>
          </cell>
        </row>
        <row r="64">
          <cell r="I64">
            <v>-0.88854885254563798</v>
          </cell>
          <cell r="J64">
            <v>-0.88854885254563798</v>
          </cell>
          <cell r="K64">
            <v>2.16</v>
          </cell>
        </row>
        <row r="65">
          <cell r="I65">
            <v>-0.78134840783638859</v>
          </cell>
          <cell r="J65">
            <v>-0.78134840783638859</v>
          </cell>
          <cell r="K65">
            <v>2.5550000000000002</v>
          </cell>
        </row>
        <row r="68">
          <cell r="I68">
            <v>-4.8408659532913383</v>
          </cell>
          <cell r="J68">
            <v>-4.8408659532913383</v>
          </cell>
          <cell r="K68">
            <v>1.3971327146752517</v>
          </cell>
        </row>
        <row r="69">
          <cell r="I69">
            <v>-2.4011164656884585</v>
          </cell>
          <cell r="J69">
            <v>-2.4011164656884585</v>
          </cell>
          <cell r="K69">
            <v>1.9100000000000001</v>
          </cell>
        </row>
        <row r="70">
          <cell r="I70">
            <v>-0.88854885254563798</v>
          </cell>
          <cell r="J70">
            <v>-0.88854885254563798</v>
          </cell>
          <cell r="K70">
            <v>2.16</v>
          </cell>
        </row>
        <row r="71">
          <cell r="I71">
            <v>-0.78134840783638859</v>
          </cell>
          <cell r="J71">
            <v>-0.78134840783638859</v>
          </cell>
          <cell r="K71">
            <v>2.5550000000000002</v>
          </cell>
        </row>
        <row r="72">
          <cell r="I72" t="str">
            <v>MLNM Internal</v>
          </cell>
          <cell r="J72" t="str">
            <v>MLNM Internal</v>
          </cell>
          <cell r="K72" t="str">
            <v>IBES</v>
          </cell>
        </row>
        <row r="74">
          <cell r="I74">
            <v>12</v>
          </cell>
          <cell r="J74">
            <v>12</v>
          </cell>
          <cell r="K74">
            <v>12</v>
          </cell>
        </row>
        <row r="75">
          <cell r="I75" t="e">
            <v>#N/A</v>
          </cell>
          <cell r="J75">
            <v>27</v>
          </cell>
          <cell r="K75">
            <v>21</v>
          </cell>
        </row>
        <row r="78">
          <cell r="I78">
            <v>794.75</v>
          </cell>
          <cell r="J78">
            <v>794.75</v>
          </cell>
          <cell r="K78">
            <v>698.60900000000004</v>
          </cell>
        </row>
        <row r="80">
          <cell r="I80">
            <v>440.58</v>
          </cell>
          <cell r="J80">
            <v>440.58</v>
          </cell>
          <cell r="K80">
            <v>54.518000000000001</v>
          </cell>
        </row>
        <row r="82">
          <cell r="I82">
            <v>430.49099999999999</v>
          </cell>
          <cell r="J82">
            <v>430.49099999999999</v>
          </cell>
          <cell r="K82">
            <v>1003.193</v>
          </cell>
        </row>
        <row r="85">
          <cell r="I85">
            <v>1.659694</v>
          </cell>
          <cell r="J85">
            <v>1.659694</v>
          </cell>
          <cell r="K85">
            <v>3.8090000000000002</v>
          </cell>
        </row>
        <row r="86">
          <cell r="I86">
            <v>2.4550000000000001</v>
          </cell>
          <cell r="J86">
            <v>2.4550000000000001</v>
          </cell>
          <cell r="K86">
            <v>7.77</v>
          </cell>
        </row>
        <row r="87">
          <cell r="I87">
            <v>1.5944032836054081</v>
          </cell>
          <cell r="J87">
            <v>1.5944032836054081</v>
          </cell>
          <cell r="K87">
            <v>3.3914207407407408</v>
          </cell>
        </row>
        <row r="88">
          <cell r="I88">
            <v>2.0568819999999999</v>
          </cell>
          <cell r="J88">
            <v>2.0568819999999999</v>
          </cell>
          <cell r="K88">
            <v>8.1630000000000003</v>
          </cell>
        </row>
        <row r="89">
          <cell r="I89">
            <v>7.77</v>
          </cell>
          <cell r="J89">
            <v>7.77</v>
          </cell>
          <cell r="K89">
            <v>15.51</v>
          </cell>
        </row>
        <row r="90">
          <cell r="I90">
            <v>1.8007862861892838</v>
          </cell>
          <cell r="J90">
            <v>1.8007862861892838</v>
          </cell>
          <cell r="K90">
            <v>6.3766419047619047</v>
          </cell>
        </row>
        <row r="91">
          <cell r="I91">
            <v>1.4407920000000001</v>
          </cell>
          <cell r="J91">
            <v>1.4407920000000001</v>
          </cell>
          <cell r="K91">
            <v>0.97599999999999998</v>
          </cell>
        </row>
        <row r="92">
          <cell r="I92">
            <v>8.6150000000000002</v>
          </cell>
          <cell r="J92">
            <v>8.6150000000000002</v>
          </cell>
          <cell r="K92">
            <v>22.93</v>
          </cell>
        </row>
        <row r="93">
          <cell r="I93">
            <v>1.2418948850475715</v>
          </cell>
          <cell r="J93">
            <v>1.2418948850475715</v>
          </cell>
          <cell r="K93">
            <v>0.66023731922398587</v>
          </cell>
        </row>
        <row r="94">
          <cell r="I94">
            <v>1.9704459999999999</v>
          </cell>
          <cell r="J94">
            <v>1.9704459999999999</v>
          </cell>
          <cell r="K94">
            <v>0.28100000000000003</v>
          </cell>
        </row>
        <row r="95">
          <cell r="I95">
            <v>9.52</v>
          </cell>
          <cell r="J95">
            <v>9.52</v>
          </cell>
          <cell r="K95">
            <v>33.85</v>
          </cell>
        </row>
        <row r="96">
          <cell r="I96">
            <v>1.6698567814521783</v>
          </cell>
          <cell r="J96">
            <v>1.6698567814521783</v>
          </cell>
          <cell r="K96">
            <v>0.14679400352733687</v>
          </cell>
        </row>
        <row r="97">
          <cell r="I97">
            <v>1.581242</v>
          </cell>
          <cell r="J97">
            <v>1.581242</v>
          </cell>
          <cell r="K97">
            <v>2.7029999999999998</v>
          </cell>
        </row>
        <row r="98">
          <cell r="I98">
            <v>10.785</v>
          </cell>
          <cell r="J98">
            <v>10.785</v>
          </cell>
          <cell r="K98">
            <v>41.25</v>
          </cell>
        </row>
        <row r="99">
          <cell r="I99">
            <v>1.3079729769454183</v>
          </cell>
          <cell r="J99">
            <v>1.3079729769454183</v>
          </cell>
          <cell r="K99">
            <v>1.1298253968253968</v>
          </cell>
        </row>
        <row r="100">
          <cell r="I100">
            <v>0.78243600000000002</v>
          </cell>
          <cell r="J100">
            <v>0.78243600000000002</v>
          </cell>
          <cell r="K100">
            <v>0.35199999999999998</v>
          </cell>
        </row>
        <row r="101">
          <cell r="I101">
            <v>14.85</v>
          </cell>
          <cell r="J101">
            <v>14.85</v>
          </cell>
          <cell r="K101">
            <v>54.27</v>
          </cell>
        </row>
        <row r="102">
          <cell r="I102">
            <v>0.5962499272909364</v>
          </cell>
          <cell r="J102">
            <v>0.5962499272909364</v>
          </cell>
          <cell r="K102">
            <v>8.2468571428571391E-2</v>
          </cell>
        </row>
        <row r="103">
          <cell r="I103">
            <v>1.4737579999999999</v>
          </cell>
          <cell r="J103">
            <v>1.4737579999999999</v>
          </cell>
          <cell r="K103">
            <v>1.7000000000000001E-2</v>
          </cell>
        </row>
        <row r="104">
          <cell r="I104">
            <v>16.25</v>
          </cell>
          <cell r="J104">
            <v>16.25</v>
          </cell>
          <cell r="K104">
            <v>66.14</v>
          </cell>
        </row>
        <row r="105">
          <cell r="I105">
            <v>1.0900052909364044</v>
          </cell>
          <cell r="J105">
            <v>1.0900052909364044</v>
          </cell>
          <cell r="K105">
            <v>1.135731922398589E-3</v>
          </cell>
        </row>
        <row r="106">
          <cell r="I106">
            <v>1.4543839999999999</v>
          </cell>
          <cell r="J106">
            <v>1.4543839999999999</v>
          </cell>
          <cell r="K106">
            <v>1.4850000000000001</v>
          </cell>
        </row>
        <row r="107">
          <cell r="I107">
            <v>23.08</v>
          </cell>
          <cell r="J107">
            <v>23.08</v>
          </cell>
          <cell r="K107">
            <v>72.27</v>
          </cell>
        </row>
        <row r="108">
          <cell r="I108">
            <v>0.91650225386079109</v>
          </cell>
          <cell r="J108">
            <v>0.91650225386079109</v>
          </cell>
          <cell r="K108">
            <v>0</v>
          </cell>
        </row>
        <row r="109">
          <cell r="I109">
            <v>1.1245540000000001</v>
          </cell>
          <cell r="J109">
            <v>1.1245540000000001</v>
          </cell>
          <cell r="K109">
            <v>0.152</v>
          </cell>
        </row>
        <row r="110">
          <cell r="I110">
            <v>43.215000000000003</v>
          </cell>
          <cell r="J110">
            <v>43.215000000000003</v>
          </cell>
          <cell r="K110">
            <v>85.37</v>
          </cell>
        </row>
        <row r="111">
          <cell r="I111">
            <v>0.34582428767150719</v>
          </cell>
          <cell r="J111">
            <v>0.34582428767150719</v>
          </cell>
          <cell r="K111">
            <v>0</v>
          </cell>
        </row>
        <row r="112">
          <cell r="I112">
            <v>0.19012999999999999</v>
          </cell>
          <cell r="J112">
            <v>0.19012999999999999</v>
          </cell>
          <cell r="K112">
            <v>0</v>
          </cell>
        </row>
        <row r="113">
          <cell r="I113">
            <v>61</v>
          </cell>
          <cell r="J113">
            <v>61</v>
          </cell>
          <cell r="K113">
            <v>0</v>
          </cell>
        </row>
        <row r="114">
          <cell r="I114">
            <v>4.2843515272909249E-3</v>
          </cell>
          <cell r="J114">
            <v>4.2843515272909249E-3</v>
          </cell>
          <cell r="K114">
            <v>0</v>
          </cell>
        </row>
        <row r="117">
          <cell r="I117">
            <v>0.70309999999999995</v>
          </cell>
          <cell r="J117">
            <v>0.70309999999999995</v>
          </cell>
          <cell r="K117">
            <v>0</v>
          </cell>
        </row>
        <row r="118">
          <cell r="I118">
            <v>7.1950000000000003</v>
          </cell>
          <cell r="J118">
            <v>7.1950000000000003</v>
          </cell>
          <cell r="K118">
            <v>0</v>
          </cell>
        </row>
        <row r="119">
          <cell r="I119">
            <v>0.62203753430145214</v>
          </cell>
          <cell r="J119">
            <v>0.62203753430145214</v>
          </cell>
          <cell r="K119">
            <v>0</v>
          </cell>
        </row>
        <row r="120">
          <cell r="I120">
            <v>0</v>
          </cell>
          <cell r="J120">
            <v>0</v>
          </cell>
          <cell r="K120">
            <v>0</v>
          </cell>
        </row>
        <row r="121">
          <cell r="I121">
            <v>0</v>
          </cell>
          <cell r="J121">
            <v>0</v>
          </cell>
          <cell r="K121">
            <v>0</v>
          </cell>
        </row>
        <row r="122">
          <cell r="I122">
            <v>0</v>
          </cell>
          <cell r="J122">
            <v>0</v>
          </cell>
          <cell r="K122">
            <v>0</v>
          </cell>
        </row>
        <row r="123">
          <cell r="I123">
            <v>0</v>
          </cell>
          <cell r="J123">
            <v>0</v>
          </cell>
          <cell r="K123">
            <v>0</v>
          </cell>
        </row>
        <row r="124">
          <cell r="I124">
            <v>0</v>
          </cell>
          <cell r="J124">
            <v>0</v>
          </cell>
          <cell r="K124">
            <v>0</v>
          </cell>
        </row>
        <row r="125">
          <cell r="I125">
            <v>0</v>
          </cell>
          <cell r="J125">
            <v>0</v>
          </cell>
          <cell r="K125">
            <v>0</v>
          </cell>
        </row>
        <row r="126">
          <cell r="I126">
            <v>0</v>
          </cell>
          <cell r="J126">
            <v>0</v>
          </cell>
          <cell r="K126">
            <v>0</v>
          </cell>
        </row>
        <row r="127">
          <cell r="I127">
            <v>0</v>
          </cell>
          <cell r="J127">
            <v>0</v>
          </cell>
          <cell r="K127">
            <v>0</v>
          </cell>
        </row>
        <row r="128">
          <cell r="I128">
            <v>0</v>
          </cell>
          <cell r="J128">
            <v>0</v>
          </cell>
          <cell r="K128">
            <v>0</v>
          </cell>
        </row>
        <row r="131">
          <cell r="I131">
            <v>400</v>
          </cell>
          <cell r="J131">
            <v>400</v>
          </cell>
          <cell r="K131">
            <v>0</v>
          </cell>
        </row>
        <row r="132">
          <cell r="I132">
            <v>84.14</v>
          </cell>
          <cell r="J132">
            <v>84.14</v>
          </cell>
          <cell r="K132">
            <v>0</v>
          </cell>
        </row>
        <row r="133">
          <cell r="I133">
            <v>0</v>
          </cell>
          <cell r="J133">
            <v>0</v>
          </cell>
          <cell r="K133">
            <v>0</v>
          </cell>
        </row>
        <row r="134">
          <cell r="I134">
            <v>0</v>
          </cell>
          <cell r="J134">
            <v>0</v>
          </cell>
          <cell r="K134">
            <v>0</v>
          </cell>
        </row>
        <row r="135">
          <cell r="I135">
            <v>0</v>
          </cell>
          <cell r="J135">
            <v>0</v>
          </cell>
          <cell r="K135">
            <v>0</v>
          </cell>
        </row>
        <row r="136">
          <cell r="I136">
            <v>0</v>
          </cell>
          <cell r="J136">
            <v>0</v>
          </cell>
          <cell r="K136">
            <v>0</v>
          </cell>
        </row>
        <row r="137">
          <cell r="I137">
            <v>0</v>
          </cell>
          <cell r="J137">
            <v>0</v>
          </cell>
          <cell r="K137">
            <v>0</v>
          </cell>
        </row>
        <row r="138">
          <cell r="I138">
            <v>0</v>
          </cell>
          <cell r="J138">
            <v>0</v>
          </cell>
          <cell r="K138">
            <v>0</v>
          </cell>
        </row>
        <row r="139">
          <cell r="I139">
            <v>0</v>
          </cell>
          <cell r="J139">
            <v>0</v>
          </cell>
          <cell r="K139">
            <v>0</v>
          </cell>
        </row>
        <row r="142">
          <cell r="I142">
            <v>0</v>
          </cell>
          <cell r="J142">
            <v>0</v>
          </cell>
          <cell r="K142">
            <v>0</v>
          </cell>
        </row>
        <row r="143">
          <cell r="I143">
            <v>0</v>
          </cell>
          <cell r="J143">
            <v>0</v>
          </cell>
          <cell r="K143">
            <v>0</v>
          </cell>
        </row>
        <row r="144">
          <cell r="I144">
            <v>0</v>
          </cell>
          <cell r="J144">
            <v>0</v>
          </cell>
          <cell r="K144">
            <v>0</v>
          </cell>
        </row>
        <row r="145">
          <cell r="I145">
            <v>0</v>
          </cell>
          <cell r="J145">
            <v>0</v>
          </cell>
          <cell r="K145">
            <v>0</v>
          </cell>
        </row>
        <row r="146">
          <cell r="I146">
            <v>0</v>
          </cell>
          <cell r="J146">
            <v>0</v>
          </cell>
          <cell r="K146">
            <v>0</v>
          </cell>
        </row>
        <row r="147">
          <cell r="I147">
            <v>0</v>
          </cell>
          <cell r="J147">
            <v>0</v>
          </cell>
          <cell r="K147">
            <v>0</v>
          </cell>
        </row>
        <row r="148">
          <cell r="I148">
            <v>0</v>
          </cell>
          <cell r="J148">
            <v>0</v>
          </cell>
          <cell r="K148">
            <v>0</v>
          </cell>
        </row>
        <row r="149">
          <cell r="I149">
            <v>0</v>
          </cell>
          <cell r="J149">
            <v>0</v>
          </cell>
          <cell r="K149">
            <v>0</v>
          </cell>
        </row>
        <row r="150">
          <cell r="I150">
            <v>0</v>
          </cell>
          <cell r="J150">
            <v>0</v>
          </cell>
          <cell r="K150">
            <v>0</v>
          </cell>
        </row>
        <row r="151">
          <cell r="I151">
            <v>0</v>
          </cell>
          <cell r="J151">
            <v>0</v>
          </cell>
          <cell r="K151">
            <v>0</v>
          </cell>
        </row>
        <row r="152">
          <cell r="I152">
            <v>0</v>
          </cell>
          <cell r="J152">
            <v>0</v>
          </cell>
          <cell r="K152">
            <v>0</v>
          </cell>
        </row>
        <row r="153">
          <cell r="I153">
            <v>0</v>
          </cell>
          <cell r="J153">
            <v>0</v>
          </cell>
          <cell r="K153">
            <v>0</v>
          </cell>
        </row>
      </sheetData>
      <sheetData sheetId="18" refreshError="1"/>
      <sheetData sheetId="19" refreshError="1">
        <row r="11">
          <cell r="J11">
            <v>70.875</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qua SA  ---&gt;"/>
      <sheetName val="Aqua Assump."/>
      <sheetName val="Aqua Financials"/>
      <sheetName val="Aqua Downside"/>
      <sheetName val="Downside Change"/>
      <sheetName val="Apple Impact"/>
      <sheetName val="Fox -----&gt;"/>
      <sheetName val="Fox Assump."/>
      <sheetName val="Fox IS"/>
      <sheetName val="Fox Financials"/>
      <sheetName val="Fox PF Adj."/>
      <sheetName val="Fox Credit"/>
      <sheetName val="Fox Summary"/>
      <sheetName val="Fox Valuation Matrix"/>
      <sheetName val="Gray ----&gt;"/>
      <sheetName val="Gray Assump."/>
      <sheetName val="Gray Financials"/>
      <sheetName val="Gray Summary"/>
      <sheetName val="Gray Valuation Matrix"/>
      <sheetName val="Gray Synergies"/>
      <sheetName val="__FDSCACHE__"/>
      <sheetName val="Gray PF Adj."/>
      <sheetName val="Accdil Backup"/>
      <sheetName val="Acc.Dil aquagray"/>
      <sheetName val="Kitchen -----&gt;"/>
      <sheetName val="Kitchen Assump."/>
      <sheetName val="Kitchen Financials"/>
      <sheetName val="Kitchen PF Adj."/>
      <sheetName val="Kitchen Credit"/>
      <sheetName val="Kitchen Summary"/>
      <sheetName val="Kitchen Valuation Matrix"/>
      <sheetName val="ProForma -----&gt;"/>
      <sheetName val="Financials Feeder"/>
      <sheetName val="ProForma Financials"/>
      <sheetName val="Pro Forma BS"/>
      <sheetName val="PF Shares"/>
      <sheetName val="ROIC"/>
      <sheetName val="Gray ROIC"/>
      <sheetName val="Output Pgs -----&gt;"/>
      <sheetName val="PrintManagerCode"/>
      <sheetName val="Master"/>
      <sheetName val="Key Metrics"/>
      <sheetName val="Intl Cash"/>
      <sheetName val="Impact of Seq."/>
      <sheetName val="Value Overview"/>
      <sheetName val="Trading Value Overview"/>
      <sheetName val="JNJ"/>
      <sheetName val="Future Value"/>
      <sheetName val="ROIC Output"/>
      <sheetName val="Sequencing Cash"/>
      <sheetName val="Acc.Dil Cash"/>
      <sheetName val="Sequencing Stock"/>
      <sheetName val="Acc.Dil Cash Stock"/>
      <sheetName val="Value Acc"/>
      <sheetName val="ProForma Val Matrix"/>
      <sheetName val="ProForma Credit"/>
      <sheetName val="Acc.Dil2"/>
      <sheetName val="Acc.Dil stock"/>
      <sheetName val="Business Mix"/>
      <sheetName val="Trans Sum"/>
      <sheetName val="Gray stats"/>
      <sheetName val="Spin_split"/>
      <sheetName val="Rank"/>
      <sheetName val="DCF Inputs"/>
      <sheetName val="DCF"/>
      <sheetName val="Fox CS &amp; BS Breakout"/>
      <sheetName val="BS BY MONTH"/>
      <sheetName val="C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row r="13">
          <cell r="M13">
            <v>0</v>
          </cell>
        </row>
      </sheetData>
      <sheetData sheetId="33" refreshError="1">
        <row r="67">
          <cell r="A67" t="str">
            <v>Cash Flow Statement</v>
          </cell>
        </row>
        <row r="70">
          <cell r="B70" t="str">
            <v>($MM)</v>
          </cell>
          <cell r="D70">
            <v>2002</v>
          </cell>
          <cell r="E70">
            <v>2003</v>
          </cell>
          <cell r="F70">
            <v>2004</v>
          </cell>
          <cell r="G70">
            <v>2005</v>
          </cell>
          <cell r="H70">
            <v>2006</v>
          </cell>
          <cell r="I70">
            <v>2007</v>
          </cell>
        </row>
        <row r="72">
          <cell r="B72" t="str">
            <v>Net Income</v>
          </cell>
          <cell r="D72">
            <v>3243.309999999999</v>
          </cell>
          <cell r="E72">
            <v>3458.6645429455129</v>
          </cell>
          <cell r="F72">
            <v>3807.3755725314959</v>
          </cell>
          <cell r="G72">
            <v>4146.7979673206301</v>
          </cell>
          <cell r="H72">
            <v>4566.7412434807011</v>
          </cell>
          <cell r="I72">
            <v>5159.8319834303038</v>
          </cell>
        </row>
        <row r="73">
          <cell r="B73" t="str">
            <v>% Growth</v>
          </cell>
          <cell r="E73">
            <v>6.639961734940969E-2</v>
          </cell>
          <cell r="F73">
            <v>0.10082244902797344</v>
          </cell>
          <cell r="G73">
            <v>8.9148650644794269E-2</v>
          </cell>
          <cell r="H73">
            <v>0.10126928764542842</v>
          </cell>
          <cell r="I73">
            <v>0.12987176376508636</v>
          </cell>
        </row>
        <row r="74">
          <cell r="B74" t="str">
            <v>Depreciation</v>
          </cell>
          <cell r="D74">
            <v>1177</v>
          </cell>
          <cell r="E74">
            <v>1032.0341374045795</v>
          </cell>
          <cell r="F74">
            <v>967.03198727735355</v>
          </cell>
          <cell r="G74">
            <v>935.03092875318123</v>
          </cell>
          <cell r="H74">
            <v>1039.034368956743</v>
          </cell>
          <cell r="I74">
            <v>1086.0359236641223</v>
          </cell>
        </row>
        <row r="75">
          <cell r="B75" t="str">
            <v>% Sales</v>
          </cell>
          <cell r="D75">
            <v>6.6551375032264978E-2</v>
          </cell>
          <cell r="E75">
            <v>5.40455616653574E-2</v>
          </cell>
          <cell r="F75">
            <v>4.6878029862323055E-2</v>
          </cell>
          <cell r="G75">
            <v>4.1568487974036401E-2</v>
          </cell>
          <cell r="H75">
            <v>4.2688688935453398E-2</v>
          </cell>
          <cell r="I75">
            <v>4.0687872316511199E-2</v>
          </cell>
        </row>
        <row r="76">
          <cell r="B76" t="str">
            <v>% of Capex</v>
          </cell>
          <cell r="D76">
            <v>0.91953125000000002</v>
          </cell>
          <cell r="E76">
            <v>0.79080459770114908</v>
          </cell>
          <cell r="F76">
            <v>0.67386759581881528</v>
          </cell>
          <cell r="G76">
            <v>0.68901989683124587</v>
          </cell>
          <cell r="H76">
            <v>0.67864141084258667</v>
          </cell>
          <cell r="I76">
            <v>0.71447368421052648</v>
          </cell>
        </row>
        <row r="77">
          <cell r="B77" t="str">
            <v>Amortization</v>
          </cell>
          <cell r="D77">
            <v>0</v>
          </cell>
          <cell r="E77">
            <v>0</v>
          </cell>
          <cell r="F77">
            <v>0</v>
          </cell>
          <cell r="G77">
            <v>0</v>
          </cell>
          <cell r="H77">
            <v>0</v>
          </cell>
          <cell r="I77">
            <v>0</v>
          </cell>
        </row>
        <row r="78">
          <cell r="B78" t="str">
            <v>Amortization</v>
          </cell>
          <cell r="D78">
            <v>0</v>
          </cell>
          <cell r="E78">
            <v>196.00648346055976</v>
          </cell>
          <cell r="F78">
            <v>263.00869974554706</v>
          </cell>
          <cell r="G78">
            <v>324.01071755725184</v>
          </cell>
          <cell r="H78">
            <v>280.00926208651396</v>
          </cell>
          <cell r="I78">
            <v>276.00912977099233</v>
          </cell>
        </row>
        <row r="79">
          <cell r="B79" t="str">
            <v>% Sales</v>
          </cell>
          <cell r="D79">
            <v>0</v>
          </cell>
          <cell r="E79">
            <v>1.0264467137994239E-2</v>
          </cell>
          <cell r="F79">
            <v>1.2749660655419819E-2</v>
          </cell>
          <cell r="G79">
            <v>1.4404481394211532E-2</v>
          </cell>
          <cell r="H79">
            <v>1.1504170261719874E-2</v>
          </cell>
          <cell r="I79">
            <v>1.0340564235135441E-2</v>
          </cell>
        </row>
        <row r="80">
          <cell r="B80" t="str">
            <v>New Amortization of Intan. Assets</v>
          </cell>
          <cell r="D80">
            <v>0</v>
          </cell>
          <cell r="E80">
            <v>0</v>
          </cell>
          <cell r="F80">
            <v>0</v>
          </cell>
          <cell r="G80">
            <v>0</v>
          </cell>
          <cell r="H80">
            <v>0</v>
          </cell>
          <cell r="I80">
            <v>0</v>
          </cell>
        </row>
        <row r="81">
          <cell r="B81" t="str">
            <v>Deferred Tax Liability</v>
          </cell>
          <cell r="D81">
            <v>0</v>
          </cell>
          <cell r="E81">
            <v>0</v>
          </cell>
          <cell r="F81">
            <v>0</v>
          </cell>
          <cell r="G81">
            <v>0</v>
          </cell>
          <cell r="H81">
            <v>0</v>
          </cell>
          <cell r="I81">
            <v>0</v>
          </cell>
        </row>
        <row r="82">
          <cell r="B82" t="str">
            <v>Other Equity Item</v>
          </cell>
          <cell r="E82">
            <v>-98</v>
          </cell>
          <cell r="F82">
            <v>45</v>
          </cell>
          <cell r="G82">
            <v>44</v>
          </cell>
          <cell r="H82">
            <v>44</v>
          </cell>
          <cell r="I82">
            <v>39</v>
          </cell>
        </row>
        <row r="83">
          <cell r="B83" t="str">
            <v>Accounts Receivable</v>
          </cell>
          <cell r="D83">
            <v>0</v>
          </cell>
          <cell r="E83">
            <v>-311.10710941475782</v>
          </cell>
          <cell r="F83">
            <v>-318.01051908396994</v>
          </cell>
          <cell r="G83">
            <v>-343.01134605597917</v>
          </cell>
          <cell r="H83">
            <v>-400.01323155216278</v>
          </cell>
          <cell r="I83">
            <v>-606.02004580152698</v>
          </cell>
        </row>
        <row r="84">
          <cell r="B84" t="str">
            <v>Inventory</v>
          </cell>
          <cell r="D84">
            <v>0</v>
          </cell>
          <cell r="E84">
            <v>-112.08445038167838</v>
          </cell>
          <cell r="F84">
            <v>-18.581309214887824</v>
          </cell>
          <cell r="G84">
            <v>-30.717580860306498</v>
          </cell>
          <cell r="H84">
            <v>-30.638187414175718</v>
          </cell>
          <cell r="I84">
            <v>-151.76035817962793</v>
          </cell>
        </row>
        <row r="85">
          <cell r="B85" t="str">
            <v>Prepaid Expenses/Income Taxes</v>
          </cell>
          <cell r="D85">
            <v>0</v>
          </cell>
          <cell r="E85">
            <v>128</v>
          </cell>
          <cell r="F85">
            <v>-205</v>
          </cell>
          <cell r="G85">
            <v>-138</v>
          </cell>
          <cell r="H85">
            <v>-381</v>
          </cell>
          <cell r="I85">
            <v>-373</v>
          </cell>
        </row>
        <row r="86">
          <cell r="B86" t="str">
            <v>Other Assets/Deferred Taxes</v>
          </cell>
          <cell r="D86">
            <v>0</v>
          </cell>
          <cell r="E86">
            <v>186.70655725190983</v>
          </cell>
          <cell r="F86">
            <v>-113.00373791348619</v>
          </cell>
          <cell r="G86">
            <v>-93.00307633587704</v>
          </cell>
          <cell r="H86">
            <v>-94.003109414759422</v>
          </cell>
          <cell r="I86">
            <v>-90.002977099235977</v>
          </cell>
        </row>
        <row r="87">
          <cell r="B87" t="str">
            <v>AP, Salaries &amp; Other Accrued Liab.</v>
          </cell>
          <cell r="D87">
            <v>0</v>
          </cell>
          <cell r="E87">
            <v>-165.85848854961841</v>
          </cell>
          <cell r="F87">
            <v>82.00271246819193</v>
          </cell>
          <cell r="G87">
            <v>174.01149735245144</v>
          </cell>
          <cell r="H87">
            <v>233.92489135204323</v>
          </cell>
          <cell r="I87">
            <v>275.08620417082511</v>
          </cell>
        </row>
        <row r="88">
          <cell r="B88" t="str">
            <v>Dividends Payable</v>
          </cell>
          <cell r="D88">
            <v>0</v>
          </cell>
          <cell r="E88">
            <v>13.999999999999943</v>
          </cell>
          <cell r="F88">
            <v>14.999943147844931</v>
          </cell>
          <cell r="G88">
            <v>19.99993683960264</v>
          </cell>
          <cell r="H88">
            <v>26.999991205958679</v>
          </cell>
          <cell r="I88">
            <v>35.999988600967754</v>
          </cell>
        </row>
        <row r="89">
          <cell r="B89" t="str">
            <v>Income Taxes Payable</v>
          </cell>
          <cell r="D89">
            <v>0</v>
          </cell>
          <cell r="E89">
            <v>-42</v>
          </cell>
          <cell r="F89">
            <v>0</v>
          </cell>
          <cell r="G89">
            <v>0</v>
          </cell>
          <cell r="H89">
            <v>0</v>
          </cell>
          <cell r="I89">
            <v>0</v>
          </cell>
        </row>
        <row r="90">
          <cell r="B90" t="str">
            <v>Other Long Term Liabilities</v>
          </cell>
          <cell r="D90">
            <v>0</v>
          </cell>
          <cell r="E90">
            <v>8</v>
          </cell>
          <cell r="F90">
            <v>62</v>
          </cell>
          <cell r="G90">
            <v>86</v>
          </cell>
          <cell r="H90">
            <v>94</v>
          </cell>
          <cell r="I90">
            <v>102</v>
          </cell>
        </row>
        <row r="91">
          <cell r="B91" t="str">
            <v>Operating Cash Flow</v>
          </cell>
          <cell r="D91">
            <v>4420.3099999999995</v>
          </cell>
          <cell r="E91">
            <v>4294.3616727165063</v>
          </cell>
          <cell r="F91">
            <v>4586.8233489580898</v>
          </cell>
          <cell r="G91">
            <v>5125.1190445709544</v>
          </cell>
          <cell r="H91">
            <v>5379.0552287008632</v>
          </cell>
          <cell r="I91">
            <v>5753.1798485568206</v>
          </cell>
        </row>
        <row r="92">
          <cell r="B92" t="str">
            <v>% Growth</v>
          </cell>
          <cell r="E92">
            <v>-2.8493098285752194E-2</v>
          </cell>
          <cell r="F92">
            <v>6.8103643458744756E-2</v>
          </cell>
          <cell r="G92">
            <v>0.11735697118903432</v>
          </cell>
          <cell r="H92">
            <v>4.9547372835935022E-2</v>
          </cell>
          <cell r="I92">
            <v>6.9552106076128828E-2</v>
          </cell>
        </row>
        <row r="93">
          <cell r="B93" t="str">
            <v>% Revenue</v>
          </cell>
          <cell r="D93">
            <v>0.24993857992257534</v>
          </cell>
          <cell r="E93">
            <v>0.22488712357890014</v>
          </cell>
          <cell r="F93">
            <v>0.22235173681383916</v>
          </cell>
          <cell r="G93">
            <v>0.22784641964072336</v>
          </cell>
          <cell r="H93">
            <v>0.22099828676042094</v>
          </cell>
          <cell r="I93">
            <v>0.21554042733893983</v>
          </cell>
        </row>
        <row r="95">
          <cell r="B95" t="str">
            <v>Capital Expenditures</v>
          </cell>
          <cell r="D95">
            <v>-1280</v>
          </cell>
          <cell r="E95">
            <v>-1305.043167938931</v>
          </cell>
          <cell r="F95">
            <v>-1435.047468193384</v>
          </cell>
          <cell r="G95">
            <v>-1357.0448880407123</v>
          </cell>
          <cell r="H95">
            <v>-1531.050643765903</v>
          </cell>
          <cell r="I95">
            <v>-1520.0502798982186</v>
          </cell>
        </row>
        <row r="96">
          <cell r="B96" t="str">
            <v>% Sales</v>
          </cell>
          <cell r="D96">
            <v>7.2375327137892242E-2</v>
          </cell>
          <cell r="E96">
            <v>6.834249803613511E-2</v>
          </cell>
          <cell r="F96">
            <v>6.9565638937366683E-2</v>
          </cell>
          <cell r="G96">
            <v>6.0329880407237815E-2</v>
          </cell>
          <cell r="H96">
            <v>6.2903159538189743E-2</v>
          </cell>
          <cell r="I96">
            <v>5.6948034918137207E-2</v>
          </cell>
        </row>
        <row r="97">
          <cell r="B97" t="str">
            <v>Investments in Marketable Securities</v>
          </cell>
          <cell r="D97">
            <v>0</v>
          </cell>
          <cell r="E97">
            <v>199</v>
          </cell>
          <cell r="F97">
            <v>17</v>
          </cell>
          <cell r="G97">
            <v>6</v>
          </cell>
          <cell r="H97">
            <v>0</v>
          </cell>
          <cell r="I97">
            <v>0</v>
          </cell>
        </row>
        <row r="98">
          <cell r="B98" t="str">
            <v>Investment in Securities</v>
          </cell>
          <cell r="D98">
            <v>0</v>
          </cell>
          <cell r="E98">
            <v>7</v>
          </cell>
          <cell r="F98">
            <v>6</v>
          </cell>
          <cell r="G98">
            <v>-3</v>
          </cell>
          <cell r="H98">
            <v>-2</v>
          </cell>
          <cell r="I98">
            <v>0</v>
          </cell>
        </row>
        <row r="99">
          <cell r="B99" t="str">
            <v>Free Cash Flow Before Financing</v>
          </cell>
          <cell r="D99">
            <v>3140.3099999999995</v>
          </cell>
          <cell r="E99">
            <v>3195.3185047775751</v>
          </cell>
          <cell r="F99">
            <v>3174.775880764706</v>
          </cell>
          <cell r="G99">
            <v>3771.0741565302424</v>
          </cell>
          <cell r="H99">
            <v>3846.0045849349599</v>
          </cell>
          <cell r="I99">
            <v>4233.1295686586018</v>
          </cell>
          <cell r="K99">
            <v>18220.302695666083</v>
          </cell>
        </row>
        <row r="101">
          <cell r="B101" t="str">
            <v>Equity Financing</v>
          </cell>
          <cell r="D101">
            <v>137</v>
          </cell>
          <cell r="E101">
            <v>39</v>
          </cell>
          <cell r="F101">
            <v>54</v>
          </cell>
          <cell r="G101">
            <v>120</v>
          </cell>
          <cell r="H101">
            <v>193</v>
          </cell>
          <cell r="I101">
            <v>274</v>
          </cell>
        </row>
        <row r="102">
          <cell r="B102" t="str">
            <v>Purchase of Treasury Stock</v>
          </cell>
          <cell r="D102">
            <v>0</v>
          </cell>
          <cell r="E102">
            <v>-300</v>
          </cell>
          <cell r="F102">
            <v>-300</v>
          </cell>
          <cell r="G102">
            <v>-750</v>
          </cell>
          <cell r="H102">
            <v>-1200</v>
          </cell>
          <cell r="I102">
            <v>-1050</v>
          </cell>
          <cell r="K102">
            <v>-3600</v>
          </cell>
        </row>
        <row r="103">
          <cell r="B103" t="str">
            <v>Issuance of Treasury Stock and Other</v>
          </cell>
          <cell r="D103">
            <v>0</v>
          </cell>
          <cell r="E103">
            <v>0</v>
          </cell>
          <cell r="F103">
            <v>0</v>
          </cell>
          <cell r="G103">
            <v>0</v>
          </cell>
          <cell r="H103">
            <v>0</v>
          </cell>
          <cell r="I103">
            <v>0</v>
          </cell>
        </row>
        <row r="104">
          <cell r="B104" t="str">
            <v>Common Dividends</v>
          </cell>
          <cell r="D104">
            <v>-1428</v>
          </cell>
          <cell r="E104">
            <v>-1514</v>
          </cell>
          <cell r="F104">
            <v>-1570.9997744577379</v>
          </cell>
          <cell r="G104">
            <v>-1650.9995237001824</v>
          </cell>
          <cell r="H104">
            <v>-1753.9994900073011</v>
          </cell>
          <cell r="I104">
            <v>-1884.9994482513464</v>
          </cell>
          <cell r="K104">
            <v>-8374.998236416568</v>
          </cell>
        </row>
        <row r="105">
          <cell r="B105" t="str">
            <v>Dividends per Share</v>
          </cell>
          <cell r="D105">
            <v>0.90765038680017018</v>
          </cell>
          <cell r="E105">
            <v>0.96608308186884118</v>
          </cell>
          <cell r="F105">
            <v>1.0062654763509886</v>
          </cell>
          <cell r="G105">
            <v>1.0625149779904126</v>
          </cell>
          <cell r="H105">
            <v>1.1376760203946978</v>
          </cell>
          <cell r="I105">
            <v>1.23082391981382</v>
          </cell>
        </row>
        <row r="106">
          <cell r="B106" t="str">
            <v>Mandatory Debt Retirement</v>
          </cell>
          <cell r="D106">
            <v>0</v>
          </cell>
          <cell r="E106">
            <v>-741</v>
          </cell>
          <cell r="F106">
            <v>-1211</v>
          </cell>
          <cell r="G106">
            <v>-480</v>
          </cell>
          <cell r="H106">
            <v>-98</v>
          </cell>
          <cell r="I106">
            <v>-602</v>
          </cell>
        </row>
        <row r="107">
          <cell r="B107" t="str">
            <v>Free Operating Cash Flow</v>
          </cell>
          <cell r="D107">
            <v>1849.3099999999995</v>
          </cell>
          <cell r="E107">
            <v>679.31850477757507</v>
          </cell>
          <cell r="F107">
            <v>146.77610630696816</v>
          </cell>
          <cell r="G107">
            <v>1010.0746328300598</v>
          </cell>
          <cell r="H107">
            <v>987.00509492765889</v>
          </cell>
          <cell r="I107">
            <v>970.1301204072555</v>
          </cell>
        </row>
        <row r="108">
          <cell r="B108" t="str">
            <v>% Growth</v>
          </cell>
          <cell r="E108">
            <v>-0.63266380175439751</v>
          </cell>
          <cell r="F108">
            <v>-0.78393624599549794</v>
          </cell>
          <cell r="G108">
            <v>5.8817374860563856</v>
          </cell>
          <cell r="H108">
            <v>-2.283943894102558E-2</v>
          </cell>
          <cell r="I108">
            <v>-1.7097150366422564E-2</v>
          </cell>
        </row>
        <row r="109">
          <cell r="B109" t="str">
            <v>% Revenue</v>
          </cell>
          <cell r="D109">
            <v>0.10456595017919959</v>
          </cell>
          <cell r="E109">
            <v>3.5574550113919426E-2</v>
          </cell>
          <cell r="F109">
            <v>7.115146949694587E-3</v>
          </cell>
          <cell r="G109">
            <v>4.4904691317177697E-2</v>
          </cell>
          <cell r="H109">
            <v>4.0551068120470039E-2</v>
          </cell>
          <cell r="I109">
            <v>3.6345510870724837E-2</v>
          </cell>
        </row>
        <row r="111">
          <cell r="B111" t="str">
            <v>Debt Additions/(Retirement)</v>
          </cell>
          <cell r="D111">
            <v>0</v>
          </cell>
          <cell r="E111">
            <v>0</v>
          </cell>
          <cell r="F111">
            <v>0</v>
          </cell>
          <cell r="G111">
            <v>0</v>
          </cell>
          <cell r="H111">
            <v>0</v>
          </cell>
          <cell r="I111">
            <v>0</v>
          </cell>
        </row>
        <row r="112">
          <cell r="B112" t="str">
            <v>Excess Cash</v>
          </cell>
          <cell r="D112">
            <v>1849.3099999999995</v>
          </cell>
          <cell r="E112">
            <v>679.31850477757507</v>
          </cell>
          <cell r="F112">
            <v>146.77610630696816</v>
          </cell>
          <cell r="G112">
            <v>1010.0746328300598</v>
          </cell>
          <cell r="H112">
            <v>987.00509492765889</v>
          </cell>
          <cell r="I112">
            <v>970.1301204072555</v>
          </cell>
        </row>
        <row r="114">
          <cell r="B114" t="str">
            <v>DCF Statistics</v>
          </cell>
        </row>
        <row r="115">
          <cell r="B115" t="str">
            <v>Free Operating Cash Flow</v>
          </cell>
          <cell r="D115">
            <v>3140.3099999999995</v>
          </cell>
          <cell r="E115">
            <v>3195.3185047775751</v>
          </cell>
          <cell r="F115">
            <v>3174.775880764706</v>
          </cell>
          <cell r="G115">
            <v>3771.0741565302424</v>
          </cell>
          <cell r="H115">
            <v>3846.0045849349599</v>
          </cell>
          <cell r="I115">
            <v>4233.1295686586018</v>
          </cell>
        </row>
        <row r="116">
          <cell r="B116" t="str">
            <v>After Tax Interest Expense</v>
          </cell>
          <cell r="D116">
            <v>154.77500000000001</v>
          </cell>
          <cell r="E116">
            <v>125.59913420461304</v>
          </cell>
          <cell r="F116">
            <v>102.93768293924086</v>
          </cell>
          <cell r="G116">
            <v>75.125042450359246</v>
          </cell>
          <cell r="H116">
            <v>32.913481506571742</v>
          </cell>
          <cell r="I116">
            <v>-19.039861598246272</v>
          </cell>
        </row>
        <row r="117">
          <cell r="B117" t="str">
            <v>Unlevered Free Cash Flow</v>
          </cell>
          <cell r="D117">
            <v>3295.0849999999996</v>
          </cell>
          <cell r="E117">
            <v>3320.9176389821882</v>
          </cell>
          <cell r="F117">
            <v>3277.7135637039469</v>
          </cell>
          <cell r="G117">
            <v>3846.1991989806015</v>
          </cell>
          <cell r="H117">
            <v>3878.9180664415317</v>
          </cell>
          <cell r="I117">
            <v>4214.0897070603551</v>
          </cell>
          <cell r="K117">
            <v>18537.838175168625</v>
          </cell>
        </row>
        <row r="118">
          <cell r="B118" t="str">
            <v>% Growth</v>
          </cell>
          <cell r="E118">
            <v>7.8397488933330539E-3</v>
          </cell>
          <cell r="F118">
            <v>-1.3009679846044842E-2</v>
          </cell>
          <cell r="G118">
            <v>0.17343969331909626</v>
          </cell>
          <cell r="H118">
            <v>8.5068052298491459E-3</v>
          </cell>
          <cell r="I118">
            <v>8.6408538380473132E-2</v>
          </cell>
        </row>
        <row r="119">
          <cell r="B119" t="str">
            <v>% Revenue</v>
          </cell>
          <cell r="D119">
            <v>0.1863147303298138</v>
          </cell>
          <cell r="E119">
            <v>0.17390980834660569</v>
          </cell>
          <cell r="F119">
            <v>0.15889107738003494</v>
          </cell>
          <cell r="G119">
            <v>0.17098972903684242</v>
          </cell>
          <cell r="H119">
            <v>0.1593652064759819</v>
          </cell>
          <cell r="I119">
            <v>0.15787907213299868</v>
          </cell>
        </row>
        <row r="123">
          <cell r="A123" t="str">
            <v>Balance Sheet</v>
          </cell>
        </row>
        <row r="126">
          <cell r="B126" t="str">
            <v>($MM)</v>
          </cell>
          <cell r="D126">
            <v>2002</v>
          </cell>
          <cell r="E126" t="str">
            <v>PF2003E</v>
          </cell>
          <cell r="F126">
            <v>2004</v>
          </cell>
          <cell r="G126">
            <v>2005</v>
          </cell>
          <cell r="H126">
            <v>2006</v>
          </cell>
          <cell r="I126">
            <v>2007</v>
          </cell>
        </row>
        <row r="128">
          <cell r="B128" t="str">
            <v>Assets</v>
          </cell>
        </row>
        <row r="129">
          <cell r="B129" t="str">
            <v>Current Assets</v>
          </cell>
        </row>
        <row r="130">
          <cell r="B130" t="str">
            <v>Cash</v>
          </cell>
          <cell r="D130">
            <v>704</v>
          </cell>
          <cell r="E130">
            <v>1383.3185047775751</v>
          </cell>
          <cell r="F130">
            <v>1530.0946110845432</v>
          </cell>
          <cell r="G130">
            <v>2540.1692439146032</v>
          </cell>
          <cell r="H130">
            <v>3527.1743388422619</v>
          </cell>
          <cell r="I130">
            <v>4497.3044592495171</v>
          </cell>
        </row>
        <row r="131">
          <cell r="B131" t="str">
            <v>Marketable Securities</v>
          </cell>
          <cell r="D131">
            <v>262</v>
          </cell>
          <cell r="E131">
            <v>63</v>
          </cell>
          <cell r="F131">
            <v>46</v>
          </cell>
          <cell r="G131">
            <v>40</v>
          </cell>
          <cell r="H131">
            <v>40</v>
          </cell>
          <cell r="I131">
            <v>40</v>
          </cell>
        </row>
        <row r="132">
          <cell r="B132" t="str">
            <v>Accounts Receivable</v>
          </cell>
          <cell r="D132">
            <v>2927</v>
          </cell>
          <cell r="E132">
            <v>3238.1071094147578</v>
          </cell>
          <cell r="F132">
            <v>3556.1176284987278</v>
          </cell>
          <cell r="G132">
            <v>3899.1289745547069</v>
          </cell>
          <cell r="H132">
            <v>4299.1422061068697</v>
          </cell>
          <cell r="I132">
            <v>4905.1622519083967</v>
          </cell>
        </row>
        <row r="133">
          <cell r="B133" t="str">
            <v>Inventory</v>
          </cell>
          <cell r="D133">
            <v>2441</v>
          </cell>
          <cell r="E133">
            <v>2553.0844503816784</v>
          </cell>
          <cell r="F133">
            <v>2571.6657595965662</v>
          </cell>
          <cell r="G133">
            <v>2602.3833404568727</v>
          </cell>
          <cell r="H133">
            <v>2633.0215278710484</v>
          </cell>
          <cell r="I133">
            <v>2784.7818860506763</v>
          </cell>
        </row>
        <row r="134">
          <cell r="B134" t="str">
            <v>Prepaid Expenses/Income Taxes</v>
          </cell>
          <cell r="D134">
            <v>2787</v>
          </cell>
          <cell r="E134">
            <v>2659</v>
          </cell>
          <cell r="F134">
            <v>2864</v>
          </cell>
          <cell r="G134">
            <v>3002</v>
          </cell>
          <cell r="H134">
            <v>3383</v>
          </cell>
          <cell r="I134">
            <v>3756</v>
          </cell>
        </row>
        <row r="135">
          <cell r="B135" t="str">
            <v>Total Current Assets</v>
          </cell>
          <cell r="D135">
            <v>9121</v>
          </cell>
          <cell r="E135">
            <v>9896.5100645740113</v>
          </cell>
          <cell r="F135">
            <v>10567.877999179836</v>
          </cell>
          <cell r="G135">
            <v>12083.681558926182</v>
          </cell>
          <cell r="H135">
            <v>13882.338072820181</v>
          </cell>
          <cell r="I135">
            <v>15983.248597208591</v>
          </cell>
        </row>
        <row r="137">
          <cell r="B137" t="str">
            <v>Investment Securities</v>
          </cell>
          <cell r="D137">
            <v>251</v>
          </cell>
          <cell r="E137">
            <v>244</v>
          </cell>
          <cell r="F137">
            <v>238</v>
          </cell>
          <cell r="G137">
            <v>241</v>
          </cell>
          <cell r="H137">
            <v>243</v>
          </cell>
          <cell r="I137">
            <v>243</v>
          </cell>
        </row>
        <row r="138">
          <cell r="B138">
            <v>966</v>
          </cell>
        </row>
        <row r="139">
          <cell r="B139" t="str">
            <v>PP&amp;E</v>
          </cell>
          <cell r="D139">
            <v>5828</v>
          </cell>
          <cell r="E139">
            <v>6101.009030534352</v>
          </cell>
          <cell r="F139">
            <v>6569.0245114503823</v>
          </cell>
          <cell r="G139">
            <v>6991.0384707379135</v>
          </cell>
          <cell r="H139">
            <v>7483.0547455470742</v>
          </cell>
          <cell r="I139">
            <v>7917.0691017811705</v>
          </cell>
        </row>
        <row r="141">
          <cell r="B141" t="str">
            <v>Other</v>
          </cell>
          <cell r="D141">
            <v>9058</v>
          </cell>
          <cell r="E141">
            <v>8675.2869592875304</v>
          </cell>
          <cell r="F141">
            <v>8525.2819974554695</v>
          </cell>
          <cell r="G141">
            <v>8294.2743562340947</v>
          </cell>
          <cell r="H141">
            <v>8108.2682035623402</v>
          </cell>
          <cell r="I141">
            <v>7922.2620508905848</v>
          </cell>
        </row>
        <row r="142">
          <cell r="B142" t="str">
            <v>New Intangible Assets</v>
          </cell>
          <cell r="D142">
            <v>0</v>
          </cell>
          <cell r="E142">
            <v>0</v>
          </cell>
          <cell r="F142">
            <v>0</v>
          </cell>
          <cell r="G142">
            <v>0</v>
          </cell>
          <cell r="H142">
            <v>0</v>
          </cell>
          <cell r="I142">
            <v>0</v>
          </cell>
        </row>
        <row r="143">
          <cell r="B143" t="str">
            <v>Total Assets</v>
          </cell>
          <cell r="D143">
            <v>24258</v>
          </cell>
          <cell r="E143">
            <v>24916.806054395893</v>
          </cell>
          <cell r="F143">
            <v>25900.184508085687</v>
          </cell>
          <cell r="G143">
            <v>27609.99438589819</v>
          </cell>
          <cell r="H143">
            <v>29716.661021929594</v>
          </cell>
          <cell r="I143">
            <v>32065.579749880348</v>
          </cell>
        </row>
        <row r="144">
          <cell r="D144">
            <v>24258</v>
          </cell>
          <cell r="E144">
            <v>24916.563190307923</v>
          </cell>
          <cell r="F144">
            <v>25899.829847989815</v>
          </cell>
          <cell r="G144">
            <v>27609.51313887287</v>
          </cell>
          <cell r="H144">
            <v>29716.037025937796</v>
          </cell>
          <cell r="I144">
            <v>32064.791402664901</v>
          </cell>
        </row>
        <row r="145">
          <cell r="B145" t="str">
            <v>Liabilities &amp; Equity</v>
          </cell>
        </row>
        <row r="146">
          <cell r="B146" t="str">
            <v>Current Liabilities</v>
          </cell>
        </row>
        <row r="147">
          <cell r="B147" t="str">
            <v>Revolver</v>
          </cell>
          <cell r="D147">
            <v>0</v>
          </cell>
          <cell r="E147">
            <v>0</v>
          </cell>
          <cell r="F147">
            <v>0</v>
          </cell>
          <cell r="G147">
            <v>0</v>
          </cell>
          <cell r="H147">
            <v>0</v>
          </cell>
          <cell r="I147">
            <v>0</v>
          </cell>
        </row>
        <row r="148">
          <cell r="B148" t="str">
            <v>Short Term Borrowings &amp; Curr. Portion of LTD</v>
          </cell>
          <cell r="D148">
            <v>1200</v>
          </cell>
          <cell r="E148">
            <v>659</v>
          </cell>
          <cell r="F148">
            <v>659</v>
          </cell>
          <cell r="G148">
            <v>329</v>
          </cell>
          <cell r="H148">
            <v>2083.7370000000001</v>
          </cell>
          <cell r="I148">
            <v>2083.7370000000001</v>
          </cell>
        </row>
        <row r="149">
          <cell r="B149" t="str">
            <v>AP, Salaries &amp; Other Accrued Liab.</v>
          </cell>
          <cell r="D149">
            <v>4444</v>
          </cell>
          <cell r="E149">
            <v>4278.1415114503816</v>
          </cell>
          <cell r="F149">
            <v>4360.1442239185735</v>
          </cell>
          <cell r="G149">
            <v>4534.155721271025</v>
          </cell>
          <cell r="H149">
            <v>4768.0806126230682</v>
          </cell>
          <cell r="I149">
            <v>5043.1668167938933</v>
          </cell>
        </row>
        <row r="150">
          <cell r="B150" t="str">
            <v>Dividends Payable</v>
          </cell>
          <cell r="D150">
            <v>367</v>
          </cell>
          <cell r="E150">
            <v>380.99999999999994</v>
          </cell>
          <cell r="F150">
            <v>395.99994314784487</v>
          </cell>
          <cell r="G150">
            <v>415.99987998744751</v>
          </cell>
          <cell r="H150">
            <v>442.99987119340619</v>
          </cell>
          <cell r="I150">
            <v>478.99985979437395</v>
          </cell>
        </row>
        <row r="151">
          <cell r="B151" t="str">
            <v>Income Taxes Payable</v>
          </cell>
          <cell r="D151">
            <v>42</v>
          </cell>
          <cell r="E151">
            <v>0</v>
          </cell>
          <cell r="F151">
            <v>0</v>
          </cell>
          <cell r="G151">
            <v>0</v>
          </cell>
          <cell r="H151">
            <v>0</v>
          </cell>
          <cell r="I151">
            <v>0</v>
          </cell>
        </row>
        <row r="152">
          <cell r="B152" t="str">
            <v>Total Current Liabilities</v>
          </cell>
          <cell r="D152">
            <v>6053</v>
          </cell>
          <cell r="E152">
            <v>5318.1415114503816</v>
          </cell>
          <cell r="F152">
            <v>5415.144167066418</v>
          </cell>
          <cell r="G152">
            <v>5279.1556012584724</v>
          </cell>
          <cell r="H152">
            <v>7294.8174838164741</v>
          </cell>
          <cell r="I152">
            <v>7605.9036765882674</v>
          </cell>
        </row>
        <row r="154">
          <cell r="B154" t="str">
            <v>Long-Term Liabilities</v>
          </cell>
        </row>
        <row r="155">
          <cell r="B155" t="str">
            <v>Long-Term Debt</v>
          </cell>
          <cell r="E155">
            <v>0</v>
          </cell>
          <cell r="F155">
            <v>0</v>
          </cell>
          <cell r="G155">
            <v>0</v>
          </cell>
          <cell r="H155">
            <v>0</v>
          </cell>
          <cell r="I155">
            <v>0</v>
          </cell>
        </row>
        <row r="156">
          <cell r="B156" t="str">
            <v>Long-Term Debt</v>
          </cell>
          <cell r="D156">
            <v>5222</v>
          </cell>
          <cell r="E156">
            <v>5022</v>
          </cell>
          <cell r="F156">
            <v>3811</v>
          </cell>
          <cell r="G156">
            <v>3661</v>
          </cell>
          <cell r="H156">
            <v>1808.2629999999999</v>
          </cell>
          <cell r="I156">
            <v>1206.2629999999999</v>
          </cell>
        </row>
        <row r="157">
          <cell r="B157" t="str">
            <v>Other Long Term Liab.</v>
          </cell>
          <cell r="D157">
            <v>2318</v>
          </cell>
          <cell r="E157">
            <v>2326</v>
          </cell>
          <cell r="F157">
            <v>2388</v>
          </cell>
          <cell r="G157">
            <v>2474</v>
          </cell>
          <cell r="H157">
            <v>2568</v>
          </cell>
          <cell r="I157">
            <v>2670</v>
          </cell>
        </row>
        <row r="158">
          <cell r="B158" t="str">
            <v>Acquisition Debt</v>
          </cell>
          <cell r="D158">
            <v>0</v>
          </cell>
          <cell r="E158">
            <v>0</v>
          </cell>
          <cell r="F158">
            <v>0</v>
          </cell>
          <cell r="G158">
            <v>0</v>
          </cell>
          <cell r="H158">
            <v>0</v>
          </cell>
          <cell r="I158">
            <v>0</v>
          </cell>
        </row>
        <row r="159">
          <cell r="B159" t="str">
            <v>Total Long-Term Liabilities</v>
          </cell>
          <cell r="D159">
            <v>7540</v>
          </cell>
          <cell r="E159">
            <v>7348</v>
          </cell>
          <cell r="F159">
            <v>6199</v>
          </cell>
          <cell r="G159">
            <v>6135</v>
          </cell>
          <cell r="H159">
            <v>4376.2629999999999</v>
          </cell>
          <cell r="I159">
            <v>3876.2629999999999</v>
          </cell>
        </row>
        <row r="160">
          <cell r="B160" t="str">
            <v>Equity</v>
          </cell>
          <cell r="D160">
            <v>10665</v>
          </cell>
          <cell r="E160">
            <v>12250.664542945513</v>
          </cell>
          <cell r="F160">
            <v>14286.04034101927</v>
          </cell>
          <cell r="G160">
            <v>16195.83878463972</v>
          </cell>
          <cell r="H160">
            <v>18045.580538113121</v>
          </cell>
          <cell r="I160">
            <v>20583.413073292078</v>
          </cell>
        </row>
        <row r="161">
          <cell r="B161" t="str">
            <v>Total Liabilities &amp; Equity</v>
          </cell>
          <cell r="D161">
            <v>24258</v>
          </cell>
          <cell r="E161">
            <v>24916.806054395893</v>
          </cell>
          <cell r="F161">
            <v>25900.184508085687</v>
          </cell>
          <cell r="G161">
            <v>27609.994385898193</v>
          </cell>
          <cell r="H161">
            <v>29716.661021929594</v>
          </cell>
          <cell r="I161">
            <v>32065.579749880344</v>
          </cell>
        </row>
        <row r="162">
          <cell r="B162" t="str">
            <v/>
          </cell>
          <cell r="D162" t="str">
            <v/>
          </cell>
          <cell r="E162">
            <v>0</v>
          </cell>
          <cell r="F162">
            <v>0</v>
          </cell>
          <cell r="G162">
            <v>-3.637978807091713E-12</v>
          </cell>
          <cell r="H162">
            <v>0</v>
          </cell>
          <cell r="I162">
            <v>3.637978807091713E-12</v>
          </cell>
        </row>
      </sheetData>
      <sheetData sheetId="34" refreshError="1">
        <row r="2">
          <cell r="A2" t="str">
            <v>Pro Forma Balance Sheet 2003</v>
          </cell>
        </row>
        <row r="3">
          <cell r="A3" t="str">
            <v xml:space="preserve">Pro Forma Aqua </v>
          </cell>
          <cell r="F3" t="str">
            <v>Adjustments</v>
          </cell>
        </row>
        <row r="4">
          <cell r="D4" t="str">
            <v>Standalone</v>
          </cell>
          <cell r="F4" t="str">
            <v>Apple</v>
          </cell>
          <cell r="G4" t="str">
            <v>Gray Acquisition</v>
          </cell>
          <cell r="J4" t="str">
            <v>Kitchen</v>
          </cell>
          <cell r="M4" t="str">
            <v xml:space="preserve">Fox </v>
          </cell>
          <cell r="P4" t="str">
            <v>ProForma</v>
          </cell>
        </row>
        <row r="5">
          <cell r="B5" t="str">
            <v>($MM)</v>
          </cell>
          <cell r="D5">
            <v>2003</v>
          </cell>
          <cell r="F5" t="str">
            <v>Trans.</v>
          </cell>
          <cell r="G5">
            <v>2003</v>
          </cell>
          <cell r="H5" t="str">
            <v>Trans. Adj.</v>
          </cell>
          <cell r="J5" t="str">
            <v>Sale/Spin/Split</v>
          </cell>
          <cell r="K5" t="str">
            <v>Trans. Adj.</v>
          </cell>
          <cell r="M5" t="str">
            <v>Sale/Spin/Split</v>
          </cell>
          <cell r="N5" t="str">
            <v>Trans. Adj.</v>
          </cell>
          <cell r="P5">
            <v>2003</v>
          </cell>
        </row>
        <row r="7">
          <cell r="B7" t="str">
            <v>Assets</v>
          </cell>
        </row>
        <row r="8">
          <cell r="B8" t="str">
            <v>Current Assets</v>
          </cell>
        </row>
        <row r="9">
          <cell r="B9" t="str">
            <v>Cash</v>
          </cell>
          <cell r="D9">
            <v>1383.3185047775751</v>
          </cell>
          <cell r="F9">
            <v>0</v>
          </cell>
          <cell r="G9">
            <v>0</v>
          </cell>
          <cell r="H9">
            <v>0</v>
          </cell>
          <cell r="J9">
            <v>0</v>
          </cell>
          <cell r="K9">
            <v>0</v>
          </cell>
          <cell r="M9">
            <v>0</v>
          </cell>
          <cell r="N9">
            <v>0</v>
          </cell>
          <cell r="P9">
            <v>1383.3185047775751</v>
          </cell>
        </row>
        <row r="10">
          <cell r="B10" t="str">
            <v>Marketable Securities</v>
          </cell>
          <cell r="D10">
            <v>63</v>
          </cell>
          <cell r="G10">
            <v>0</v>
          </cell>
          <cell r="H10">
            <v>0</v>
          </cell>
          <cell r="J10">
            <v>0</v>
          </cell>
          <cell r="M10">
            <v>0</v>
          </cell>
          <cell r="P10">
            <v>63</v>
          </cell>
        </row>
        <row r="11">
          <cell r="B11" t="str">
            <v>Accounts Receivable</v>
          </cell>
          <cell r="D11">
            <v>3238.1071094147578</v>
          </cell>
          <cell r="G11">
            <v>0</v>
          </cell>
          <cell r="H11">
            <v>0</v>
          </cell>
          <cell r="J11">
            <v>0</v>
          </cell>
          <cell r="M11">
            <v>0</v>
          </cell>
          <cell r="P11">
            <v>3238.1071094147578</v>
          </cell>
        </row>
        <row r="12">
          <cell r="B12" t="str">
            <v>Inventory</v>
          </cell>
          <cell r="D12">
            <v>2553.0844503816784</v>
          </cell>
          <cell r="G12">
            <v>0</v>
          </cell>
          <cell r="H12">
            <v>0</v>
          </cell>
          <cell r="J12">
            <v>0</v>
          </cell>
          <cell r="M12">
            <v>0</v>
          </cell>
          <cell r="P12">
            <v>2553.0844503816784</v>
          </cell>
        </row>
        <row r="13">
          <cell r="B13" t="str">
            <v>Prepaid Expenses/Income Taxes</v>
          </cell>
          <cell r="D13">
            <v>2659</v>
          </cell>
          <cell r="G13">
            <v>0</v>
          </cell>
          <cell r="H13">
            <v>0</v>
          </cell>
          <cell r="J13">
            <v>0</v>
          </cell>
          <cell r="M13">
            <v>0</v>
          </cell>
          <cell r="P13">
            <v>2659</v>
          </cell>
        </row>
        <row r="14">
          <cell r="B14" t="str">
            <v>Total Current Assets</v>
          </cell>
          <cell r="D14">
            <v>9896.5100645740113</v>
          </cell>
          <cell r="F14">
            <v>0</v>
          </cell>
          <cell r="G14">
            <v>0</v>
          </cell>
          <cell r="H14">
            <v>0</v>
          </cell>
          <cell r="J14">
            <v>0</v>
          </cell>
          <cell r="K14">
            <v>0</v>
          </cell>
          <cell r="M14">
            <v>0</v>
          </cell>
          <cell r="N14">
            <v>0</v>
          </cell>
          <cell r="P14">
            <v>9896.5100645740113</v>
          </cell>
        </row>
        <row r="16">
          <cell r="B16" t="str">
            <v>Investment Securities</v>
          </cell>
          <cell r="D16">
            <v>244</v>
          </cell>
          <cell r="G16">
            <v>0</v>
          </cell>
          <cell r="H16">
            <v>0</v>
          </cell>
          <cell r="J16">
            <v>0</v>
          </cell>
          <cell r="M16">
            <v>0</v>
          </cell>
          <cell r="P16">
            <v>244</v>
          </cell>
        </row>
        <row r="18">
          <cell r="B18" t="str">
            <v>PP&amp;E</v>
          </cell>
          <cell r="D18">
            <v>6101.009030534352</v>
          </cell>
          <cell r="G18">
            <v>0</v>
          </cell>
          <cell r="H18">
            <v>0</v>
          </cell>
          <cell r="J18">
            <v>0</v>
          </cell>
          <cell r="M18">
            <v>0</v>
          </cell>
          <cell r="P18">
            <v>6101.009030534352</v>
          </cell>
        </row>
        <row r="20">
          <cell r="B20" t="str">
            <v>Other</v>
          </cell>
          <cell r="D20">
            <v>8675.2869592875304</v>
          </cell>
          <cell r="F20">
            <v>0</v>
          </cell>
          <cell r="G20">
            <v>0</v>
          </cell>
          <cell r="H20">
            <v>0</v>
          </cell>
          <cell r="J20">
            <v>0</v>
          </cell>
          <cell r="M20">
            <v>0</v>
          </cell>
          <cell r="P20">
            <v>8675.2869592875304</v>
          </cell>
        </row>
        <row r="21">
          <cell r="B21" t="str">
            <v>Intangible Assets</v>
          </cell>
          <cell r="D21">
            <v>0</v>
          </cell>
          <cell r="F21">
            <v>0</v>
          </cell>
          <cell r="G21">
            <v>0</v>
          </cell>
          <cell r="H21">
            <v>0</v>
          </cell>
          <cell r="J21">
            <v>0</v>
          </cell>
          <cell r="P21">
            <v>0</v>
          </cell>
        </row>
        <row r="22">
          <cell r="B22" t="str">
            <v>Total Assets</v>
          </cell>
          <cell r="D22">
            <v>24916.806054395893</v>
          </cell>
          <cell r="F22">
            <v>0</v>
          </cell>
          <cell r="G22">
            <v>0</v>
          </cell>
          <cell r="H22">
            <v>0</v>
          </cell>
          <cell r="J22">
            <v>0</v>
          </cell>
          <cell r="K22">
            <v>0</v>
          </cell>
          <cell r="M22">
            <v>0</v>
          </cell>
          <cell r="N22">
            <v>0</v>
          </cell>
          <cell r="P22">
            <v>24916.806054395893</v>
          </cell>
        </row>
        <row r="24">
          <cell r="B24" t="str">
            <v>Liabilities &amp; Equity</v>
          </cell>
        </row>
        <row r="25">
          <cell r="B25" t="str">
            <v>Current Liabilities</v>
          </cell>
        </row>
        <row r="26">
          <cell r="B26" t="str">
            <v>Revolver</v>
          </cell>
          <cell r="D26">
            <v>0</v>
          </cell>
          <cell r="G26">
            <v>0</v>
          </cell>
          <cell r="H26">
            <v>0</v>
          </cell>
          <cell r="J26">
            <v>0</v>
          </cell>
          <cell r="M26">
            <v>0</v>
          </cell>
          <cell r="P26">
            <v>0</v>
          </cell>
        </row>
        <row r="27">
          <cell r="B27" t="str">
            <v>Short Term Borrowings &amp; Curr. Portion of LTD</v>
          </cell>
          <cell r="D27">
            <v>659</v>
          </cell>
          <cell r="F27">
            <v>0</v>
          </cell>
          <cell r="G27">
            <v>0</v>
          </cell>
          <cell r="H27">
            <v>0</v>
          </cell>
          <cell r="J27">
            <v>0</v>
          </cell>
          <cell r="K27">
            <v>0</v>
          </cell>
          <cell r="M27">
            <v>0</v>
          </cell>
          <cell r="N27">
            <v>0</v>
          </cell>
          <cell r="P27">
            <v>659</v>
          </cell>
        </row>
        <row r="28">
          <cell r="B28" t="str">
            <v>AP, Salaries &amp; Other Accrued Liab.</v>
          </cell>
          <cell r="D28">
            <v>4278.1415114503816</v>
          </cell>
          <cell r="G28">
            <v>0</v>
          </cell>
          <cell r="H28">
            <v>0</v>
          </cell>
          <cell r="J28">
            <v>0</v>
          </cell>
          <cell r="M28">
            <v>0</v>
          </cell>
          <cell r="P28">
            <v>4278.1415114503816</v>
          </cell>
        </row>
        <row r="29">
          <cell r="B29" t="str">
            <v>Dividends Payable</v>
          </cell>
          <cell r="D29">
            <v>380.99999999999994</v>
          </cell>
          <cell r="G29">
            <v>0</v>
          </cell>
          <cell r="H29">
            <v>0</v>
          </cell>
          <cell r="J29">
            <v>0</v>
          </cell>
          <cell r="M29">
            <v>0</v>
          </cell>
          <cell r="P29">
            <v>380.99999999999994</v>
          </cell>
        </row>
        <row r="30">
          <cell r="B30" t="str">
            <v>Income Taxes Payable</v>
          </cell>
          <cell r="D30">
            <v>0</v>
          </cell>
          <cell r="G30">
            <v>0</v>
          </cell>
          <cell r="H30">
            <v>0</v>
          </cell>
          <cell r="J30">
            <v>0</v>
          </cell>
          <cell r="M30">
            <v>0</v>
          </cell>
          <cell r="P30">
            <v>0</v>
          </cell>
        </row>
        <row r="31">
          <cell r="B31" t="str">
            <v>Total Current Liabilities</v>
          </cell>
          <cell r="D31">
            <v>5318.1415114503816</v>
          </cell>
          <cell r="F31">
            <v>0</v>
          </cell>
          <cell r="G31">
            <v>0</v>
          </cell>
          <cell r="H31">
            <v>0</v>
          </cell>
          <cell r="J31">
            <v>0</v>
          </cell>
          <cell r="K31">
            <v>0</v>
          </cell>
          <cell r="M31">
            <v>0</v>
          </cell>
          <cell r="N31">
            <v>0</v>
          </cell>
          <cell r="P31">
            <v>5318.1415114503816</v>
          </cell>
        </row>
        <row r="33">
          <cell r="B33" t="str">
            <v>Long-Term Liabilities</v>
          </cell>
        </row>
        <row r="34">
          <cell r="B34" t="str">
            <v>Long-Term Debt</v>
          </cell>
          <cell r="D34">
            <v>0</v>
          </cell>
          <cell r="F34" t="e">
            <v>#REF!</v>
          </cell>
          <cell r="G34" t="e">
            <v>#REF!</v>
          </cell>
          <cell r="J34" t="e">
            <v>#REF!</v>
          </cell>
          <cell r="N34" t="e">
            <v>#REF!</v>
          </cell>
        </row>
        <row r="35">
          <cell r="B35" t="str">
            <v>Long-Term Debt</v>
          </cell>
          <cell r="D35">
            <v>5022</v>
          </cell>
          <cell r="F35">
            <v>0</v>
          </cell>
          <cell r="G35">
            <v>0</v>
          </cell>
          <cell r="H35">
            <v>0</v>
          </cell>
          <cell r="J35">
            <v>0</v>
          </cell>
          <cell r="K35">
            <v>0</v>
          </cell>
          <cell r="M35">
            <v>0</v>
          </cell>
          <cell r="N35">
            <v>0</v>
          </cell>
          <cell r="P35">
            <v>5022</v>
          </cell>
        </row>
        <row r="36">
          <cell r="B36" t="str">
            <v>Other Long Term Liab.</v>
          </cell>
          <cell r="D36">
            <v>2326</v>
          </cell>
          <cell r="G36">
            <v>0</v>
          </cell>
          <cell r="H36">
            <v>0</v>
          </cell>
          <cell r="J36">
            <v>0</v>
          </cell>
          <cell r="M36">
            <v>0</v>
          </cell>
          <cell r="P36">
            <v>2326</v>
          </cell>
        </row>
        <row r="37">
          <cell r="B37" t="str">
            <v>Acquisition Debt</v>
          </cell>
          <cell r="D37">
            <v>0</v>
          </cell>
          <cell r="G37">
            <v>0</v>
          </cell>
          <cell r="H37">
            <v>0</v>
          </cell>
          <cell r="J37">
            <v>0</v>
          </cell>
          <cell r="K37">
            <v>0</v>
          </cell>
          <cell r="M37">
            <v>0</v>
          </cell>
          <cell r="N37">
            <v>0</v>
          </cell>
          <cell r="P37">
            <v>0</v>
          </cell>
        </row>
        <row r="38">
          <cell r="B38" t="str">
            <v>Total Long-Term Liabilities</v>
          </cell>
          <cell r="D38">
            <v>7348</v>
          </cell>
          <cell r="F38">
            <v>0</v>
          </cell>
          <cell r="G38">
            <v>0</v>
          </cell>
          <cell r="H38">
            <v>0</v>
          </cell>
          <cell r="J38">
            <v>0</v>
          </cell>
          <cell r="K38">
            <v>0</v>
          </cell>
          <cell r="M38">
            <v>0</v>
          </cell>
          <cell r="N38">
            <v>0</v>
          </cell>
          <cell r="P38">
            <v>7348</v>
          </cell>
        </row>
        <row r="39">
          <cell r="B39" t="str">
            <v>Equity</v>
          </cell>
          <cell r="D39">
            <v>12250.664542945513</v>
          </cell>
          <cell r="F39">
            <v>0</v>
          </cell>
          <cell r="G39">
            <v>0</v>
          </cell>
          <cell r="H39">
            <v>0</v>
          </cell>
          <cell r="J39">
            <v>0</v>
          </cell>
          <cell r="K39">
            <v>0</v>
          </cell>
          <cell r="M39">
            <v>0</v>
          </cell>
          <cell r="N39">
            <v>0</v>
          </cell>
          <cell r="P39">
            <v>12250.664542945513</v>
          </cell>
        </row>
        <row r="40">
          <cell r="B40" t="str">
            <v>Total Liabilities &amp; Equity</v>
          </cell>
          <cell r="D40">
            <v>24916.806054395893</v>
          </cell>
          <cell r="F40">
            <v>0</v>
          </cell>
          <cell r="G40">
            <v>0</v>
          </cell>
          <cell r="H40">
            <v>0</v>
          </cell>
          <cell r="J40">
            <v>0</v>
          </cell>
          <cell r="K40">
            <v>0</v>
          </cell>
          <cell r="M40">
            <v>0</v>
          </cell>
          <cell r="N40">
            <v>0</v>
          </cell>
          <cell r="P40">
            <v>24916.806054395893</v>
          </cell>
        </row>
        <row r="41">
          <cell r="B41" t="str">
            <v/>
          </cell>
          <cell r="D41" t="str">
            <v/>
          </cell>
          <cell r="F41">
            <v>0</v>
          </cell>
          <cell r="G41">
            <v>0</v>
          </cell>
          <cell r="H41">
            <v>0</v>
          </cell>
          <cell r="J41">
            <v>0</v>
          </cell>
          <cell r="K41">
            <v>0</v>
          </cell>
          <cell r="M41">
            <v>0</v>
          </cell>
          <cell r="N41">
            <v>0</v>
          </cell>
          <cell r="P41">
            <v>0</v>
          </cell>
        </row>
      </sheetData>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MW-Cache"/>
      <sheetName val="MWA RR_NOVN.VX"/>
      <sheetName val="Qrtly Sales"/>
      <sheetName val=" Qrtly P&amp;L"/>
      <sheetName val="Div SOP"/>
      <sheetName val="BalanceSheet"/>
      <sheetName val="CashFlowSt"/>
      <sheetName val="mwareTaxoPres"/>
      <sheetName val="mwareDates"/>
      <sheetName val="mwareSettings"/>
      <sheetName val="Changes to model"/>
      <sheetName val="MW Valuation"/>
      <sheetName val="Scenarios"/>
      <sheetName val="Pipeline"/>
      <sheetName val="Gross Margin"/>
      <sheetName val="Yrly Sales"/>
      <sheetName val="Currency"/>
      <sheetName val="Annual P&amp;L"/>
      <sheetName val="Div P&amp;L"/>
      <sheetName val="Alcon"/>
      <sheetName val=" Qrtly P&amp;L (ex Alcon)"/>
      <sheetName val="Galvus"/>
      <sheetName val="Telbivudine"/>
      <sheetName val="By division"/>
      <sheetName val="DCF 2020"/>
      <sheetName val="Open Platform"/>
      <sheetName val="Product DCF"/>
      <sheetName val="cons"/>
      <sheetName val="Sheet3"/>
      <sheetName val="Sheet1"/>
      <sheetName val="sales sheet for model"/>
      <sheetName val="Novartisfeed"/>
      <sheetName val="DCF"/>
      <sheetName val="MWare_Cached"/>
      <sheetName val="SOP EBITDA"/>
      <sheetName val="SOP PE"/>
      <sheetName val="__FDSCACHE__"/>
      <sheetName val="FutureProducts"/>
      <sheetName val="Sales Charts"/>
      <sheetName val=" Yrly P&amp;L"/>
      <sheetName val="Chiron acquisition"/>
      <sheetName val="Sandoz"/>
      <sheetName val="Restructuring and synergies"/>
      <sheetName val="IFRS adjustments"/>
      <sheetName val="GVAT Adjusted CHF"/>
      <sheetName val="GVAT Adjusted $"/>
      <sheetName val="GVAT RI Valuation"/>
      <sheetName val="GVAT Reported $"/>
      <sheetName val="GVAT pensions CHF"/>
      <sheetName val="GVAT Reported CHF"/>
      <sheetName val="GVAT options CHF"/>
      <sheetName val="RI Valuation"/>
      <sheetName val="Convergence Valuation"/>
      <sheetName val="Model_Template"/>
      <sheetName val="RI GW"/>
      <sheetName val="Key metrics"/>
      <sheetName val="QPreview"/>
      <sheetName val="GE3"/>
      <sheetName val="Sum of parts"/>
      <sheetName val="new sop"/>
      <sheetName val="vildagliptin"/>
      <sheetName val="Product concentration"/>
      <sheetName val="div p&amp;L new"/>
      <sheetName val="mwareValPrintout"/>
      <sheetName val="Zelnorm"/>
      <sheetName val="Gleevec"/>
      <sheetName val="Elidel"/>
      <sheetName val="GE Upload"/>
      <sheetName val="Disclaimer"/>
      <sheetName val="mwareDates_38456_582518"/>
      <sheetName val="Report"/>
      <sheetName val="mwarePreview"/>
      <sheetName val="Primary Care"/>
      <sheetName val=" Qrtly P&amp;Lold"/>
      <sheetName val=" Yrly P&amp;L old"/>
      <sheetName val="Residual Income"/>
      <sheetName val="Tables"/>
      <sheetName val="Page 3"/>
      <sheetName val="Alcon P&amp;L Pro Form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row r="149">
          <cell r="C149" t="e">
            <v>#REF!</v>
          </cell>
        </row>
      </sheetData>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opin MF Valuation"/>
      <sheetName val="Accretion-Dilution"/>
      <sheetName val="Synergy Analysis"/>
      <sheetName val="__FDSCACHE__"/>
      <sheetName val="Blended Analysis"/>
      <sheetName val="Operating Eff."/>
      <sheetName val="Step-Up"/>
      <sheetName val="Bach Pro Forma"/>
      <sheetName val="DistributedCo"/>
      <sheetName val="Chopin MF Consolidated"/>
      <sheetName val="Chopin Dist. Cons."/>
      <sheetName val="Chopin Pro Serv Cons."/>
      <sheetName val="Chopin Corp- Unall Cons."/>
      <sheetName val="Chopin Summary Cons."/>
      <sheetName val="Chopin Corp - Unall Uncons."/>
      <sheetName val="Chopin MF Uncons."/>
      <sheetName val="Chopin Dist Uncons."/>
      <sheetName val="Chopin Pro Serv Uncons."/>
      <sheetName val="Chopin Sum Uncons."/>
      <sheetName val="Bach MF"/>
      <sheetName val="Bach Distributed"/>
      <sheetName val="Bach Pro Serv"/>
      <sheetName val="Bach Corp- Unall"/>
      <sheetName val="Bach Summary"/>
    </sheetNames>
    <sheetDataSet>
      <sheetData sheetId="0" refreshError="1">
        <row r="10">
          <cell r="C10">
            <v>0.02</v>
          </cell>
        </row>
      </sheetData>
      <sheetData sheetId="1" refreshError="1">
        <row r="24">
          <cell r="T24">
            <v>16.13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_Assumptions"/>
      <sheetName val="Nickel_Assumptions"/>
      <sheetName val="Nickel_Model"/>
      <sheetName val="Nickel_DCFInputs"/>
      <sheetName val="Nickel_DCFMatrix"/>
      <sheetName val="Bolt_Assumptions"/>
      <sheetName val="Bolt_Model"/>
      <sheetName val="Bolt_DCFInputs"/>
      <sheetName val="Bolt_DCFMatrix"/>
      <sheetName val="FootballField"/>
      <sheetName val="Contribution"/>
      <sheetName val="Ownership"/>
      <sheetName val="Synergy_Premiums"/>
      <sheetName val="Xratio_Ownership"/>
      <sheetName val="Nickel_FSOutput"/>
      <sheetName val="Bolt_FSOutput"/>
    </sheetNames>
    <sheetDataSet>
      <sheetData sheetId="0" refreshError="1">
        <row r="18">
          <cell r="P18">
            <v>129.792754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amp;A inputs"/>
      <sheetName val="M&amp;A Financials"/>
      <sheetName val="PF BS"/>
      <sheetName val="EPS Analysis"/>
      <sheetName val="EPS Tables"/>
      <sheetName val="PF Ownership"/>
      <sheetName val="Sheet1"/>
      <sheetName val="Valuation Matrix"/>
      <sheetName val="Rerating"/>
      <sheetName val="Standalone PPaids"/>
    </sheetNames>
    <sheetDataSet>
      <sheetData sheetId="0" refreshError="1"/>
      <sheetData sheetId="1" refreshError="1">
        <row r="11">
          <cell r="J11" t="str">
            <v>Bear</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Valuation Matrix"/>
      <sheetName val="Overview"/>
      <sheetName val="AD Sensitivities"/>
      <sheetName val="Inputs"/>
      <sheetName val="Funds Output"/>
      <sheetName val="Assumptions"/>
      <sheetName val="PF Credit Stats"/>
      <sheetName val="Module1"/>
      <sheetName val="Module2"/>
      <sheetName val="Pro Forma Balance Sheet"/>
      <sheetName val="PF Financials"/>
      <sheetName val="AccDil"/>
      <sheetName val="JV Assumptions"/>
      <sheetName val="JV AccDil "/>
      <sheetName val="JV Pro Forma Balance Sheet"/>
      <sheetName val="JV Credit Stats "/>
      <sheetName val="JV Financials"/>
      <sheetName val="Returns Analysis"/>
      <sheetName val="Acquiror Financials"/>
      <sheetName val="Target  Financials"/>
      <sheetName val="Target Detail"/>
      <sheetName val="DCF"/>
      <sheetName val="Exit Analysis"/>
      <sheetName val="Buildup"/>
      <sheetName val="Synergies"/>
      <sheetName val="Shareholder Analysis"/>
      <sheetName val="Broncos AccDil Input"/>
      <sheetName val="Broncos AccDil"/>
      <sheetName val="BUD AccDil Input"/>
      <sheetName val="BUD AccDil"/>
      <sheetName val="HEIN AccDil Input"/>
      <sheetName val="HEIN AccDil"/>
      <sheetName val="SAB AccDil Input"/>
      <sheetName val="SAB AccDil"/>
      <sheetName val="PMB AccDil Input"/>
      <sheetName val="PMB AccDil"/>
      <sheetName val="Combination Analysis"/>
      <sheetName val="Strategic JV Analysis"/>
      <sheetName val="MOL AccDil Input"/>
      <sheetName val="MOL AccDil 2"/>
      <sheetName val="MOL AccDil"/>
      <sheetName val="AdditionalPrintCode"/>
      <sheetName val="MainPrintCod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 Inputs"/>
      <sheetName val="Company Inputs"/>
      <sheetName val="MainPrintCode"/>
      <sheetName val="Calcs"/>
      <sheetName val="AccDil Backup"/>
      <sheetName val="AccDil Output"/>
      <sheetName val="Summary Output"/>
      <sheetName val="Mkt. Value Backup"/>
      <sheetName val="Mkt Value Output"/>
      <sheetName val="Debt Page"/>
      <sheetName val="__FDSCACHE__"/>
      <sheetName val="Full Side-By-Side"/>
      <sheetName val="Side-By-Side"/>
      <sheetName val="Braves - Key Assumptions"/>
      <sheetName val="Braves - Summ.Inc. Stmnt"/>
      <sheetName val="NewCo -  Inc. Stmnt  No Divest"/>
      <sheetName val="NewCo - Summ. Inc. Stmnt  Div"/>
      <sheetName val="Angels-Braves Trans Adj."/>
      <sheetName val="Braves - Synergies II"/>
      <sheetName val="Braves-Angels - Synergies"/>
      <sheetName val="Skipper-Angels - Synergies "/>
      <sheetName val="Pirates-Angels - Synergies "/>
      <sheetName val="Braves - Inventory Situation"/>
      <sheetName val="Braves - Income Stmt. Analysis"/>
      <sheetName val="PharmaCo - Summary Income Stmnt"/>
      <sheetName val="Value Creation - Bowman"/>
      <sheetName val="NewCo - Equity Value Bowman"/>
      <sheetName val="NewCo - Equity Value Archer"/>
      <sheetName val="SpinCo Valuation Matrix"/>
      <sheetName val="Key Stats"/>
      <sheetName val="Fin Stats"/>
      <sheetName val="Analyst Estimates"/>
      <sheetName val="Analyst Estimates (Old)"/>
      <sheetName val="Ex Ratio"/>
      <sheetName val="Options"/>
      <sheetName val="FACTSET DOWNLOADS"/>
      <sheetName val="Old Sheets ----&gt;"/>
      <sheetName val="Anti-Trust Case"/>
      <sheetName val="Pirate - EPS Assumptions"/>
      <sheetName val="Changes to MS Sniper Model"/>
      <sheetName val=" Scenario Overview"/>
      <sheetName val="Financial Comparison"/>
      <sheetName val="Sniper - Synergies"/>
      <sheetName val="Pikeman Monarch EPS"/>
      <sheetName val="Matrix"/>
    </sheetNames>
    <sheetDataSet>
      <sheetData sheetId="0" refreshError="1">
        <row r="14">
          <cell r="B14">
            <v>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page"/>
      <sheetName val="Module2"/>
      <sheetName val="Module1"/>
      <sheetName val="__FDSCACHE__"/>
      <sheetName val="Company Inputs"/>
      <sheetName val="Target&amp;Acquiror"/>
      <sheetName val="Trans"/>
      <sheetName val="Calcs"/>
      <sheetName val="newpage"/>
      <sheetName val="Summary"/>
      <sheetName val="Reconcile"/>
      <sheetName val="Module3"/>
    </sheetNames>
    <sheetDataSet>
      <sheetData sheetId="0"/>
      <sheetData sheetId="1" refreshError="1"/>
      <sheetData sheetId="2" refreshError="1"/>
      <sheetData sheetId="3"/>
      <sheetData sheetId="4" refreshError="1">
        <row r="3">
          <cell r="C3" t="str">
            <v>Elementis</v>
          </cell>
        </row>
        <row r="39">
          <cell r="B39">
            <v>0.37</v>
          </cell>
        </row>
        <row r="41">
          <cell r="C41">
            <v>1.6203000000000001</v>
          </cell>
        </row>
        <row r="43">
          <cell r="C43">
            <v>23.041</v>
          </cell>
        </row>
      </sheetData>
      <sheetData sheetId="5" refreshError="1">
        <row r="2">
          <cell r="C2">
            <v>0</v>
          </cell>
        </row>
      </sheetData>
      <sheetData sheetId="6" refreshError="1">
        <row r="11">
          <cell r="E11">
            <v>0</v>
          </cell>
        </row>
        <row r="17">
          <cell r="C17">
            <v>1.6203000000000001</v>
          </cell>
        </row>
        <row r="23">
          <cell r="I23" t="str">
            <v>PROJECT STAR</v>
          </cell>
        </row>
      </sheetData>
      <sheetData sheetId="7" refreshError="1">
        <row r="10">
          <cell r="C10">
            <v>37.568275800000002</v>
          </cell>
        </row>
        <row r="45">
          <cell r="G45">
            <v>24.193999999999999</v>
          </cell>
        </row>
      </sheetData>
      <sheetData sheetId="8"/>
      <sheetData sheetId="9"/>
      <sheetData sheetId="10"/>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Sensitivity (Growth) (2)"/>
      <sheetName val="DCF Sensitivity (EBITDA)"/>
      <sheetName val="FB Field Backup"/>
      <sheetName val="CRailDCF"/>
      <sheetName val="DCF Inputs"/>
      <sheetName val="DCF Matrix"/>
      <sheetName val="INPUTS"/>
      <sheetName val="Dallas Trans Assump"/>
      <sheetName val="RONA"/>
      <sheetName val="ValMatrix"/>
      <sheetName val="AccDil"/>
      <sheetName val="Merger Summary"/>
      <sheetName val="PF Adjust"/>
      <sheetName val="Dallas Pro Forma"/>
      <sheetName val="Dallas Standalone"/>
      <sheetName val="Dallas Cases"/>
      <sheetName val="Segment Valuations"/>
      <sheetName val="Light Duty Sales"/>
      <sheetName val="1998 Balance Sheet"/>
      <sheetName val="Light Duty"/>
      <sheetName val="Medium Duty"/>
      <sheetName val="Heavy Duty"/>
      <sheetName val="Heavy Industrial"/>
      <sheetName val="International"/>
      <sheetName val="Aftermarket"/>
      <sheetName val="Adjustment"/>
      <sheetName val="Laredo Standalone"/>
      <sheetName val="Module16"/>
      <sheetName val="Module17"/>
      <sheetName val="Module19"/>
      <sheetName val="Module20"/>
      <sheetName val="Laredo Cases"/>
      <sheetName val="Common Rail"/>
      <sheetName val="MainPrint Code"/>
      <sheetName val="AdditionalPrint Code"/>
      <sheetName val="AdditionalPrintCode"/>
      <sheetName val="MainPrintCode"/>
      <sheetName val="Module2"/>
      <sheetName val="Module3"/>
      <sheetName val="__FDSCACHE__"/>
      <sheetName val="InitialPrintDialog"/>
      <sheetName val="DCF Code"/>
      <sheetName val="DCFprintDialog"/>
      <sheetName val="FMO"/>
      <sheetName val="BorgWarner"/>
      <sheetName val="Siemens"/>
      <sheetName val="Valeo"/>
      <sheetName val="Rheinmetall"/>
      <sheetName val="98 vs 99"/>
      <sheetName val="MiniSummary"/>
      <sheetName val="Module6"/>
      <sheetName val="Module7"/>
      <sheetName val="Module1"/>
      <sheetName val="Module4"/>
      <sheetName val="Module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Trans_Inputs"/>
      <sheetName val="Target_Sum"/>
      <sheetName val="Acquiror_Sum"/>
      <sheetName val="NI_Analysis"/>
      <sheetName val="Presentation_Output"/>
      <sheetName val="Dura Income Statement"/>
      <sheetName val="Dura Adjusted IS"/>
      <sheetName val="__FDSCACHE__"/>
      <sheetName val="Share_Calculations"/>
      <sheetName val="SEPR Adjusted IS"/>
      <sheetName val="Public_Macro"/>
      <sheetName val="Private_Macro"/>
      <sheetName val="Module2"/>
      <sheetName val="Module3"/>
      <sheetName val="Module1"/>
      <sheetName val="Module4"/>
      <sheetName val="Module5"/>
      <sheetName val="Module6"/>
      <sheetName val="Module7"/>
    </sheetNames>
    <sheetDataSet>
      <sheetData sheetId="0" refreshError="1">
        <row r="15">
          <cell r="O15" t="str">
            <v>AAS</v>
          </cell>
          <cell r="Q15" t="str">
            <v>BSX</v>
          </cell>
          <cell r="S15" t="str">
            <v>CNTO</v>
          </cell>
          <cell r="U15" t="str">
            <v>AGPH</v>
          </cell>
          <cell r="W15" t="str">
            <v>PFE</v>
          </cell>
          <cell r="Y15" t="str">
            <v>BGEN</v>
          </cell>
          <cell r="AA15" t="str">
            <v>AMGN</v>
          </cell>
          <cell r="AC15" t="str">
            <v>GNE</v>
          </cell>
          <cell r="AE15" t="str">
            <v>BMY</v>
          </cell>
          <cell r="AG15" t="str">
            <v>CHIR</v>
          </cell>
          <cell r="AI15" t="str">
            <v>LLY</v>
          </cell>
          <cell r="AK15" t="str">
            <v>CLTR</v>
          </cell>
          <cell r="AM15" t="str">
            <v>IDPH</v>
          </cell>
          <cell r="AO15" t="str">
            <v>PGNS</v>
          </cell>
          <cell r="AQ15" t="str">
            <v>PDLI</v>
          </cell>
          <cell r="AS15" t="str">
            <v>GILD</v>
          </cell>
          <cell r="AU15" t="str">
            <v>GELX</v>
          </cell>
          <cell r="AW15" t="str">
            <v>SANG</v>
          </cell>
          <cell r="AY15" t="str">
            <v>ALGO</v>
          </cell>
          <cell r="BA15" t="str">
            <v>DURA</v>
          </cell>
          <cell r="BC15" t="str">
            <v>VPHM</v>
          </cell>
          <cell r="BE15" t="str">
            <v>SUGN</v>
          </cell>
          <cell r="BG15" t="str">
            <v>TRMS</v>
          </cell>
          <cell r="BI15" t="str">
            <v>ONXX</v>
          </cell>
          <cell r="BK15" t="str">
            <v>IMCL</v>
          </cell>
          <cell r="BM15" t="str">
            <v>SEPR</v>
          </cell>
          <cell r="BO15" t="str">
            <v>JNJ</v>
          </cell>
          <cell r="BQ15" t="str">
            <v>BCHE</v>
          </cell>
          <cell r="BS15" t="str">
            <v>ELN</v>
          </cell>
          <cell r="BU15" t="str">
            <v>MRK</v>
          </cell>
          <cell r="BW15" t="str">
            <v>SBH</v>
          </cell>
          <cell r="BY15" t="str">
            <v>AZA</v>
          </cell>
          <cell r="CA15" t="str">
            <v>ELN</v>
          </cell>
          <cell r="CC15" t="str">
            <v>MEDI</v>
          </cell>
          <cell r="CE15" t="str">
            <v>ABT</v>
          </cell>
          <cell r="CG15" t="str">
            <v>SGP</v>
          </cell>
          <cell r="CI15" t="str">
            <v>GLX</v>
          </cell>
          <cell r="CK15" t="str">
            <v>BMY</v>
          </cell>
          <cell r="CM15" t="str">
            <v>FSH</v>
          </cell>
          <cell r="CO15" t="str">
            <v>025212</v>
          </cell>
          <cell r="CQ15" t="str">
            <v>527313</v>
          </cell>
          <cell r="CS15" t="str">
            <v>484760</v>
          </cell>
          <cell r="CU15" t="str">
            <v>SHPGY</v>
          </cell>
        </row>
        <row r="16">
          <cell r="O16" t="str">
            <v>AAS</v>
          </cell>
          <cell r="Q16" t="str">
            <v>BSX</v>
          </cell>
          <cell r="S16" t="str">
            <v>CNTO</v>
          </cell>
          <cell r="U16" t="str">
            <v>AGPH</v>
          </cell>
          <cell r="W16" t="str">
            <v>PFE</v>
          </cell>
          <cell r="Y16" t="str">
            <v>BGEN</v>
          </cell>
          <cell r="AA16" t="str">
            <v>AMGN</v>
          </cell>
          <cell r="AC16" t="str">
            <v>GNE</v>
          </cell>
          <cell r="AE16" t="str">
            <v>BMY</v>
          </cell>
          <cell r="AG16" t="str">
            <v>CHIR</v>
          </cell>
          <cell r="AI16" t="str">
            <v>LLY</v>
          </cell>
          <cell r="AK16" t="str">
            <v>CLTR</v>
          </cell>
          <cell r="AM16" t="str">
            <v>IDPH</v>
          </cell>
          <cell r="AO16" t="str">
            <v>PGNS</v>
          </cell>
          <cell r="AQ16" t="str">
            <v>PDLI</v>
          </cell>
          <cell r="AS16" t="str">
            <v>GILD</v>
          </cell>
          <cell r="AU16" t="str">
            <v>GELX</v>
          </cell>
          <cell r="AW16" t="str">
            <v>SANG</v>
          </cell>
          <cell r="AY16" t="str">
            <v>ALGO</v>
          </cell>
          <cell r="BA16" t="str">
            <v>DURA</v>
          </cell>
          <cell r="BC16" t="str">
            <v>VPHM</v>
          </cell>
          <cell r="BE16" t="str">
            <v>SUGN</v>
          </cell>
          <cell r="BG16" t="str">
            <v>TRMS</v>
          </cell>
          <cell r="BI16" t="str">
            <v>ONXX</v>
          </cell>
          <cell r="BK16" t="str">
            <v>IMCL</v>
          </cell>
          <cell r="BM16" t="str">
            <v>SEPR</v>
          </cell>
          <cell r="BO16" t="str">
            <v>JNJ</v>
          </cell>
          <cell r="BQ16" t="str">
            <v>BCHE</v>
          </cell>
          <cell r="BS16" t="str">
            <v>ELN</v>
          </cell>
          <cell r="BU16" t="str">
            <v>MRK</v>
          </cell>
          <cell r="BW16" t="str">
            <v>SBH</v>
          </cell>
          <cell r="BY16" t="str">
            <v>AZA</v>
          </cell>
          <cell r="CA16" t="str">
            <v>ELN</v>
          </cell>
          <cell r="CC16" t="str">
            <v>MEDI</v>
          </cell>
          <cell r="CE16" t="str">
            <v>ABT</v>
          </cell>
          <cell r="CG16" t="str">
            <v>SGP</v>
          </cell>
          <cell r="CI16" t="str">
            <v>GLX</v>
          </cell>
          <cell r="CK16" t="str">
            <v>BMY</v>
          </cell>
          <cell r="CM16" t="str">
            <v>FSH</v>
          </cell>
          <cell r="CO16" t="str">
            <v>OXFORD</v>
          </cell>
          <cell r="CQ16" t="str">
            <v>ALTANA</v>
          </cell>
          <cell r="CS16" t="str">
            <v>SCHWARZ</v>
          </cell>
          <cell r="CU16" t="str">
            <v>SHIRE</v>
          </cell>
        </row>
        <row r="17">
          <cell r="P17" t="str">
            <v xml:space="preserve"> </v>
          </cell>
          <cell r="R17" t="str">
            <v xml:space="preserve"> </v>
          </cell>
          <cell r="V17" t="str">
            <v xml:space="preserve"> </v>
          </cell>
          <cell r="AD17" t="str">
            <v xml:space="preserve"> </v>
          </cell>
          <cell r="AF17" t="str">
            <v xml:space="preserve"> </v>
          </cell>
          <cell r="AJ17" t="str">
            <v xml:space="preserve"> </v>
          </cell>
          <cell r="AL17" t="str">
            <v xml:space="preserve"> </v>
          </cell>
          <cell r="AN17" t="str">
            <v xml:space="preserve"> </v>
          </cell>
          <cell r="BV17" t="str">
            <v xml:space="preserve"> </v>
          </cell>
          <cell r="BX17" t="str">
            <v xml:space="preserve"> </v>
          </cell>
          <cell r="BZ17" t="str">
            <v xml:space="preserve"> </v>
          </cell>
        </row>
        <row r="18">
          <cell r="P18" t="str">
            <v xml:space="preserve"> </v>
          </cell>
          <cell r="R18" t="str">
            <v xml:space="preserve"> </v>
          </cell>
          <cell r="V18" t="str">
            <v xml:space="preserve"> </v>
          </cell>
          <cell r="AD18" t="str">
            <v xml:space="preserve"> </v>
          </cell>
          <cell r="AF18" t="str">
            <v xml:space="preserve"> </v>
          </cell>
          <cell r="AJ18" t="str">
            <v xml:space="preserve"> </v>
          </cell>
          <cell r="AL18" t="str">
            <v xml:space="preserve"> </v>
          </cell>
          <cell r="AN18" t="str">
            <v xml:space="preserve"> </v>
          </cell>
          <cell r="BV18" t="str">
            <v xml:space="preserve"> </v>
          </cell>
          <cell r="BX18" t="str">
            <v xml:space="preserve"> </v>
          </cell>
          <cell r="BZ18" t="str">
            <v xml:space="preserve"> </v>
          </cell>
        </row>
        <row r="21">
          <cell r="P21" t="str">
            <v xml:space="preserve"> </v>
          </cell>
        </row>
        <row r="22">
          <cell r="P22" t="str">
            <v xml:space="preserve"> </v>
          </cell>
        </row>
        <row r="23">
          <cell r="O23" t="str">
            <v>AMERISOURCE HEALTH CP  -CL A</v>
          </cell>
          <cell r="P23" t="str">
            <v xml:space="preserve"> </v>
          </cell>
          <cell r="Q23" t="str">
            <v>BOSTON SCIENTIFIC CORP</v>
          </cell>
          <cell r="R23" t="str">
            <v xml:space="preserve"> </v>
          </cell>
          <cell r="S23" t="str">
            <v>Centocor</v>
          </cell>
          <cell r="U23" t="str">
            <v>Agouron Pharma</v>
          </cell>
          <cell r="W23" t="str">
            <v>Pfizer</v>
          </cell>
          <cell r="Y23" t="str">
            <v>Biogen</v>
          </cell>
          <cell r="AA23" t="str">
            <v>Amgen</v>
          </cell>
          <cell r="AC23" t="str">
            <v>Genentech</v>
          </cell>
          <cell r="AE23" t="str">
            <v>Bristol-Myers Squibb</v>
          </cell>
          <cell r="AG23" t="str">
            <v>Chiron</v>
          </cell>
          <cell r="AI23" t="str">
            <v>Eli Lilly</v>
          </cell>
          <cell r="AK23" t="str">
            <v>Coulter</v>
          </cell>
          <cell r="AM23" t="str">
            <v>IDEC</v>
          </cell>
          <cell r="AO23" t="str">
            <v>Pathogenesis</v>
          </cell>
          <cell r="AQ23" t="str">
            <v>PROTEIN DESIGN LABS INC</v>
          </cell>
          <cell r="AS23" t="str">
            <v>GILEAD SCIENCES INC</v>
          </cell>
          <cell r="AU23" t="str">
            <v>GELTEX PHARMACEUTICALS INC</v>
          </cell>
          <cell r="AW23" t="str">
            <v>SANGSTAT MEDICAL CORP</v>
          </cell>
          <cell r="AY23" t="str">
            <v>ALGOS PHARMACEUTICAL CORP</v>
          </cell>
          <cell r="BA23" t="str">
            <v>DURA PHARMACEUTICALS INC</v>
          </cell>
          <cell r="BC23" t="str">
            <v>VIROPHARMA INC</v>
          </cell>
          <cell r="BE23" t="str">
            <v>SUGEN INC</v>
          </cell>
          <cell r="BG23" t="str">
            <v>TRIMERIS INC</v>
          </cell>
          <cell r="BI23" t="str">
            <v>ONYX PHARMACEUTICALS INC</v>
          </cell>
          <cell r="BK23" t="str">
            <v>IMCLONE SYSTEMS INC</v>
          </cell>
          <cell r="BM23" t="str">
            <v>SEPRACOR INC</v>
          </cell>
          <cell r="BO23" t="str">
            <v>JOHNSON &amp; JOHNSON</v>
          </cell>
          <cell r="BQ23" t="str">
            <v>BIOCHEM PHARMA INC</v>
          </cell>
          <cell r="BS23" t="str">
            <v>Elan</v>
          </cell>
          <cell r="BU23" t="str">
            <v>Merck</v>
          </cell>
          <cell r="BW23" t="str">
            <v>SmithKline</v>
          </cell>
          <cell r="BY23" t="str">
            <v>Alza</v>
          </cell>
          <cell r="CA23" t="str">
            <v>Elan</v>
          </cell>
          <cell r="CC23" t="str">
            <v>MEDIMMUNE INC</v>
          </cell>
          <cell r="CE23" t="str">
            <v>ABBOTT LABORATORIES</v>
          </cell>
          <cell r="CG23" t="str">
            <v>SCHERING-PLOUGH</v>
          </cell>
          <cell r="CI23" t="str">
            <v>GLAXO WELLCOME PLC  -SP ADR</v>
          </cell>
          <cell r="CK23" t="str">
            <v>BRISTOL MYERS SQUIBB</v>
          </cell>
          <cell r="CM23" t="str">
            <v>FISHER SCIENTIFIC INTL INC</v>
          </cell>
          <cell r="CO23" t="str">
            <v>OXFORD ASYMMETRY I</v>
          </cell>
          <cell r="CQ23" t="str">
            <v>ALTANA AG</v>
          </cell>
          <cell r="CS23" t="str">
            <v>SCHWARZ PHARMA AG</v>
          </cell>
          <cell r="CU23" t="str">
            <v>SHIRE PHARMACETCLS GRP  -ADR</v>
          </cell>
        </row>
        <row r="24">
          <cell r="O24" t="str">
            <v>AAS</v>
          </cell>
          <cell r="P24" t="str">
            <v xml:space="preserve"> </v>
          </cell>
          <cell r="Q24" t="str">
            <v>BSX</v>
          </cell>
          <cell r="R24" t="str">
            <v xml:space="preserve"> </v>
          </cell>
          <cell r="S24" t="str">
            <v>CNTO</v>
          </cell>
          <cell r="U24" t="str">
            <v>AGPH</v>
          </cell>
          <cell r="W24" t="str">
            <v>PFE</v>
          </cell>
          <cell r="Y24" t="str">
            <v>BGEN</v>
          </cell>
          <cell r="AA24" t="str">
            <v>AMGN</v>
          </cell>
          <cell r="AC24" t="str">
            <v>GNE</v>
          </cell>
          <cell r="AE24" t="str">
            <v>BMY</v>
          </cell>
          <cell r="AG24" t="str">
            <v>CHIR</v>
          </cell>
          <cell r="AI24" t="str">
            <v>LLY</v>
          </cell>
          <cell r="AK24" t="str">
            <v>CLTR</v>
          </cell>
          <cell r="AM24" t="str">
            <v>IDPH</v>
          </cell>
          <cell r="AO24" t="str">
            <v>PGNS</v>
          </cell>
          <cell r="AQ24" t="str">
            <v>PDLI</v>
          </cell>
          <cell r="AS24" t="str">
            <v>GILD</v>
          </cell>
          <cell r="AU24" t="str">
            <v>GELX</v>
          </cell>
          <cell r="AW24" t="str">
            <v>SANG</v>
          </cell>
          <cell r="AY24" t="str">
            <v>ALGO</v>
          </cell>
          <cell r="BA24" t="str">
            <v>DURA</v>
          </cell>
          <cell r="BC24" t="str">
            <v>VPHM</v>
          </cell>
          <cell r="BE24" t="str">
            <v>SUGN</v>
          </cell>
          <cell r="BG24" t="str">
            <v>TRMS</v>
          </cell>
          <cell r="BI24" t="str">
            <v>ONXX</v>
          </cell>
          <cell r="BK24" t="str">
            <v>IMCL</v>
          </cell>
          <cell r="BM24" t="str">
            <v>SEPR</v>
          </cell>
          <cell r="BO24" t="str">
            <v>JNJ</v>
          </cell>
          <cell r="BQ24" t="str">
            <v>BCHE</v>
          </cell>
          <cell r="BS24" t="str">
            <v>ELN</v>
          </cell>
          <cell r="BU24" t="str">
            <v>MRK</v>
          </cell>
          <cell r="BW24" t="str">
            <v>SBH</v>
          </cell>
          <cell r="BY24" t="str">
            <v>AZA</v>
          </cell>
          <cell r="CA24" t="str">
            <v>ELN</v>
          </cell>
          <cell r="CC24" t="str">
            <v>MEDI</v>
          </cell>
          <cell r="CE24" t="str">
            <v>ABT</v>
          </cell>
          <cell r="CG24" t="str">
            <v>SGP</v>
          </cell>
          <cell r="CI24" t="str">
            <v>GLX</v>
          </cell>
          <cell r="CK24" t="str">
            <v>BMY</v>
          </cell>
          <cell r="CM24" t="str">
            <v>FSH</v>
          </cell>
          <cell r="CO24" t="str">
            <v>025212</v>
          </cell>
          <cell r="CQ24" t="str">
            <v>527313</v>
          </cell>
          <cell r="CS24" t="str">
            <v>484760</v>
          </cell>
          <cell r="CU24" t="str">
            <v>SHPGY</v>
          </cell>
        </row>
        <row r="25">
          <cell r="O25">
            <v>9</v>
          </cell>
          <cell r="P25" t="str">
            <v xml:space="preserve"> </v>
          </cell>
          <cell r="Q25">
            <v>12</v>
          </cell>
          <cell r="R25" t="str">
            <v xml:space="preserve"> </v>
          </cell>
          <cell r="S25">
            <v>12</v>
          </cell>
          <cell r="U25">
            <v>6</v>
          </cell>
          <cell r="W25">
            <v>12</v>
          </cell>
          <cell r="Y25">
            <v>12</v>
          </cell>
          <cell r="AA25">
            <v>12</v>
          </cell>
          <cell r="AC25">
            <v>12</v>
          </cell>
          <cell r="AE25">
            <v>12</v>
          </cell>
          <cell r="AG25">
            <v>12</v>
          </cell>
          <cell r="AI25">
            <v>12</v>
          </cell>
          <cell r="AK25">
            <v>12</v>
          </cell>
          <cell r="AM25">
            <v>12</v>
          </cell>
          <cell r="AO25">
            <v>12</v>
          </cell>
          <cell r="AQ25">
            <v>12</v>
          </cell>
          <cell r="AS25">
            <v>12</v>
          </cell>
          <cell r="AU25">
            <v>12</v>
          </cell>
          <cell r="AW25">
            <v>12</v>
          </cell>
          <cell r="AY25">
            <v>12</v>
          </cell>
          <cell r="BA25">
            <v>12</v>
          </cell>
          <cell r="BC25">
            <v>12</v>
          </cell>
          <cell r="BE25">
            <v>12</v>
          </cell>
          <cell r="BG25">
            <v>12</v>
          </cell>
          <cell r="BI25">
            <v>12</v>
          </cell>
          <cell r="BK25">
            <v>12</v>
          </cell>
          <cell r="BM25">
            <v>12</v>
          </cell>
          <cell r="BO25">
            <v>12</v>
          </cell>
          <cell r="BQ25">
            <v>12</v>
          </cell>
          <cell r="BS25">
            <v>12</v>
          </cell>
          <cell r="BU25">
            <v>12</v>
          </cell>
          <cell r="BW25">
            <v>12</v>
          </cell>
          <cell r="BY25">
            <v>12</v>
          </cell>
          <cell r="CA25">
            <v>12</v>
          </cell>
          <cell r="CC25">
            <v>12</v>
          </cell>
          <cell r="CE25">
            <v>12</v>
          </cell>
          <cell r="CG25">
            <v>12</v>
          </cell>
          <cell r="CI25">
            <v>12</v>
          </cell>
          <cell r="CK25">
            <v>12</v>
          </cell>
          <cell r="CM25">
            <v>12</v>
          </cell>
          <cell r="CO25">
            <v>12</v>
          </cell>
          <cell r="CQ25">
            <v>12</v>
          </cell>
          <cell r="CS25">
            <v>12</v>
          </cell>
          <cell r="CU25">
            <v>12</v>
          </cell>
        </row>
        <row r="26">
          <cell r="P26" t="str">
            <v xml:space="preserve"> </v>
          </cell>
          <cell r="R26" t="str">
            <v xml:space="preserve"> </v>
          </cell>
        </row>
        <row r="27">
          <cell r="P27" t="str">
            <v xml:space="preserve"> </v>
          </cell>
          <cell r="R27" t="str">
            <v xml:space="preserve"> </v>
          </cell>
        </row>
        <row r="28">
          <cell r="O28">
            <v>1.06</v>
          </cell>
          <cell r="P28" t="str">
            <v xml:space="preserve"> </v>
          </cell>
          <cell r="Q28">
            <v>1.66</v>
          </cell>
          <cell r="R28" t="str">
            <v xml:space="preserve"> </v>
          </cell>
          <cell r="S28">
            <v>0.16</v>
          </cell>
          <cell r="U28">
            <v>0.4</v>
          </cell>
          <cell r="W28">
            <v>1.7</v>
          </cell>
          <cell r="Y28">
            <v>1.17</v>
          </cell>
          <cell r="AA28">
            <v>2.44</v>
          </cell>
          <cell r="AC28">
            <v>1.05</v>
          </cell>
          <cell r="AE28">
            <v>3.22</v>
          </cell>
          <cell r="AG28">
            <v>-0.41</v>
          </cell>
          <cell r="AI28">
            <v>0.77</v>
          </cell>
          <cell r="AK28">
            <v>-2.58</v>
          </cell>
          <cell r="AM28">
            <v>0.92</v>
          </cell>
          <cell r="AO28">
            <v>-2.1</v>
          </cell>
          <cell r="AQ28">
            <v>-1.35</v>
          </cell>
          <cell r="AS28">
            <v>-0.95</v>
          </cell>
          <cell r="AU28">
            <v>-1.8</v>
          </cell>
          <cell r="AW28">
            <v>-1.36</v>
          </cell>
          <cell r="AY28">
            <v>-0.98</v>
          </cell>
          <cell r="BA28">
            <v>0.44</v>
          </cell>
          <cell r="BC28">
            <v>-1.1299999999999999</v>
          </cell>
          <cell r="BE28">
            <v>-2.4700000000000002</v>
          </cell>
          <cell r="BG28">
            <v>-1.55</v>
          </cell>
          <cell r="BI28">
            <v>-1.65</v>
          </cell>
          <cell r="BK28">
            <v>-0.67</v>
          </cell>
          <cell r="BM28">
            <v>-3.23</v>
          </cell>
          <cell r="BO28">
            <v>2.67</v>
          </cell>
          <cell r="BQ28">
            <v>0.5247473303384026</v>
          </cell>
          <cell r="BS28">
            <v>1.58</v>
          </cell>
          <cell r="BU28">
            <v>3.74</v>
          </cell>
          <cell r="BW28">
            <v>1.61</v>
          </cell>
          <cell r="BY28">
            <v>0.55000000000000004</v>
          </cell>
          <cell r="CA28">
            <v>1.58</v>
          </cell>
          <cell r="CC28">
            <v>-1.6</v>
          </cell>
          <cell r="CE28">
            <v>2.68</v>
          </cell>
          <cell r="CG28">
            <v>0.97499999999999998</v>
          </cell>
          <cell r="CI28">
            <v>1.61</v>
          </cell>
          <cell r="CK28">
            <v>1.58</v>
          </cell>
          <cell r="CM28">
            <v>-1.24</v>
          </cell>
          <cell r="CO28" t="e">
            <v>#N/A</v>
          </cell>
          <cell r="CQ28" t="e">
            <v>#N/A</v>
          </cell>
          <cell r="CS28" t="e">
            <v>#N/A</v>
          </cell>
          <cell r="CU28">
            <v>-0.03</v>
          </cell>
        </row>
        <row r="29">
          <cell r="O29">
            <v>1.2050000000000001</v>
          </cell>
          <cell r="P29" t="str">
            <v xml:space="preserve"> </v>
          </cell>
          <cell r="Q29">
            <v>-0.57500000000000007</v>
          </cell>
          <cell r="R29" t="str">
            <v xml:space="preserve"> </v>
          </cell>
          <cell r="S29">
            <v>0.18173897556457919</v>
          </cell>
          <cell r="U29">
            <v>0.5</v>
          </cell>
          <cell r="W29">
            <v>1.7</v>
          </cell>
          <cell r="Y29">
            <v>1.6799999999999997</v>
          </cell>
          <cell r="AA29">
            <v>2.44</v>
          </cell>
          <cell r="AC29">
            <v>1.1200000000000001</v>
          </cell>
          <cell r="AE29">
            <v>3.3400000000000003</v>
          </cell>
          <cell r="AG29">
            <v>-0.31999999999999995</v>
          </cell>
          <cell r="AI29">
            <v>0.86</v>
          </cell>
          <cell r="AK29">
            <v>-2.79</v>
          </cell>
          <cell r="AM29">
            <v>0.92</v>
          </cell>
          <cell r="AO29">
            <v>-0.41999999999999993</v>
          </cell>
          <cell r="AQ29">
            <v>-1.1100000000000001</v>
          </cell>
          <cell r="AS29">
            <v>-1.7299999999999998</v>
          </cell>
          <cell r="AU29">
            <v>-1.95</v>
          </cell>
          <cell r="AW29">
            <v>-1.9800000000000004</v>
          </cell>
          <cell r="AY29">
            <v>-0.98</v>
          </cell>
          <cell r="BA29">
            <v>0.45999999999999996</v>
          </cell>
          <cell r="BC29">
            <v>-1.6999999999999997</v>
          </cell>
          <cell r="BE29">
            <v>-2.5099999999999998</v>
          </cell>
          <cell r="BG29">
            <v>-1.71</v>
          </cell>
          <cell r="BI29">
            <v>-1.7399999999999998</v>
          </cell>
          <cell r="BK29">
            <v>-0.89999999999999991</v>
          </cell>
          <cell r="BM29">
            <v>-3.73</v>
          </cell>
          <cell r="BO29">
            <v>2.67</v>
          </cell>
          <cell r="BQ29">
            <v>0.62688571686170835</v>
          </cell>
          <cell r="BS29">
            <v>1.69</v>
          </cell>
          <cell r="BU29">
            <v>3.8700000000000006</v>
          </cell>
          <cell r="BW29">
            <v>1.61</v>
          </cell>
          <cell r="BY29">
            <v>0.57000000000000006</v>
          </cell>
          <cell r="CA29">
            <v>1.69</v>
          </cell>
          <cell r="CC29">
            <v>-0.5</v>
          </cell>
          <cell r="CE29">
            <v>2.8100000000000005</v>
          </cell>
          <cell r="CG29">
            <v>1.1299999999999999</v>
          </cell>
          <cell r="CI29">
            <v>1.61</v>
          </cell>
          <cell r="CK29">
            <v>1.655</v>
          </cell>
          <cell r="CM29">
            <v>-0.10000003</v>
          </cell>
          <cell r="CO29" t="e">
            <v>#N/A</v>
          </cell>
          <cell r="CQ29" t="e">
            <v>#N/A</v>
          </cell>
          <cell r="CS29" t="e">
            <v>#N/A</v>
          </cell>
          <cell r="CU29">
            <v>-0.03</v>
          </cell>
        </row>
        <row r="30">
          <cell r="O30" t="e">
            <v>#N/A</v>
          </cell>
          <cell r="P30" t="str">
            <v xml:space="preserve"> </v>
          </cell>
          <cell r="Q30">
            <v>1.66</v>
          </cell>
          <cell r="R30" t="str">
            <v xml:space="preserve"> </v>
          </cell>
          <cell r="S30">
            <v>0.16</v>
          </cell>
          <cell r="U30">
            <v>0.50000000000000011</v>
          </cell>
          <cell r="W30">
            <v>1.7</v>
          </cell>
          <cell r="Y30">
            <v>1.17</v>
          </cell>
          <cell r="AA30">
            <v>2.44</v>
          </cell>
          <cell r="AC30">
            <v>1.05</v>
          </cell>
          <cell r="AE30">
            <v>3.22</v>
          </cell>
          <cell r="AG30">
            <v>0.41</v>
          </cell>
          <cell r="AI30">
            <v>0.77</v>
          </cell>
          <cell r="AK30">
            <v>-2.58</v>
          </cell>
          <cell r="AM30">
            <v>-0.83</v>
          </cell>
          <cell r="AO30">
            <v>-2.1</v>
          </cell>
          <cell r="AQ30">
            <v>-1.35</v>
          </cell>
          <cell r="AS30">
            <v>-0.95</v>
          </cell>
          <cell r="AU30">
            <v>-1.8</v>
          </cell>
          <cell r="AW30">
            <v>-1.36</v>
          </cell>
          <cell r="AY30">
            <v>-0.56000000000000005</v>
          </cell>
          <cell r="BA30">
            <v>0.44</v>
          </cell>
          <cell r="BC30">
            <v>-1.1299999999999999</v>
          </cell>
          <cell r="BE30">
            <v>-2.4700000000000002</v>
          </cell>
          <cell r="BG30">
            <v>-1.55</v>
          </cell>
          <cell r="BI30">
            <v>-1.65</v>
          </cell>
          <cell r="BK30">
            <v>-0.67</v>
          </cell>
          <cell r="BM30">
            <v>-3.23</v>
          </cell>
          <cell r="BO30">
            <v>2.41</v>
          </cell>
          <cell r="BQ30">
            <v>0.52</v>
          </cell>
          <cell r="BS30">
            <v>1.58</v>
          </cell>
          <cell r="BU30">
            <v>3.74</v>
          </cell>
          <cell r="BW30">
            <v>1.61</v>
          </cell>
          <cell r="BY30">
            <v>0.56999999999999995</v>
          </cell>
          <cell r="CA30">
            <v>1.58</v>
          </cell>
          <cell r="CC30">
            <v>-1.6</v>
          </cell>
          <cell r="CE30">
            <v>2.68</v>
          </cell>
          <cell r="CG30">
            <v>0.97499999999999998</v>
          </cell>
          <cell r="CI30">
            <v>1.74</v>
          </cell>
          <cell r="CK30">
            <v>1.6975</v>
          </cell>
          <cell r="CM30">
            <v>-1.24</v>
          </cell>
          <cell r="CO30">
            <v>8.5417919999999994E-2</v>
          </cell>
          <cell r="CQ30">
            <v>0</v>
          </cell>
          <cell r="CS30">
            <v>3.2469000000000001</v>
          </cell>
          <cell r="CU30">
            <v>-0.03</v>
          </cell>
        </row>
        <row r="31">
          <cell r="O31">
            <v>1.2150000000000001</v>
          </cell>
          <cell r="P31" t="str">
            <v xml:space="preserve"> </v>
          </cell>
          <cell r="Q31">
            <v>1.1000000000000001</v>
          </cell>
          <cell r="R31" t="str">
            <v xml:space="preserve"> </v>
          </cell>
          <cell r="S31">
            <v>0.75</v>
          </cell>
          <cell r="U31">
            <v>1.08</v>
          </cell>
          <cell r="W31">
            <v>0.81</v>
          </cell>
          <cell r="Y31">
            <v>1.35</v>
          </cell>
          <cell r="AA31">
            <v>1.95</v>
          </cell>
          <cell r="AC31" t="str">
            <v>N.A.</v>
          </cell>
          <cell r="AE31">
            <v>2.0499999999999998</v>
          </cell>
          <cell r="AG31">
            <v>0.61</v>
          </cell>
          <cell r="AI31">
            <v>2.2800000000000002</v>
          </cell>
          <cell r="AK31">
            <v>-2.08</v>
          </cell>
          <cell r="AM31">
            <v>0.92</v>
          </cell>
          <cell r="AO31">
            <v>0.34</v>
          </cell>
          <cell r="AQ31">
            <v>-0.42</v>
          </cell>
          <cell r="AS31">
            <v>-1.6500000000000001</v>
          </cell>
          <cell r="AU31">
            <v>-0.84</v>
          </cell>
          <cell r="AW31">
            <v>-1.6</v>
          </cell>
          <cell r="AY31">
            <v>-0.98</v>
          </cell>
          <cell r="BA31">
            <v>0.71</v>
          </cell>
          <cell r="BC31">
            <v>-2.04</v>
          </cell>
          <cell r="BE31">
            <v>-2.52</v>
          </cell>
          <cell r="BG31">
            <v>-1.93</v>
          </cell>
          <cell r="BI31" t="str">
            <v>N.A.</v>
          </cell>
          <cell r="BK31">
            <v>-0.42</v>
          </cell>
          <cell r="BM31">
            <v>-4.42</v>
          </cell>
          <cell r="BO31">
            <v>2.67</v>
          </cell>
          <cell r="BQ31">
            <v>0.87120000000000009</v>
          </cell>
          <cell r="BS31">
            <v>1.23</v>
          </cell>
          <cell r="BU31">
            <v>2.4500000000000002</v>
          </cell>
          <cell r="BW31">
            <v>1.9000000000000001</v>
          </cell>
          <cell r="BY31">
            <v>1.49</v>
          </cell>
          <cell r="CA31">
            <v>1.23</v>
          </cell>
          <cell r="CC31">
            <v>1</v>
          </cell>
          <cell r="CE31">
            <v>1.68</v>
          </cell>
          <cell r="CG31">
            <v>1.4000000000000001</v>
          </cell>
          <cell r="CI31">
            <v>1.61</v>
          </cell>
          <cell r="CK31">
            <v>2.1174999999999997</v>
          </cell>
          <cell r="CM31" t="str">
            <v>N.A.</v>
          </cell>
          <cell r="CO31">
            <v>0.14803632</v>
          </cell>
          <cell r="CQ31">
            <v>3.3226610000000005</v>
          </cell>
          <cell r="CS31">
            <v>3.4633600000000002</v>
          </cell>
          <cell r="CU31">
            <v>0.21</v>
          </cell>
        </row>
        <row r="32">
          <cell r="O32">
            <v>1.7649999999999999</v>
          </cell>
          <cell r="P32" t="str">
            <v xml:space="preserve"> </v>
          </cell>
          <cell r="Q32">
            <v>1.4000000000000001</v>
          </cell>
          <cell r="R32" t="str">
            <v xml:space="preserve"> </v>
          </cell>
          <cell r="S32">
            <v>1.5</v>
          </cell>
          <cell r="U32">
            <v>0.77999999999999992</v>
          </cell>
          <cell r="W32">
            <v>0.98</v>
          </cell>
          <cell r="Y32">
            <v>1.6</v>
          </cell>
          <cell r="AA32">
            <v>2.2000000000000002</v>
          </cell>
          <cell r="AC32" t="str">
            <v>N.A.</v>
          </cell>
          <cell r="AE32">
            <v>2.3199999999999998</v>
          </cell>
          <cell r="AG32">
            <v>0.75</v>
          </cell>
          <cell r="AI32">
            <v>2.68</v>
          </cell>
          <cell r="AK32">
            <v>-1.05</v>
          </cell>
          <cell r="AM32">
            <v>1.84</v>
          </cell>
          <cell r="AO32">
            <v>-0.46500000000000002</v>
          </cell>
          <cell r="AQ32">
            <v>0.1</v>
          </cell>
          <cell r="AS32">
            <v>-0.18</v>
          </cell>
          <cell r="AU32">
            <v>0.14000000000000001</v>
          </cell>
          <cell r="AW32">
            <v>0.45</v>
          </cell>
          <cell r="AY32">
            <v>-0.31</v>
          </cell>
          <cell r="BA32">
            <v>0.92500000000000004</v>
          </cell>
          <cell r="BC32">
            <v>-1.8900000000000001</v>
          </cell>
          <cell r="BE32">
            <v>-2.64</v>
          </cell>
          <cell r="BG32">
            <v>-3</v>
          </cell>
          <cell r="BI32" t="str">
            <v>N.A.</v>
          </cell>
          <cell r="BK32">
            <v>-1.6600000000000001</v>
          </cell>
          <cell r="BM32">
            <v>-4.32</v>
          </cell>
          <cell r="BO32">
            <v>3</v>
          </cell>
          <cell r="BQ32">
            <v>1.1153999999999999</v>
          </cell>
          <cell r="BS32">
            <v>1.55</v>
          </cell>
          <cell r="BU32">
            <v>2.7800000000000002</v>
          </cell>
          <cell r="BW32">
            <v>2.17</v>
          </cell>
          <cell r="BY32">
            <v>1.85</v>
          </cell>
          <cell r="CA32">
            <v>1.55</v>
          </cell>
          <cell r="CC32">
            <v>1.84</v>
          </cell>
          <cell r="CE32">
            <v>1.86</v>
          </cell>
          <cell r="CG32">
            <v>1.6300000000000001</v>
          </cell>
          <cell r="CI32">
            <v>1.82</v>
          </cell>
          <cell r="CK32">
            <v>2.4024999999999999</v>
          </cell>
          <cell r="CM32" t="e">
            <v>#REF!</v>
          </cell>
          <cell r="CO32">
            <v>0.20005776</v>
          </cell>
          <cell r="CQ32">
            <v>3.9503949999999999</v>
          </cell>
          <cell r="CS32">
            <v>3.9095099999999996</v>
          </cell>
          <cell r="CU32">
            <v>0.42</v>
          </cell>
        </row>
        <row r="33">
          <cell r="O33">
            <v>2.121</v>
          </cell>
          <cell r="P33" t="str">
            <v xml:space="preserve"> </v>
          </cell>
          <cell r="Q33">
            <v>1.6500000000000001</v>
          </cell>
          <cell r="R33" t="str">
            <v xml:space="preserve"> </v>
          </cell>
          <cell r="S33">
            <v>1.95</v>
          </cell>
          <cell r="U33">
            <v>0</v>
          </cell>
          <cell r="W33">
            <v>1.17</v>
          </cell>
          <cell r="Y33">
            <v>1.81</v>
          </cell>
          <cell r="AA33">
            <v>2.58</v>
          </cell>
          <cell r="AC33" t="str">
            <v>N.A.</v>
          </cell>
          <cell r="AE33">
            <v>2.65</v>
          </cell>
          <cell r="AG33">
            <v>0.97</v>
          </cell>
          <cell r="AI33">
            <v>3.0500000000000003</v>
          </cell>
          <cell r="AK33">
            <v>0.9</v>
          </cell>
          <cell r="AM33">
            <v>1.85</v>
          </cell>
          <cell r="AO33">
            <v>0.32</v>
          </cell>
          <cell r="AQ33">
            <v>1.02</v>
          </cell>
          <cell r="AS33">
            <v>1.79</v>
          </cell>
          <cell r="AU33">
            <v>1.8900000000000001</v>
          </cell>
          <cell r="AW33">
            <v>2.0300000000000002</v>
          </cell>
          <cell r="AY33">
            <v>1.43</v>
          </cell>
          <cell r="BA33">
            <v>1.2000000000000002</v>
          </cell>
          <cell r="BC33">
            <v>0.37</v>
          </cell>
          <cell r="BE33" t="str">
            <v>N.A.</v>
          </cell>
          <cell r="BG33">
            <v>0.55000000000000004</v>
          </cell>
          <cell r="BI33" t="str">
            <v>N.A.</v>
          </cell>
          <cell r="BK33">
            <v>-0.55000000000000004</v>
          </cell>
          <cell r="BM33">
            <v>0.39</v>
          </cell>
          <cell r="BO33">
            <v>3.39</v>
          </cell>
          <cell r="BQ33" t="str">
            <v>N.A.</v>
          </cell>
          <cell r="BS33">
            <v>1.84</v>
          </cell>
          <cell r="BU33">
            <v>3.0500000000000003</v>
          </cell>
          <cell r="BW33">
            <v>2.64</v>
          </cell>
          <cell r="BY33">
            <v>2.35</v>
          </cell>
          <cell r="CA33">
            <v>1.84</v>
          </cell>
          <cell r="CC33">
            <v>2.56</v>
          </cell>
          <cell r="CE33">
            <v>2.1</v>
          </cell>
          <cell r="CG33">
            <v>1.9000000000000001</v>
          </cell>
          <cell r="CI33">
            <v>2.0499999999999998</v>
          </cell>
          <cell r="CK33">
            <v>2.7361249999999999</v>
          </cell>
          <cell r="CM33" t="e">
            <v>#REF!</v>
          </cell>
          <cell r="CO33">
            <v>0.23827103999999999</v>
          </cell>
          <cell r="CQ33">
            <v>4.6647130000000008</v>
          </cell>
          <cell r="CS33">
            <v>4.2470999999999997</v>
          </cell>
          <cell r="CU33">
            <v>0.83</v>
          </cell>
        </row>
        <row r="34">
          <cell r="O34">
            <v>2.5451999999999999</v>
          </cell>
          <cell r="P34" t="str">
            <v xml:space="preserve"> </v>
          </cell>
          <cell r="Q34">
            <v>2.0625</v>
          </cell>
          <cell r="R34" t="str">
            <v xml:space="preserve"> </v>
          </cell>
          <cell r="S34">
            <v>2.7689999999999997</v>
          </cell>
          <cell r="U34">
            <v>0</v>
          </cell>
          <cell r="W34">
            <v>1.3885559999999999</v>
          </cell>
          <cell r="Y34">
            <v>2.3088360000000003</v>
          </cell>
          <cell r="AA34">
            <v>2.9765459999999999</v>
          </cell>
          <cell r="AC34">
            <v>0</v>
          </cell>
          <cell r="AE34">
            <v>2.9865499999999998</v>
          </cell>
          <cell r="AG34">
            <v>1.2124999999999999</v>
          </cell>
          <cell r="AI34">
            <v>3.5331199999999998</v>
          </cell>
          <cell r="AK34">
            <v>1.4</v>
          </cell>
          <cell r="AM34">
            <v>2.57</v>
          </cell>
          <cell r="AO34">
            <v>2.4700000000000002</v>
          </cell>
          <cell r="AQ34">
            <v>1.224</v>
          </cell>
          <cell r="AS34">
            <v>2.327</v>
          </cell>
          <cell r="AU34">
            <v>2.4570000000000003</v>
          </cell>
          <cell r="AW34">
            <v>2.0300000000000002</v>
          </cell>
          <cell r="AY34">
            <v>2.95</v>
          </cell>
          <cell r="BA34">
            <v>1.41</v>
          </cell>
          <cell r="BC34">
            <v>0.13</v>
          </cell>
          <cell r="BE34">
            <v>0</v>
          </cell>
          <cell r="BG34">
            <v>0.55000000000000004</v>
          </cell>
          <cell r="BI34">
            <v>0</v>
          </cell>
          <cell r="BK34">
            <v>-0.25</v>
          </cell>
          <cell r="BM34">
            <v>6.29</v>
          </cell>
          <cell r="BO34">
            <v>3.81</v>
          </cell>
          <cell r="BQ34">
            <v>0</v>
          </cell>
          <cell r="BS34">
            <v>5.0599999999999996</v>
          </cell>
          <cell r="BU34">
            <v>6.17</v>
          </cell>
          <cell r="BW34">
            <v>2.9940240000000005</v>
          </cell>
          <cell r="BY34">
            <v>3.39</v>
          </cell>
          <cell r="CA34">
            <v>5.0599999999999996</v>
          </cell>
          <cell r="CC34">
            <v>3.7376</v>
          </cell>
          <cell r="CE34">
            <v>2.3520000000000003</v>
          </cell>
          <cell r="CG34">
            <v>2.2040000000000002</v>
          </cell>
          <cell r="CI34">
            <v>2.3000000000000003</v>
          </cell>
          <cell r="CK34">
            <v>3.0918212499999993</v>
          </cell>
          <cell r="CM34" t="e">
            <v>#REF!</v>
          </cell>
          <cell r="CO34">
            <v>0.216756</v>
          </cell>
          <cell r="CQ34">
            <v>5.5090260530000013</v>
          </cell>
          <cell r="CS34">
            <v>4.0510799999999998</v>
          </cell>
          <cell r="CU34">
            <v>1.21</v>
          </cell>
        </row>
        <row r="35">
          <cell r="O35" t="e">
            <v>#N/A</v>
          </cell>
          <cell r="Q35">
            <v>1.66</v>
          </cell>
          <cell r="S35">
            <v>0.16</v>
          </cell>
          <cell r="U35">
            <v>0.4</v>
          </cell>
          <cell r="W35">
            <v>1.7</v>
          </cell>
          <cell r="Y35">
            <v>1.17</v>
          </cell>
          <cell r="AA35">
            <v>2.44</v>
          </cell>
          <cell r="AC35">
            <v>1.05</v>
          </cell>
          <cell r="AE35">
            <v>3.22</v>
          </cell>
          <cell r="AG35">
            <v>0.41</v>
          </cell>
          <cell r="AI35">
            <v>0.77</v>
          </cell>
          <cell r="AK35">
            <v>-2.58</v>
          </cell>
          <cell r="AM35">
            <v>-0.83</v>
          </cell>
          <cell r="AO35">
            <v>-2.1</v>
          </cell>
          <cell r="AQ35">
            <v>-1.35</v>
          </cell>
          <cell r="AS35">
            <v>-0.95</v>
          </cell>
          <cell r="AU35">
            <v>-1.8</v>
          </cell>
          <cell r="AW35">
            <v>-1.36</v>
          </cell>
          <cell r="AY35">
            <v>-0.56000000000000005</v>
          </cell>
          <cell r="BA35">
            <v>0.44</v>
          </cell>
          <cell r="BC35">
            <v>-1.1299999999999999</v>
          </cell>
          <cell r="BE35">
            <v>-2.4700000000000002</v>
          </cell>
          <cell r="BG35">
            <v>-1.55</v>
          </cell>
          <cell r="BI35">
            <v>-1.65</v>
          </cell>
          <cell r="BK35">
            <v>-0.67</v>
          </cell>
          <cell r="BM35">
            <v>-3.23</v>
          </cell>
          <cell r="BO35">
            <v>2.41</v>
          </cell>
          <cell r="BQ35">
            <v>0.52</v>
          </cell>
          <cell r="BS35">
            <v>1.58</v>
          </cell>
          <cell r="BU35">
            <v>3.74</v>
          </cell>
          <cell r="BW35">
            <v>1.61</v>
          </cell>
          <cell r="BY35">
            <v>0.56999999999999995</v>
          </cell>
          <cell r="CA35">
            <v>1.58</v>
          </cell>
          <cell r="CC35">
            <v>-1.6</v>
          </cell>
          <cell r="CE35">
            <v>2.68</v>
          </cell>
          <cell r="CG35">
            <v>0.97499999999999998</v>
          </cell>
          <cell r="CI35">
            <v>1.74</v>
          </cell>
          <cell r="CK35">
            <v>1.58</v>
          </cell>
          <cell r="CM35">
            <v>-1.24</v>
          </cell>
          <cell r="CO35">
            <v>8.5417919999999994E-2</v>
          </cell>
          <cell r="CS35">
            <v>3.2469000000000001</v>
          </cell>
          <cell r="CU35">
            <v>-0.03</v>
          </cell>
        </row>
        <row r="36">
          <cell r="O36">
            <v>1.06</v>
          </cell>
          <cell r="Q36">
            <v>1.1000000000000001</v>
          </cell>
          <cell r="S36">
            <v>0.75</v>
          </cell>
          <cell r="U36">
            <v>0.60000000000000009</v>
          </cell>
          <cell r="W36">
            <v>0.81</v>
          </cell>
          <cell r="Y36">
            <v>1.35</v>
          </cell>
          <cell r="AA36">
            <v>1.95</v>
          </cell>
          <cell r="AC36" t="str">
            <v>N.A.</v>
          </cell>
          <cell r="AE36">
            <v>2.0499999999999998</v>
          </cell>
          <cell r="AG36">
            <v>0.61</v>
          </cell>
          <cell r="AI36">
            <v>2.2800000000000002</v>
          </cell>
          <cell r="AK36">
            <v>-2.08</v>
          </cell>
          <cell r="AM36">
            <v>0.92</v>
          </cell>
          <cell r="AO36">
            <v>0.34</v>
          </cell>
          <cell r="AQ36">
            <v>-0.42</v>
          </cell>
          <cell r="AS36">
            <v>-1.6500000000000001</v>
          </cell>
          <cell r="AU36">
            <v>-0.84</v>
          </cell>
          <cell r="AW36">
            <v>-1.6</v>
          </cell>
          <cell r="AY36">
            <v>-0.98</v>
          </cell>
          <cell r="BA36">
            <v>0.71</v>
          </cell>
          <cell r="BC36">
            <v>-2.04</v>
          </cell>
          <cell r="BE36">
            <v>-2.52</v>
          </cell>
          <cell r="BG36">
            <v>-1.93</v>
          </cell>
          <cell r="BI36" t="str">
            <v>N.A.</v>
          </cell>
          <cell r="BK36">
            <v>-0.42</v>
          </cell>
          <cell r="BM36">
            <v>-4.42</v>
          </cell>
          <cell r="BO36">
            <v>2.67</v>
          </cell>
          <cell r="BQ36">
            <v>0.87120000000000009</v>
          </cell>
          <cell r="BS36">
            <v>1.23</v>
          </cell>
          <cell r="BU36">
            <v>2.4500000000000002</v>
          </cell>
          <cell r="BW36">
            <v>1.9000000000000001</v>
          </cell>
          <cell r="BY36">
            <v>1.49</v>
          </cell>
          <cell r="CA36">
            <v>1.23</v>
          </cell>
          <cell r="CC36">
            <v>1</v>
          </cell>
          <cell r="CE36">
            <v>1.68</v>
          </cell>
          <cell r="CG36">
            <v>1.4000000000000001</v>
          </cell>
          <cell r="CI36">
            <v>1.61</v>
          </cell>
          <cell r="CK36">
            <v>2.0499999999999998</v>
          </cell>
          <cell r="CM36" t="str">
            <v>N.A.</v>
          </cell>
          <cell r="CO36">
            <v>0.14803632</v>
          </cell>
          <cell r="CQ36">
            <v>3.3226610000000005</v>
          </cell>
          <cell r="CS36">
            <v>3.4633600000000002</v>
          </cell>
          <cell r="CU36">
            <v>0.21</v>
          </cell>
        </row>
        <row r="37">
          <cell r="O37">
            <v>1.68</v>
          </cell>
          <cell r="Q37">
            <v>1.4000000000000001</v>
          </cell>
          <cell r="S37">
            <v>1.5</v>
          </cell>
          <cell r="U37">
            <v>1.56</v>
          </cell>
          <cell r="W37">
            <v>0.98</v>
          </cell>
          <cell r="Y37">
            <v>1.6</v>
          </cell>
          <cell r="AA37">
            <v>2.2000000000000002</v>
          </cell>
          <cell r="AC37" t="str">
            <v>N.A.</v>
          </cell>
          <cell r="AE37">
            <v>2.3199999999999998</v>
          </cell>
          <cell r="AG37">
            <v>0.75</v>
          </cell>
          <cell r="AI37">
            <v>2.68</v>
          </cell>
          <cell r="AK37">
            <v>-1.05</v>
          </cell>
          <cell r="AM37">
            <v>1.84</v>
          </cell>
          <cell r="AO37">
            <v>-0.46500000000000002</v>
          </cell>
          <cell r="AQ37">
            <v>0.1</v>
          </cell>
          <cell r="AS37">
            <v>-0.18</v>
          </cell>
          <cell r="AU37">
            <v>0.14000000000000001</v>
          </cell>
          <cell r="AW37">
            <v>0.45</v>
          </cell>
          <cell r="AY37">
            <v>-0.31</v>
          </cell>
          <cell r="BA37">
            <v>0.92500000000000004</v>
          </cell>
          <cell r="BC37">
            <v>-1.8900000000000001</v>
          </cell>
          <cell r="BE37">
            <v>-2.64</v>
          </cell>
          <cell r="BG37">
            <v>-3</v>
          </cell>
          <cell r="BI37" t="str">
            <v>N.A.</v>
          </cell>
          <cell r="BK37">
            <v>-1.6600000000000001</v>
          </cell>
          <cell r="BM37">
            <v>-4.32</v>
          </cell>
          <cell r="BO37">
            <v>3</v>
          </cell>
          <cell r="BQ37">
            <v>1.1153999999999999</v>
          </cell>
          <cell r="BS37">
            <v>1.55</v>
          </cell>
          <cell r="BU37">
            <v>2.7800000000000002</v>
          </cell>
          <cell r="BW37">
            <v>2.17</v>
          </cell>
          <cell r="BY37">
            <v>1.85</v>
          </cell>
          <cell r="CA37">
            <v>1.55</v>
          </cell>
          <cell r="CC37">
            <v>1.84</v>
          </cell>
          <cell r="CE37">
            <v>1.86</v>
          </cell>
          <cell r="CG37">
            <v>1.6300000000000001</v>
          </cell>
          <cell r="CI37">
            <v>1.82</v>
          </cell>
          <cell r="CK37">
            <v>2.3199999999999998</v>
          </cell>
          <cell r="CM37" t="e">
            <v>#REF!</v>
          </cell>
          <cell r="CO37">
            <v>0.20005776</v>
          </cell>
          <cell r="CQ37">
            <v>3.9503949999999999</v>
          </cell>
          <cell r="CS37">
            <v>3.9095099999999996</v>
          </cell>
          <cell r="CU37">
            <v>0.42</v>
          </cell>
        </row>
        <row r="38">
          <cell r="O38">
            <v>2.02</v>
          </cell>
          <cell r="Q38">
            <v>1.6500000000000001</v>
          </cell>
          <cell r="S38">
            <v>1.95</v>
          </cell>
          <cell r="U38" t="str">
            <v>N.A.</v>
          </cell>
          <cell r="W38">
            <v>1.17</v>
          </cell>
          <cell r="Y38">
            <v>1.81</v>
          </cell>
          <cell r="AA38">
            <v>2.58</v>
          </cell>
          <cell r="AC38" t="str">
            <v>N.A.</v>
          </cell>
          <cell r="AE38">
            <v>2.65</v>
          </cell>
          <cell r="AG38">
            <v>0.97</v>
          </cell>
          <cell r="AI38">
            <v>3.0500000000000003</v>
          </cell>
          <cell r="AK38">
            <v>0.9</v>
          </cell>
          <cell r="AM38">
            <v>1.85</v>
          </cell>
          <cell r="AO38">
            <v>0.32</v>
          </cell>
          <cell r="AQ38">
            <v>1.02</v>
          </cell>
          <cell r="AS38">
            <v>1.79</v>
          </cell>
          <cell r="AU38">
            <v>1.8900000000000001</v>
          </cell>
          <cell r="AW38">
            <v>2.0300000000000002</v>
          </cell>
          <cell r="AY38">
            <v>1.43</v>
          </cell>
          <cell r="BA38">
            <v>1.2000000000000002</v>
          </cell>
          <cell r="BC38">
            <v>0.37</v>
          </cell>
          <cell r="BE38" t="str">
            <v>N.A.</v>
          </cell>
          <cell r="BG38">
            <v>0.55000000000000004</v>
          </cell>
          <cell r="BI38" t="str">
            <v>N.A.</v>
          </cell>
          <cell r="BK38">
            <v>-0.55000000000000004</v>
          </cell>
          <cell r="BM38">
            <v>0.39</v>
          </cell>
          <cell r="BO38">
            <v>3.39</v>
          </cell>
          <cell r="BQ38" t="str">
            <v>N.A.</v>
          </cell>
          <cell r="BS38">
            <v>1.84</v>
          </cell>
          <cell r="BU38">
            <v>3.0500000000000003</v>
          </cell>
          <cell r="BW38">
            <v>2.64</v>
          </cell>
          <cell r="BY38">
            <v>2.35</v>
          </cell>
          <cell r="CA38">
            <v>1.84</v>
          </cell>
          <cell r="CC38">
            <v>2.56</v>
          </cell>
          <cell r="CE38">
            <v>2.1</v>
          </cell>
          <cell r="CG38">
            <v>1.9000000000000001</v>
          </cell>
          <cell r="CI38">
            <v>2.0499999999999998</v>
          </cell>
          <cell r="CK38">
            <v>2.65</v>
          </cell>
          <cell r="CM38" t="e">
            <v>#REF!</v>
          </cell>
          <cell r="CO38">
            <v>0.23827103999999999</v>
          </cell>
          <cell r="CQ38">
            <v>4.6647130000000008</v>
          </cell>
          <cell r="CS38">
            <v>4.2470999999999997</v>
          </cell>
          <cell r="CU38">
            <v>0.83</v>
          </cell>
        </row>
        <row r="39">
          <cell r="O39">
            <v>2.4239999999999999</v>
          </cell>
          <cell r="Q39">
            <v>2.0625</v>
          </cell>
          <cell r="S39">
            <v>2.7689999999999997</v>
          </cell>
          <cell r="U39">
            <v>0</v>
          </cell>
          <cell r="W39">
            <v>1.3885559999999999</v>
          </cell>
          <cell r="Y39">
            <v>2.3088360000000003</v>
          </cell>
          <cell r="AA39">
            <v>2.9765459999999999</v>
          </cell>
          <cell r="AC39">
            <v>0</v>
          </cell>
          <cell r="AE39">
            <v>2.9865499999999998</v>
          </cell>
          <cell r="AG39">
            <v>1.2124999999999999</v>
          </cell>
          <cell r="AI39">
            <v>3.5331199999999998</v>
          </cell>
          <cell r="AK39">
            <v>1.4</v>
          </cell>
          <cell r="AM39">
            <v>2.57</v>
          </cell>
          <cell r="AO39">
            <v>2.4700000000000002</v>
          </cell>
          <cell r="AQ39">
            <v>1.224</v>
          </cell>
          <cell r="AS39">
            <v>2.327</v>
          </cell>
          <cell r="AU39">
            <v>2.4570000000000003</v>
          </cell>
          <cell r="AW39">
            <v>2.0300000000000002</v>
          </cell>
          <cell r="AY39">
            <v>2.95</v>
          </cell>
          <cell r="BA39">
            <v>1.41</v>
          </cell>
          <cell r="BC39">
            <v>0.13</v>
          </cell>
          <cell r="BG39">
            <v>0.55000000000000004</v>
          </cell>
          <cell r="BK39">
            <v>-0.25</v>
          </cell>
          <cell r="BM39">
            <v>6.29</v>
          </cell>
          <cell r="BO39">
            <v>3.81</v>
          </cell>
          <cell r="BQ39">
            <v>0</v>
          </cell>
          <cell r="BS39">
            <v>5.0599999999999996</v>
          </cell>
          <cell r="BU39">
            <v>6.17</v>
          </cell>
          <cell r="BW39">
            <v>2.9940240000000005</v>
          </cell>
          <cell r="BY39">
            <v>3.39</v>
          </cell>
          <cell r="CA39">
            <v>5.0599999999999996</v>
          </cell>
          <cell r="CC39">
            <v>3.7376</v>
          </cell>
          <cell r="CE39">
            <v>2.3520000000000003</v>
          </cell>
          <cell r="CG39">
            <v>2.2040000000000002</v>
          </cell>
          <cell r="CI39">
            <v>2.3000000000000003</v>
          </cell>
          <cell r="CK39">
            <v>2.9944999999999995</v>
          </cell>
          <cell r="CM39" t="e">
            <v>#REF!</v>
          </cell>
          <cell r="CO39">
            <v>0.216756</v>
          </cell>
          <cell r="CQ39">
            <v>5.5090260530000013</v>
          </cell>
          <cell r="CS39">
            <v>4.0510799999999998</v>
          </cell>
          <cell r="CU39">
            <v>1.21</v>
          </cell>
        </row>
        <row r="40">
          <cell r="O40">
            <v>2.9087999999999998</v>
          </cell>
          <cell r="P40" t="str">
            <v xml:space="preserve"> </v>
          </cell>
          <cell r="Q40">
            <v>2.578125</v>
          </cell>
          <cell r="R40" t="str">
            <v xml:space="preserve"> </v>
          </cell>
          <cell r="S40">
            <v>3.9319799999999994</v>
          </cell>
          <cell r="U40">
            <v>0</v>
          </cell>
          <cell r="W40">
            <v>1.6479382607999999</v>
          </cell>
          <cell r="Y40">
            <v>2.9451512016000008</v>
          </cell>
          <cell r="AA40">
            <v>3.4340411201999999</v>
          </cell>
          <cell r="AC40">
            <v>0</v>
          </cell>
          <cell r="AE40">
            <v>3.3658418499999998</v>
          </cell>
          <cell r="AG40">
            <v>1.515625</v>
          </cell>
          <cell r="AI40">
            <v>4.0927662079999996</v>
          </cell>
          <cell r="AK40">
            <v>2.63</v>
          </cell>
          <cell r="AQ40">
            <v>1.4687999999999999</v>
          </cell>
          <cell r="AS40">
            <v>3.0251000000000001</v>
          </cell>
          <cell r="AU40">
            <v>3.1941000000000006</v>
          </cell>
          <cell r="AW40">
            <v>2.0300000000000002</v>
          </cell>
          <cell r="AY40">
            <v>5.49</v>
          </cell>
          <cell r="BC40">
            <v>4.12</v>
          </cell>
          <cell r="BG40">
            <v>0.55000000000000004</v>
          </cell>
          <cell r="BK40">
            <v>0.22</v>
          </cell>
          <cell r="BO40">
            <v>4.3052999999999999</v>
          </cell>
          <cell r="BQ40">
            <v>0</v>
          </cell>
          <cell r="BS40">
            <v>6.4560000000000004</v>
          </cell>
          <cell r="BU40">
            <v>6.98</v>
          </cell>
          <cell r="BW40">
            <v>3.3955226184000007</v>
          </cell>
          <cell r="BY40">
            <v>3.92</v>
          </cell>
          <cell r="CA40">
            <v>6.4560000000000004</v>
          </cell>
          <cell r="CC40">
            <v>5.4568959999999995</v>
          </cell>
          <cell r="CE40">
            <v>2.6342400000000006</v>
          </cell>
          <cell r="CG40">
            <v>2.5566400000000002</v>
          </cell>
          <cell r="CI40">
            <v>2.5530000000000004</v>
          </cell>
          <cell r="CK40">
            <v>3.3837849999999992</v>
          </cell>
          <cell r="CM40" t="e">
            <v>#REF!</v>
          </cell>
          <cell r="CO40">
            <v>0.26107056000000001</v>
          </cell>
          <cell r="CQ40">
            <v>6.5061597685930019</v>
          </cell>
          <cell r="CS40">
            <v>4.6538899999999996</v>
          </cell>
          <cell r="CU40">
            <v>1.4</v>
          </cell>
        </row>
        <row r="41">
          <cell r="O41">
            <v>0.2</v>
          </cell>
          <cell r="P41" t="str">
            <v xml:space="preserve"> </v>
          </cell>
          <cell r="Q41">
            <v>0.25</v>
          </cell>
          <cell r="R41" t="str">
            <v xml:space="preserve"> </v>
          </cell>
          <cell r="S41">
            <v>0.42</v>
          </cell>
          <cell r="U41">
            <v>0.21330000000000002</v>
          </cell>
          <cell r="W41">
            <v>0.18679999999999999</v>
          </cell>
          <cell r="Y41">
            <v>0.27560000000000001</v>
          </cell>
          <cell r="AA41">
            <v>0.1537</v>
          </cell>
          <cell r="AC41">
            <v>0</v>
          </cell>
          <cell r="AE41">
            <v>0.127</v>
          </cell>
          <cell r="AG41">
            <v>0.25</v>
          </cell>
          <cell r="AI41">
            <v>0.15839999999999999</v>
          </cell>
          <cell r="AK41" t="str">
            <v>N.A.</v>
          </cell>
          <cell r="AM41">
            <v>0.41950000000000004</v>
          </cell>
          <cell r="AO41" t="str">
            <v>N.A.</v>
          </cell>
          <cell r="AQ41">
            <v>0.2</v>
          </cell>
          <cell r="AS41">
            <v>0.3</v>
          </cell>
          <cell r="AU41">
            <v>0.46500000000000002</v>
          </cell>
          <cell r="AW41" t="str">
            <v>N.A.</v>
          </cell>
          <cell r="AY41">
            <v>0.9</v>
          </cell>
          <cell r="BA41">
            <v>0.25390000000000001</v>
          </cell>
          <cell r="BC41" t="str">
            <v>N.A.</v>
          </cell>
          <cell r="BE41" t="str">
            <v>N.A.</v>
          </cell>
          <cell r="BG41" t="str">
            <v>N.A.</v>
          </cell>
          <cell r="BI41" t="str">
            <v>N.A.</v>
          </cell>
          <cell r="BK41" t="str">
            <v>N.A.</v>
          </cell>
          <cell r="BM41">
            <v>1</v>
          </cell>
          <cell r="BO41">
            <v>0.13</v>
          </cell>
          <cell r="BQ41">
            <v>0.27250000000000002</v>
          </cell>
          <cell r="BS41">
            <v>0.23900000000000002</v>
          </cell>
          <cell r="BU41">
            <v>0.12790000000000001</v>
          </cell>
          <cell r="BW41">
            <v>0.1341</v>
          </cell>
          <cell r="BY41">
            <v>0.215</v>
          </cell>
          <cell r="CA41">
            <v>0.23900000000000002</v>
          </cell>
          <cell r="CC41">
            <v>0.46</v>
          </cell>
          <cell r="CE41">
            <v>0.12</v>
          </cell>
          <cell r="CG41">
            <v>0.16</v>
          </cell>
          <cell r="CI41">
            <v>0.11</v>
          </cell>
          <cell r="CK41">
            <v>0.13</v>
          </cell>
          <cell r="CM41">
            <v>0</v>
          </cell>
          <cell r="CO41">
            <v>0</v>
          </cell>
          <cell r="CQ41">
            <v>0.18099999999999999</v>
          </cell>
          <cell r="CS41">
            <v>7.2999999999999995E-2</v>
          </cell>
          <cell r="CU41">
            <v>0.4</v>
          </cell>
        </row>
        <row r="42">
          <cell r="P42" t="str">
            <v xml:space="preserve"> </v>
          </cell>
          <cell r="R42" t="str">
            <v xml:space="preserve"> </v>
          </cell>
          <cell r="CO42">
            <v>1.6055999999999999</v>
          </cell>
          <cell r="CQ42">
            <v>1.0823</v>
          </cell>
          <cell r="CS42">
            <v>1.8070999999999999</v>
          </cell>
          <cell r="CU42">
            <v>1.6055999999999999</v>
          </cell>
        </row>
        <row r="43">
          <cell r="O43">
            <v>0</v>
          </cell>
          <cell r="P43" t="str">
            <v xml:space="preserve"> </v>
          </cell>
          <cell r="Q43">
            <v>27.126999999999999</v>
          </cell>
          <cell r="R43" t="str">
            <v xml:space="preserve"> </v>
          </cell>
          <cell r="S43">
            <v>60.533999999999999</v>
          </cell>
          <cell r="U43">
            <v>0.81899999999999995</v>
          </cell>
          <cell r="W43">
            <v>2255</v>
          </cell>
          <cell r="Y43">
            <v>23.64</v>
          </cell>
          <cell r="AA43">
            <v>30</v>
          </cell>
          <cell r="AC43">
            <v>0</v>
          </cell>
          <cell r="AE43">
            <v>542</v>
          </cell>
          <cell r="AG43">
            <v>25.617999999999999</v>
          </cell>
          <cell r="AI43">
            <v>220</v>
          </cell>
          <cell r="AK43">
            <v>0</v>
          </cell>
          <cell r="AM43">
            <v>1.8680000000000001</v>
          </cell>
          <cell r="AO43">
            <v>5.0397550000000004</v>
          </cell>
          <cell r="AQ43">
            <v>0</v>
          </cell>
          <cell r="AS43">
            <v>0.81399999999999995</v>
          </cell>
          <cell r="AU43">
            <v>0.91100000000000003</v>
          </cell>
          <cell r="AW43">
            <v>1.609</v>
          </cell>
          <cell r="AY43">
            <v>0</v>
          </cell>
          <cell r="BC43">
            <v>0.155</v>
          </cell>
          <cell r="BE43">
            <v>2.5339999999999998</v>
          </cell>
          <cell r="BG43">
            <v>0.4</v>
          </cell>
          <cell r="BI43">
            <v>2.1989999999999998</v>
          </cell>
          <cell r="BK43">
            <v>0.59799999999999998</v>
          </cell>
          <cell r="BO43">
            <v>575</v>
          </cell>
          <cell r="BQ43">
            <v>24.850320000000004</v>
          </cell>
          <cell r="BS43">
            <v>924.95999999999992</v>
          </cell>
          <cell r="BU43">
            <v>902.5</v>
          </cell>
          <cell r="BW43">
            <v>924.95999999999992</v>
          </cell>
          <cell r="BY43">
            <v>1.8</v>
          </cell>
          <cell r="CA43">
            <v>924.95999999999992</v>
          </cell>
          <cell r="CC43">
            <v>0</v>
          </cell>
          <cell r="CE43">
            <v>1419.97</v>
          </cell>
          <cell r="CG43">
            <v>138</v>
          </cell>
          <cell r="CI43">
            <v>1972.27</v>
          </cell>
          <cell r="CK43">
            <v>453</v>
          </cell>
          <cell r="CM43">
            <v>40.6</v>
          </cell>
          <cell r="CS43">
            <v>48.142880858834594</v>
          </cell>
          <cell r="CU43">
            <v>20.254643999999999</v>
          </cell>
        </row>
        <row r="44">
          <cell r="O44">
            <v>453.76099999999997</v>
          </cell>
          <cell r="P44" t="str">
            <v xml:space="preserve"> </v>
          </cell>
          <cell r="Q44">
            <v>551.19200000000001</v>
          </cell>
          <cell r="R44" t="str">
            <v xml:space="preserve"> </v>
          </cell>
          <cell r="S44">
            <v>460</v>
          </cell>
          <cell r="U44">
            <v>6.242</v>
          </cell>
          <cell r="W44">
            <v>729</v>
          </cell>
          <cell r="Y44">
            <v>58.595999999999997</v>
          </cell>
          <cell r="AA44">
            <v>229</v>
          </cell>
          <cell r="AC44">
            <v>150</v>
          </cell>
          <cell r="AE44">
            <v>1387</v>
          </cell>
          <cell r="AG44">
            <v>78.622000000000014</v>
          </cell>
          <cell r="AI44">
            <v>2337.1999999999998</v>
          </cell>
          <cell r="AK44">
            <v>0</v>
          </cell>
          <cell r="AM44">
            <v>2.5049999999999999</v>
          </cell>
          <cell r="AO44">
            <v>4.6236290000000002</v>
          </cell>
          <cell r="AQ44">
            <v>0</v>
          </cell>
          <cell r="AS44">
            <v>0.747</v>
          </cell>
          <cell r="AU44">
            <v>6.7930000000000001</v>
          </cell>
          <cell r="AW44">
            <v>17.304000000000002</v>
          </cell>
          <cell r="AY44">
            <v>0</v>
          </cell>
          <cell r="BC44">
            <v>1.4410000000000001</v>
          </cell>
          <cell r="BE44">
            <v>12.11</v>
          </cell>
          <cell r="BG44">
            <v>0.83799999999999997</v>
          </cell>
          <cell r="BI44">
            <v>2.9319999999999999</v>
          </cell>
          <cell r="BK44">
            <v>3.4670000000000001</v>
          </cell>
          <cell r="BO44">
            <v>1117</v>
          </cell>
          <cell r="BQ44">
            <v>32.081940000000003</v>
          </cell>
          <cell r="BS44">
            <v>2345.1999999999998</v>
          </cell>
          <cell r="BU44">
            <v>1346.5</v>
          </cell>
          <cell r="BW44">
            <v>2345.1999999999998</v>
          </cell>
          <cell r="BY44">
            <v>902.6</v>
          </cell>
          <cell r="CA44">
            <v>2345.1999999999998</v>
          </cell>
          <cell r="CC44">
            <v>23.878</v>
          </cell>
          <cell r="CE44">
            <v>1340.845</v>
          </cell>
          <cell r="CG44">
            <v>46</v>
          </cell>
          <cell r="CI44">
            <v>3074.47</v>
          </cell>
          <cell r="CK44">
            <v>1336</v>
          </cell>
          <cell r="CM44">
            <v>1025</v>
          </cell>
          <cell r="CS44">
            <v>80.305461789607662</v>
          </cell>
          <cell r="CU44">
            <v>2.5673543999999997</v>
          </cell>
        </row>
        <row r="45">
          <cell r="O45">
            <v>0</v>
          </cell>
          <cell r="P45" t="str">
            <v xml:space="preserve"> </v>
          </cell>
          <cell r="Q45">
            <v>0</v>
          </cell>
          <cell r="R45" t="str">
            <v xml:space="preserve"> </v>
          </cell>
          <cell r="S45">
            <v>0</v>
          </cell>
          <cell r="U45">
            <v>0</v>
          </cell>
          <cell r="W45">
            <v>0</v>
          </cell>
          <cell r="Y45">
            <v>0</v>
          </cell>
          <cell r="AA45">
            <v>0</v>
          </cell>
          <cell r="AC45">
            <v>0</v>
          </cell>
          <cell r="AE45">
            <v>0</v>
          </cell>
          <cell r="AG45">
            <v>0</v>
          </cell>
          <cell r="AI45">
            <v>0</v>
          </cell>
          <cell r="AK45">
            <v>0</v>
          </cell>
          <cell r="AM45">
            <v>0</v>
          </cell>
          <cell r="AO45">
            <v>0</v>
          </cell>
          <cell r="AQ45">
            <v>0</v>
          </cell>
          <cell r="AS45">
            <v>1E-3</v>
          </cell>
          <cell r="AU45">
            <v>0</v>
          </cell>
          <cell r="AW45">
            <v>0</v>
          </cell>
          <cell r="AY45">
            <v>0</v>
          </cell>
          <cell r="BC45">
            <v>0</v>
          </cell>
          <cell r="BE45">
            <v>0</v>
          </cell>
          <cell r="BG45">
            <v>0</v>
          </cell>
          <cell r="BI45">
            <v>0</v>
          </cell>
          <cell r="BK45">
            <v>0.4</v>
          </cell>
          <cell r="BO45">
            <v>0</v>
          </cell>
          <cell r="BQ45">
            <v>0</v>
          </cell>
          <cell r="BS45">
            <v>0</v>
          </cell>
          <cell r="BU45">
            <v>0</v>
          </cell>
          <cell r="BW45">
            <v>0</v>
          </cell>
          <cell r="BY45">
            <v>0</v>
          </cell>
          <cell r="CA45">
            <v>0</v>
          </cell>
          <cell r="CC45">
            <v>0</v>
          </cell>
          <cell r="CE45">
            <v>0</v>
          </cell>
          <cell r="CG45">
            <v>0</v>
          </cell>
          <cell r="CI45">
            <v>0</v>
          </cell>
          <cell r="CK45">
            <v>0</v>
          </cell>
          <cell r="CM45">
            <v>0</v>
          </cell>
          <cell r="CS45">
            <v>0</v>
          </cell>
          <cell r="CU45">
            <v>0</v>
          </cell>
        </row>
        <row r="46">
          <cell r="O46">
            <v>0</v>
          </cell>
          <cell r="P46" t="str">
            <v xml:space="preserve"> </v>
          </cell>
          <cell r="Q46">
            <v>0</v>
          </cell>
          <cell r="R46" t="str">
            <v xml:space="preserve"> </v>
          </cell>
          <cell r="S46">
            <v>0</v>
          </cell>
          <cell r="U46">
            <v>0</v>
          </cell>
          <cell r="W46">
            <v>43</v>
          </cell>
          <cell r="Y46">
            <v>0</v>
          </cell>
          <cell r="AA46">
            <v>0</v>
          </cell>
          <cell r="AC46">
            <v>0</v>
          </cell>
          <cell r="AE46">
            <v>0</v>
          </cell>
          <cell r="AG46">
            <v>0</v>
          </cell>
          <cell r="AI46">
            <v>0</v>
          </cell>
          <cell r="AK46">
            <v>0</v>
          </cell>
          <cell r="AM46">
            <v>0</v>
          </cell>
          <cell r="AO46">
            <v>0</v>
          </cell>
          <cell r="AQ46">
            <v>0</v>
          </cell>
          <cell r="AS46">
            <v>0</v>
          </cell>
          <cell r="AU46">
            <v>0</v>
          </cell>
          <cell r="AW46">
            <v>0</v>
          </cell>
          <cell r="AY46">
            <v>0</v>
          </cell>
          <cell r="BC46">
            <v>0</v>
          </cell>
          <cell r="BE46">
            <v>0</v>
          </cell>
          <cell r="BG46">
            <v>0</v>
          </cell>
          <cell r="BI46">
            <v>0</v>
          </cell>
          <cell r="BK46">
            <v>0</v>
          </cell>
          <cell r="BO46">
            <v>0</v>
          </cell>
          <cell r="BQ46">
            <v>1.0315799999999999</v>
          </cell>
          <cell r="BS46">
            <v>0</v>
          </cell>
          <cell r="BU46">
            <v>1184.4000000000001</v>
          </cell>
          <cell r="BW46">
            <v>0</v>
          </cell>
          <cell r="BY46">
            <v>0</v>
          </cell>
          <cell r="CA46">
            <v>0</v>
          </cell>
          <cell r="CC46">
            <v>0</v>
          </cell>
          <cell r="CE46">
            <v>0</v>
          </cell>
          <cell r="CG46">
            <v>0</v>
          </cell>
          <cell r="CI46">
            <v>78.489999999999995</v>
          </cell>
          <cell r="CK46">
            <v>0</v>
          </cell>
          <cell r="CM46">
            <v>0</v>
          </cell>
          <cell r="CS46">
            <v>1.3845387637651485</v>
          </cell>
          <cell r="CU46">
            <v>0</v>
          </cell>
        </row>
        <row r="47">
          <cell r="O47">
            <v>75.308999999999997</v>
          </cell>
          <cell r="P47" t="str">
            <v xml:space="preserve"> </v>
          </cell>
          <cell r="Q47">
            <v>1182.3119999999999</v>
          </cell>
          <cell r="R47" t="str">
            <v xml:space="preserve"> </v>
          </cell>
          <cell r="S47">
            <v>109.601</v>
          </cell>
          <cell r="U47">
            <v>245.37200000000001</v>
          </cell>
          <cell r="W47">
            <v>7933</v>
          </cell>
          <cell r="Y47">
            <v>668.80200000000002</v>
          </cell>
          <cell r="AA47">
            <v>943.2</v>
          </cell>
          <cell r="AC47">
            <v>2031.2249999999999</v>
          </cell>
          <cell r="AE47">
            <v>7185</v>
          </cell>
          <cell r="AG47">
            <v>1141.8979999999999</v>
          </cell>
          <cell r="AI47">
            <v>4793.3999999999996</v>
          </cell>
          <cell r="AK47">
            <v>55.796999999999997</v>
          </cell>
          <cell r="AM47">
            <v>98.938000000000002</v>
          </cell>
          <cell r="AO47">
            <v>89.622433999999998</v>
          </cell>
          <cell r="AQ47">
            <v>167.58799999999999</v>
          </cell>
          <cell r="AS47">
            <v>284.65899999999999</v>
          </cell>
          <cell r="AU47">
            <v>105.65600000000001</v>
          </cell>
          <cell r="AW47">
            <v>68.125</v>
          </cell>
          <cell r="AY47">
            <v>28.175999999999998</v>
          </cell>
          <cell r="BA47">
            <v>418.87299999999999</v>
          </cell>
          <cell r="BC47">
            <v>22.5</v>
          </cell>
          <cell r="BE47">
            <v>31.911999999999999</v>
          </cell>
          <cell r="BG47">
            <v>23.472000000000001</v>
          </cell>
          <cell r="BI47">
            <v>25.75</v>
          </cell>
          <cell r="BK47">
            <v>52.578000000000003</v>
          </cell>
          <cell r="BM47">
            <v>-23.809000000000001</v>
          </cell>
          <cell r="BO47">
            <v>13938</v>
          </cell>
          <cell r="BQ47">
            <v>291.01314000000002</v>
          </cell>
          <cell r="BS47">
            <v>2937.24</v>
          </cell>
          <cell r="BU47">
            <v>12613.5</v>
          </cell>
          <cell r="BW47">
            <v>2937.24</v>
          </cell>
          <cell r="BY47">
            <v>1369.2</v>
          </cell>
          <cell r="CA47">
            <v>2937.24</v>
          </cell>
          <cell r="CC47">
            <v>100.256</v>
          </cell>
          <cell r="CE47">
            <v>5373.8919999999998</v>
          </cell>
          <cell r="CG47">
            <v>3694</v>
          </cell>
          <cell r="CI47">
            <v>3077.81</v>
          </cell>
          <cell r="CK47">
            <v>7244</v>
          </cell>
          <cell r="CM47">
            <v>-308.5</v>
          </cell>
          <cell r="CO47">
            <v>10.4958072</v>
          </cell>
          <cell r="CQ47">
            <v>720.35028498699569</v>
          </cell>
          <cell r="CS47">
            <v>515.4075590725472</v>
          </cell>
          <cell r="CU47">
            <v>74.714990399999991</v>
          </cell>
        </row>
        <row r="48">
          <cell r="P48" t="str">
            <v xml:space="preserve"> </v>
          </cell>
          <cell r="R48" t="str">
            <v xml:space="preserve"> </v>
          </cell>
        </row>
        <row r="49">
          <cell r="P49" t="str">
            <v xml:space="preserve"> </v>
          </cell>
          <cell r="Q49">
            <v>155.91999999999999</v>
          </cell>
          <cell r="R49" t="str">
            <v xml:space="preserve"> </v>
          </cell>
          <cell r="S49">
            <v>277.82099999999997</v>
          </cell>
          <cell r="U49">
            <v>61.94</v>
          </cell>
          <cell r="W49">
            <v>1589</v>
          </cell>
          <cell r="Y49">
            <v>504.76</v>
          </cell>
          <cell r="AA49">
            <v>1026.5</v>
          </cell>
          <cell r="AC49">
            <v>833.32199999999989</v>
          </cell>
          <cell r="AE49">
            <v>1565</v>
          </cell>
          <cell r="AG49">
            <v>192.43700000000001</v>
          </cell>
          <cell r="AI49">
            <v>1327.8</v>
          </cell>
          <cell r="AK49">
            <v>67.371000000000009</v>
          </cell>
          <cell r="AM49">
            <v>65.241</v>
          </cell>
          <cell r="AO49">
            <v>58.124499999999998</v>
          </cell>
          <cell r="AQ49">
            <v>122.846</v>
          </cell>
          <cell r="AS49">
            <v>295.86099999999999</v>
          </cell>
          <cell r="AU49">
            <v>99.445999999999998</v>
          </cell>
          <cell r="AW49">
            <v>43.298999999999999</v>
          </cell>
          <cell r="AY49">
            <v>25.332000000000001</v>
          </cell>
          <cell r="BC49">
            <v>27.36</v>
          </cell>
          <cell r="BE49">
            <v>54.302</v>
          </cell>
          <cell r="BG49">
            <v>24.859000000000002</v>
          </cell>
          <cell r="BI49">
            <v>34.871000000000002</v>
          </cell>
          <cell r="BK49">
            <v>47.516000000000005</v>
          </cell>
          <cell r="BO49">
            <v>3826</v>
          </cell>
          <cell r="BQ49">
            <v>117.10248</v>
          </cell>
          <cell r="BS49">
            <v>722.49399999999991</v>
          </cell>
          <cell r="BU49">
            <v>2309.3000000000002</v>
          </cell>
          <cell r="BW49">
            <v>923.31999999999994</v>
          </cell>
          <cell r="BY49">
            <v>174.2</v>
          </cell>
          <cell r="CA49">
            <v>722.49399999999991</v>
          </cell>
          <cell r="CC49">
            <v>100.35</v>
          </cell>
          <cell r="CE49">
            <v>274.03300000000002</v>
          </cell>
          <cell r="CG49">
            <v>937</v>
          </cell>
          <cell r="CI49">
            <v>2710.41</v>
          </cell>
          <cell r="CK49">
            <v>1005</v>
          </cell>
          <cell r="CM49">
            <v>22.2</v>
          </cell>
          <cell r="CS49">
            <v>32.01040340877649</v>
          </cell>
          <cell r="CU49">
            <v>54.911520000000003</v>
          </cell>
        </row>
        <row r="50">
          <cell r="P50" t="str">
            <v xml:space="preserve"> </v>
          </cell>
          <cell r="Q50">
            <v>2217</v>
          </cell>
          <cell r="R50" t="str">
            <v xml:space="preserve"> </v>
          </cell>
          <cell r="S50">
            <v>351.517</v>
          </cell>
          <cell r="U50">
            <v>466.505</v>
          </cell>
          <cell r="W50">
            <v>13330</v>
          </cell>
          <cell r="Y50">
            <v>529.53368</v>
          </cell>
          <cell r="AA50">
            <v>2713.1299999999997</v>
          </cell>
          <cell r="AC50">
            <v>1199.7626399999999</v>
          </cell>
          <cell r="AE50">
            <v>18872.13</v>
          </cell>
          <cell r="AG50">
            <v>1452.5</v>
          </cell>
          <cell r="AI50">
            <v>9880.4159999999993</v>
          </cell>
          <cell r="AK50">
            <v>0</v>
          </cell>
          <cell r="AM50">
            <v>65.793850000000006</v>
          </cell>
          <cell r="AO50">
            <v>0.56560639999999995</v>
          </cell>
          <cell r="AQ50">
            <v>14.923580000000001</v>
          </cell>
          <cell r="AS50">
            <v>52.048099999999998</v>
          </cell>
          <cell r="AU50">
            <v>10.484</v>
          </cell>
          <cell r="AW50">
            <v>6.1114500000000005</v>
          </cell>
          <cell r="AY50">
            <v>1.9</v>
          </cell>
          <cell r="BQ50">
            <v>219.10680000000002</v>
          </cell>
          <cell r="BS50">
            <v>575.29999999999995</v>
          </cell>
          <cell r="BU50">
            <v>26861</v>
          </cell>
          <cell r="BW50">
            <v>14062.18</v>
          </cell>
          <cell r="BY50">
            <v>562</v>
          </cell>
          <cell r="CA50">
            <v>575.29999999999995</v>
          </cell>
          <cell r="CC50">
            <v>113.3496</v>
          </cell>
          <cell r="CE50">
            <v>13309.477440000001</v>
          </cell>
          <cell r="CG50">
            <v>7862.48</v>
          </cell>
          <cell r="CI50">
            <v>14792.526</v>
          </cell>
          <cell r="CK50">
            <v>18234</v>
          </cell>
        </row>
        <row r="51">
          <cell r="P51" t="str">
            <v xml:space="preserve"> </v>
          </cell>
          <cell r="Q51">
            <v>1943.7380000000001</v>
          </cell>
          <cell r="R51" t="str">
            <v xml:space="preserve"> </v>
          </cell>
          <cell r="S51">
            <v>200.78399999999999</v>
          </cell>
          <cell r="U51">
            <v>466.505</v>
          </cell>
          <cell r="W51">
            <v>12504</v>
          </cell>
          <cell r="Y51">
            <v>434.04399999999998</v>
          </cell>
          <cell r="AA51">
            <v>2401</v>
          </cell>
          <cell r="AC51">
            <v>1016.748</v>
          </cell>
          <cell r="AE51">
            <v>16701</v>
          </cell>
          <cell r="AG51">
            <v>1162</v>
          </cell>
          <cell r="AI51">
            <v>8517.6</v>
          </cell>
          <cell r="AK51">
            <v>0</v>
          </cell>
          <cell r="AM51">
            <v>44.606000000000002</v>
          </cell>
          <cell r="AO51">
            <v>0.44188</v>
          </cell>
          <cell r="AQ51">
            <v>11.137</v>
          </cell>
          <cell r="AS51">
            <v>40.036999999999999</v>
          </cell>
          <cell r="AU51">
            <v>10.484</v>
          </cell>
          <cell r="AW51">
            <v>4.5270000000000001</v>
          </cell>
          <cell r="AY51">
            <v>1</v>
          </cell>
          <cell r="BC51">
            <v>1.5</v>
          </cell>
          <cell r="BE51">
            <v>6.0309999999999997</v>
          </cell>
          <cell r="BG51">
            <v>0.43099999999999999</v>
          </cell>
          <cell r="BI51">
            <v>7.7990000000000004</v>
          </cell>
          <cell r="BK51">
            <v>5.3479999999999999</v>
          </cell>
          <cell r="BQ51">
            <v>170.78885999999997</v>
          </cell>
          <cell r="BS51">
            <v>389.3</v>
          </cell>
          <cell r="BU51">
            <v>23637</v>
          </cell>
          <cell r="BW51">
            <v>12783.8</v>
          </cell>
          <cell r="BY51">
            <v>464.4</v>
          </cell>
          <cell r="CA51">
            <v>389.3</v>
          </cell>
          <cell r="CC51">
            <v>80.963999999999999</v>
          </cell>
          <cell r="CE51">
            <v>11883.462</v>
          </cell>
          <cell r="CG51">
            <v>6778</v>
          </cell>
          <cell r="CI51">
            <v>13326.599999999999</v>
          </cell>
          <cell r="CK51">
            <v>17468</v>
          </cell>
        </row>
        <row r="52">
          <cell r="P52" t="str">
            <v xml:space="preserve"> </v>
          </cell>
          <cell r="Q52">
            <v>668.74300000000005</v>
          </cell>
          <cell r="R52" t="str">
            <v xml:space="preserve"> </v>
          </cell>
          <cell r="S52">
            <v>187.49799999999999</v>
          </cell>
          <cell r="U52">
            <v>16.016999999999999</v>
          </cell>
          <cell r="W52">
            <v>3088</v>
          </cell>
          <cell r="Y52">
            <v>126.83299999999998</v>
          </cell>
          <cell r="AA52">
            <v>792.5</v>
          </cell>
          <cell r="AC52">
            <v>173.43699999999998</v>
          </cell>
          <cell r="AE52">
            <v>4482</v>
          </cell>
          <cell r="AG52">
            <v>109.84299999999999</v>
          </cell>
          <cell r="AI52">
            <v>2321.3999999999996</v>
          </cell>
          <cell r="AK52">
            <v>-28.664999999999999</v>
          </cell>
          <cell r="AM52">
            <v>-17.995999999999999</v>
          </cell>
          <cell r="AO52">
            <v>-38.15793</v>
          </cell>
          <cell r="AQ52">
            <v>-21.106000000000002</v>
          </cell>
          <cell r="AS52">
            <v>-45.764000000000003</v>
          </cell>
          <cell r="AU52">
            <v>-25.050999999999998</v>
          </cell>
          <cell r="AW52">
            <v>-26.486000000000001</v>
          </cell>
          <cell r="AY52">
            <v>-11.257</v>
          </cell>
          <cell r="BC52">
            <v>-12.77</v>
          </cell>
          <cell r="BE52">
            <v>-34.780999999999999</v>
          </cell>
          <cell r="BG52">
            <v>-11.898999999999999</v>
          </cell>
          <cell r="BI52">
            <v>-18.004999999999999</v>
          </cell>
          <cell r="BK52">
            <v>-16.463000000000001</v>
          </cell>
          <cell r="BQ52">
            <v>52.805279999999996</v>
          </cell>
          <cell r="BS52">
            <v>133.69999999999999</v>
          </cell>
          <cell r="BU52">
            <v>5864</v>
          </cell>
          <cell r="BW52">
            <v>2833.9199999999996</v>
          </cell>
          <cell r="BY52">
            <v>164.8</v>
          </cell>
          <cell r="CA52">
            <v>133.69999999999999</v>
          </cell>
          <cell r="CC52">
            <v>-25.872999999999998</v>
          </cell>
          <cell r="CE52">
            <v>2850.4259999999999</v>
          </cell>
          <cell r="CG52">
            <v>1959</v>
          </cell>
          <cell r="CI52">
            <v>4547.41</v>
          </cell>
          <cell r="CK52">
            <v>4729</v>
          </cell>
        </row>
        <row r="53">
          <cell r="P53" t="str">
            <v xml:space="preserve"> </v>
          </cell>
          <cell r="Q53">
            <v>21.885999999999999</v>
          </cell>
          <cell r="R53" t="str">
            <v xml:space="preserve"> </v>
          </cell>
          <cell r="S53">
            <v>3.9380000000000002</v>
          </cell>
          <cell r="U53">
            <v>0.752</v>
          </cell>
          <cell r="W53">
            <v>152</v>
          </cell>
          <cell r="Y53">
            <v>0</v>
          </cell>
          <cell r="AA53">
            <v>0</v>
          </cell>
          <cell r="AC53">
            <v>3.6419999999999999</v>
          </cell>
          <cell r="AE53">
            <v>0</v>
          </cell>
          <cell r="AG53">
            <v>0</v>
          </cell>
          <cell r="AI53">
            <v>0</v>
          </cell>
          <cell r="AK53">
            <v>0</v>
          </cell>
          <cell r="AM53">
            <v>0.91700000000000004</v>
          </cell>
          <cell r="AO53">
            <v>0</v>
          </cell>
          <cell r="AQ53">
            <v>0</v>
          </cell>
          <cell r="AS53">
            <v>0.48899999999999999</v>
          </cell>
          <cell r="AU53">
            <v>0.217</v>
          </cell>
          <cell r="AW53">
            <v>0.21</v>
          </cell>
          <cell r="AY53">
            <v>0</v>
          </cell>
          <cell r="BC53">
            <v>0</v>
          </cell>
          <cell r="BE53">
            <v>1.0649999999999999</v>
          </cell>
          <cell r="BG53">
            <v>0.113</v>
          </cell>
          <cell r="BI53">
            <v>0.05</v>
          </cell>
          <cell r="BK53">
            <v>0.55100000000000005</v>
          </cell>
          <cell r="BQ53">
            <v>3.8695800000000005</v>
          </cell>
          <cell r="BS53">
            <v>0</v>
          </cell>
          <cell r="BU53">
            <v>0</v>
          </cell>
          <cell r="BW53">
            <v>0</v>
          </cell>
          <cell r="BY53">
            <v>0</v>
          </cell>
          <cell r="CA53">
            <v>0</v>
          </cell>
          <cell r="CC53">
            <v>3.4830000000000001</v>
          </cell>
          <cell r="CE53">
            <v>134.55000000000001</v>
          </cell>
          <cell r="CG53">
            <v>0</v>
          </cell>
          <cell r="CI53">
            <v>205.41</v>
          </cell>
          <cell r="CK53">
            <v>118</v>
          </cell>
        </row>
        <row r="54">
          <cell r="P54" t="str">
            <v xml:space="preserve"> </v>
          </cell>
          <cell r="Q54">
            <v>3.6610000000000005</v>
          </cell>
          <cell r="R54" t="str">
            <v xml:space="preserve"> </v>
          </cell>
          <cell r="S54">
            <v>9.6069999999999993</v>
          </cell>
          <cell r="U54">
            <v>5.907</v>
          </cell>
          <cell r="W54">
            <v>153</v>
          </cell>
          <cell r="Y54">
            <v>22.135000000000002</v>
          </cell>
          <cell r="AA54">
            <v>0</v>
          </cell>
          <cell r="AC54">
            <v>0</v>
          </cell>
          <cell r="AE54">
            <v>0</v>
          </cell>
          <cell r="AG54">
            <v>0</v>
          </cell>
          <cell r="AI54">
            <v>0</v>
          </cell>
          <cell r="AK54">
            <v>0</v>
          </cell>
          <cell r="AM54">
            <v>3.4889999999999999</v>
          </cell>
          <cell r="AO54">
            <v>5.278098</v>
          </cell>
          <cell r="AQ54">
            <v>9.1180000000000003</v>
          </cell>
          <cell r="AS54">
            <v>18.260000000000002</v>
          </cell>
          <cell r="AU54">
            <v>3.0939999999999999</v>
          </cell>
          <cell r="AW54">
            <v>5.7160000000000002</v>
          </cell>
          <cell r="AY54">
            <v>2.4350000000000001</v>
          </cell>
          <cell r="BC54">
            <v>1.32</v>
          </cell>
          <cell r="BE54">
            <v>2.786</v>
          </cell>
          <cell r="BG54">
            <v>0.58399999999999996</v>
          </cell>
          <cell r="BI54">
            <v>2.0299999999999998</v>
          </cell>
          <cell r="BK54">
            <v>1.5229999999999999</v>
          </cell>
          <cell r="BQ54">
            <v>8.1081000000000003</v>
          </cell>
          <cell r="BS54">
            <v>0</v>
          </cell>
          <cell r="BU54">
            <v>0</v>
          </cell>
          <cell r="BW54">
            <v>0</v>
          </cell>
          <cell r="BY54">
            <v>0</v>
          </cell>
          <cell r="CA54">
            <v>0</v>
          </cell>
          <cell r="CC54">
            <v>4.0039999999999996</v>
          </cell>
          <cell r="CE54">
            <v>47.747999999999998</v>
          </cell>
          <cell r="CG54">
            <v>0</v>
          </cell>
          <cell r="CI54">
            <v>0</v>
          </cell>
          <cell r="CK54">
            <v>106</v>
          </cell>
        </row>
        <row r="55">
          <cell r="P55" t="str">
            <v xml:space="preserve"> </v>
          </cell>
          <cell r="Q55">
            <v>0</v>
          </cell>
          <cell r="R55" t="str">
            <v xml:space="preserve"> </v>
          </cell>
          <cell r="S55">
            <v>0</v>
          </cell>
          <cell r="U55">
            <v>0</v>
          </cell>
          <cell r="W55">
            <v>0</v>
          </cell>
          <cell r="Y55">
            <v>0</v>
          </cell>
          <cell r="AA55">
            <v>0</v>
          </cell>
          <cell r="AC55">
            <v>0</v>
          </cell>
          <cell r="AE55">
            <v>0</v>
          </cell>
          <cell r="AG55">
            <v>0</v>
          </cell>
          <cell r="AI55">
            <v>0</v>
          </cell>
          <cell r="AK55">
            <v>0</v>
          </cell>
          <cell r="AM55">
            <v>0</v>
          </cell>
          <cell r="AO55">
            <v>0</v>
          </cell>
          <cell r="AQ55">
            <v>0</v>
          </cell>
          <cell r="AS55">
            <v>0</v>
          </cell>
          <cell r="AU55">
            <v>0</v>
          </cell>
          <cell r="AW55">
            <v>0</v>
          </cell>
          <cell r="AY55">
            <v>0</v>
          </cell>
          <cell r="BC55">
            <v>0</v>
          </cell>
          <cell r="BE55">
            <v>0</v>
          </cell>
          <cell r="BG55">
            <v>0</v>
          </cell>
          <cell r="BI55">
            <v>0</v>
          </cell>
          <cell r="BK55">
            <v>0.16300000000000001</v>
          </cell>
          <cell r="BQ55">
            <v>0</v>
          </cell>
          <cell r="BS55">
            <v>0</v>
          </cell>
          <cell r="BU55">
            <v>0</v>
          </cell>
          <cell r="BW55">
            <v>0</v>
          </cell>
          <cell r="BY55">
            <v>0</v>
          </cell>
          <cell r="CA55">
            <v>0</v>
          </cell>
          <cell r="CC55">
            <v>0</v>
          </cell>
          <cell r="CE55">
            <v>0</v>
          </cell>
          <cell r="CG55">
            <v>0</v>
          </cell>
          <cell r="CI55">
            <v>0</v>
          </cell>
          <cell r="CK55">
            <v>0</v>
          </cell>
        </row>
        <row r="56">
          <cell r="P56" t="str">
            <v xml:space="preserve"> </v>
          </cell>
          <cell r="Q56">
            <v>86.691999999999993</v>
          </cell>
          <cell r="R56" t="str">
            <v xml:space="preserve"> </v>
          </cell>
          <cell r="S56">
            <v>14.617000000000001</v>
          </cell>
          <cell r="U56">
            <v>9.0869999999999997</v>
          </cell>
          <cell r="W56">
            <v>502</v>
          </cell>
          <cell r="Y56">
            <v>19.295999999999999</v>
          </cell>
          <cell r="AA56">
            <v>117.1</v>
          </cell>
          <cell r="AC56">
            <v>65.533000000000001</v>
          </cell>
          <cell r="AE56">
            <v>591</v>
          </cell>
          <cell r="AG56">
            <v>102.589</v>
          </cell>
          <cell r="AI56">
            <v>509.8</v>
          </cell>
          <cell r="AK56">
            <v>0.25</v>
          </cell>
          <cell r="AM56">
            <v>4.01</v>
          </cell>
          <cell r="AO56">
            <v>2.109982</v>
          </cell>
          <cell r="AQ56">
            <v>3.2440000000000002</v>
          </cell>
          <cell r="AS56">
            <v>2.9830000000000001</v>
          </cell>
          <cell r="AU56">
            <v>1.1930000000000001</v>
          </cell>
          <cell r="AW56">
            <v>0.629</v>
          </cell>
          <cell r="AY56">
            <v>5.0999999999999997E-2</v>
          </cell>
          <cell r="BC56">
            <v>0.28799999999999998</v>
          </cell>
          <cell r="BE56">
            <v>3.1459999999999999</v>
          </cell>
          <cell r="BG56">
            <v>0.95500000000000007</v>
          </cell>
          <cell r="BI56">
            <v>1.843</v>
          </cell>
          <cell r="BK56">
            <v>1.7969999999999999</v>
          </cell>
          <cell r="BQ56">
            <v>7.3207200000000006</v>
          </cell>
          <cell r="BS56">
            <v>0</v>
          </cell>
          <cell r="BU56">
            <v>0</v>
          </cell>
          <cell r="BW56">
            <v>439.52</v>
          </cell>
          <cell r="BY56">
            <v>0</v>
          </cell>
          <cell r="CA56">
            <v>0</v>
          </cell>
          <cell r="CC56">
            <v>4.016</v>
          </cell>
          <cell r="CE56">
            <v>727.75400000000002</v>
          </cell>
          <cell r="CG56">
            <v>200</v>
          </cell>
          <cell r="CI56">
            <v>622.91</v>
          </cell>
          <cell r="CK56">
            <v>623</v>
          </cell>
        </row>
        <row r="57">
          <cell r="P57" t="str">
            <v xml:space="preserve"> </v>
          </cell>
          <cell r="Q57">
            <v>319.66000000000003</v>
          </cell>
          <cell r="R57" t="str">
            <v xml:space="preserve"> </v>
          </cell>
          <cell r="S57">
            <v>0</v>
          </cell>
          <cell r="U57">
            <v>0</v>
          </cell>
          <cell r="W57">
            <v>0</v>
          </cell>
          <cell r="Y57">
            <v>0</v>
          </cell>
          <cell r="AA57">
            <v>0</v>
          </cell>
          <cell r="AC57">
            <v>0</v>
          </cell>
          <cell r="AE57">
            <v>0</v>
          </cell>
          <cell r="AG57">
            <v>0</v>
          </cell>
          <cell r="AI57">
            <v>0</v>
          </cell>
          <cell r="AK57">
            <v>0</v>
          </cell>
          <cell r="AM57">
            <v>0</v>
          </cell>
          <cell r="AO57">
            <v>0</v>
          </cell>
          <cell r="AQ57">
            <v>0</v>
          </cell>
          <cell r="AS57">
            <v>0</v>
          </cell>
          <cell r="AU57">
            <v>0</v>
          </cell>
          <cell r="AW57">
            <v>0</v>
          </cell>
          <cell r="AY57">
            <v>0</v>
          </cell>
          <cell r="BC57">
            <v>0</v>
          </cell>
          <cell r="BE57">
            <v>0</v>
          </cell>
          <cell r="BG57">
            <v>0</v>
          </cell>
          <cell r="BI57">
            <v>0</v>
          </cell>
          <cell r="BK57">
            <v>0</v>
          </cell>
          <cell r="BQ57">
            <v>0</v>
          </cell>
          <cell r="BS57">
            <v>0</v>
          </cell>
          <cell r="BU57">
            <v>0</v>
          </cell>
          <cell r="BW57">
            <v>0</v>
          </cell>
          <cell r="BY57">
            <v>0</v>
          </cell>
          <cell r="CA57">
            <v>0</v>
          </cell>
          <cell r="CC57">
            <v>0</v>
          </cell>
          <cell r="CE57">
            <v>0</v>
          </cell>
          <cell r="CG57">
            <v>0</v>
          </cell>
          <cell r="CI57">
            <v>0</v>
          </cell>
          <cell r="CK57">
            <v>0</v>
          </cell>
        </row>
        <row r="58">
          <cell r="P58" t="str">
            <v xml:space="preserve"> </v>
          </cell>
          <cell r="Q58">
            <v>550.59400000000005</v>
          </cell>
          <cell r="R58" t="str">
            <v xml:space="preserve"> </v>
          </cell>
          <cell r="S58">
            <v>33.715000000000003</v>
          </cell>
          <cell r="U58">
            <v>22.241</v>
          </cell>
          <cell r="W58">
            <v>1629</v>
          </cell>
          <cell r="Y58">
            <v>108.46299999999999</v>
          </cell>
          <cell r="AA58">
            <v>902.9</v>
          </cell>
          <cell r="AC58">
            <v>118.324</v>
          </cell>
          <cell r="AE58">
            <v>3796</v>
          </cell>
          <cell r="AG58">
            <v>185.35607999999999</v>
          </cell>
          <cell r="AI58">
            <v>1920</v>
          </cell>
          <cell r="AK58">
            <v>-27</v>
          </cell>
          <cell r="AM58">
            <v>-11.528</v>
          </cell>
          <cell r="AO58">
            <v>-30.927018</v>
          </cell>
          <cell r="AQ58">
            <v>-8.7439999999999998</v>
          </cell>
          <cell r="AS58">
            <v>-25.009999999999998</v>
          </cell>
          <cell r="AU58">
            <v>-23.29</v>
          </cell>
          <cell r="AW58">
            <v>-20.350999999999999</v>
          </cell>
          <cell r="AY58">
            <v>-8.770999999999999</v>
          </cell>
          <cell r="BC58">
            <v>-11.157</v>
          </cell>
          <cell r="BE58">
            <v>-29.914000000000001</v>
          </cell>
          <cell r="BG58">
            <v>-10.473000000000001</v>
          </cell>
          <cell r="BI58">
            <v>-14.181999999999999</v>
          </cell>
          <cell r="BK58">
            <v>-13.856999999999999</v>
          </cell>
          <cell r="BQ58">
            <v>64.279445999999993</v>
          </cell>
          <cell r="BS58">
            <v>0</v>
          </cell>
          <cell r="BU58">
            <v>0</v>
          </cell>
          <cell r="BW58">
            <v>3273.4399999999996</v>
          </cell>
          <cell r="BY58">
            <v>0</v>
          </cell>
          <cell r="CA58">
            <v>0</v>
          </cell>
          <cell r="CC58">
            <v>-21.336000000000006</v>
          </cell>
          <cell r="CE58">
            <v>729.84800000000007</v>
          </cell>
          <cell r="CG58">
            <v>1644</v>
          </cell>
          <cell r="CI58">
            <v>3712.41</v>
          </cell>
          <cell r="CK58">
            <v>4489</v>
          </cell>
        </row>
        <row r="59">
          <cell r="P59" t="str">
            <v xml:space="preserve"> </v>
          </cell>
          <cell r="R59" t="str">
            <v xml:space="preserve"> </v>
          </cell>
        </row>
        <row r="60">
          <cell r="O60">
            <v>25.5</v>
          </cell>
          <cell r="P60" t="str">
            <v xml:space="preserve"> </v>
          </cell>
          <cell r="Q60">
            <v>42.9375</v>
          </cell>
          <cell r="R60" t="str">
            <v xml:space="preserve"> </v>
          </cell>
          <cell r="S60">
            <v>55.625</v>
          </cell>
          <cell r="U60" t="e">
            <v>#N/A</v>
          </cell>
          <cell r="W60">
            <v>34</v>
          </cell>
          <cell r="Y60">
            <v>66.875</v>
          </cell>
          <cell r="AA60">
            <v>73.625</v>
          </cell>
          <cell r="AC60" t="e">
            <v>#N/A</v>
          </cell>
          <cell r="AE60">
            <v>67.25</v>
          </cell>
          <cell r="AG60">
            <v>23.125</v>
          </cell>
          <cell r="AI60">
            <v>66.375</v>
          </cell>
          <cell r="AK60">
            <v>24.875</v>
          </cell>
          <cell r="AM60">
            <v>99.4375</v>
          </cell>
          <cell r="AO60">
            <v>13.6875</v>
          </cell>
          <cell r="AQ60">
            <v>25.84375</v>
          </cell>
          <cell r="AS60">
            <v>68.3125</v>
          </cell>
          <cell r="AU60">
            <v>13.5625</v>
          </cell>
          <cell r="AW60">
            <v>18.5</v>
          </cell>
          <cell r="AY60">
            <v>23.625</v>
          </cell>
          <cell r="BA60">
            <v>10.25</v>
          </cell>
          <cell r="BC60">
            <v>13.875</v>
          </cell>
          <cell r="BE60">
            <v>29.5</v>
          </cell>
          <cell r="BG60">
            <v>16.5</v>
          </cell>
          <cell r="BI60">
            <v>8.75</v>
          </cell>
          <cell r="BK60">
            <v>26.3125</v>
          </cell>
          <cell r="BM60">
            <v>75.6875</v>
          </cell>
          <cell r="BO60">
            <v>93.25</v>
          </cell>
          <cell r="BQ60">
            <v>20.625</v>
          </cell>
          <cell r="BS60">
            <v>29</v>
          </cell>
          <cell r="BU60">
            <v>66.75</v>
          </cell>
          <cell r="BW60">
            <v>59.3125</v>
          </cell>
          <cell r="BY60">
            <v>49.5</v>
          </cell>
          <cell r="CA60">
            <v>29</v>
          </cell>
          <cell r="CC60">
            <v>78.6875</v>
          </cell>
          <cell r="CE60">
            <v>43.375</v>
          </cell>
          <cell r="CG60">
            <v>50.1875</v>
          </cell>
          <cell r="CI60">
            <v>51.1875</v>
          </cell>
          <cell r="CK60">
            <v>67.25</v>
          </cell>
          <cell r="CM60">
            <v>19.875</v>
          </cell>
          <cell r="CO60">
            <v>6.2327000000000004</v>
          </cell>
          <cell r="CQ60">
            <v>57.539280000000005</v>
          </cell>
          <cell r="CS60">
            <v>46.610030000000002</v>
          </cell>
          <cell r="CU60">
            <v>24.125</v>
          </cell>
        </row>
        <row r="61">
          <cell r="O61">
            <v>41.375</v>
          </cell>
          <cell r="P61" t="str">
            <v xml:space="preserve"> </v>
          </cell>
          <cell r="Q61">
            <v>47.0625</v>
          </cell>
          <cell r="R61" t="str">
            <v xml:space="preserve"> </v>
          </cell>
          <cell r="S61">
            <v>58</v>
          </cell>
          <cell r="U61">
            <v>61.25</v>
          </cell>
          <cell r="W61">
            <v>50.041670000000003</v>
          </cell>
          <cell r="Y61">
            <v>76.625</v>
          </cell>
          <cell r="AA61">
            <v>81.375</v>
          </cell>
          <cell r="AC61">
            <v>90</v>
          </cell>
          <cell r="AE61">
            <v>76</v>
          </cell>
          <cell r="AG61">
            <v>26.625</v>
          </cell>
          <cell r="AI61">
            <v>97.75</v>
          </cell>
          <cell r="AK61">
            <v>34.125</v>
          </cell>
          <cell r="AM61">
            <v>101.625</v>
          </cell>
          <cell r="AO61">
            <v>61.5</v>
          </cell>
          <cell r="AQ61">
            <v>28.4375</v>
          </cell>
          <cell r="AS61">
            <v>69.6875</v>
          </cell>
          <cell r="AU61">
            <v>29</v>
          </cell>
          <cell r="AW61">
            <v>32.875</v>
          </cell>
          <cell r="AY61">
            <v>36</v>
          </cell>
          <cell r="BA61">
            <v>26.5</v>
          </cell>
          <cell r="BC61">
            <v>22.5</v>
          </cell>
          <cell r="BE61">
            <v>30.9375</v>
          </cell>
          <cell r="BG61">
            <v>28</v>
          </cell>
          <cell r="BI61">
            <v>12.375</v>
          </cell>
          <cell r="BK61">
            <v>30.4375</v>
          </cell>
          <cell r="BM61">
            <v>140.875</v>
          </cell>
          <cell r="BO61">
            <v>103</v>
          </cell>
          <cell r="BQ61">
            <v>30.25</v>
          </cell>
          <cell r="BS61">
            <v>43.9375</v>
          </cell>
          <cell r="BU61">
            <v>87.375</v>
          </cell>
          <cell r="BW61">
            <v>76.375</v>
          </cell>
          <cell r="BY61">
            <v>55.75</v>
          </cell>
          <cell r="CA61">
            <v>43.9375</v>
          </cell>
          <cell r="CC61">
            <v>84</v>
          </cell>
          <cell r="CE61">
            <v>53.3125</v>
          </cell>
          <cell r="CG61">
            <v>60.8125</v>
          </cell>
          <cell r="CI61">
            <v>76.1875</v>
          </cell>
          <cell r="CK61">
            <v>76</v>
          </cell>
          <cell r="CM61">
            <v>24.4375</v>
          </cell>
          <cell r="CO61">
            <v>5.84</v>
          </cell>
          <cell r="CQ61">
            <v>69.280050000000003</v>
          </cell>
          <cell r="CS61">
            <v>69.024410000000003</v>
          </cell>
          <cell r="CU61">
            <v>29.375</v>
          </cell>
        </row>
        <row r="62">
          <cell r="O62">
            <v>0</v>
          </cell>
          <cell r="P62" t="str">
            <v xml:space="preserve"> </v>
          </cell>
          <cell r="Q62">
            <v>0</v>
          </cell>
          <cell r="R62" t="str">
            <v xml:space="preserve"> </v>
          </cell>
          <cell r="S62">
            <v>0</v>
          </cell>
          <cell r="U62">
            <v>0</v>
          </cell>
          <cell r="W62">
            <v>0</v>
          </cell>
          <cell r="Y62">
            <v>0</v>
          </cell>
          <cell r="AA62">
            <v>0</v>
          </cell>
          <cell r="AC62">
            <v>0</v>
          </cell>
          <cell r="AE62">
            <v>0</v>
          </cell>
          <cell r="AG62">
            <v>0</v>
          </cell>
          <cell r="AI62">
            <v>0</v>
          </cell>
          <cell r="AK62">
            <v>0</v>
          </cell>
          <cell r="AM62">
            <v>0</v>
          </cell>
          <cell r="AO62">
            <v>0</v>
          </cell>
          <cell r="AQ62">
            <v>0</v>
          </cell>
          <cell r="AS62">
            <v>0</v>
          </cell>
          <cell r="AU62">
            <v>0</v>
          </cell>
          <cell r="AW62">
            <v>0</v>
          </cell>
          <cell r="AY62">
            <v>0</v>
          </cell>
          <cell r="BA62">
            <v>0</v>
          </cell>
          <cell r="BC62">
            <v>0</v>
          </cell>
          <cell r="BE62">
            <v>0</v>
          </cell>
          <cell r="BG62">
            <v>0</v>
          </cell>
          <cell r="BI62">
            <v>0</v>
          </cell>
          <cell r="BK62">
            <v>0</v>
          </cell>
          <cell r="BM62">
            <v>0</v>
          </cell>
          <cell r="BO62">
            <v>0</v>
          </cell>
          <cell r="BQ62">
            <v>0</v>
          </cell>
          <cell r="BS62">
            <v>0</v>
          </cell>
          <cell r="BU62">
            <v>0</v>
          </cell>
          <cell r="BW62">
            <v>0</v>
          </cell>
          <cell r="BY62">
            <v>0</v>
          </cell>
          <cell r="CA62">
            <v>0</v>
          </cell>
          <cell r="CC62">
            <v>0</v>
          </cell>
          <cell r="CE62">
            <v>0</v>
          </cell>
          <cell r="CG62">
            <v>0.44</v>
          </cell>
          <cell r="CI62">
            <v>1.0174000000000001</v>
          </cell>
          <cell r="CK62">
            <v>1.56</v>
          </cell>
          <cell r="CM62">
            <v>0</v>
          </cell>
          <cell r="CO62">
            <v>0</v>
          </cell>
          <cell r="CQ62">
            <v>0</v>
          </cell>
          <cell r="CS62">
            <v>0</v>
          </cell>
          <cell r="CU62">
            <v>0</v>
          </cell>
        </row>
        <row r="63">
          <cell r="O63">
            <v>22.234375</v>
          </cell>
          <cell r="P63" t="str">
            <v xml:space="preserve"> </v>
          </cell>
          <cell r="Q63">
            <v>20.125</v>
          </cell>
          <cell r="R63" t="str">
            <v xml:space="preserve"> </v>
          </cell>
          <cell r="S63">
            <v>31.25</v>
          </cell>
          <cell r="U63">
            <v>19.25</v>
          </cell>
          <cell r="W63">
            <v>28.666670000000003</v>
          </cell>
          <cell r="Y63">
            <v>20.875</v>
          </cell>
          <cell r="AA63">
            <v>28.96875</v>
          </cell>
          <cell r="AC63">
            <v>63.5625</v>
          </cell>
          <cell r="AE63">
            <v>44.15625</v>
          </cell>
          <cell r="AG63">
            <v>13.75</v>
          </cell>
          <cell r="AI63">
            <v>63.875</v>
          </cell>
          <cell r="AK63">
            <v>13.25</v>
          </cell>
          <cell r="AM63">
            <v>17.25</v>
          </cell>
          <cell r="AO63">
            <v>10.0625</v>
          </cell>
          <cell r="AQ63">
            <v>13.375</v>
          </cell>
          <cell r="AS63">
            <v>18</v>
          </cell>
          <cell r="AU63">
            <v>12.25</v>
          </cell>
          <cell r="AW63">
            <v>10.9375</v>
          </cell>
          <cell r="AY63">
            <v>18.5</v>
          </cell>
          <cell r="BA63">
            <v>8</v>
          </cell>
          <cell r="BC63">
            <v>5</v>
          </cell>
          <cell r="BE63">
            <v>9.75</v>
          </cell>
          <cell r="BG63">
            <v>3.5</v>
          </cell>
          <cell r="BI63">
            <v>3.375</v>
          </cell>
          <cell r="BK63">
            <v>5.5625</v>
          </cell>
          <cell r="BM63">
            <v>42.25</v>
          </cell>
          <cell r="BO63">
            <v>68.125</v>
          </cell>
          <cell r="BQ63">
            <v>14.5</v>
          </cell>
          <cell r="BS63">
            <v>24.625</v>
          </cell>
          <cell r="BU63">
            <v>57.5</v>
          </cell>
          <cell r="BW63">
            <v>48.0625</v>
          </cell>
          <cell r="BY63">
            <v>31</v>
          </cell>
          <cell r="CA63">
            <v>24.625</v>
          </cell>
          <cell r="CC63">
            <v>21</v>
          </cell>
          <cell r="CE63">
            <v>36.625</v>
          </cell>
          <cell r="CG63">
            <v>42.375</v>
          </cell>
          <cell r="CI63">
            <v>49.375</v>
          </cell>
          <cell r="CK63">
            <v>44.15625</v>
          </cell>
          <cell r="CM63">
            <v>12.8125</v>
          </cell>
          <cell r="CO63">
            <v>3.2250000000000001</v>
          </cell>
          <cell r="CQ63">
            <v>46.527560000000001</v>
          </cell>
          <cell r="CS63">
            <v>42.437230000000007</v>
          </cell>
          <cell r="CU63">
            <v>14.125</v>
          </cell>
        </row>
        <row r="64">
          <cell r="O64">
            <v>24044</v>
          </cell>
          <cell r="P64" t="str">
            <v xml:space="preserve"> </v>
          </cell>
          <cell r="Q64">
            <v>195702.035</v>
          </cell>
          <cell r="R64" t="str">
            <v xml:space="preserve"> </v>
          </cell>
          <cell r="S64">
            <v>70363.044999999998</v>
          </cell>
          <cell r="U64">
            <v>31283</v>
          </cell>
          <cell r="W64">
            <v>1293255</v>
          </cell>
          <cell r="Y64">
            <v>73599.510999999999</v>
          </cell>
          <cell r="AA64">
            <v>254070.28</v>
          </cell>
          <cell r="AC64">
            <v>125160.38500000001</v>
          </cell>
          <cell r="AE64">
            <v>995294.31499999994</v>
          </cell>
          <cell r="AG64">
            <v>178653</v>
          </cell>
          <cell r="AI64">
            <v>1107425.186</v>
          </cell>
          <cell r="AK64">
            <v>13625</v>
          </cell>
          <cell r="AM64">
            <v>20002.87</v>
          </cell>
          <cell r="AO64">
            <v>16309.343000000001</v>
          </cell>
          <cell r="AQ64">
            <v>18554.572</v>
          </cell>
          <cell r="AS64">
            <v>30531.399000000001</v>
          </cell>
          <cell r="AU64">
            <v>16740.085999999999</v>
          </cell>
          <cell r="AW64">
            <v>16125.596</v>
          </cell>
          <cell r="AY64">
            <v>17028.649000000001</v>
          </cell>
          <cell r="BA64">
            <v>44104.851000000002</v>
          </cell>
          <cell r="BC64">
            <v>11485.782999999999</v>
          </cell>
          <cell r="BE64">
            <v>16399.208999999999</v>
          </cell>
          <cell r="BG64">
            <v>10593.477000000001</v>
          </cell>
          <cell r="BI64">
            <v>11418.286</v>
          </cell>
          <cell r="BK64">
            <v>24453.647000000001</v>
          </cell>
          <cell r="BM64">
            <v>32811.144</v>
          </cell>
          <cell r="BO64">
            <v>1344669.4480000001</v>
          </cell>
          <cell r="BQ64">
            <v>108255</v>
          </cell>
          <cell r="BS64">
            <v>99351.686000000002</v>
          </cell>
          <cell r="BU64">
            <v>1195259.3370000001</v>
          </cell>
          <cell r="BW64">
            <v>1094800</v>
          </cell>
          <cell r="BY64">
            <v>86420.91</v>
          </cell>
          <cell r="CA64">
            <v>99351.686000000002</v>
          </cell>
          <cell r="CC64">
            <v>26719.304</v>
          </cell>
          <cell r="CE64">
            <v>1517621.345</v>
          </cell>
          <cell r="CG64">
            <v>1469611.1140000001</v>
          </cell>
          <cell r="CI64">
            <v>1811000</v>
          </cell>
          <cell r="CK64">
            <v>994708.60699999996</v>
          </cell>
          <cell r="CM64">
            <v>40034.15</v>
          </cell>
          <cell r="CO64">
            <v>41273.527000000002</v>
          </cell>
          <cell r="CQ64">
            <v>39000</v>
          </cell>
          <cell r="CS64">
            <v>22540</v>
          </cell>
          <cell r="CU64">
            <v>47266.666666666664</v>
          </cell>
        </row>
        <row r="65">
          <cell r="O65">
            <v>24275</v>
          </cell>
          <cell r="P65" t="str">
            <v xml:space="preserve"> </v>
          </cell>
          <cell r="Q65">
            <v>194466</v>
          </cell>
          <cell r="R65" t="str">
            <v xml:space="preserve"> </v>
          </cell>
          <cell r="S65">
            <v>71770</v>
          </cell>
          <cell r="U65">
            <v>33235</v>
          </cell>
          <cell r="W65">
            <v>1301000</v>
          </cell>
          <cell r="Y65">
            <v>76905</v>
          </cell>
          <cell r="AA65">
            <v>264100</v>
          </cell>
          <cell r="AC65">
            <v>126397</v>
          </cell>
          <cell r="AE65">
            <v>996000</v>
          </cell>
          <cell r="AG65">
            <v>179546.37841832964</v>
          </cell>
          <cell r="AI65">
            <v>1100285.7142857143</v>
          </cell>
          <cell r="AK65">
            <v>10197</v>
          </cell>
          <cell r="AM65">
            <v>23503</v>
          </cell>
          <cell r="AO65">
            <v>16431</v>
          </cell>
          <cell r="AQ65">
            <v>18722</v>
          </cell>
          <cell r="AS65">
            <v>30472</v>
          </cell>
          <cell r="AU65">
            <v>16099</v>
          </cell>
          <cell r="AW65">
            <v>16258</v>
          </cell>
          <cell r="AY65">
            <v>16021</v>
          </cell>
          <cell r="BA65">
            <v>44972</v>
          </cell>
          <cell r="BC65">
            <v>13294</v>
          </cell>
          <cell r="BE65">
            <v>16054</v>
          </cell>
          <cell r="BG65">
            <v>11612</v>
          </cell>
          <cell r="BI65">
            <v>11272</v>
          </cell>
          <cell r="BK65">
            <v>24541</v>
          </cell>
          <cell r="BM65">
            <v>33730</v>
          </cell>
          <cell r="BO65">
            <v>1379100</v>
          </cell>
          <cell r="BQ65">
            <v>108864</v>
          </cell>
          <cell r="BS65">
            <v>99400</v>
          </cell>
          <cell r="BU65">
            <v>1195100</v>
          </cell>
          <cell r="BW65">
            <v>1094800</v>
          </cell>
          <cell r="BY65">
            <v>85900</v>
          </cell>
          <cell r="CA65">
            <v>99400</v>
          </cell>
          <cell r="CC65">
            <v>26791</v>
          </cell>
          <cell r="CE65">
            <v>762208</v>
          </cell>
          <cell r="CG65">
            <v>1488000</v>
          </cell>
          <cell r="CI65">
            <v>1811000</v>
          </cell>
          <cell r="CK65">
            <v>1020000</v>
          </cell>
          <cell r="CM65">
            <v>40000</v>
          </cell>
          <cell r="CO65">
            <v>41273.527000000002</v>
          </cell>
          <cell r="CQ65">
            <v>39000</v>
          </cell>
          <cell r="CS65">
            <v>22540</v>
          </cell>
          <cell r="CU65">
            <v>47266.666666666664</v>
          </cell>
        </row>
        <row r="66">
          <cell r="P66" t="str">
            <v xml:space="preserve"> </v>
          </cell>
          <cell r="R66" t="str">
            <v xml:space="preserve"> </v>
          </cell>
        </row>
        <row r="67">
          <cell r="O67" t="str">
            <v>9/30/98</v>
          </cell>
          <cell r="P67" t="str">
            <v xml:space="preserve"> </v>
          </cell>
          <cell r="Q67" t="str">
            <v>12/31/97</v>
          </cell>
          <cell r="R67" t="str">
            <v xml:space="preserve"> </v>
          </cell>
          <cell r="S67" t="str">
            <v>12/31/97</v>
          </cell>
          <cell r="U67" t="str">
            <v>6/30/98</v>
          </cell>
          <cell r="W67" t="str">
            <v>12/31/97</v>
          </cell>
          <cell r="Y67" t="str">
            <v>12/31/97</v>
          </cell>
          <cell r="AA67" t="str">
            <v>12/31/97</v>
          </cell>
          <cell r="AC67" t="str">
            <v>12/31/97</v>
          </cell>
          <cell r="AE67" t="str">
            <v>12/31/97</v>
          </cell>
          <cell r="AG67" t="str">
            <v>12/31/97</v>
          </cell>
          <cell r="AI67" t="str">
            <v>12/31/97</v>
          </cell>
          <cell r="AK67" t="str">
            <v>12/31/97</v>
          </cell>
          <cell r="AM67" t="str">
            <v>12/31/97</v>
          </cell>
          <cell r="AO67" t="str">
            <v>12/31/97</v>
          </cell>
          <cell r="AQ67" t="str">
            <v>12/31/97</v>
          </cell>
          <cell r="AS67" t="str">
            <v>12/31/97</v>
          </cell>
          <cell r="AU67" t="str">
            <v>12/31/97</v>
          </cell>
          <cell r="AW67" t="str">
            <v>12/31/97</v>
          </cell>
          <cell r="AY67" t="str">
            <v>12/31/97</v>
          </cell>
          <cell r="BA67" t="str">
            <v>12/31/98</v>
          </cell>
          <cell r="BC67" t="str">
            <v>12/31/97</v>
          </cell>
          <cell r="BE67" t="str">
            <v>12/31/97</v>
          </cell>
          <cell r="BG67" t="str">
            <v>12/31/97</v>
          </cell>
          <cell r="BI67" t="str">
            <v>12/31/97</v>
          </cell>
          <cell r="BK67" t="str">
            <v>12/31/97</v>
          </cell>
          <cell r="BM67" t="str">
            <v>12/31/98</v>
          </cell>
          <cell r="BO67" t="str">
            <v>12/31/97</v>
          </cell>
          <cell r="BQ67" t="str">
            <v>12/31/97</v>
          </cell>
          <cell r="BS67" t="str">
            <v>12/31/97</v>
          </cell>
          <cell r="BU67" t="str">
            <v>12/31/97</v>
          </cell>
          <cell r="BW67" t="str">
            <v>12/31/97</v>
          </cell>
          <cell r="BY67" t="str">
            <v>12/31/97</v>
          </cell>
          <cell r="CA67" t="str">
            <v>12/31/97</v>
          </cell>
          <cell r="CC67" t="str">
            <v>12/31/97</v>
          </cell>
          <cell r="CE67" t="str">
            <v>12/31/97</v>
          </cell>
          <cell r="CG67" t="str">
            <v>12/31/97</v>
          </cell>
          <cell r="CI67" t="str">
            <v>12/31/97</v>
          </cell>
          <cell r="CK67" t="str">
            <v>12/31/97</v>
          </cell>
          <cell r="CM67" t="str">
            <v>12/31/97</v>
          </cell>
          <cell r="CO67" t="str">
            <v>12/31/97</v>
          </cell>
          <cell r="CQ67" t="str">
            <v>12/31/97</v>
          </cell>
          <cell r="CS67" t="str">
            <v>12/31/97</v>
          </cell>
          <cell r="CU67" t="str">
            <v>06/30/98</v>
          </cell>
        </row>
        <row r="68">
          <cell r="O68" t="str">
            <v>9/30/98</v>
          </cell>
          <cell r="P68" t="str">
            <v xml:space="preserve"> </v>
          </cell>
          <cell r="Q68" t="str">
            <v>6/30/98</v>
          </cell>
          <cell r="R68" t="str">
            <v xml:space="preserve"> </v>
          </cell>
          <cell r="S68" t="str">
            <v>3/31/98</v>
          </cell>
          <cell r="U68" t="str">
            <v>9/30/98</v>
          </cell>
          <cell r="W68" t="str">
            <v>12/31/97</v>
          </cell>
          <cell r="Y68" t="str">
            <v>9/30/98</v>
          </cell>
          <cell r="AA68" t="str">
            <v>3/31/98</v>
          </cell>
          <cell r="AC68" t="str">
            <v>3/31/98</v>
          </cell>
          <cell r="AE68" t="str">
            <v>3/31/98</v>
          </cell>
          <cell r="AG68" t="str">
            <v>9/30/98</v>
          </cell>
          <cell r="AI68" t="str">
            <v>3/31/98</v>
          </cell>
          <cell r="AK68" t="str">
            <v>3/31/98</v>
          </cell>
          <cell r="AM68" t="str">
            <v>9/30/98</v>
          </cell>
          <cell r="AO68" t="str">
            <v>9/30/98</v>
          </cell>
          <cell r="AQ68" t="str">
            <v>9/30/98</v>
          </cell>
          <cell r="AS68" t="str">
            <v>9/30/98</v>
          </cell>
          <cell r="AU68" t="str">
            <v>9/30/98</v>
          </cell>
          <cell r="AW68" t="str">
            <v>9/30/98</v>
          </cell>
          <cell r="AY68" t="str">
            <v>9/30/98</v>
          </cell>
          <cell r="BA68" t="str">
            <v>3/31/99</v>
          </cell>
          <cell r="BC68" t="str">
            <v>9/30/98</v>
          </cell>
          <cell r="BE68" t="str">
            <v>9/30/98</v>
          </cell>
          <cell r="BG68" t="str">
            <v>9/30/98</v>
          </cell>
          <cell r="BI68" t="str">
            <v>9/30/98</v>
          </cell>
          <cell r="BK68" t="str">
            <v>9/30/98</v>
          </cell>
          <cell r="BM68" t="str">
            <v>3/31/99</v>
          </cell>
          <cell r="BO68" t="str">
            <v>9/30/98</v>
          </cell>
          <cell r="BQ68" t="str">
            <v>9/30/98</v>
          </cell>
          <cell r="BS68" t="str">
            <v>12/31/97</v>
          </cell>
          <cell r="BU68" t="str">
            <v>12/31/97</v>
          </cell>
          <cell r="BW68" t="str">
            <v>12/31/97</v>
          </cell>
          <cell r="BY68" t="str">
            <v>12/31/97</v>
          </cell>
          <cell r="CA68" t="str">
            <v>12/31/97</v>
          </cell>
          <cell r="CC68" t="str">
            <v>9/30/98</v>
          </cell>
          <cell r="CE68" t="str">
            <v>9/30/98</v>
          </cell>
          <cell r="CG68" t="str">
            <v>9/30/98</v>
          </cell>
          <cell r="CI68" t="str">
            <v>12/31/97</v>
          </cell>
          <cell r="CK68" t="str">
            <v>6/30/98</v>
          </cell>
          <cell r="CM68" t="str">
            <v>3/31/98</v>
          </cell>
          <cell r="CO68" t="str">
            <v>3/31/98</v>
          </cell>
          <cell r="CQ68" t="str">
            <v>3/31/98</v>
          </cell>
          <cell r="CS68" t="str">
            <v>3/31/98</v>
          </cell>
          <cell r="CU68" t="str">
            <v>06/30/98</v>
          </cell>
        </row>
        <row r="69">
          <cell r="O69">
            <v>0.311</v>
          </cell>
          <cell r="P69" t="str">
            <v xml:space="preserve"> </v>
          </cell>
          <cell r="Q69">
            <v>0.33</v>
          </cell>
          <cell r="R69" t="str">
            <v xml:space="preserve"> </v>
          </cell>
          <cell r="S69">
            <v>0.35</v>
          </cell>
          <cell r="U69">
            <v>0.4</v>
          </cell>
          <cell r="W69">
            <v>0.28499999999999998</v>
          </cell>
          <cell r="Y69">
            <v>0.32898074381051057</v>
          </cell>
          <cell r="AA69">
            <v>0.25203157650336661</v>
          </cell>
          <cell r="AC69">
            <v>0.24000117789098618</v>
          </cell>
          <cell r="AE69">
            <v>0.28491744756804999</v>
          </cell>
          <cell r="AG69">
            <v>0.33886468561024774</v>
          </cell>
          <cell r="AI69">
            <v>0.25</v>
          </cell>
          <cell r="AK69">
            <v>0</v>
          </cell>
          <cell r="AM69">
            <v>0</v>
          </cell>
          <cell r="AO69">
            <v>0</v>
          </cell>
          <cell r="AQ69">
            <v>0</v>
          </cell>
          <cell r="AS69">
            <v>0</v>
          </cell>
          <cell r="AU69">
            <v>0</v>
          </cell>
          <cell r="AW69">
            <v>0</v>
          </cell>
          <cell r="AY69">
            <v>0</v>
          </cell>
          <cell r="BA69">
            <v>0.34</v>
          </cell>
          <cell r="BC69">
            <v>0</v>
          </cell>
          <cell r="BE69">
            <v>0</v>
          </cell>
          <cell r="BG69">
            <v>0</v>
          </cell>
          <cell r="BI69">
            <v>0</v>
          </cell>
          <cell r="BK69">
            <v>0</v>
          </cell>
          <cell r="BM69">
            <v>0</v>
          </cell>
          <cell r="BO69">
            <v>0.27800000000000002</v>
          </cell>
          <cell r="BQ69">
            <v>8.2199999999999995E-2</v>
          </cell>
          <cell r="BS69">
            <v>0.27030303030303032</v>
          </cell>
          <cell r="BU69">
            <v>0.27030303030303032</v>
          </cell>
          <cell r="BW69">
            <v>0.27030303030303032</v>
          </cell>
          <cell r="BY69">
            <v>0.27030303030303032</v>
          </cell>
          <cell r="CA69">
            <v>0.27030303030303032</v>
          </cell>
          <cell r="CC69">
            <v>0.38</v>
          </cell>
          <cell r="CE69">
            <v>0.28999999999999998</v>
          </cell>
          <cell r="CG69">
            <v>0.2451646628332462</v>
          </cell>
          <cell r="CI69">
            <v>0.30499999999999999</v>
          </cell>
          <cell r="CK69">
            <v>0.28999999999999998</v>
          </cell>
          <cell r="CM69">
            <v>0</v>
          </cell>
          <cell r="CO69">
            <v>0</v>
          </cell>
          <cell r="CQ69">
            <v>0</v>
          </cell>
          <cell r="CS69">
            <v>0.42499999999999999</v>
          </cell>
          <cell r="CU69">
            <v>0</v>
          </cell>
        </row>
        <row r="70">
          <cell r="P70" t="str">
            <v xml:space="preserve"> </v>
          </cell>
          <cell r="R70" t="str">
            <v xml:space="preserve"> </v>
          </cell>
        </row>
        <row r="71">
          <cell r="O71" t="str">
            <v>07/29/99</v>
          </cell>
          <cell r="P71" t="str">
            <v xml:space="preserve"> </v>
          </cell>
          <cell r="Q71" t="str">
            <v>07/29/99</v>
          </cell>
          <cell r="R71" t="str">
            <v xml:space="preserve"> </v>
          </cell>
          <cell r="S71" t="str">
            <v>07/29/99</v>
          </cell>
          <cell r="U71" t="str">
            <v>07/29/99</v>
          </cell>
          <cell r="W71" t="str">
            <v>07/29/99</v>
          </cell>
          <cell r="Y71" t="str">
            <v>07/29/99</v>
          </cell>
          <cell r="AA71" t="str">
            <v>07/29/99</v>
          </cell>
          <cell r="AC71" t="str">
            <v>07/29/99</v>
          </cell>
          <cell r="AE71" t="str">
            <v>07/29/99</v>
          </cell>
          <cell r="AG71" t="str">
            <v>07/29/99</v>
          </cell>
          <cell r="AI71" t="str">
            <v>07/29/99</v>
          </cell>
          <cell r="AK71" t="str">
            <v>07/29/99</v>
          </cell>
          <cell r="AM71" t="str">
            <v>07/29/99</v>
          </cell>
          <cell r="AO71" t="str">
            <v>07/29/99</v>
          </cell>
          <cell r="AQ71" t="str">
            <v>07/29/99</v>
          </cell>
          <cell r="AS71" t="str">
            <v>07/29/99</v>
          </cell>
          <cell r="AU71" t="str">
            <v>07/29/99</v>
          </cell>
          <cell r="AW71" t="str">
            <v>07/29/99</v>
          </cell>
          <cell r="AY71" t="str">
            <v>07/29/99</v>
          </cell>
          <cell r="BA71" t="str">
            <v>07/29/99</v>
          </cell>
          <cell r="BC71" t="str">
            <v>07/29/99</v>
          </cell>
          <cell r="BE71" t="str">
            <v>07/29/99</v>
          </cell>
          <cell r="BG71" t="str">
            <v>07/29/99</v>
          </cell>
          <cell r="BI71" t="str">
            <v>07/29/99</v>
          </cell>
          <cell r="BK71" t="str">
            <v>07/29/99</v>
          </cell>
          <cell r="BM71" t="str">
            <v>07/29/99</v>
          </cell>
          <cell r="BO71" t="str">
            <v>07/29/99</v>
          </cell>
          <cell r="BQ71" t="str">
            <v>07/29/99</v>
          </cell>
          <cell r="BS71" t="str">
            <v>07/29/99</v>
          </cell>
          <cell r="BU71" t="str">
            <v>07/29/99</v>
          </cell>
          <cell r="BW71" t="str">
            <v>07/29/99</v>
          </cell>
          <cell r="BY71" t="str">
            <v>07/29/99</v>
          </cell>
          <cell r="CA71" t="str">
            <v>07/29/99</v>
          </cell>
          <cell r="CC71" t="str">
            <v>07/29/99</v>
          </cell>
          <cell r="CE71" t="str">
            <v>07/29/99</v>
          </cell>
          <cell r="CG71" t="str">
            <v>07/29/99</v>
          </cell>
          <cell r="CI71" t="str">
            <v>07/29/99</v>
          </cell>
          <cell r="CK71" t="str">
            <v>07/29/99</v>
          </cell>
          <cell r="CM71" t="str">
            <v>07/29/99</v>
          </cell>
          <cell r="CO71" t="str">
            <v>07/29/99</v>
          </cell>
          <cell r="CQ71" t="str">
            <v>07/29/99</v>
          </cell>
          <cell r="CS71" t="str">
            <v>07/29/99</v>
          </cell>
          <cell r="CU71" t="str">
            <v>07/29/99</v>
          </cell>
        </row>
        <row r="72">
          <cell r="O72" t="str">
            <v>07/29/99</v>
          </cell>
          <cell r="P72" t="str">
            <v xml:space="preserve"> </v>
          </cell>
          <cell r="Q72" t="str">
            <v>07/29/99</v>
          </cell>
          <cell r="R72" t="str">
            <v xml:space="preserve"> </v>
          </cell>
          <cell r="S72" t="str">
            <v>07/29/99</v>
          </cell>
          <cell r="U72" t="str">
            <v>07/29/99</v>
          </cell>
          <cell r="W72" t="str">
            <v>07/29/99</v>
          </cell>
          <cell r="Y72" t="str">
            <v>07/29/99</v>
          </cell>
          <cell r="AA72" t="str">
            <v>07/29/99</v>
          </cell>
          <cell r="AC72" t="str">
            <v>07/29/99</v>
          </cell>
          <cell r="AE72" t="str">
            <v>07/29/99</v>
          </cell>
          <cell r="AG72" t="str">
            <v>07/29/99</v>
          </cell>
          <cell r="AI72" t="str">
            <v>07/29/99</v>
          </cell>
          <cell r="AK72" t="str">
            <v>07/29/99</v>
          </cell>
          <cell r="AM72" t="str">
            <v>07/29/99</v>
          </cell>
          <cell r="AO72" t="str">
            <v>07/29/99</v>
          </cell>
          <cell r="AQ72" t="str">
            <v>07/29/99</v>
          </cell>
          <cell r="AS72" t="str">
            <v>07/29/99</v>
          </cell>
          <cell r="AU72" t="str">
            <v>07/29/99</v>
          </cell>
          <cell r="AW72" t="str">
            <v>07/29/99</v>
          </cell>
          <cell r="AY72" t="str">
            <v>07/29/99</v>
          </cell>
          <cell r="BA72" t="str">
            <v>07/29/99</v>
          </cell>
          <cell r="BC72" t="str">
            <v>07/29/99</v>
          </cell>
          <cell r="BE72" t="str">
            <v>07/29/99</v>
          </cell>
          <cell r="BG72" t="str">
            <v>07/29/99</v>
          </cell>
          <cell r="BI72" t="str">
            <v>07/29/99</v>
          </cell>
          <cell r="BK72" t="str">
            <v>07/29/99</v>
          </cell>
          <cell r="BM72" t="str">
            <v>07/29/99</v>
          </cell>
          <cell r="BO72" t="str">
            <v>07/29/99</v>
          </cell>
          <cell r="BQ72" t="str">
            <v>07/29/99</v>
          </cell>
          <cell r="BS72" t="str">
            <v>07/29/99</v>
          </cell>
          <cell r="BU72" t="str">
            <v>07/29/99</v>
          </cell>
          <cell r="BW72" t="str">
            <v>07/29/99</v>
          </cell>
          <cell r="BY72" t="str">
            <v>07/29/99</v>
          </cell>
          <cell r="CA72" t="str">
            <v>07/29/99</v>
          </cell>
          <cell r="CC72" t="str">
            <v>07/29/99</v>
          </cell>
          <cell r="CE72" t="str">
            <v>07/29/99</v>
          </cell>
          <cell r="CG72" t="str">
            <v>07/29/99</v>
          </cell>
          <cell r="CI72" t="str">
            <v>07/29/99</v>
          </cell>
          <cell r="CK72" t="str">
            <v>07/29/99</v>
          </cell>
          <cell r="CM72" t="str">
            <v>07/29/99</v>
          </cell>
          <cell r="CO72" t="str">
            <v>07/29/99</v>
          </cell>
          <cell r="CQ72" t="str">
            <v>07/29/99</v>
          </cell>
          <cell r="CS72" t="str">
            <v>07/29/99</v>
          </cell>
          <cell r="CU72" t="str">
            <v>07/29/99</v>
          </cell>
        </row>
        <row r="73">
          <cell r="P73" t="str">
            <v xml:space="preserve"> </v>
          </cell>
          <cell r="R73" t="str">
            <v xml:space="preserve"> </v>
          </cell>
        </row>
        <row r="74">
          <cell r="P74" t="str">
            <v xml:space="preserve"> </v>
          </cell>
          <cell r="R74" t="str">
            <v xml:space="preserve"> </v>
          </cell>
        </row>
        <row r="75">
          <cell r="O75">
            <v>60.789000000000001</v>
          </cell>
          <cell r="P75" t="str">
            <v xml:space="preserve"> </v>
          </cell>
          <cell r="Q75">
            <v>562.53</v>
          </cell>
          <cell r="R75" t="str">
            <v xml:space="preserve"> </v>
          </cell>
          <cell r="S75">
            <v>89.957999999999998</v>
          </cell>
          <cell r="U75">
            <v>45.67</v>
          </cell>
          <cell r="W75">
            <v>4137</v>
          </cell>
          <cell r="Y75">
            <v>178.678</v>
          </cell>
          <cell r="AA75">
            <v>1186.2</v>
          </cell>
          <cell r="AC75">
            <v>668.36300000000006</v>
          </cell>
          <cell r="AE75">
            <v>4183</v>
          </cell>
          <cell r="AG75">
            <v>514.27599999999995</v>
          </cell>
          <cell r="AI75">
            <v>4041.8</v>
          </cell>
          <cell r="AK75">
            <v>2573</v>
          </cell>
          <cell r="AM75">
            <v>21.481999999999999</v>
          </cell>
          <cell r="AO75">
            <v>16.207312000000002</v>
          </cell>
          <cell r="AQ75">
            <v>22.169</v>
          </cell>
          <cell r="AS75">
            <v>9.7309999999999999</v>
          </cell>
          <cell r="AU75">
            <v>8.1829999999999998</v>
          </cell>
          <cell r="AW75">
            <v>3.387</v>
          </cell>
          <cell r="AY75">
            <v>1.0509999999999999</v>
          </cell>
          <cell r="BC75">
            <v>2.472</v>
          </cell>
          <cell r="BE75">
            <v>5.6</v>
          </cell>
          <cell r="BG75">
            <v>1.665</v>
          </cell>
          <cell r="BI75">
            <v>3.8109999999999999</v>
          </cell>
          <cell r="BK75">
            <v>11.568</v>
          </cell>
          <cell r="BO75">
            <v>5975</v>
          </cell>
          <cell r="BQ75">
            <v>71.898420000000002</v>
          </cell>
          <cell r="BS75">
            <v>118.32</v>
          </cell>
          <cell r="BU75">
            <v>6609.4</v>
          </cell>
          <cell r="BW75">
            <v>4980.6799999999994</v>
          </cell>
          <cell r="BY75">
            <v>310.39999999999998</v>
          </cell>
          <cell r="CA75">
            <v>118.32</v>
          </cell>
          <cell r="CC75">
            <v>69.02</v>
          </cell>
          <cell r="CE75">
            <v>4645.7669999999998</v>
          </cell>
          <cell r="CG75">
            <v>2581</v>
          </cell>
          <cell r="CI75">
            <v>5983.61</v>
          </cell>
        </row>
        <row r="76">
          <cell r="O76">
            <v>0</v>
          </cell>
          <cell r="P76" t="str">
            <v xml:space="preserve"> </v>
          </cell>
          <cell r="Q76">
            <v>319.66000000000003</v>
          </cell>
          <cell r="R76" t="str">
            <v xml:space="preserve"> </v>
          </cell>
          <cell r="S76">
            <v>259.58300000000003</v>
          </cell>
          <cell r="U76">
            <v>3.35</v>
          </cell>
          <cell r="W76">
            <v>1294</v>
          </cell>
          <cell r="Y76">
            <v>0</v>
          </cell>
          <cell r="AA76">
            <v>0</v>
          </cell>
          <cell r="AC76">
            <v>0</v>
          </cell>
          <cell r="AE76">
            <v>0</v>
          </cell>
          <cell r="AG76">
            <v>0</v>
          </cell>
          <cell r="AI76">
            <v>0</v>
          </cell>
          <cell r="AK76">
            <v>0</v>
          </cell>
          <cell r="AM76">
            <v>0</v>
          </cell>
          <cell r="AO76">
            <v>0</v>
          </cell>
          <cell r="AQ76">
            <v>0</v>
          </cell>
          <cell r="AS76">
            <v>0</v>
          </cell>
          <cell r="AU76">
            <v>0.68100000000000005</v>
          </cell>
          <cell r="AW76">
            <v>14.4</v>
          </cell>
          <cell r="AY76">
            <v>0</v>
          </cell>
          <cell r="BC76">
            <v>0</v>
          </cell>
          <cell r="BE76">
            <v>0</v>
          </cell>
          <cell r="BG76">
            <v>0</v>
          </cell>
          <cell r="BI76">
            <v>0</v>
          </cell>
          <cell r="BK76">
            <v>0</v>
          </cell>
          <cell r="BO76">
            <v>0</v>
          </cell>
          <cell r="BQ76">
            <v>13.861980000000001</v>
          </cell>
          <cell r="BS76">
            <v>0</v>
          </cell>
          <cell r="BU76">
            <v>0</v>
          </cell>
          <cell r="BW76">
            <v>0</v>
          </cell>
          <cell r="BY76">
            <v>0</v>
          </cell>
          <cell r="CA76">
            <v>0</v>
          </cell>
          <cell r="CC76">
            <v>0</v>
          </cell>
          <cell r="CE76">
            <v>0</v>
          </cell>
          <cell r="CG76">
            <v>563</v>
          </cell>
          <cell r="CI76">
            <v>0</v>
          </cell>
        </row>
        <row r="77">
          <cell r="O77">
            <v>1552.2819999999999</v>
          </cell>
          <cell r="P77" t="str">
            <v xml:space="preserve"> </v>
          </cell>
          <cell r="Q77">
            <v>2229.2370000000001</v>
          </cell>
          <cell r="R77" t="str">
            <v xml:space="preserve"> </v>
          </cell>
          <cell r="S77">
            <v>725.45</v>
          </cell>
          <cell r="U77">
            <v>338.78399999999999</v>
          </cell>
          <cell r="W77">
            <v>15336</v>
          </cell>
          <cell r="Y77">
            <v>888.55100000000004</v>
          </cell>
          <cell r="AA77">
            <v>3110.2</v>
          </cell>
          <cell r="AC77">
            <v>2573.5210000000002</v>
          </cell>
          <cell r="AE77">
            <v>15243</v>
          </cell>
          <cell r="AG77">
            <v>1960.4490000000001</v>
          </cell>
          <cell r="AI77">
            <v>12046.8</v>
          </cell>
          <cell r="AK77">
            <v>71105</v>
          </cell>
          <cell r="AM77">
            <v>115.992</v>
          </cell>
          <cell r="AO77">
            <v>109.543201</v>
          </cell>
          <cell r="AQ77">
            <v>178.47900000000001</v>
          </cell>
          <cell r="AS77">
            <v>316.70400000000001</v>
          </cell>
          <cell r="AU77">
            <v>116.72199999999999</v>
          </cell>
          <cell r="AW77">
            <v>106.99</v>
          </cell>
          <cell r="AY77">
            <v>31.675999999999998</v>
          </cell>
          <cell r="BC77">
            <v>30.6</v>
          </cell>
          <cell r="BE77">
            <v>63.68</v>
          </cell>
          <cell r="BG77">
            <v>27.503</v>
          </cell>
          <cell r="BI77">
            <v>40.418999999999997</v>
          </cell>
          <cell r="BK77">
            <v>48.639000000000003</v>
          </cell>
          <cell r="BO77">
            <v>12176</v>
          </cell>
          <cell r="BQ77">
            <v>432.47952000000004</v>
          </cell>
          <cell r="BS77">
            <v>770440</v>
          </cell>
          <cell r="BU77">
            <v>25811.9</v>
          </cell>
          <cell r="BW77">
            <v>13910.48</v>
          </cell>
          <cell r="BY77">
            <v>1369.2</v>
          </cell>
          <cell r="CA77">
            <v>770440</v>
          </cell>
          <cell r="CC77">
            <v>219.65600000000001</v>
          </cell>
          <cell r="CE77">
            <v>12603.034</v>
          </cell>
          <cell r="CG77">
            <v>7216</v>
          </cell>
          <cell r="CI77">
            <v>8019.3399999999992</v>
          </cell>
          <cell r="CK77">
            <v>14593</v>
          </cell>
        </row>
        <row r="78">
          <cell r="P78" t="str">
            <v xml:space="preserve"> </v>
          </cell>
          <cell r="R78" t="str">
            <v xml:space="preserve"> </v>
          </cell>
        </row>
        <row r="79">
          <cell r="P79" t="str">
            <v xml:space="preserve"> </v>
          </cell>
          <cell r="Q79">
            <v>0</v>
          </cell>
          <cell r="R79" t="str">
            <v xml:space="preserve"> </v>
          </cell>
          <cell r="S79">
            <v>0</v>
          </cell>
          <cell r="U79">
            <v>0</v>
          </cell>
          <cell r="W79">
            <v>0</v>
          </cell>
          <cell r="Y79">
            <v>0</v>
          </cell>
          <cell r="AA79">
            <v>0</v>
          </cell>
          <cell r="AC79">
            <v>0</v>
          </cell>
          <cell r="AE79">
            <v>0</v>
          </cell>
          <cell r="AG79">
            <v>0</v>
          </cell>
          <cell r="AI79">
            <v>0</v>
          </cell>
          <cell r="AK79">
            <v>0</v>
          </cell>
          <cell r="AM79">
            <v>0</v>
          </cell>
          <cell r="AO79">
            <v>0</v>
          </cell>
          <cell r="AQ79">
            <v>0</v>
          </cell>
          <cell r="AS79">
            <v>0</v>
          </cell>
          <cell r="AU79">
            <v>0</v>
          </cell>
          <cell r="AW79">
            <v>0</v>
          </cell>
          <cell r="AY79">
            <v>0</v>
          </cell>
          <cell r="BC79">
            <v>0</v>
          </cell>
          <cell r="BE79">
            <v>0</v>
          </cell>
          <cell r="BG79">
            <v>0</v>
          </cell>
          <cell r="BI79">
            <v>0</v>
          </cell>
          <cell r="BK79">
            <v>0</v>
          </cell>
          <cell r="BQ79">
            <v>0</v>
          </cell>
          <cell r="BS79">
            <v>0</v>
          </cell>
          <cell r="BU79">
            <v>0</v>
          </cell>
          <cell r="BW79">
            <v>0</v>
          </cell>
          <cell r="BY79">
            <v>0</v>
          </cell>
          <cell r="CA79">
            <v>0</v>
          </cell>
          <cell r="CC79">
            <v>0</v>
          </cell>
          <cell r="CE79">
            <v>0</v>
          </cell>
          <cell r="CG79">
            <v>0</v>
          </cell>
          <cell r="CI79">
            <v>0</v>
          </cell>
        </row>
        <row r="80">
          <cell r="P80" t="str">
            <v xml:space="preserve"> </v>
          </cell>
          <cell r="Q80">
            <v>0</v>
          </cell>
          <cell r="R80" t="str">
            <v xml:space="preserve"> </v>
          </cell>
          <cell r="S80">
            <v>0</v>
          </cell>
          <cell r="U80">
            <v>0</v>
          </cell>
          <cell r="W80">
            <v>0</v>
          </cell>
          <cell r="Y80">
            <v>0</v>
          </cell>
          <cell r="AA80">
            <v>0</v>
          </cell>
          <cell r="AC80">
            <v>0</v>
          </cell>
          <cell r="AE80">
            <v>0</v>
          </cell>
          <cell r="AG80">
            <v>0</v>
          </cell>
          <cell r="AI80">
            <v>0</v>
          </cell>
          <cell r="AK80">
            <v>0</v>
          </cell>
          <cell r="AM80">
            <v>0</v>
          </cell>
          <cell r="AO80">
            <v>0</v>
          </cell>
          <cell r="AQ80">
            <v>0</v>
          </cell>
          <cell r="AS80">
            <v>0</v>
          </cell>
          <cell r="AU80">
            <v>0</v>
          </cell>
          <cell r="AW80">
            <v>0</v>
          </cell>
          <cell r="AY80">
            <v>0</v>
          </cell>
          <cell r="BC80">
            <v>0</v>
          </cell>
          <cell r="BE80">
            <v>0</v>
          </cell>
          <cell r="BG80">
            <v>0</v>
          </cell>
          <cell r="BI80">
            <v>0</v>
          </cell>
          <cell r="BK80">
            <v>0</v>
          </cell>
          <cell r="BQ80">
            <v>0</v>
          </cell>
          <cell r="BS80">
            <v>0</v>
          </cell>
          <cell r="BU80">
            <v>0</v>
          </cell>
          <cell r="BW80">
            <v>0</v>
          </cell>
          <cell r="BY80">
            <v>0</v>
          </cell>
          <cell r="CA80">
            <v>0</v>
          </cell>
          <cell r="CC80">
            <v>0</v>
          </cell>
          <cell r="CE80">
            <v>0</v>
          </cell>
          <cell r="CG80">
            <v>0</v>
          </cell>
          <cell r="CI80">
            <v>0</v>
          </cell>
        </row>
        <row r="81">
          <cell r="O81">
            <v>1266</v>
          </cell>
          <cell r="P81" t="str">
            <v xml:space="preserve"> </v>
          </cell>
          <cell r="Q81">
            <v>16603</v>
          </cell>
          <cell r="R81" t="str">
            <v xml:space="preserve"> </v>
          </cell>
          <cell r="S81">
            <v>3782</v>
          </cell>
          <cell r="U81">
            <v>8421.268</v>
          </cell>
          <cell r="W81">
            <v>21463</v>
          </cell>
          <cell r="Y81">
            <v>11152</v>
          </cell>
          <cell r="AA81">
            <v>35500</v>
          </cell>
          <cell r="AC81">
            <v>16239.609</v>
          </cell>
          <cell r="AE81">
            <v>66300.902000000002</v>
          </cell>
          <cell r="AG81">
            <v>24694.166000000001</v>
          </cell>
          <cell r="AI81">
            <v>60893.644</v>
          </cell>
          <cell r="AK81">
            <v>1648</v>
          </cell>
          <cell r="AM81">
            <v>3781</v>
          </cell>
          <cell r="AO81">
            <v>1888.3969999999999</v>
          </cell>
          <cell r="AQ81">
            <v>2100</v>
          </cell>
          <cell r="AS81">
            <v>4117</v>
          </cell>
          <cell r="AU81">
            <v>1013</v>
          </cell>
          <cell r="AW81">
            <v>1501</v>
          </cell>
          <cell r="AY81">
            <v>780.65</v>
          </cell>
          <cell r="BA81">
            <v>3962.422</v>
          </cell>
          <cell r="BC81">
            <v>755.01099999999997</v>
          </cell>
          <cell r="BE81">
            <v>2263.3409999999999</v>
          </cell>
          <cell r="BG81">
            <v>267</v>
          </cell>
          <cell r="BI81">
            <v>534.92200000000003</v>
          </cell>
          <cell r="BK81">
            <v>2377.0949999999998</v>
          </cell>
          <cell r="BM81">
            <v>4935</v>
          </cell>
          <cell r="BO81">
            <v>78845</v>
          </cell>
          <cell r="BQ81">
            <v>6182.6</v>
          </cell>
          <cell r="BS81">
            <v>0</v>
          </cell>
          <cell r="BU81">
            <v>85455.593999999997</v>
          </cell>
          <cell r="BW81">
            <v>0</v>
          </cell>
          <cell r="BY81">
            <v>6100</v>
          </cell>
          <cell r="CA81">
            <v>0</v>
          </cell>
          <cell r="CC81">
            <v>3674.3380000000002</v>
          </cell>
          <cell r="CE81">
            <v>29328.123</v>
          </cell>
          <cell r="CG81">
            <v>26000</v>
          </cell>
          <cell r="CI81">
            <v>57175.402000000002</v>
          </cell>
          <cell r="CK81">
            <v>26112.254000000001</v>
          </cell>
          <cell r="CM81">
            <v>5950.4219999999996</v>
          </cell>
          <cell r="CO81">
            <v>0</v>
          </cell>
          <cell r="CQ81">
            <v>0</v>
          </cell>
          <cell r="CS81">
            <v>0</v>
          </cell>
          <cell r="CU81">
            <v>0</v>
          </cell>
        </row>
        <row r="82">
          <cell r="O82">
            <v>31</v>
          </cell>
          <cell r="P82" t="str">
            <v xml:space="preserve"> </v>
          </cell>
          <cell r="Q82">
            <v>31.51</v>
          </cell>
          <cell r="R82" t="str">
            <v xml:space="preserve"> </v>
          </cell>
          <cell r="S82">
            <v>22.57</v>
          </cell>
          <cell r="U82">
            <v>22.1</v>
          </cell>
          <cell r="W82">
            <v>28.17</v>
          </cell>
          <cell r="Y82">
            <v>23.95</v>
          </cell>
          <cell r="AA82">
            <v>40.08</v>
          </cell>
          <cell r="AC82">
            <v>44.41</v>
          </cell>
          <cell r="AE82">
            <v>40.08</v>
          </cell>
          <cell r="AG82">
            <v>17.959728677615594</v>
          </cell>
          <cell r="AI82">
            <v>24.05</v>
          </cell>
          <cell r="AK82">
            <v>7.29</v>
          </cell>
          <cell r="AM82">
            <v>14.09</v>
          </cell>
          <cell r="AO82">
            <v>17.989799358927176</v>
          </cell>
          <cell r="AQ82">
            <v>22.25</v>
          </cell>
          <cell r="AS82">
            <v>19.39</v>
          </cell>
          <cell r="AU82">
            <v>7.84</v>
          </cell>
          <cell r="AW82">
            <v>11.78</v>
          </cell>
          <cell r="AY82">
            <v>4.8099999999999996</v>
          </cell>
          <cell r="BA82">
            <v>10.53</v>
          </cell>
          <cell r="BC82">
            <v>5.28</v>
          </cell>
          <cell r="BE82">
            <v>10.27</v>
          </cell>
          <cell r="BG82">
            <v>0.75</v>
          </cell>
          <cell r="BI82">
            <v>6.46</v>
          </cell>
          <cell r="BK82">
            <v>6.19</v>
          </cell>
          <cell r="BM82">
            <v>29.29</v>
          </cell>
          <cell r="BO82">
            <v>34.479999999999997</v>
          </cell>
          <cell r="BQ82">
            <v>14.493600000000001</v>
          </cell>
          <cell r="BS82">
            <v>0</v>
          </cell>
          <cell r="BU82">
            <v>50.54</v>
          </cell>
          <cell r="BW82">
            <v>0</v>
          </cell>
          <cell r="BY82">
            <v>25</v>
          </cell>
          <cell r="CA82">
            <v>0</v>
          </cell>
          <cell r="CC82">
            <v>13.32</v>
          </cell>
          <cell r="CE82">
            <v>41.08</v>
          </cell>
          <cell r="CG82">
            <v>9.2850000000000001</v>
          </cell>
          <cell r="CI82">
            <v>25.651199999999999</v>
          </cell>
          <cell r="CK82">
            <v>32.336234553325042</v>
          </cell>
          <cell r="CM82">
            <v>13.430815965657562</v>
          </cell>
          <cell r="CO82">
            <v>13.430815965657562</v>
          </cell>
          <cell r="CQ82">
            <v>13.430815965657562</v>
          </cell>
          <cell r="CS82">
            <v>13.430815965657562</v>
          </cell>
          <cell r="CU82">
            <v>13.430815965657562</v>
          </cell>
        </row>
        <row r="83">
          <cell r="O83">
            <v>23770.941176470587</v>
          </cell>
          <cell r="Q83">
            <v>200120.80140465795</v>
          </cell>
          <cell r="S83">
            <v>72610.487876404499</v>
          </cell>
          <cell r="U83" t="e">
            <v>#N/A</v>
          </cell>
          <cell r="W83">
            <v>1296935.273235294</v>
          </cell>
          <cell r="Y83">
            <v>80757.63585981309</v>
          </cell>
          <cell r="AA83">
            <v>270244.77915110358</v>
          </cell>
          <cell r="AC83" t="e">
            <v>#N/A</v>
          </cell>
          <cell r="AE83">
            <v>1022080.8652950185</v>
          </cell>
          <cell r="AG83">
            <v>184168.76507978377</v>
          </cell>
          <cell r="AI83">
            <v>1146254.918313371</v>
          </cell>
          <cell r="AK83">
            <v>14790.028341708543</v>
          </cell>
          <cell r="AM83">
            <v>23248.113469516025</v>
          </cell>
          <cell r="AO83">
            <v>15715.775934977171</v>
          </cell>
          <cell r="AQ83">
            <v>18846.591347037484</v>
          </cell>
          <cell r="AS83">
            <v>33479.818871912175</v>
          </cell>
          <cell r="AU83">
            <v>17167.506645161291</v>
          </cell>
          <cell r="AW83">
            <v>16670.824108108107</v>
          </cell>
          <cell r="AY83">
            <v>17650.360312169316</v>
          </cell>
          <cell r="BA83">
            <v>43996.609228292684</v>
          </cell>
          <cell r="BC83">
            <v>11953.481705945946</v>
          </cell>
          <cell r="BE83">
            <v>17874.600438305086</v>
          </cell>
          <cell r="BG83">
            <v>10848.340636363637</v>
          </cell>
          <cell r="BI83">
            <v>11558.282729142858</v>
          </cell>
          <cell r="BK83">
            <v>26271.531812826604</v>
          </cell>
          <cell r="BM83">
            <v>35836.368277456648</v>
          </cell>
          <cell r="BO83">
            <v>1394360.8222627346</v>
          </cell>
          <cell r="BQ83">
            <v>110092.96332800001</v>
          </cell>
          <cell r="BS83">
            <v>99351.686000000002</v>
          </cell>
          <cell r="BU83">
            <v>1216011.9239474158</v>
          </cell>
          <cell r="BW83">
            <v>1094800</v>
          </cell>
          <cell r="BY83">
            <v>89440.101919191919</v>
          </cell>
          <cell r="CA83">
            <v>99351.686000000002</v>
          </cell>
          <cell r="CC83">
            <v>29771.66033633042</v>
          </cell>
          <cell r="CE83">
            <v>1519173.1154273197</v>
          </cell>
          <cell r="CG83">
            <v>1490800.9521070984</v>
          </cell>
          <cell r="CI83">
            <v>1839523.5305121876</v>
          </cell>
          <cell r="CK83">
            <v>1008265.1439730854</v>
          </cell>
          <cell r="CM83">
            <v>41963.489091823896</v>
          </cell>
          <cell r="CO83">
            <v>41273.527000000002</v>
          </cell>
          <cell r="CQ83">
            <v>39000</v>
          </cell>
          <cell r="CS83">
            <v>22540</v>
          </cell>
          <cell r="CU83">
            <v>47266.666666666664</v>
          </cell>
        </row>
        <row r="84">
          <cell r="P84" t="str">
            <v xml:space="preserve"> </v>
          </cell>
          <cell r="R84" t="str">
            <v xml:space="preserve"> </v>
          </cell>
          <cell r="S84">
            <v>3</v>
          </cell>
          <cell r="U84">
            <v>3</v>
          </cell>
          <cell r="W84">
            <v>1</v>
          </cell>
          <cell r="Y84">
            <v>8</v>
          </cell>
          <cell r="AA84">
            <v>3</v>
          </cell>
          <cell r="AC84">
            <v>4</v>
          </cell>
          <cell r="AE84">
            <v>30</v>
          </cell>
          <cell r="AG84">
            <v>10</v>
          </cell>
          <cell r="AI84">
            <v>12</v>
          </cell>
          <cell r="AK84">
            <v>0</v>
          </cell>
          <cell r="AM84">
            <v>0</v>
          </cell>
          <cell r="AO84">
            <v>0</v>
          </cell>
          <cell r="AQ84">
            <v>0</v>
          </cell>
          <cell r="AS84">
            <v>0</v>
          </cell>
          <cell r="AU84">
            <v>0</v>
          </cell>
          <cell r="AW84">
            <v>0</v>
          </cell>
          <cell r="AY84">
            <v>0</v>
          </cell>
          <cell r="BC84">
            <v>0</v>
          </cell>
          <cell r="BE84">
            <v>0</v>
          </cell>
          <cell r="BG84">
            <v>0</v>
          </cell>
          <cell r="BI84">
            <v>0</v>
          </cell>
          <cell r="BK84">
            <v>0</v>
          </cell>
          <cell r="BQ84">
            <v>0</v>
          </cell>
          <cell r="BS84">
            <v>0</v>
          </cell>
          <cell r="BU84">
            <v>0</v>
          </cell>
          <cell r="BW84">
            <v>0</v>
          </cell>
          <cell r="BY84">
            <v>0</v>
          </cell>
          <cell r="CA84">
            <v>0</v>
          </cell>
          <cell r="CC84">
            <v>5</v>
          </cell>
          <cell r="CE84">
            <v>6.2149999999999999</v>
          </cell>
          <cell r="CG84">
            <v>0</v>
          </cell>
          <cell r="CI84">
            <v>0</v>
          </cell>
          <cell r="CM84">
            <v>0</v>
          </cell>
          <cell r="CO84">
            <v>0</v>
          </cell>
          <cell r="CQ84">
            <v>0</v>
          </cell>
          <cell r="CS84">
            <v>0</v>
          </cell>
          <cell r="CU84">
            <v>0</v>
          </cell>
        </row>
        <row r="85">
          <cell r="P85" t="str">
            <v xml:space="preserve"> </v>
          </cell>
          <cell r="R85" t="str">
            <v xml:space="preserve"> </v>
          </cell>
          <cell r="S85">
            <v>90</v>
          </cell>
          <cell r="U85">
            <v>41</v>
          </cell>
          <cell r="W85">
            <v>4137</v>
          </cell>
          <cell r="Y85">
            <v>178.678</v>
          </cell>
          <cell r="AA85">
            <v>1186.2</v>
          </cell>
          <cell r="AC85">
            <v>668.4</v>
          </cell>
          <cell r="AE85">
            <v>4183</v>
          </cell>
          <cell r="AG85">
            <v>514.27599999999995</v>
          </cell>
          <cell r="AI85">
            <v>4041.8</v>
          </cell>
          <cell r="AK85">
            <v>2573</v>
          </cell>
          <cell r="AM85">
            <v>21.481999999999999</v>
          </cell>
          <cell r="AO85">
            <v>16.207312000000002</v>
          </cell>
          <cell r="AQ85">
            <v>22.169</v>
          </cell>
          <cell r="AS85">
            <v>9.7309999999999999</v>
          </cell>
          <cell r="AU85">
            <v>8.1829999999999998</v>
          </cell>
          <cell r="AW85">
            <v>3.387</v>
          </cell>
          <cell r="AY85">
            <v>1.0509999999999999</v>
          </cell>
          <cell r="BC85">
            <v>2.472</v>
          </cell>
          <cell r="BE85">
            <v>5.6</v>
          </cell>
          <cell r="BG85">
            <v>1.665</v>
          </cell>
          <cell r="BI85">
            <v>3.8109999999999999</v>
          </cell>
          <cell r="BK85">
            <v>11.568</v>
          </cell>
          <cell r="BO85">
            <v>5975</v>
          </cell>
          <cell r="BQ85">
            <v>71.898420000000002</v>
          </cell>
          <cell r="BS85">
            <v>118.32</v>
          </cell>
          <cell r="BU85">
            <v>6609.4</v>
          </cell>
          <cell r="BW85">
            <v>4980.6799999999994</v>
          </cell>
          <cell r="BY85">
            <v>310.39999999999998</v>
          </cell>
          <cell r="CA85">
            <v>118.32</v>
          </cell>
          <cell r="CC85">
            <v>69.02</v>
          </cell>
          <cell r="CE85">
            <v>4645.7669999999998</v>
          </cell>
          <cell r="CG85">
            <v>2581</v>
          </cell>
          <cell r="CI85">
            <v>5983.61</v>
          </cell>
          <cell r="CM85">
            <v>0</v>
          </cell>
          <cell r="CO85">
            <v>0</v>
          </cell>
          <cell r="CQ85">
            <v>0</v>
          </cell>
          <cell r="CS85">
            <v>0</v>
          </cell>
          <cell r="CU85">
            <v>0</v>
          </cell>
        </row>
        <row r="86">
          <cell r="O86">
            <v>0</v>
          </cell>
          <cell r="P86" t="str">
            <v xml:space="preserve"> </v>
          </cell>
          <cell r="Q86">
            <v>0</v>
          </cell>
          <cell r="R86" t="str">
            <v xml:space="preserve"> </v>
          </cell>
          <cell r="S86">
            <v>10236.015874626986</v>
          </cell>
          <cell r="AC86">
            <v>1013.5135135135135</v>
          </cell>
          <cell r="AG86">
            <v>12026</v>
          </cell>
          <cell r="AI86">
            <v>0</v>
          </cell>
          <cell r="BA86">
            <v>5677.8907870050361</v>
          </cell>
          <cell r="BM86">
            <v>6402.3812915493127</v>
          </cell>
          <cell r="BU86">
            <v>0</v>
          </cell>
          <cell r="BY86">
            <v>12300</v>
          </cell>
          <cell r="CC86">
            <v>3048.78</v>
          </cell>
          <cell r="CE86">
            <v>0</v>
          </cell>
          <cell r="CG86">
            <v>0</v>
          </cell>
          <cell r="CI86">
            <v>0</v>
          </cell>
          <cell r="CK86">
            <v>0</v>
          </cell>
          <cell r="CM86">
            <v>0</v>
          </cell>
          <cell r="CO86">
            <v>0</v>
          </cell>
          <cell r="CQ86">
            <v>0</v>
          </cell>
          <cell r="CS86">
            <v>0</v>
          </cell>
          <cell r="CU86">
            <v>0</v>
          </cell>
        </row>
        <row r="87">
          <cell r="Q87">
            <v>0</v>
          </cell>
          <cell r="BM87">
            <v>94.872549721640524</v>
          </cell>
        </row>
        <row r="89">
          <cell r="O89">
            <v>0</v>
          </cell>
          <cell r="Q89">
            <v>0</v>
          </cell>
          <cell r="S89">
            <v>0</v>
          </cell>
          <cell r="U89">
            <v>0</v>
          </cell>
          <cell r="W89">
            <v>0</v>
          </cell>
          <cell r="Y89">
            <v>0</v>
          </cell>
          <cell r="AA89">
            <v>0</v>
          </cell>
          <cell r="AC89">
            <v>0</v>
          </cell>
          <cell r="AE89">
            <v>0</v>
          </cell>
          <cell r="AG89">
            <v>0</v>
          </cell>
          <cell r="AI89">
            <v>0</v>
          </cell>
          <cell r="AK89">
            <v>0</v>
          </cell>
          <cell r="AM89">
            <v>0</v>
          </cell>
          <cell r="AO89">
            <v>0</v>
          </cell>
          <cell r="AQ89">
            <v>0</v>
          </cell>
          <cell r="AS89">
            <v>0</v>
          </cell>
          <cell r="AU89">
            <v>0</v>
          </cell>
          <cell r="AW89">
            <v>0</v>
          </cell>
          <cell r="AY89">
            <v>0</v>
          </cell>
          <cell r="BC89">
            <v>0</v>
          </cell>
          <cell r="BE89">
            <v>0</v>
          </cell>
          <cell r="BG89">
            <v>0</v>
          </cell>
          <cell r="BI89">
            <v>0</v>
          </cell>
          <cell r="BK89">
            <v>0</v>
          </cell>
          <cell r="BO89">
            <v>0</v>
          </cell>
          <cell r="BQ89">
            <v>0</v>
          </cell>
          <cell r="BS89">
            <v>0</v>
          </cell>
          <cell r="BU89">
            <v>0</v>
          </cell>
          <cell r="BW89">
            <v>0</v>
          </cell>
          <cell r="BY89">
            <v>0</v>
          </cell>
          <cell r="CA89">
            <v>0</v>
          </cell>
          <cell r="CC89">
            <v>0</v>
          </cell>
          <cell r="CE89">
            <v>0</v>
          </cell>
          <cell r="CG89">
            <v>0</v>
          </cell>
          <cell r="CI89">
            <v>0</v>
          </cell>
          <cell r="CK89">
            <v>0</v>
          </cell>
          <cell r="CM89">
            <v>0</v>
          </cell>
          <cell r="CO89">
            <v>0</v>
          </cell>
          <cell r="CQ89">
            <v>0</v>
          </cell>
          <cell r="CS89">
            <v>0</v>
          </cell>
          <cell r="CU89">
            <v>0</v>
          </cell>
        </row>
        <row r="90">
          <cell r="O90">
            <v>8517.1710000000003</v>
          </cell>
          <cell r="Q90">
            <v>937.7230000000003</v>
          </cell>
          <cell r="S90">
            <v>187.49800000000002</v>
          </cell>
          <cell r="U90">
            <v>450.488</v>
          </cell>
          <cell r="W90">
            <v>9158</v>
          </cell>
          <cell r="Y90">
            <v>285.07600000000002</v>
          </cell>
          <cell r="AA90">
            <v>1608.5</v>
          </cell>
          <cell r="AC90">
            <v>846.95299999999997</v>
          </cell>
          <cell r="AE90">
            <v>12219</v>
          </cell>
          <cell r="AG90">
            <v>1052.2150000000001</v>
          </cell>
          <cell r="AI90">
            <v>6059.3</v>
          </cell>
          <cell r="AK90">
            <v>28.655000000000001</v>
          </cell>
          <cell r="AM90">
            <v>62.601999999999997</v>
          </cell>
          <cell r="AO90">
            <v>38.599809999999998</v>
          </cell>
          <cell r="AQ90">
            <v>32.243000000000002</v>
          </cell>
          <cell r="AS90">
            <v>85.801000000000002</v>
          </cell>
          <cell r="AU90">
            <v>35.536000000000001</v>
          </cell>
          <cell r="AW90">
            <v>31.013000000000002</v>
          </cell>
          <cell r="AY90">
            <v>12.257</v>
          </cell>
          <cell r="BC90">
            <v>14.27</v>
          </cell>
          <cell r="BE90">
            <v>40.811999999999998</v>
          </cell>
          <cell r="BG90">
            <v>12.33</v>
          </cell>
          <cell r="BI90">
            <v>25.803999999999998</v>
          </cell>
          <cell r="BK90">
            <v>21.811</v>
          </cell>
          <cell r="BO90">
            <v>18007</v>
          </cell>
          <cell r="BQ90">
            <v>117.02922000000001</v>
          </cell>
          <cell r="BS90">
            <v>149.4</v>
          </cell>
          <cell r="BU90">
            <v>17174.599999999999</v>
          </cell>
          <cell r="BW90">
            <v>6131.96</v>
          </cell>
          <cell r="BY90">
            <v>668.4</v>
          </cell>
          <cell r="CA90">
            <v>149.4</v>
          </cell>
          <cell r="CC90">
            <v>106.83699999999999</v>
          </cell>
          <cell r="CE90">
            <v>9033.0360000000001</v>
          </cell>
          <cell r="CG90">
            <v>4819</v>
          </cell>
          <cell r="CI90">
            <v>8779.19</v>
          </cell>
          <cell r="CK90">
            <v>8092</v>
          </cell>
          <cell r="CM90">
            <v>2169.6999999999994</v>
          </cell>
          <cell r="CO90">
            <v>2169.6999999999994</v>
          </cell>
          <cell r="CQ90">
            <v>2169.6999999999994</v>
          </cell>
          <cell r="CS90">
            <v>387.53859775330636</v>
          </cell>
          <cell r="CU90">
            <v>64.572415199999995</v>
          </cell>
        </row>
        <row r="91">
          <cell r="U91">
            <v>247.096</v>
          </cell>
          <cell r="Y91">
            <v>92.971000000000004</v>
          </cell>
          <cell r="AG91">
            <v>192.2</v>
          </cell>
          <cell r="AM91">
            <v>23.87</v>
          </cell>
          <cell r="AO91">
            <v>16.2</v>
          </cell>
          <cell r="AQ91">
            <v>0</v>
          </cell>
          <cell r="AS91">
            <v>4.7</v>
          </cell>
          <cell r="AU91">
            <v>0</v>
          </cell>
          <cell r="AW91">
            <v>43.9</v>
          </cell>
          <cell r="AY91">
            <v>11.2</v>
          </cell>
          <cell r="BA91">
            <v>38.299999999999997</v>
          </cell>
          <cell r="BK91">
            <v>0</v>
          </cell>
          <cell r="BM91">
            <v>12.391</v>
          </cell>
          <cell r="BO91">
            <v>8393</v>
          </cell>
          <cell r="BQ91">
            <v>46.86</v>
          </cell>
          <cell r="CC91">
            <v>65.37</v>
          </cell>
          <cell r="CE91">
            <v>5613</v>
          </cell>
          <cell r="CG91">
            <v>1779</v>
          </cell>
          <cell r="CI91">
            <v>2728.7799999999997</v>
          </cell>
          <cell r="CO91">
            <v>6.8510214250124566</v>
          </cell>
          <cell r="CQ91">
            <v>10.163540607964519</v>
          </cell>
          <cell r="CU91">
            <v>34.652059199999997</v>
          </cell>
        </row>
        <row r="92">
          <cell r="U92">
            <v>150.16900000000001</v>
          </cell>
          <cell r="Y92">
            <v>205.19499999999999</v>
          </cell>
          <cell r="AG92">
            <v>261.39999999999998</v>
          </cell>
          <cell r="AM92">
            <v>42.776000000000003</v>
          </cell>
          <cell r="AO92">
            <v>35.9</v>
          </cell>
          <cell r="AQ92">
            <v>38.438000000000002</v>
          </cell>
          <cell r="AS92">
            <v>75</v>
          </cell>
          <cell r="AU92">
            <v>20</v>
          </cell>
          <cell r="AW92">
            <v>24</v>
          </cell>
          <cell r="AY92">
            <v>18</v>
          </cell>
          <cell r="BA92">
            <v>65.2</v>
          </cell>
          <cell r="BC92">
            <v>26.081</v>
          </cell>
          <cell r="BK92">
            <v>15</v>
          </cell>
          <cell r="BM92">
            <v>129.56899999999999</v>
          </cell>
          <cell r="BO92">
            <v>2547</v>
          </cell>
          <cell r="BQ92">
            <v>52.800000000000004</v>
          </cell>
          <cell r="CC92">
            <v>35.506</v>
          </cell>
          <cell r="CE92">
            <v>1318</v>
          </cell>
          <cell r="CG92">
            <v>1140</v>
          </cell>
          <cell r="CI92">
            <v>2062.4499999999998</v>
          </cell>
          <cell r="CO92">
            <v>1.3079222720478327</v>
          </cell>
          <cell r="CQ92">
            <v>1.9403122978841356</v>
          </cell>
          <cell r="CU92">
            <v>56.998799999999996</v>
          </cell>
        </row>
        <row r="93">
          <cell r="U93">
            <v>80.245999999999995</v>
          </cell>
          <cell r="Y93">
            <v>121.955</v>
          </cell>
          <cell r="AG93">
            <v>160.69999999999999</v>
          </cell>
          <cell r="AM93">
            <v>18.623999999999999</v>
          </cell>
          <cell r="AO93">
            <v>30</v>
          </cell>
          <cell r="AQ93">
            <v>12.201000000000001</v>
          </cell>
          <cell r="AS93">
            <v>38</v>
          </cell>
          <cell r="AU93">
            <v>6.0949999999999998</v>
          </cell>
          <cell r="AW93">
            <v>42.9</v>
          </cell>
          <cell r="AY93">
            <v>34</v>
          </cell>
          <cell r="BA93">
            <v>93.6</v>
          </cell>
          <cell r="BC93">
            <v>15.52</v>
          </cell>
          <cell r="BK93">
            <v>8</v>
          </cell>
          <cell r="BM93">
            <v>51.872</v>
          </cell>
          <cell r="BO93">
            <v>10052</v>
          </cell>
          <cell r="BQ93">
            <v>51.480000000000004</v>
          </cell>
          <cell r="CC93">
            <v>69.947000000000003</v>
          </cell>
          <cell r="CE93">
            <v>2899</v>
          </cell>
          <cell r="CG93">
            <v>3604</v>
          </cell>
          <cell r="CI93">
            <v>4682.6799999999994</v>
          </cell>
          <cell r="CO93">
            <v>2.1798704534130544</v>
          </cell>
          <cell r="CQ93">
            <v>3.2338538298068924</v>
          </cell>
          <cell r="CU93">
            <v>58.761748799999992</v>
          </cell>
        </row>
        <row r="94">
          <cell r="U94">
            <v>263.50099999999998</v>
          </cell>
          <cell r="Y94">
            <v>104.715</v>
          </cell>
          <cell r="AG94">
            <v>223.9</v>
          </cell>
          <cell r="AM94">
            <v>25.344999999999999</v>
          </cell>
          <cell r="AO94">
            <v>25.2</v>
          </cell>
          <cell r="AQ94">
            <v>1.1000000000000001</v>
          </cell>
          <cell r="AS94">
            <v>19.8</v>
          </cell>
          <cell r="AU94">
            <v>0</v>
          </cell>
          <cell r="AW94">
            <v>78.900000000000006</v>
          </cell>
          <cell r="AY94">
            <v>32.299999999999997</v>
          </cell>
          <cell r="BA94">
            <v>55.4</v>
          </cell>
          <cell r="BC94">
            <v>2.625</v>
          </cell>
          <cell r="BK94">
            <v>0</v>
          </cell>
          <cell r="BM94">
            <v>24.875</v>
          </cell>
          <cell r="BO94">
            <v>9182</v>
          </cell>
          <cell r="BQ94">
            <v>48.18</v>
          </cell>
          <cell r="CC94">
            <v>78.762</v>
          </cell>
          <cell r="CE94">
            <v>5959</v>
          </cell>
          <cell r="CG94">
            <v>2008</v>
          </cell>
          <cell r="CI94">
            <v>2987.6299999999997</v>
          </cell>
          <cell r="CO94">
            <v>8.2835077229696079</v>
          </cell>
          <cell r="CQ94">
            <v>12.288644553266193</v>
          </cell>
          <cell r="CU94">
            <v>48.546921599999997</v>
          </cell>
        </row>
        <row r="95">
          <cell r="U95">
            <v>172.727</v>
          </cell>
          <cell r="Y95">
            <v>216.48099999999999</v>
          </cell>
          <cell r="AG95">
            <v>249</v>
          </cell>
          <cell r="AM95">
            <v>39.350999999999999</v>
          </cell>
          <cell r="AO95">
            <v>44</v>
          </cell>
          <cell r="AQ95">
            <v>43.819000000000003</v>
          </cell>
          <cell r="AS95">
            <v>78</v>
          </cell>
          <cell r="AU95">
            <v>22.25</v>
          </cell>
          <cell r="AW95">
            <v>26</v>
          </cell>
          <cell r="AY95">
            <v>35</v>
          </cell>
          <cell r="BA95">
            <v>77.599999999999994</v>
          </cell>
          <cell r="BC95">
            <v>29.992999999999999</v>
          </cell>
          <cell r="BK95">
            <v>20</v>
          </cell>
          <cell r="BM95">
            <v>183.578</v>
          </cell>
          <cell r="BO95">
            <v>2827</v>
          </cell>
          <cell r="BQ95">
            <v>46.2</v>
          </cell>
          <cell r="CC95">
            <v>37.991</v>
          </cell>
          <cell r="CE95">
            <v>1462</v>
          </cell>
          <cell r="CG95">
            <v>1294</v>
          </cell>
          <cell r="CI95">
            <v>2289.5699999999997</v>
          </cell>
          <cell r="CO95">
            <v>1.5570503238664675</v>
          </cell>
          <cell r="CQ95">
            <v>2.3098955927192089</v>
          </cell>
          <cell r="CU95">
            <v>63.596210399999997</v>
          </cell>
        </row>
        <row r="96">
          <cell r="U96">
            <v>89.474999999999994</v>
          </cell>
          <cell r="Y96">
            <v>133.78399999999999</v>
          </cell>
          <cell r="AG96">
            <v>156.6</v>
          </cell>
          <cell r="AM96">
            <v>22.907</v>
          </cell>
          <cell r="AO96">
            <v>40.299999999999997</v>
          </cell>
          <cell r="AQ96">
            <v>15.862</v>
          </cell>
          <cell r="AS96">
            <v>45</v>
          </cell>
          <cell r="AU96">
            <v>8</v>
          </cell>
          <cell r="AW96">
            <v>42.4</v>
          </cell>
          <cell r="AY96">
            <v>80</v>
          </cell>
          <cell r="BA96">
            <v>98.8</v>
          </cell>
          <cell r="BC96">
            <v>25.608000000000001</v>
          </cell>
          <cell r="BK96">
            <v>14</v>
          </cell>
          <cell r="BM96">
            <v>61.69</v>
          </cell>
          <cell r="BO96">
            <v>10856</v>
          </cell>
          <cell r="BQ96">
            <v>56.1</v>
          </cell>
          <cell r="CC96">
            <v>71.763999999999996</v>
          </cell>
          <cell r="CE96">
            <v>3077</v>
          </cell>
          <cell r="CG96">
            <v>4068</v>
          </cell>
          <cell r="CI96">
            <v>5110.2</v>
          </cell>
          <cell r="CO96">
            <v>2.4912805181863478</v>
          </cell>
          <cell r="CQ96">
            <v>3.6958329483507346</v>
          </cell>
          <cell r="CU96">
            <v>78.162213599999987</v>
          </cell>
        </row>
        <row r="97">
          <cell r="U97">
            <v>291.28100000000001</v>
          </cell>
          <cell r="Y97">
            <v>114.898</v>
          </cell>
          <cell r="AG97">
            <v>255.3</v>
          </cell>
          <cell r="AM97">
            <v>45.893999999999998</v>
          </cell>
          <cell r="AO97">
            <v>33.200000000000003</v>
          </cell>
          <cell r="AQ97">
            <v>6.45</v>
          </cell>
          <cell r="AS97">
            <v>29.7</v>
          </cell>
          <cell r="AU97">
            <v>0</v>
          </cell>
          <cell r="AW97">
            <v>107.5</v>
          </cell>
          <cell r="AY97">
            <v>54.5</v>
          </cell>
          <cell r="BA97">
            <v>75.900000000000006</v>
          </cell>
          <cell r="BC97">
            <v>29.309000000000001</v>
          </cell>
          <cell r="BK97">
            <v>3.15</v>
          </cell>
          <cell r="BM97">
            <v>54.088000000000001</v>
          </cell>
          <cell r="BO97">
            <v>9861</v>
          </cell>
          <cell r="BQ97">
            <v>48.18</v>
          </cell>
          <cell r="CC97">
            <v>96.73</v>
          </cell>
          <cell r="CE97">
            <v>6674</v>
          </cell>
          <cell r="CG97">
            <v>2240</v>
          </cell>
          <cell r="CI97">
            <v>3264.85</v>
          </cell>
          <cell r="CO97">
            <v>9.5291479820627814</v>
          </cell>
          <cell r="CQ97">
            <v>14.136561027441561</v>
          </cell>
          <cell r="CU97">
            <v>63.996004799999994</v>
          </cell>
        </row>
        <row r="98">
          <cell r="U98">
            <v>176.18199999999999</v>
          </cell>
          <cell r="Y98">
            <v>227.30500000000001</v>
          </cell>
          <cell r="AG98">
            <v>254</v>
          </cell>
          <cell r="AM98">
            <v>40.137999999999998</v>
          </cell>
          <cell r="AO98">
            <v>50.8</v>
          </cell>
          <cell r="AQ98">
            <v>49.078000000000003</v>
          </cell>
          <cell r="AS98">
            <v>83</v>
          </cell>
          <cell r="AU98">
            <v>27.25</v>
          </cell>
          <cell r="AW98">
            <v>27</v>
          </cell>
          <cell r="AY98">
            <v>50</v>
          </cell>
          <cell r="BA98">
            <v>70.400000000000006</v>
          </cell>
          <cell r="BC98">
            <v>36.290999999999997</v>
          </cell>
          <cell r="BK98">
            <v>21.925000000000001</v>
          </cell>
          <cell r="BM98">
            <v>201.20599999999999</v>
          </cell>
          <cell r="BO98">
            <v>3081</v>
          </cell>
          <cell r="BQ98">
            <v>49.5</v>
          </cell>
          <cell r="CC98">
            <v>42.55</v>
          </cell>
          <cell r="CE98">
            <v>1637</v>
          </cell>
          <cell r="CG98">
            <v>1439</v>
          </cell>
          <cell r="CI98">
            <v>2479.9499999999998</v>
          </cell>
          <cell r="CO98">
            <v>1.8684603886397608</v>
          </cell>
          <cell r="CQ98">
            <v>2.7718747112630506</v>
          </cell>
          <cell r="CU98">
            <v>72.955252799999997</v>
          </cell>
        </row>
        <row r="99">
          <cell r="U99">
            <v>116.31699999999999</v>
          </cell>
          <cell r="Y99">
            <v>140.47300000000001</v>
          </cell>
          <cell r="AG99">
            <v>166.4</v>
          </cell>
          <cell r="AM99">
            <v>34.36</v>
          </cell>
          <cell r="AO99">
            <v>51</v>
          </cell>
          <cell r="AQ99">
            <v>18.241</v>
          </cell>
          <cell r="AS99">
            <v>50</v>
          </cell>
          <cell r="AU99">
            <v>10</v>
          </cell>
          <cell r="AW99">
            <v>43.4</v>
          </cell>
          <cell r="AY99">
            <v>125</v>
          </cell>
          <cell r="BA99">
            <v>116.6</v>
          </cell>
          <cell r="BC99">
            <v>40.972999999999999</v>
          </cell>
          <cell r="BK99">
            <v>28.503</v>
          </cell>
          <cell r="BM99">
            <v>102.009</v>
          </cell>
          <cell r="BO99">
            <v>11562</v>
          </cell>
          <cell r="BQ99">
            <v>59.400000000000006</v>
          </cell>
          <cell r="CC99">
            <v>78.688999999999993</v>
          </cell>
          <cell r="CE99">
            <v>3430</v>
          </cell>
          <cell r="CG99">
            <v>4526</v>
          </cell>
          <cell r="CI99">
            <v>5596.17</v>
          </cell>
          <cell r="CO99">
            <v>2.9895366218236172</v>
          </cell>
          <cell r="CQ99">
            <v>4.4349995380208815</v>
          </cell>
          <cell r="CU99">
            <v>106.2329184</v>
          </cell>
        </row>
        <row r="100">
          <cell r="U100">
            <v>477.51099999999997</v>
          </cell>
          <cell r="Y100">
            <v>420.12099999999998</v>
          </cell>
          <cell r="AG100">
            <v>614.29999999999995</v>
          </cell>
          <cell r="AM100">
            <v>85.27</v>
          </cell>
          <cell r="AO100">
            <v>82.1</v>
          </cell>
          <cell r="AQ100">
            <v>50.639000000000003</v>
          </cell>
          <cell r="AS100">
            <v>117.7</v>
          </cell>
          <cell r="AU100">
            <v>26.094999999999999</v>
          </cell>
          <cell r="AW100">
            <v>110.80000000000001</v>
          </cell>
          <cell r="AY100">
            <v>63.2</v>
          </cell>
          <cell r="BA100">
            <v>197.1</v>
          </cell>
          <cell r="BC100">
            <v>41.600999999999999</v>
          </cell>
          <cell r="BK100">
            <v>23</v>
          </cell>
          <cell r="BM100">
            <v>193.83199999999999</v>
          </cell>
          <cell r="BO100">
            <v>20992</v>
          </cell>
          <cell r="BQ100">
            <v>151.13999999999999</v>
          </cell>
          <cell r="CC100">
            <v>170.82300000000001</v>
          </cell>
          <cell r="CE100">
            <v>9830</v>
          </cell>
          <cell r="CG100">
            <v>6523</v>
          </cell>
          <cell r="CI100">
            <v>9473.91</v>
          </cell>
          <cell r="CO100">
            <v>10.338814150473343</v>
          </cell>
          <cell r="CQ100">
            <v>15.337706735655548</v>
          </cell>
          <cell r="CU100">
            <v>150.41260799999998</v>
          </cell>
        </row>
        <row r="101">
          <cell r="U101">
            <v>525.70299999999997</v>
          </cell>
          <cell r="Y101">
            <v>454.98</v>
          </cell>
          <cell r="AG101">
            <v>629.5</v>
          </cell>
          <cell r="AM101">
            <v>87.602999999999994</v>
          </cell>
          <cell r="AO101">
            <v>109.5</v>
          </cell>
          <cell r="AQ101">
            <v>60.781000000000006</v>
          </cell>
          <cell r="AS101">
            <v>142.80000000000001</v>
          </cell>
          <cell r="AU101">
            <v>30.25</v>
          </cell>
          <cell r="AW101">
            <v>147.30000000000001</v>
          </cell>
          <cell r="AY101">
            <v>147.30000000000001</v>
          </cell>
          <cell r="BA101">
            <v>231.8</v>
          </cell>
          <cell r="BC101">
            <v>58.225999999999999</v>
          </cell>
          <cell r="BK101">
            <v>34</v>
          </cell>
          <cell r="BM101">
            <v>270.14300000000003</v>
          </cell>
          <cell r="BO101">
            <v>22865</v>
          </cell>
          <cell r="BQ101">
            <v>150.47999999999999</v>
          </cell>
          <cell r="CC101">
            <v>188.517</v>
          </cell>
          <cell r="CE101">
            <v>10498</v>
          </cell>
          <cell r="CG101">
            <v>7370</v>
          </cell>
          <cell r="CI101">
            <v>10387.399999999998</v>
          </cell>
          <cell r="CO101">
            <v>12.331838565022423</v>
          </cell>
          <cell r="CQ101">
            <v>18.294373094336137</v>
          </cell>
          <cell r="CU101">
            <v>190.30534559999998</v>
          </cell>
        </row>
        <row r="102">
          <cell r="U102">
            <v>583.78</v>
          </cell>
          <cell r="Y102">
            <v>482.67599999999999</v>
          </cell>
          <cell r="AG102">
            <v>675.7</v>
          </cell>
          <cell r="AM102">
            <v>120.392</v>
          </cell>
          <cell r="AO102">
            <v>135</v>
          </cell>
          <cell r="AQ102">
            <v>73.769000000000005</v>
          </cell>
          <cell r="AS102">
            <v>162.69999999999999</v>
          </cell>
          <cell r="AU102">
            <v>37.25</v>
          </cell>
          <cell r="AW102">
            <v>177.9</v>
          </cell>
          <cell r="AY102">
            <v>229.5</v>
          </cell>
          <cell r="BA102">
            <v>262.89999999999998</v>
          </cell>
          <cell r="BC102">
            <v>106.57299999999999</v>
          </cell>
          <cell r="BK102">
            <v>53.578000000000003</v>
          </cell>
          <cell r="BM102">
            <v>357.303</v>
          </cell>
          <cell r="BO102">
            <v>24504</v>
          </cell>
          <cell r="BQ102">
            <v>157.08000000000001</v>
          </cell>
          <cell r="CC102">
            <v>217.96899999999999</v>
          </cell>
          <cell r="CE102">
            <v>11741</v>
          </cell>
          <cell r="CG102">
            <v>8205</v>
          </cell>
          <cell r="CI102">
            <v>11340.97</v>
          </cell>
          <cell r="CO102">
            <v>14.38714499252616</v>
          </cell>
          <cell r="CQ102">
            <v>21.343435276725494</v>
          </cell>
          <cell r="CU102">
            <v>243.18417599999998</v>
          </cell>
        </row>
      </sheetData>
      <sheetData sheetId="1" refreshError="1">
        <row r="39">
          <cell r="U39">
            <v>20</v>
          </cell>
        </row>
        <row r="41">
          <cell r="J41">
            <v>0.05</v>
          </cell>
          <cell r="N41">
            <v>0.1</v>
          </cell>
        </row>
      </sheetData>
      <sheetData sheetId="2" refreshError="1">
        <row r="22">
          <cell r="Q22">
            <v>10.25</v>
          </cell>
        </row>
      </sheetData>
      <sheetData sheetId="3"/>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mportantDisclosures"/>
      <sheetName val="summary"/>
      <sheetName val="COVER SHEET"/>
      <sheetName val="IS-ANNUAL"/>
      <sheetName val="MW-Cache"/>
      <sheetName val="IS-QTRLY"/>
      <sheetName val="REV-ANNUAL"/>
      <sheetName val="REV-QTRLY"/>
      <sheetName val="M&amp;A"/>
      <sheetName val="CFBS"/>
      <sheetName val="PIPELINE"/>
      <sheetName val="PIPELINE_UNADJ"/>
      <sheetName val="ACT-AGN"/>
      <sheetName val="DEBT"/>
      <sheetName val="Generics Pipeline"/>
      <sheetName val="Namenda"/>
      <sheetName val="AGREEMENTS"/>
      <sheetName val="MGMT PROJECTIONS"/>
      <sheetName val="FOOTNOTES"/>
      <sheetName val="DCF"/>
      <sheetName val="Calendar"/>
      <sheetName val="Var-YOY"/>
      <sheetName val="Var-Seq"/>
      <sheetName val="2015 Guidance"/>
      <sheetName val="FRX_Var-YOY"/>
      <sheetName val="FRX_Var-Seq"/>
      <sheetName val="FRXmerger"/>
      <sheetName val="mwareDates"/>
      <sheetName val="MWA RR"/>
      <sheetName val="mwareSettings"/>
    </sheetNames>
    <sheetDataSet>
      <sheetData sheetId="0" refreshError="1"/>
      <sheetData sheetId="1" refreshError="1"/>
      <sheetData sheetId="2" refreshError="1">
        <row r="7">
          <cell r="J7" t="str">
            <v>Actavis Inc.</v>
          </cell>
        </row>
        <row r="10">
          <cell r="J10">
            <v>42004</v>
          </cell>
        </row>
        <row r="11">
          <cell r="J11">
            <v>42004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s>
    <sheetDataSet>
      <sheetData sheetId="0" refreshError="1">
        <row r="7">
          <cell r="R7">
            <v>1.8821000000000001</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per P&amp;L "/>
      <sheetName val="Purple P&amp;L"/>
      <sheetName val="ProForma P&amp;L"/>
      <sheetName val="Valuation Matrix"/>
      <sheetName val="DEV"/>
      <sheetName val="DEV (2)"/>
      <sheetName val="Contrib. Analysis"/>
      <sheetName val="PPAIDS Output"/>
      <sheetName val="Average Trading Price"/>
      <sheetName val="Accretion Dilution"/>
      <sheetName val="Summary  Balance Sheet"/>
      <sheetName val="CAGRS"/>
      <sheetName val="Useful Backup --&gt;"/>
      <sheetName val="Comps"/>
      <sheetName val="__FDSCACHE__"/>
      <sheetName val="Ppaids"/>
      <sheetName val="Shareholder Profile"/>
      <sheetName val="Exchange Rates"/>
      <sheetName val="Worldwide in US$"/>
      <sheetName val="expenses ctry by qtr 2003"/>
      <sheetName val="expenses ctry by qtr 2004"/>
      <sheetName val="Consolidated P&amp;L"/>
      <sheetName val="US P&amp;L"/>
      <sheetName val="UK P&amp;L"/>
      <sheetName val="AUS P&amp;L"/>
      <sheetName val="SW P&amp;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0">
          <cell r="AC10">
            <v>38002</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RAY-SIRO "/>
      <sheetName val="XRAY_Merger_Model_May0516"/>
    </sheetNames>
    <definedNames>
      <definedName name="_xlnm.Database" refersTo="#REF!"/>
    </definedNames>
    <sheetDataSet>
      <sheetData sheetId="0">
        <row r="2">
          <cell r="A2">
            <v>0</v>
          </cell>
          <cell r="B2">
            <v>0</v>
          </cell>
          <cell r="C2">
            <v>0</v>
          </cell>
          <cell r="D2">
            <v>0</v>
          </cell>
          <cell r="E2" t="str">
            <v>2014-Q1</v>
          </cell>
          <cell r="F2" t="str">
            <v>2014-Q2</v>
          </cell>
          <cell r="G2" t="str">
            <v>2014-Q3</v>
          </cell>
          <cell r="H2" t="str">
            <v>2014-Q4</v>
          </cell>
          <cell r="I2" t="str">
            <v>2014-FY</v>
          </cell>
          <cell r="J2" t="str">
            <v>2015-Q1</v>
          </cell>
          <cell r="K2" t="str">
            <v>2015-Q2</v>
          </cell>
          <cell r="L2" t="str">
            <v>2015-Q3</v>
          </cell>
          <cell r="M2" t="str">
            <v>2015-Q4</v>
          </cell>
          <cell r="N2" t="str">
            <v>2015-FY</v>
          </cell>
          <cell r="O2" t="str">
            <v>2016-Q1</v>
          </cell>
          <cell r="P2" t="str">
            <v>2016-Q2</v>
          </cell>
          <cell r="Q2" t="str">
            <v>2016-Q3</v>
          </cell>
          <cell r="R2" t="str">
            <v>2016-Q4</v>
          </cell>
          <cell r="S2" t="str">
            <v>2016-FY</v>
          </cell>
          <cell r="T2" t="str">
            <v>2017-Q1</v>
          </cell>
          <cell r="U2" t="str">
            <v>2017-Q2</v>
          </cell>
          <cell r="V2" t="str">
            <v>2017-Q3</v>
          </cell>
          <cell r="W2" t="str">
            <v>2017-Q4</v>
          </cell>
          <cell r="X2" t="str">
            <v>2017-FY</v>
          </cell>
          <cell r="Y2" t="str">
            <v>2018-Q1</v>
          </cell>
          <cell r="Z2" t="str">
            <v>2018-Q2</v>
          </cell>
          <cell r="AA2" t="str">
            <v>2018-Q3</v>
          </cell>
          <cell r="AB2" t="str">
            <v>2018-Q4</v>
          </cell>
          <cell r="AC2" t="str">
            <v>2018-FY</v>
          </cell>
        </row>
        <row r="3">
          <cell r="A3">
            <v>0</v>
          </cell>
          <cell r="B3">
            <v>0</v>
          </cell>
          <cell r="C3">
            <v>0</v>
          </cell>
          <cell r="D3">
            <v>42495</v>
          </cell>
          <cell r="E3" t="str">
            <v>1FQ2Q:1</v>
          </cell>
          <cell r="F3" t="str">
            <v>2FQ2Q:1</v>
          </cell>
          <cell r="G3" t="str">
            <v>3FQ2Q:1</v>
          </cell>
          <cell r="H3" t="str">
            <v>4FQ2Q:1</v>
          </cell>
          <cell r="I3">
            <v>0</v>
          </cell>
          <cell r="J3">
            <v>0</v>
          </cell>
          <cell r="K3">
            <v>0</v>
          </cell>
          <cell r="L3">
            <v>0</v>
          </cell>
          <cell r="M3">
            <v>0</v>
          </cell>
          <cell r="N3">
            <v>0</v>
          </cell>
          <cell r="O3">
            <v>0</v>
          </cell>
          <cell r="P3">
            <v>0</v>
          </cell>
          <cell r="Q3">
            <v>0</v>
          </cell>
          <cell r="R3">
            <v>0</v>
          </cell>
          <cell r="S3">
            <v>0</v>
          </cell>
          <cell r="T3">
            <v>0</v>
          </cell>
          <cell r="U3">
            <v>0</v>
          </cell>
          <cell r="V3">
            <v>0</v>
          </cell>
          <cell r="W3">
            <v>0</v>
          </cell>
          <cell r="X3">
            <v>0</v>
          </cell>
          <cell r="Y3">
            <v>0</v>
          </cell>
          <cell r="Z3">
            <v>0</v>
          </cell>
          <cell r="AA3">
            <v>0</v>
          </cell>
          <cell r="AB3">
            <v>0</v>
          </cell>
          <cell r="AC3">
            <v>0</v>
          </cell>
        </row>
        <row r="4">
          <cell r="A4">
            <v>0</v>
          </cell>
          <cell r="B4">
            <v>0</v>
          </cell>
          <cell r="C4">
            <v>0</v>
          </cell>
          <cell r="D4">
            <v>0</v>
          </cell>
          <cell r="E4">
            <v>41729</v>
          </cell>
          <cell r="F4">
            <v>41820</v>
          </cell>
          <cell r="G4">
            <v>41912</v>
          </cell>
          <cell r="H4">
            <v>42004</v>
          </cell>
          <cell r="I4">
            <v>42004</v>
          </cell>
          <cell r="J4">
            <v>42094</v>
          </cell>
          <cell r="K4">
            <v>42185</v>
          </cell>
          <cell r="L4">
            <v>42277</v>
          </cell>
          <cell r="M4">
            <v>42369</v>
          </cell>
          <cell r="N4">
            <v>42369</v>
          </cell>
          <cell r="O4">
            <v>42460</v>
          </cell>
          <cell r="P4">
            <v>42551</v>
          </cell>
          <cell r="Q4">
            <v>42643</v>
          </cell>
          <cell r="R4">
            <v>42735</v>
          </cell>
          <cell r="S4">
            <v>42735</v>
          </cell>
          <cell r="T4">
            <v>42825</v>
          </cell>
          <cell r="U4">
            <v>42916</v>
          </cell>
          <cell r="V4">
            <v>43008</v>
          </cell>
          <cell r="W4">
            <v>43100</v>
          </cell>
          <cell r="X4">
            <v>43100</v>
          </cell>
          <cell r="Y4">
            <v>43190</v>
          </cell>
          <cell r="Z4">
            <v>43281</v>
          </cell>
          <cell r="AA4">
            <v>43373</v>
          </cell>
          <cell r="AB4">
            <v>43465</v>
          </cell>
          <cell r="AC4">
            <v>43465</v>
          </cell>
        </row>
        <row r="5">
          <cell r="A5" t="str">
            <v>Dentsply</v>
          </cell>
          <cell r="B5">
            <v>0</v>
          </cell>
          <cell r="C5">
            <v>42004</v>
          </cell>
          <cell r="D5">
            <v>42004</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row>
        <row r="6">
          <cell r="A6" t="str">
            <v xml:space="preserve">SIRO merger model </v>
          </cell>
          <cell r="B6">
            <v>0</v>
          </cell>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row>
        <row r="7">
          <cell r="A7">
            <v>0</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row>
        <row r="8">
          <cell r="A8" t="str">
            <v>($M)</v>
          </cell>
          <cell r="B8">
            <v>0</v>
          </cell>
          <cell r="C8">
            <v>0</v>
          </cell>
          <cell r="D8">
            <v>0</v>
          </cell>
          <cell r="E8" t="str">
            <v>1Q:14A</v>
          </cell>
          <cell r="F8" t="str">
            <v>2Q:14A</v>
          </cell>
          <cell r="G8" t="str">
            <v>3Q:14A</v>
          </cell>
          <cell r="H8" t="str">
            <v>4Q:14A</v>
          </cell>
          <cell r="I8" t="str">
            <v>2014A</v>
          </cell>
          <cell r="J8" t="str">
            <v>1Q:15E</v>
          </cell>
          <cell r="K8" t="str">
            <v>2Q:15E</v>
          </cell>
          <cell r="L8" t="str">
            <v>3Q:15E</v>
          </cell>
          <cell r="M8" t="str">
            <v>4Q:15E</v>
          </cell>
          <cell r="N8" t="str">
            <v>2015E</v>
          </cell>
          <cell r="O8" t="str">
            <v>1Q:16E</v>
          </cell>
          <cell r="P8" t="str">
            <v>2Q:16E</v>
          </cell>
          <cell r="Q8" t="str">
            <v>3Q:16E</v>
          </cell>
          <cell r="R8" t="str">
            <v>4Q:16E</v>
          </cell>
          <cell r="S8" t="str">
            <v>2016E</v>
          </cell>
          <cell r="T8" t="str">
            <v>1Q:17E</v>
          </cell>
          <cell r="U8" t="str">
            <v>2Q:17E</v>
          </cell>
          <cell r="V8" t="str">
            <v>3Q:17E</v>
          </cell>
          <cell r="W8" t="str">
            <v>4Q:17E</v>
          </cell>
          <cell r="X8" t="str">
            <v>2017E</v>
          </cell>
          <cell r="Y8" t="str">
            <v>1Q:18E</v>
          </cell>
          <cell r="Z8" t="str">
            <v>2Q:18E</v>
          </cell>
          <cell r="AA8" t="str">
            <v>3Q:18E</v>
          </cell>
          <cell r="AB8" t="str">
            <v>4Q:18E</v>
          </cell>
          <cell r="AC8" t="str">
            <v>2018E</v>
          </cell>
        </row>
        <row r="9">
          <cell r="A9" t="str">
            <v>Net sales combined (proforma)</v>
          </cell>
          <cell r="B9">
            <v>0</v>
          </cell>
          <cell r="I9">
            <v>4093.7460000000001</v>
          </cell>
          <cell r="J9">
            <v>0</v>
          </cell>
          <cell r="K9">
            <v>0</v>
          </cell>
          <cell r="L9">
            <v>0</v>
          </cell>
          <cell r="M9">
            <v>0</v>
          </cell>
          <cell r="N9">
            <v>3835.6260000000002</v>
          </cell>
          <cell r="O9">
            <v>0</v>
          </cell>
          <cell r="P9">
            <v>0</v>
          </cell>
          <cell r="Q9">
            <v>0</v>
          </cell>
          <cell r="R9">
            <v>0</v>
          </cell>
          <cell r="S9">
            <v>3955.513725153698</v>
          </cell>
          <cell r="T9">
            <v>0</v>
          </cell>
          <cell r="U9">
            <v>0</v>
          </cell>
          <cell r="V9">
            <v>0</v>
          </cell>
          <cell r="W9">
            <v>0</v>
          </cell>
          <cell r="X9">
            <v>4185.8527780753802</v>
          </cell>
          <cell r="Y9">
            <v>0</v>
          </cell>
          <cell r="Z9">
            <v>0</v>
          </cell>
          <cell r="AA9">
            <v>0</v>
          </cell>
          <cell r="AB9">
            <v>0</v>
          </cell>
          <cell r="AC9">
            <v>4458.348905786781</v>
          </cell>
        </row>
        <row r="10">
          <cell r="A10" t="str">
            <v>XRAY</v>
          </cell>
          <cell r="B10" t="str">
            <v>standalone</v>
          </cell>
          <cell r="I10">
            <v>2922.62</v>
          </cell>
          <cell r="N10">
            <v>2674.326</v>
          </cell>
          <cell r="S10">
            <v>2690.3577532851164</v>
          </cell>
          <cell r="X10">
            <v>2787.8936111898161</v>
          </cell>
          <cell r="AC10">
            <v>2889.4180751548574</v>
          </cell>
        </row>
        <row r="11">
          <cell r="A11" t="str">
            <v>SIRO</v>
          </cell>
          <cell r="B11" t="str">
            <v>standalone</v>
          </cell>
          <cell r="I11">
            <v>1171.126</v>
          </cell>
          <cell r="N11">
            <v>1161.3</v>
          </cell>
          <cell r="S11">
            <v>1244.1559718685814</v>
          </cell>
          <cell r="X11">
            <v>1355.1020240284208</v>
          </cell>
          <cell r="AC11">
            <v>1493.9308306319235</v>
          </cell>
        </row>
        <row r="12">
          <cell r="A12" t="str">
            <v>Revenue synergies</v>
          </cell>
          <cell r="B12">
            <v>0</v>
          </cell>
          <cell r="I12">
            <v>0</v>
          </cell>
          <cell r="N12">
            <v>0</v>
          </cell>
          <cell r="S12">
            <v>21</v>
          </cell>
          <cell r="X12">
            <v>42.857142857142854</v>
          </cell>
          <cell r="AC12">
            <v>75</v>
          </cell>
        </row>
        <row r="13">
          <cell r="A13" t="e">
            <v>#REF!</v>
          </cell>
          <cell r="B13">
            <v>0</v>
          </cell>
          <cell r="I13">
            <v>0</v>
          </cell>
          <cell r="J13">
            <v>0</v>
          </cell>
          <cell r="K13">
            <v>0</v>
          </cell>
          <cell r="L13">
            <v>0</v>
          </cell>
          <cell r="M13">
            <v>0</v>
          </cell>
          <cell r="N13">
            <v>0</v>
          </cell>
          <cell r="O13">
            <v>0</v>
          </cell>
          <cell r="P13">
            <v>0</v>
          </cell>
          <cell r="Q13">
            <v>0</v>
          </cell>
          <cell r="R13">
            <v>0</v>
          </cell>
          <cell r="S13">
            <v>7.8056533464211297E-3</v>
          </cell>
          <cell r="T13">
            <v>0</v>
          </cell>
          <cell r="U13">
            <v>0</v>
          </cell>
          <cell r="V13">
            <v>0</v>
          </cell>
          <cell r="W13">
            <v>0</v>
          </cell>
          <cell r="X13">
            <v>1.5372589070517759E-2</v>
          </cell>
          <cell r="Y13">
            <v>0</v>
          </cell>
          <cell r="Z13">
            <v>0</v>
          </cell>
          <cell r="AA13">
            <v>0</v>
          </cell>
          <cell r="AB13">
            <v>0</v>
          </cell>
          <cell r="AC13">
            <v>2.595678370150031E-2</v>
          </cell>
        </row>
        <row r="14">
          <cell r="A14">
            <v>0</v>
          </cell>
          <cell r="B14">
            <v>0</v>
          </cell>
          <cell r="I14">
            <v>0</v>
          </cell>
          <cell r="N14">
            <v>0</v>
          </cell>
        </row>
        <row r="15">
          <cell r="A15" t="str">
            <v>Total expenses combined (COGS + SG&amp;A + R&amp;D) (proforma)</v>
          </cell>
          <cell r="B15">
            <v>0</v>
          </cell>
          <cell r="I15">
            <v>3306.268</v>
          </cell>
          <cell r="N15">
            <v>3023.2370000000001</v>
          </cell>
          <cell r="S15">
            <v>3055.9829156903766</v>
          </cell>
          <cell r="X15">
            <v>3169.3368698962695</v>
          </cell>
          <cell r="AC15">
            <v>3288.4937143690104</v>
          </cell>
        </row>
        <row r="16">
          <cell r="A16" t="str">
            <v>XRAY</v>
          </cell>
          <cell r="B16" t="str">
            <v>standalone</v>
          </cell>
          <cell r="I16">
            <v>2409.8150000000001</v>
          </cell>
          <cell r="J16">
            <v>0</v>
          </cell>
          <cell r="K16">
            <v>0</v>
          </cell>
          <cell r="L16">
            <v>0</v>
          </cell>
          <cell r="M16">
            <v>0</v>
          </cell>
          <cell r="N16">
            <v>2153.2370000000001</v>
          </cell>
          <cell r="S16">
            <v>2155.3385952564417</v>
          </cell>
          <cell r="X16">
            <v>2216.7514786539732</v>
          </cell>
          <cell r="AC16">
            <v>2280.1415043867382</v>
          </cell>
        </row>
        <row r="17">
          <cell r="A17" t="str">
            <v>SIRO</v>
          </cell>
          <cell r="B17" t="str">
            <v>standalone</v>
          </cell>
          <cell r="I17">
            <v>896.45299999999997</v>
          </cell>
          <cell r="N17">
            <v>870</v>
          </cell>
          <cell r="O17">
            <v>870</v>
          </cell>
          <cell r="S17">
            <v>923.99432043393449</v>
          </cell>
          <cell r="X17">
            <v>999.01396267086784</v>
          </cell>
          <cell r="AC17">
            <v>1089.6022099822719</v>
          </cell>
        </row>
        <row r="18">
          <cell r="A18" t="str">
            <v>Expense related to revenue synergies (@35% incr)</v>
          </cell>
          <cell r="B18">
            <v>0</v>
          </cell>
          <cell r="I18">
            <v>0</v>
          </cell>
          <cell r="N18">
            <v>0</v>
          </cell>
          <cell r="O18">
            <v>0</v>
          </cell>
          <cell r="S18">
            <v>13.65</v>
          </cell>
          <cell r="X18">
            <v>27.857142857142858</v>
          </cell>
          <cell r="AC18">
            <v>48.75</v>
          </cell>
        </row>
        <row r="19">
          <cell r="A19" t="str">
            <v>Pre-tax operating synergies</v>
          </cell>
          <cell r="B19">
            <v>0</v>
          </cell>
          <cell r="I19">
            <v>0</v>
          </cell>
          <cell r="N19">
            <v>0</v>
          </cell>
          <cell r="S19">
            <v>37</v>
          </cell>
          <cell r="T19">
            <v>0</v>
          </cell>
          <cell r="U19">
            <v>0</v>
          </cell>
          <cell r="V19">
            <v>0</v>
          </cell>
          <cell r="W19">
            <v>0</v>
          </cell>
          <cell r="X19">
            <v>74.285714285714292</v>
          </cell>
          <cell r="AC19">
            <v>130</v>
          </cell>
        </row>
        <row r="20">
          <cell r="A20" t="str">
            <v>Cost synergies as a percent of stand-alone SIRO</v>
          </cell>
          <cell r="B20">
            <v>0</v>
          </cell>
          <cell r="I20">
            <v>0</v>
          </cell>
          <cell r="J20">
            <v>0</v>
          </cell>
          <cell r="K20">
            <v>0</v>
          </cell>
          <cell r="L20">
            <v>0</v>
          </cell>
          <cell r="M20">
            <v>0</v>
          </cell>
          <cell r="N20">
            <v>0</v>
          </cell>
          <cell r="O20">
            <v>0</v>
          </cell>
          <cell r="P20">
            <v>0</v>
          </cell>
          <cell r="Q20">
            <v>0</v>
          </cell>
          <cell r="R20">
            <v>0</v>
          </cell>
          <cell r="S20">
            <v>4.0043536179555445E-2</v>
          </cell>
          <cell r="T20">
            <v>0</v>
          </cell>
          <cell r="U20">
            <v>0</v>
          </cell>
          <cell r="V20">
            <v>0</v>
          </cell>
          <cell r="W20">
            <v>0</v>
          </cell>
          <cell r="X20">
            <v>7.4359035070051607E-2</v>
          </cell>
          <cell r="Y20">
            <v>0</v>
          </cell>
          <cell r="Z20">
            <v>0</v>
          </cell>
          <cell r="AA20">
            <v>0</v>
          </cell>
          <cell r="AB20">
            <v>0</v>
          </cell>
          <cell r="AC20">
            <v>0.11930959648302762</v>
          </cell>
        </row>
        <row r="21">
          <cell r="A21">
            <v>0</v>
          </cell>
          <cell r="B21">
            <v>0</v>
          </cell>
          <cell r="I21">
            <v>0</v>
          </cell>
          <cell r="N21">
            <v>0</v>
          </cell>
        </row>
        <row r="22">
          <cell r="A22" t="str">
            <v>Operating income combined (proforma)</v>
          </cell>
          <cell r="B22">
            <v>0</v>
          </cell>
          <cell r="I22">
            <v>787.47800000000007</v>
          </cell>
          <cell r="N22">
            <v>812.38900000000012</v>
          </cell>
          <cell r="S22">
            <v>899.53080946332148</v>
          </cell>
          <cell r="X22">
            <v>1016.5159081791107</v>
          </cell>
          <cell r="AC22">
            <v>1169.8551914177706</v>
          </cell>
        </row>
        <row r="23">
          <cell r="A23" t="str">
            <v>XRAY</v>
          </cell>
          <cell r="B23" t="str">
            <v>standalone</v>
          </cell>
          <cell r="I23">
            <v>512.80499999999984</v>
          </cell>
          <cell r="N23">
            <v>521.08899999999994</v>
          </cell>
          <cell r="S23">
            <v>535.01915802867461</v>
          </cell>
          <cell r="X23">
            <v>571.14213253584285</v>
          </cell>
          <cell r="AC23">
            <v>609.2765707681192</v>
          </cell>
        </row>
        <row r="24">
          <cell r="A24" t="str">
            <v>SIRO</v>
          </cell>
          <cell r="B24" t="str">
            <v>including synergies</v>
          </cell>
          <cell r="I24">
            <v>274.673</v>
          </cell>
          <cell r="N24">
            <v>291.29999999999995</v>
          </cell>
          <cell r="S24">
            <v>364.51165143464698</v>
          </cell>
          <cell r="X24">
            <v>445.37377564326727</v>
          </cell>
          <cell r="AC24">
            <v>560.57862064965161</v>
          </cell>
        </row>
        <row r="25">
          <cell r="A25">
            <v>0</v>
          </cell>
          <cell r="B25">
            <v>0</v>
          </cell>
          <cell r="I25">
            <v>0</v>
          </cell>
          <cell r="N25">
            <v>0</v>
          </cell>
        </row>
        <row r="26">
          <cell r="A26" t="str">
            <v>Depreciation and other add-back (primarily stock comp)</v>
          </cell>
          <cell r="B26">
            <v>0</v>
          </cell>
          <cell r="I26">
            <v>117.0150000000001</v>
          </cell>
          <cell r="N26">
            <v>112.33637979491624</v>
          </cell>
          <cell r="S26">
            <v>202.94395825097831</v>
          </cell>
          <cell r="X26">
            <v>214.52731531979316</v>
          </cell>
          <cell r="AC26">
            <v>230.88391841823125</v>
          </cell>
        </row>
        <row r="27">
          <cell r="A27" t="str">
            <v>XRAY</v>
          </cell>
          <cell r="B27" t="str">
            <v>standalone</v>
          </cell>
          <cell r="I27">
            <v>81.163000000000125</v>
          </cell>
          <cell r="N27">
            <v>80.536379794916229</v>
          </cell>
          <cell r="S27">
            <v>84.840256465017774</v>
          </cell>
          <cell r="X27">
            <v>89.311007991692122</v>
          </cell>
          <cell r="AC27">
            <v>93.983484560949023</v>
          </cell>
        </row>
        <row r="28">
          <cell r="A28" t="str">
            <v>SIRO</v>
          </cell>
          <cell r="B28" t="str">
            <v>including step-up</v>
          </cell>
          <cell r="I28">
            <v>35.851999999999975</v>
          </cell>
          <cell r="N28">
            <v>31.800000000000011</v>
          </cell>
          <cell r="S28">
            <v>118.10370178596052</v>
          </cell>
          <cell r="X28">
            <v>125.21630732810104</v>
          </cell>
          <cell r="AC28">
            <v>136.90043385728222</v>
          </cell>
        </row>
        <row r="29">
          <cell r="A29" t="str">
            <v>Step-up depreciation of SIRO</v>
          </cell>
          <cell r="B29">
            <v>0</v>
          </cell>
          <cell r="I29">
            <v>0</v>
          </cell>
          <cell r="N29">
            <v>0</v>
          </cell>
          <cell r="O29">
            <v>0</v>
          </cell>
          <cell r="P29">
            <v>0</v>
          </cell>
          <cell r="Q29">
            <v>0</v>
          </cell>
          <cell r="R29">
            <v>0</v>
          </cell>
          <cell r="S29">
            <v>79.110274503073967</v>
          </cell>
          <cell r="T29">
            <v>0</v>
          </cell>
          <cell r="U29">
            <v>0</v>
          </cell>
          <cell r="V29">
            <v>0</v>
          </cell>
          <cell r="W29">
            <v>0</v>
          </cell>
          <cell r="X29">
            <v>83.717055561507607</v>
          </cell>
          <cell r="Y29">
            <v>0</v>
          </cell>
          <cell r="Z29">
            <v>0</v>
          </cell>
          <cell r="AA29">
            <v>0</v>
          </cell>
          <cell r="AB29">
            <v>0</v>
          </cell>
          <cell r="AC29">
            <v>89.166978115735617</v>
          </cell>
        </row>
        <row r="30">
          <cell r="A30" t="str">
            <v>Step-up depreciation of SIRO (% of sales)</v>
          </cell>
          <cell r="B30">
            <v>0</v>
          </cell>
          <cell r="I30">
            <v>0</v>
          </cell>
          <cell r="N30">
            <v>0</v>
          </cell>
          <cell r="S30">
            <v>0.02</v>
          </cell>
          <cell r="X30">
            <v>0.02</v>
          </cell>
          <cell r="AC30">
            <v>0.02</v>
          </cell>
        </row>
        <row r="31">
          <cell r="A31">
            <v>0</v>
          </cell>
          <cell r="B31">
            <v>0</v>
          </cell>
          <cell r="I31">
            <v>0</v>
          </cell>
          <cell r="N31">
            <v>0</v>
          </cell>
        </row>
        <row r="32">
          <cell r="A32" t="str">
            <v>EBITDA</v>
          </cell>
          <cell r="B32">
            <v>0</v>
          </cell>
          <cell r="I32">
            <v>904.49300000000017</v>
          </cell>
          <cell r="J32">
            <v>0</v>
          </cell>
          <cell r="K32">
            <v>0</v>
          </cell>
          <cell r="L32">
            <v>0</v>
          </cell>
          <cell r="M32">
            <v>0</v>
          </cell>
          <cell r="N32">
            <v>924.72537979491631</v>
          </cell>
          <cell r="O32">
            <v>0</v>
          </cell>
          <cell r="P32">
            <v>0</v>
          </cell>
          <cell r="Q32">
            <v>0</v>
          </cell>
          <cell r="R32">
            <v>0</v>
          </cell>
          <cell r="S32">
            <v>1102.4747677142998</v>
          </cell>
          <cell r="T32">
            <v>0</v>
          </cell>
          <cell r="U32">
            <v>0</v>
          </cell>
          <cell r="V32">
            <v>0</v>
          </cell>
          <cell r="W32">
            <v>0</v>
          </cell>
          <cell r="X32">
            <v>1231.0432234989039</v>
          </cell>
          <cell r="Y32">
            <v>0</v>
          </cell>
          <cell r="Z32">
            <v>0</v>
          </cell>
          <cell r="AA32">
            <v>0</v>
          </cell>
          <cell r="AB32">
            <v>0</v>
          </cell>
          <cell r="AC32">
            <v>1400.7391098360017</v>
          </cell>
        </row>
        <row r="33">
          <cell r="A33" t="str">
            <v>XRAY</v>
          </cell>
          <cell r="B33" t="str">
            <v>standalone</v>
          </cell>
          <cell r="I33">
            <v>593.96799999999996</v>
          </cell>
          <cell r="N33">
            <v>601.62537979491617</v>
          </cell>
          <cell r="S33">
            <v>619.85941449369238</v>
          </cell>
          <cell r="X33">
            <v>660.45314052753497</v>
          </cell>
          <cell r="AC33">
            <v>703.26005532906822</v>
          </cell>
        </row>
        <row r="34">
          <cell r="A34" t="str">
            <v>SIRO</v>
          </cell>
          <cell r="B34" t="str">
            <v>including synergies</v>
          </cell>
          <cell r="I34">
            <v>310.52499999999998</v>
          </cell>
          <cell r="N34">
            <v>323.09999999999997</v>
          </cell>
          <cell r="S34">
            <v>482.61535322060752</v>
          </cell>
          <cell r="X34">
            <v>570.59008297136825</v>
          </cell>
          <cell r="AC34">
            <v>697.47905450693384</v>
          </cell>
        </row>
        <row r="35">
          <cell r="A35">
            <v>0</v>
          </cell>
          <cell r="B35">
            <v>0</v>
          </cell>
          <cell r="I35">
            <v>0</v>
          </cell>
          <cell r="N35">
            <v>0</v>
          </cell>
        </row>
        <row r="36">
          <cell r="A36" t="str">
            <v>Net interest income/(expense) &amp; other combined (proforma)</v>
          </cell>
          <cell r="B36">
            <v>0</v>
          </cell>
          <cell r="I36">
            <v>-52.524000000000001</v>
          </cell>
          <cell r="N36">
            <v>-53.848999999999997</v>
          </cell>
          <cell r="S36">
            <v>-38.884030695329855</v>
          </cell>
          <cell r="X36">
            <v>-35.231563405822449</v>
          </cell>
          <cell r="AC36">
            <v>-34.322204314777458</v>
          </cell>
        </row>
        <row r="37">
          <cell r="A37" t="str">
            <v>XRAY</v>
          </cell>
          <cell r="B37" t="str">
            <v>standalone interest expense</v>
          </cell>
          <cell r="I37">
            <v>-45.241</v>
          </cell>
          <cell r="N37">
            <v>-38.448999999999998</v>
          </cell>
          <cell r="S37">
            <v>-36.202502858788058</v>
          </cell>
          <cell r="X37">
            <v>-32.404716827250823</v>
          </cell>
          <cell r="AC37">
            <v>-33.504768749692303</v>
          </cell>
        </row>
        <row r="38">
          <cell r="A38" t="str">
            <v>SIRO</v>
          </cell>
          <cell r="B38" t="str">
            <v>standalone interest expense</v>
          </cell>
          <cell r="I38">
            <v>-7.2829999999999995</v>
          </cell>
          <cell r="N38">
            <v>-15.399999999999999</v>
          </cell>
          <cell r="S38">
            <v>-2.6815278365417932</v>
          </cell>
          <cell r="X38">
            <v>-2.8268465785716259</v>
          </cell>
          <cell r="AC38">
            <v>-0.81743556508515747</v>
          </cell>
        </row>
        <row r="39">
          <cell r="A39">
            <v>0</v>
          </cell>
          <cell r="B39">
            <v>0</v>
          </cell>
          <cell r="I39">
            <v>0</v>
          </cell>
          <cell r="N39">
            <v>0</v>
          </cell>
        </row>
        <row r="40">
          <cell r="A40" t="str">
            <v>Pretax income combined (proforma)</v>
          </cell>
          <cell r="B40">
            <v>0</v>
          </cell>
          <cell r="I40">
            <v>734.95400000000006</v>
          </cell>
          <cell r="N40">
            <v>758.54000000000008</v>
          </cell>
          <cell r="S40">
            <v>860.64677876799158</v>
          </cell>
          <cell r="X40">
            <v>981.28434477328824</v>
          </cell>
          <cell r="AC40">
            <v>1135.532987102993</v>
          </cell>
        </row>
        <row r="41">
          <cell r="A41" t="str">
            <v>XRAY</v>
          </cell>
          <cell r="B41" t="str">
            <v>standalone pretax income</v>
          </cell>
          <cell r="I41">
            <v>467.56399999999985</v>
          </cell>
          <cell r="N41">
            <v>482.63999999999993</v>
          </cell>
          <cell r="S41">
            <v>498.81665516988653</v>
          </cell>
          <cell r="X41">
            <v>538.73741570859204</v>
          </cell>
          <cell r="AC41">
            <v>575.77180201842691</v>
          </cell>
        </row>
        <row r="42">
          <cell r="A42" t="str">
            <v>SIRO</v>
          </cell>
          <cell r="B42" t="str">
            <v>standalone pretax income (inc. synergies)</v>
          </cell>
          <cell r="I42">
            <v>267.39</v>
          </cell>
          <cell r="N42">
            <v>275.89999999999998</v>
          </cell>
          <cell r="S42">
            <v>361.83012359810516</v>
          </cell>
          <cell r="X42">
            <v>442.54692906469563</v>
          </cell>
          <cell r="AC42">
            <v>559.76118508456648</v>
          </cell>
        </row>
        <row r="43">
          <cell r="A43">
            <v>0</v>
          </cell>
          <cell r="B43">
            <v>0</v>
          </cell>
          <cell r="I43">
            <v>0</v>
          </cell>
          <cell r="N43">
            <v>0</v>
          </cell>
        </row>
        <row r="44">
          <cell r="A44" t="str">
            <v>Income Taxes combined (proforma)</v>
          </cell>
          <cell r="B44">
            <v>0</v>
          </cell>
          <cell r="I44">
            <v>167.18200000000002</v>
          </cell>
          <cell r="N44">
            <v>176.04000000000002</v>
          </cell>
          <cell r="S44">
            <v>196.89226297831596</v>
          </cell>
          <cell r="X44">
            <v>224.34855575858481</v>
          </cell>
          <cell r="AC44">
            <v>259.73315752864232</v>
          </cell>
        </row>
        <row r="45">
          <cell r="A45">
            <v>0</v>
          </cell>
          <cell r="B45" t="str">
            <v>Pro Forma Tax Rate</v>
          </cell>
          <cell r="I45">
            <v>0.22747273979051749</v>
          </cell>
          <cell r="N45">
            <v>0.23207741187017164</v>
          </cell>
          <cell r="S45">
            <v>0.22877243932774086</v>
          </cell>
          <cell r="X45">
            <v>0.22862746863694983</v>
          </cell>
          <cell r="AC45">
            <v>0.22873237543832312</v>
          </cell>
        </row>
        <row r="46">
          <cell r="A46">
            <v>0</v>
          </cell>
          <cell r="B46">
            <v>0</v>
          </cell>
          <cell r="I46">
            <v>0</v>
          </cell>
          <cell r="N46">
            <v>0</v>
          </cell>
          <cell r="S46">
            <v>0</v>
          </cell>
          <cell r="X46">
            <v>0</v>
          </cell>
          <cell r="AC46">
            <v>0</v>
          </cell>
        </row>
        <row r="47">
          <cell r="A47" t="str">
            <v>XRAY</v>
          </cell>
          <cell r="B47" t="str">
            <v>Stand-alone taxes</v>
          </cell>
          <cell r="I47">
            <v>105.02300000000001</v>
          </cell>
          <cell r="N47">
            <v>110.44</v>
          </cell>
          <cell r="S47">
            <v>114.7278306890739</v>
          </cell>
          <cell r="X47">
            <v>122.56276207370483</v>
          </cell>
          <cell r="AC47">
            <v>130.98808495919204</v>
          </cell>
        </row>
        <row r="48">
          <cell r="A48">
            <v>0</v>
          </cell>
          <cell r="B48" t="str">
            <v>XRAY tax rate</v>
          </cell>
          <cell r="I48">
            <v>0.22461737858346675</v>
          </cell>
          <cell r="N48">
            <v>0.22882479695010777</v>
          </cell>
          <cell r="S48">
            <v>0.22999999999999998</v>
          </cell>
          <cell r="X48">
            <v>0.22750000000000026</v>
          </cell>
          <cell r="AC48">
            <v>0.22749999999999984</v>
          </cell>
        </row>
        <row r="49">
          <cell r="A49" t="str">
            <v>SIRO</v>
          </cell>
          <cell r="B49" t="str">
            <v>Taxes on operating profit (inc. synergies)</v>
          </cell>
          <cell r="I49">
            <v>62.158999999999999</v>
          </cell>
          <cell r="N49">
            <v>65.600000000000009</v>
          </cell>
          <cell r="S49">
            <v>82.164432289242072</v>
          </cell>
          <cell r="X49">
            <v>101.78579368487998</v>
          </cell>
          <cell r="AC49">
            <v>128.74507256945031</v>
          </cell>
        </row>
        <row r="50">
          <cell r="A50">
            <v>0</v>
          </cell>
          <cell r="B50" t="str">
            <v>Tax Rate</v>
          </cell>
          <cell r="I50">
            <v>0.23246568682448859</v>
          </cell>
          <cell r="N50">
            <v>0.2377673069952882</v>
          </cell>
          <cell r="S50">
            <v>0.22708013216860962</v>
          </cell>
          <cell r="X50">
            <v>0.22999999999999995</v>
          </cell>
          <cell r="AC50">
            <v>0.23000000000000004</v>
          </cell>
        </row>
        <row r="51">
          <cell r="A51">
            <v>0</v>
          </cell>
          <cell r="B51">
            <v>0</v>
          </cell>
          <cell r="I51">
            <v>0</v>
          </cell>
          <cell r="N51">
            <v>0</v>
          </cell>
        </row>
        <row r="52">
          <cell r="A52" t="str">
            <v>Net income combined (proforma)</v>
          </cell>
          <cell r="B52">
            <v>0</v>
          </cell>
          <cell r="I52">
            <v>567.77200000000005</v>
          </cell>
          <cell r="N52">
            <v>582.5</v>
          </cell>
          <cell r="S52">
            <v>663.75451578967568</v>
          </cell>
          <cell r="X52">
            <v>756.93578901470346</v>
          </cell>
          <cell r="AC52">
            <v>875.79982957435072</v>
          </cell>
        </row>
        <row r="53">
          <cell r="A53" t="str">
            <v>DILUTED EPS combined (proforma)</v>
          </cell>
          <cell r="B53">
            <v>0</v>
          </cell>
          <cell r="C53">
            <v>0</v>
          </cell>
          <cell r="D53">
            <v>0</v>
          </cell>
          <cell r="E53">
            <v>0</v>
          </cell>
          <cell r="F53">
            <v>0</v>
          </cell>
          <cell r="G53">
            <v>0</v>
          </cell>
          <cell r="H53">
            <v>0</v>
          </cell>
          <cell r="I53">
            <v>2.3032835830276883</v>
          </cell>
          <cell r="J53">
            <v>0</v>
          </cell>
          <cell r="K53">
            <v>0</v>
          </cell>
          <cell r="L53">
            <v>0</v>
          </cell>
          <cell r="M53">
            <v>0</v>
          </cell>
          <cell r="N53">
            <v>2.3787916908210724</v>
          </cell>
          <cell r="O53">
            <v>0</v>
          </cell>
          <cell r="P53">
            <v>0</v>
          </cell>
          <cell r="Q53">
            <v>0</v>
          </cell>
          <cell r="R53">
            <v>0</v>
          </cell>
          <cell r="S53">
            <v>2.8317131274959744</v>
          </cell>
          <cell r="T53">
            <v>0</v>
          </cell>
          <cell r="U53">
            <v>0</v>
          </cell>
          <cell r="V53">
            <v>0</v>
          </cell>
          <cell r="W53">
            <v>0</v>
          </cell>
          <cell r="X53">
            <v>3.3841834561497373</v>
          </cell>
          <cell r="Y53">
            <v>0</v>
          </cell>
          <cell r="Z53">
            <v>0</v>
          </cell>
          <cell r="AA53">
            <v>0</v>
          </cell>
          <cell r="AB53">
            <v>0</v>
          </cell>
          <cell r="AC53">
            <v>4.090406756716698</v>
          </cell>
        </row>
        <row r="54">
          <cell r="A54" t="str">
            <v>Diluted shares outstanding combined (proforma)</v>
          </cell>
          <cell r="B54">
            <v>0</v>
          </cell>
          <cell r="I54">
            <v>246.50546905459998</v>
          </cell>
          <cell r="N54">
            <v>244.87221905460001</v>
          </cell>
          <cell r="S54">
            <v>234.40033855993744</v>
          </cell>
          <cell r="X54">
            <v>223.66866300915217</v>
          </cell>
          <cell r="AC54">
            <v>214.11069403702552</v>
          </cell>
        </row>
        <row r="55">
          <cell r="A55">
            <v>0</v>
          </cell>
          <cell r="B55">
            <v>0</v>
          </cell>
          <cell r="C55">
            <v>0</v>
          </cell>
          <cell r="D55">
            <v>0</v>
          </cell>
          <cell r="I55">
            <v>0</v>
          </cell>
          <cell r="N55">
            <v>0</v>
          </cell>
        </row>
        <row r="56">
          <cell r="A56" t="str">
            <v>XRAY standalone EPS</v>
          </cell>
          <cell r="B56">
            <v>0</v>
          </cell>
          <cell r="I56">
            <v>2.5027604485360508</v>
          </cell>
          <cell r="N56">
            <v>2.616186799353398</v>
          </cell>
          <cell r="S56">
            <v>2.7754422343031635</v>
          </cell>
          <cell r="X56">
            <v>3.1775785403723127</v>
          </cell>
          <cell r="AC56">
            <v>3.570180433038848</v>
          </cell>
        </row>
        <row r="57">
          <cell r="A57" t="str">
            <v>Accretion/(dilution)</v>
          </cell>
          <cell r="B57">
            <v>0</v>
          </cell>
          <cell r="I57">
            <v>0</v>
          </cell>
          <cell r="N57">
            <v>0</v>
          </cell>
          <cell r="S57">
            <v>5.6270893192810867E-2</v>
          </cell>
          <cell r="X57">
            <v>0.20660491577742457</v>
          </cell>
          <cell r="AC57">
            <v>0.52022632367784993</v>
          </cell>
        </row>
        <row r="58">
          <cell r="A58" t="str">
            <v>XRAY proforma EPS</v>
          </cell>
          <cell r="B58">
            <v>0</v>
          </cell>
          <cell r="I58">
            <v>0</v>
          </cell>
          <cell r="N58">
            <v>0</v>
          </cell>
          <cell r="S58">
            <v>2.8317131274959744</v>
          </cell>
          <cell r="X58">
            <v>3.3841834561497373</v>
          </cell>
          <cell r="AC58">
            <v>4.090406756716698</v>
          </cell>
        </row>
        <row r="59">
          <cell r="A59" t="str">
            <v>% accretion/(dilution)</v>
          </cell>
          <cell r="B59">
            <v>0</v>
          </cell>
          <cell r="C59">
            <v>0</v>
          </cell>
          <cell r="D59">
            <v>0</v>
          </cell>
          <cell r="I59">
            <v>0</v>
          </cell>
          <cell r="J59">
            <v>0</v>
          </cell>
          <cell r="K59">
            <v>0</v>
          </cell>
          <cell r="L59">
            <v>0</v>
          </cell>
          <cell r="M59">
            <v>0</v>
          </cell>
          <cell r="N59">
            <v>0</v>
          </cell>
          <cell r="O59">
            <v>0</v>
          </cell>
          <cell r="P59">
            <v>0</v>
          </cell>
          <cell r="Q59">
            <v>0</v>
          </cell>
          <cell r="R59">
            <v>0</v>
          </cell>
          <cell r="S59">
            <v>2.0274568318277005E-2</v>
          </cell>
          <cell r="T59">
            <v>0</v>
          </cell>
          <cell r="U59">
            <v>0</v>
          </cell>
          <cell r="V59">
            <v>0</v>
          </cell>
          <cell r="W59">
            <v>0</v>
          </cell>
          <cell r="X59">
            <v>6.5019609476975174E-2</v>
          </cell>
          <cell r="Y59">
            <v>0</v>
          </cell>
          <cell r="Z59">
            <v>0</v>
          </cell>
          <cell r="AA59">
            <v>0</v>
          </cell>
          <cell r="AB59">
            <v>0</v>
          </cell>
          <cell r="AC59">
            <v>0.14571429467923175</v>
          </cell>
        </row>
        <row r="60">
          <cell r="A60">
            <v>0</v>
          </cell>
          <cell r="B60">
            <v>0</v>
          </cell>
          <cell r="C60">
            <v>0</v>
          </cell>
          <cell r="D60">
            <v>0</v>
          </cell>
          <cell r="I60">
            <v>0</v>
          </cell>
          <cell r="N60">
            <v>0</v>
          </cell>
          <cell r="S60">
            <v>0</v>
          </cell>
          <cell r="X60">
            <v>0</v>
          </cell>
          <cell r="AC60">
            <v>0</v>
          </cell>
        </row>
        <row r="61">
          <cell r="A61" t="str">
            <v>After tax EBITDA accretion</v>
          </cell>
          <cell r="B61">
            <v>0</v>
          </cell>
          <cell r="C61">
            <v>0</v>
          </cell>
          <cell r="D61">
            <v>0</v>
          </cell>
          <cell r="E61">
            <v>0</v>
          </cell>
          <cell r="F61">
            <v>0</v>
          </cell>
          <cell r="G61">
            <v>0</v>
          </cell>
          <cell r="H61">
            <v>0</v>
          </cell>
          <cell r="I61">
            <v>545.70384858446471</v>
          </cell>
          <cell r="J61">
            <v>0</v>
          </cell>
          <cell r="K61">
            <v>0</v>
          </cell>
          <cell r="L61">
            <v>0</v>
          </cell>
          <cell r="M61">
            <v>0</v>
          </cell>
          <cell r="N61">
            <v>222.03838347227253</v>
          </cell>
          <cell r="O61">
            <v>0</v>
          </cell>
          <cell r="P61">
            <v>0</v>
          </cell>
          <cell r="Q61">
            <v>0</v>
          </cell>
          <cell r="R61">
            <v>0</v>
          </cell>
          <cell r="S61">
            <v>281.73829744986921</v>
          </cell>
          <cell r="T61">
            <v>0</v>
          </cell>
          <cell r="U61">
            <v>0</v>
          </cell>
          <cell r="V61">
            <v>0</v>
          </cell>
          <cell r="W61">
            <v>0</v>
          </cell>
          <cell r="X61">
            <v>342.93780724531575</v>
          </cell>
          <cell r="Y61">
            <v>0</v>
          </cell>
          <cell r="Z61">
            <v>0</v>
          </cell>
          <cell r="AA61">
            <v>0</v>
          </cell>
          <cell r="AB61">
            <v>0</v>
          </cell>
          <cell r="AC61">
            <v>431.64553790023177</v>
          </cell>
        </row>
        <row r="62">
          <cell r="A62" t="str">
            <v>Cash on Cash Return</v>
          </cell>
          <cell r="B62">
            <v>0</v>
          </cell>
          <cell r="C62">
            <v>0</v>
          </cell>
          <cell r="D62">
            <v>0</v>
          </cell>
          <cell r="E62">
            <v>0</v>
          </cell>
          <cell r="F62">
            <v>0</v>
          </cell>
          <cell r="G62">
            <v>0</v>
          </cell>
          <cell r="H62">
            <v>0</v>
          </cell>
          <cell r="I62">
            <v>0</v>
          </cell>
          <cell r="J62">
            <v>0</v>
          </cell>
          <cell r="K62">
            <v>0</v>
          </cell>
          <cell r="L62">
            <v>0</v>
          </cell>
          <cell r="M62">
            <v>0</v>
          </cell>
          <cell r="N62">
            <v>3.6132078820615754E-2</v>
          </cell>
          <cell r="O62">
            <v>0</v>
          </cell>
          <cell r="P62">
            <v>0</v>
          </cell>
          <cell r="Q62">
            <v>0</v>
          </cell>
          <cell r="R62">
            <v>0</v>
          </cell>
          <cell r="S62">
            <v>4.5846984701705777E-2</v>
          </cell>
          <cell r="T62">
            <v>0</v>
          </cell>
          <cell r="U62">
            <v>0</v>
          </cell>
          <cell r="V62">
            <v>0</v>
          </cell>
          <cell r="W62">
            <v>0</v>
          </cell>
          <cell r="X62">
            <v>5.5805918274955547E-2</v>
          </cell>
          <cell r="Y62">
            <v>0</v>
          </cell>
          <cell r="Z62">
            <v>0</v>
          </cell>
          <cell r="AA62">
            <v>0</v>
          </cell>
          <cell r="AB62">
            <v>0</v>
          </cell>
          <cell r="AC62">
            <v>7.0241236465882803E-2</v>
          </cell>
        </row>
        <row r="63">
          <cell r="A63">
            <v>0</v>
          </cell>
          <cell r="B63">
            <v>0</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row>
        <row r="64">
          <cell r="A64" t="str">
            <v>XRAY</v>
          </cell>
          <cell r="B64" t="str">
            <v>Stand-alone FCF</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row>
        <row r="65">
          <cell r="A65" t="str">
            <v>SIRO</v>
          </cell>
          <cell r="B65" t="str">
            <v>Stand-alone FCF</v>
          </cell>
          <cell r="C65">
            <v>0</v>
          </cell>
          <cell r="D65">
            <v>0</v>
          </cell>
          <cell r="E65">
            <v>0</v>
          </cell>
          <cell r="F65">
            <v>0</v>
          </cell>
          <cell r="G65">
            <v>0</v>
          </cell>
          <cell r="H65">
            <v>0</v>
          </cell>
          <cell r="I65">
            <v>0</v>
          </cell>
          <cell r="J65">
            <v>0</v>
          </cell>
          <cell r="K65">
            <v>0</v>
          </cell>
          <cell r="L65">
            <v>0</v>
          </cell>
          <cell r="M65">
            <v>0</v>
          </cell>
          <cell r="N65">
            <v>185.89999999999992</v>
          </cell>
          <cell r="O65">
            <v>0</v>
          </cell>
          <cell r="P65">
            <v>0</v>
          </cell>
          <cell r="Q65">
            <v>0</v>
          </cell>
          <cell r="R65">
            <v>0</v>
          </cell>
          <cell r="S65">
            <v>211.30578419029615</v>
          </cell>
          <cell r="X65">
            <v>242.31588582879306</v>
          </cell>
          <cell r="AC65">
            <v>260.48519095302208</v>
          </cell>
        </row>
        <row r="66">
          <cell r="A66" t="str">
            <v>XRAY</v>
          </cell>
          <cell r="B66" t="str">
            <v>Pro forma FCF</v>
          </cell>
          <cell r="C66">
            <v>0</v>
          </cell>
          <cell r="D66">
            <v>0</v>
          </cell>
          <cell r="E66">
            <v>0</v>
          </cell>
          <cell r="F66">
            <v>0</v>
          </cell>
          <cell r="G66">
            <v>0</v>
          </cell>
          <cell r="H66">
            <v>0</v>
          </cell>
          <cell r="I66">
            <v>0</v>
          </cell>
          <cell r="J66">
            <v>0</v>
          </cell>
          <cell r="K66">
            <v>0</v>
          </cell>
          <cell r="L66">
            <v>0</v>
          </cell>
          <cell r="M66">
            <v>0</v>
          </cell>
          <cell r="N66">
            <v>185.89999999999992</v>
          </cell>
          <cell r="O66">
            <v>0</v>
          </cell>
          <cell r="P66">
            <v>0</v>
          </cell>
          <cell r="Q66">
            <v>0</v>
          </cell>
          <cell r="R66">
            <v>0</v>
          </cell>
          <cell r="S66">
            <v>211.30578419029615</v>
          </cell>
          <cell r="T66">
            <v>0</v>
          </cell>
          <cell r="U66">
            <v>0</v>
          </cell>
          <cell r="V66">
            <v>0</v>
          </cell>
          <cell r="W66">
            <v>0</v>
          </cell>
          <cell r="X66">
            <v>242.31588582879306</v>
          </cell>
          <cell r="Y66">
            <v>0</v>
          </cell>
          <cell r="Z66">
            <v>0</v>
          </cell>
          <cell r="AA66">
            <v>0</v>
          </cell>
          <cell r="AB66">
            <v>0</v>
          </cell>
          <cell r="AC66">
            <v>260.48519095302208</v>
          </cell>
        </row>
        <row r="67">
          <cell r="A67" t="str">
            <v>XRAY</v>
          </cell>
          <cell r="B67" t="str">
            <v xml:space="preserve">Pro forma FCF yield </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1.4332509888197691E-2</v>
          </cell>
          <cell r="T67">
            <v>0</v>
          </cell>
          <cell r="U67">
            <v>0</v>
          </cell>
          <cell r="V67">
            <v>0</v>
          </cell>
          <cell r="W67">
            <v>0</v>
          </cell>
          <cell r="X67">
            <v>1.6435872037373459E-2</v>
          </cell>
          <cell r="Y67">
            <v>0</v>
          </cell>
          <cell r="Z67">
            <v>0</v>
          </cell>
          <cell r="AA67">
            <v>0</v>
          </cell>
          <cell r="AB67">
            <v>0</v>
          </cell>
          <cell r="AC67">
            <v>1.7668264924073491E-2</v>
          </cell>
        </row>
        <row r="68">
          <cell r="A68">
            <v>0</v>
          </cell>
          <cell r="B68">
            <v>0</v>
          </cell>
          <cell r="C68">
            <v>0</v>
          </cell>
          <cell r="D68">
            <v>0</v>
          </cell>
          <cell r="I68">
            <v>0</v>
          </cell>
          <cell r="N68">
            <v>0</v>
          </cell>
          <cell r="S68">
            <v>0</v>
          </cell>
          <cell r="X68">
            <v>0</v>
          </cell>
          <cell r="AC68">
            <v>0</v>
          </cell>
        </row>
        <row r="69">
          <cell r="A69" t="str">
            <v>SIRO FCF used for share repurchase</v>
          </cell>
          <cell r="B69">
            <v>0</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211.30578419029615</v>
          </cell>
          <cell r="T69">
            <v>0</v>
          </cell>
          <cell r="U69">
            <v>0</v>
          </cell>
          <cell r="V69">
            <v>0</v>
          </cell>
          <cell r="W69">
            <v>0</v>
          </cell>
          <cell r="X69">
            <v>242.31588582879306</v>
          </cell>
          <cell r="Y69">
            <v>0</v>
          </cell>
          <cell r="Z69">
            <v>0</v>
          </cell>
          <cell r="AA69">
            <v>0</v>
          </cell>
          <cell r="AB69">
            <v>0</v>
          </cell>
          <cell r="AC69">
            <v>260.48519095302208</v>
          </cell>
        </row>
        <row r="70">
          <cell r="A70" t="str">
            <v>XRAY/SIRO share price</v>
          </cell>
          <cell r="B70">
            <v>0</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64.182823343058729</v>
          </cell>
          <cell r="T70">
            <v>0</v>
          </cell>
          <cell r="U70">
            <v>0</v>
          </cell>
          <cell r="V70">
            <v>0</v>
          </cell>
          <cell r="W70">
            <v>0</v>
          </cell>
          <cell r="X70">
            <v>73.482329985014346</v>
          </cell>
          <cell r="Y70">
            <v>0</v>
          </cell>
          <cell r="Z70">
            <v>0</v>
          </cell>
          <cell r="AA70">
            <v>0</v>
          </cell>
          <cell r="AB70">
            <v>0</v>
          </cell>
          <cell r="AC70">
            <v>82.561350837881548</v>
          </cell>
        </row>
        <row r="71">
          <cell r="A71" t="str">
            <v>Incremental shares repurchased</v>
          </cell>
          <cell r="B71">
            <v>0</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3.2922481932722354</v>
          </cell>
          <cell r="T71">
            <v>0</v>
          </cell>
          <cell r="U71">
            <v>0</v>
          </cell>
          <cell r="V71">
            <v>0</v>
          </cell>
          <cell r="W71">
            <v>0</v>
          </cell>
          <cell r="X71">
            <v>3.2976075456264091</v>
          </cell>
          <cell r="Y71">
            <v>0</v>
          </cell>
          <cell r="Z71">
            <v>0</v>
          </cell>
          <cell r="AA71">
            <v>0</v>
          </cell>
          <cell r="AB71">
            <v>0</v>
          </cell>
          <cell r="AC71">
            <v>3.1550500120148701</v>
          </cell>
        </row>
        <row r="72">
          <cell r="A72">
            <v>0</v>
          </cell>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row>
        <row r="73">
          <cell r="A73" t="str">
            <v xml:space="preserve">Proforma Organic growth </v>
          </cell>
          <cell r="B73">
            <v>0</v>
          </cell>
          <cell r="C73">
            <v>0</v>
          </cell>
          <cell r="D73">
            <v>0</v>
          </cell>
          <cell r="E73">
            <v>0</v>
          </cell>
          <cell r="F73">
            <v>0</v>
          </cell>
          <cell r="G73">
            <v>0</v>
          </cell>
          <cell r="H73">
            <v>0</v>
          </cell>
          <cell r="I73">
            <v>0</v>
          </cell>
          <cell r="J73">
            <v>0</v>
          </cell>
          <cell r="K73">
            <v>0</v>
          </cell>
          <cell r="L73">
            <v>0</v>
          </cell>
          <cell r="M73">
            <v>0</v>
          </cell>
          <cell r="N73">
            <v>4.9150606109302247E-2</v>
          </cell>
          <cell r="O73">
            <v>0</v>
          </cell>
          <cell r="P73">
            <v>0</v>
          </cell>
          <cell r="Q73">
            <v>0</v>
          </cell>
          <cell r="R73">
            <v>0</v>
          </cell>
          <cell r="S73">
            <v>5.5171850070640183E-2</v>
          </cell>
          <cell r="T73">
            <v>0</v>
          </cell>
          <cell r="U73">
            <v>0</v>
          </cell>
          <cell r="V73">
            <v>0</v>
          </cell>
          <cell r="W73">
            <v>0</v>
          </cell>
          <cell r="X73">
            <v>5.4242887520997894E-2</v>
          </cell>
          <cell r="Y73">
            <v>0</v>
          </cell>
          <cell r="Z73">
            <v>0</v>
          </cell>
          <cell r="AA73">
            <v>0</v>
          </cell>
          <cell r="AB73">
            <v>0</v>
          </cell>
          <cell r="AC73">
            <v>5.8714330903783821E-2</v>
          </cell>
        </row>
        <row r="74">
          <cell r="A74" t="str">
            <v xml:space="preserve">Proforma EPS growth </v>
          </cell>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8.2381857517148438E-2</v>
          </cell>
          <cell r="T74">
            <v>0</v>
          </cell>
          <cell r="U74">
            <v>0</v>
          </cell>
          <cell r="V74">
            <v>0</v>
          </cell>
          <cell r="W74">
            <v>0</v>
          </cell>
          <cell r="X74">
            <v>0.19510109385349383</v>
          </cell>
          <cell r="Y74" t="e">
            <v>#DIV/0!</v>
          </cell>
          <cell r="Z74" t="e">
            <v>#DIV/0!</v>
          </cell>
          <cell r="AA74" t="e">
            <v>#DIV/0!</v>
          </cell>
          <cell r="AB74" t="e">
            <v>#DIV/0!</v>
          </cell>
          <cell r="AC74">
            <v>0.20868351545292607</v>
          </cell>
        </row>
        <row r="75">
          <cell r="A75" t="str">
            <v>XRAY standalone EPS growth</v>
          </cell>
          <cell r="B75">
            <v>0</v>
          </cell>
          <cell r="C75">
            <v>0</v>
          </cell>
          <cell r="D75">
            <v>0</v>
          </cell>
          <cell r="E75">
            <v>0</v>
          </cell>
          <cell r="F75">
            <v>0</v>
          </cell>
          <cell r="G75">
            <v>0</v>
          </cell>
          <cell r="H75">
            <v>0</v>
          </cell>
          <cell r="I75">
            <v>6.3937117506392083E-2</v>
          </cell>
          <cell r="J75">
            <v>0</v>
          </cell>
          <cell r="K75">
            <v>0</v>
          </cell>
          <cell r="L75">
            <v>0</v>
          </cell>
          <cell r="M75">
            <v>0</v>
          </cell>
          <cell r="N75">
            <v>4.5320498365592377E-2</v>
          </cell>
          <cell r="O75">
            <v>0</v>
          </cell>
          <cell r="P75">
            <v>0</v>
          </cell>
          <cell r="Q75">
            <v>0</v>
          </cell>
          <cell r="R75">
            <v>0</v>
          </cell>
          <cell r="S75">
            <v>6.0873113108408816E-2</v>
          </cell>
          <cell r="T75">
            <v>0</v>
          </cell>
          <cell r="U75">
            <v>0</v>
          </cell>
          <cell r="V75">
            <v>0</v>
          </cell>
          <cell r="W75">
            <v>0</v>
          </cell>
          <cell r="X75">
            <v>0.14489089381826559</v>
          </cell>
          <cell r="Y75">
            <v>0</v>
          </cell>
          <cell r="Z75">
            <v>0</v>
          </cell>
          <cell r="AA75">
            <v>0</v>
          </cell>
          <cell r="AB75">
            <v>0</v>
          </cell>
          <cell r="AC75">
            <v>0.12355379660278509</v>
          </cell>
        </row>
        <row r="76">
          <cell r="A76" t="str">
            <v>Proforma P/E</v>
          </cell>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20.637683751417747</v>
          </cell>
          <cell r="T76">
            <v>0</v>
          </cell>
          <cell r="U76">
            <v>0</v>
          </cell>
          <cell r="V76">
            <v>0</v>
          </cell>
          <cell r="W76">
            <v>0</v>
          </cell>
          <cell r="X76">
            <v>17.268567368534008</v>
          </cell>
          <cell r="Y76">
            <v>0</v>
          </cell>
          <cell r="Z76">
            <v>0</v>
          </cell>
          <cell r="AA76">
            <v>0</v>
          </cell>
          <cell r="AB76">
            <v>0</v>
          </cell>
          <cell r="AC76">
            <v>14.287087684870935</v>
          </cell>
        </row>
        <row r="77">
          <cell r="A77" t="str">
            <v>XRAY standalone P/E</v>
          </cell>
          <cell r="B77">
            <v>0</v>
          </cell>
          <cell r="C77">
            <v>0</v>
          </cell>
          <cell r="D77">
            <v>0</v>
          </cell>
          <cell r="E77">
            <v>0</v>
          </cell>
          <cell r="F77">
            <v>0</v>
          </cell>
          <cell r="G77">
            <v>0</v>
          </cell>
          <cell r="H77">
            <v>0</v>
          </cell>
          <cell r="I77">
            <v>0</v>
          </cell>
          <cell r="J77">
            <v>0</v>
          </cell>
          <cell r="K77">
            <v>0</v>
          </cell>
          <cell r="L77">
            <v>0</v>
          </cell>
          <cell r="M77">
            <v>0</v>
          </cell>
          <cell r="N77">
            <v>22.337854473711012</v>
          </cell>
          <cell r="O77">
            <v>0</v>
          </cell>
          <cell r="P77">
            <v>0</v>
          </cell>
          <cell r="Q77">
            <v>0</v>
          </cell>
          <cell r="R77">
            <v>0</v>
          </cell>
          <cell r="S77">
            <v>21.056103880566859</v>
          </cell>
          <cell r="T77">
            <v>0</v>
          </cell>
          <cell r="U77">
            <v>0</v>
          </cell>
          <cell r="V77">
            <v>0</v>
          </cell>
          <cell r="W77">
            <v>0</v>
          </cell>
          <cell r="X77">
            <v>18.391362875062928</v>
          </cell>
          <cell r="Y77">
            <v>0</v>
          </cell>
          <cell r="Z77">
            <v>0</v>
          </cell>
          <cell r="AA77">
            <v>0</v>
          </cell>
          <cell r="AB77">
            <v>0</v>
          </cell>
          <cell r="AC77">
            <v>16.368920589892241</v>
          </cell>
        </row>
      </sheetData>
      <sheetData sheetId="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Page"/>
      <sheetName val="__FDSCACHE__"/>
      <sheetName val="Cap"/>
      <sheetName val="Sonoma Cases"/>
      <sheetName val="Sonoma Financials"/>
      <sheetName val="Cabernet Cases"/>
      <sheetName val="Internal Cabernet Summary"/>
      <sheetName val="Cabernet Financials"/>
      <sheetName val="Trading Output"/>
      <sheetName val="Cap Tables"/>
      <sheetName val="Sonoma P&amp;L"/>
      <sheetName val="DEV"/>
      <sheetName val="Valuation Matrix"/>
      <sheetName val="Valuation Matrix - Pro Forma"/>
      <sheetName val="Ed's Val Matrix"/>
      <sheetName val="Post Money Ownership"/>
      <sheetName val="Pro Forma Impact"/>
      <sheetName val="Sonoma Caps Table"/>
      <sheetName val="Sonoma Comp Val"/>
      <sheetName val="Relative Contribution - Sonoma"/>
      <sheetName val="Cash Requirments"/>
      <sheetName val="MiniMerger Assumptions"/>
      <sheetName val="Merger Output"/>
      <sheetName val="Stock Price Analysis"/>
      <sheetName val="EPS"/>
      <sheetName val="sonoma index"/>
      <sheetName val="nasdaq index"/>
      <sheetName val="comps index"/>
      <sheetName val="Sonoma"/>
      <sheetName val="Report"/>
      <sheetName val="Comparable Benchmarking"/>
      <sheetName val="Allgon MM"/>
      <sheetName val="Relative Contribution - Allgon"/>
      <sheetName val="Allgon ValMatrix"/>
    </sheetNames>
    <sheetDataSet>
      <sheetData sheetId="0" refreshError="1">
        <row r="9">
          <cell r="C9">
            <v>37229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ovuspharma"/>
      <sheetName val="Evotec"/>
      <sheetName val="TELK"/>
      <sheetName val="vrtx"/>
      <sheetName val="TLRK"/>
      <sheetName val="MEDX"/>
      <sheetName val="SGEN"/>
      <sheetName val="KERX"/>
      <sheetName val="dddp"/>
      <sheetName val="Alexion"/>
      <sheetName val="GPC"/>
    </sheetNames>
    <sheetDataSet>
      <sheetData sheetId="0" refreshError="1"/>
      <sheetData sheetId="1" refreshError="1"/>
      <sheetData sheetId="2" refreshError="1">
        <row r="3">
          <cell r="L3">
            <v>37351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ODEL (3Q03)"/>
      <sheetName val="ImportantDisclosures"/>
      <sheetName val="OtherDisclosures"/>
      <sheetName val="MODEL"/>
      <sheetName val="Bal Sheet &amp; Cash Flow"/>
      <sheetName val="ROIC"/>
      <sheetName val="RI"/>
      <sheetName val="DCF"/>
      <sheetName val="DDM"/>
      <sheetName val="Operating Expense Analysis"/>
      <sheetName val="Comp Analysis"/>
      <sheetName val="Op Lease Analysis"/>
      <sheetName val="Option Analysis (2001)"/>
      <sheetName val="Option Analysis (2002)"/>
      <sheetName val="Fuel Surcharge History"/>
      <sheetName val="Currency"/>
      <sheetName val="Pension"/>
      <sheetName val="OPEB"/>
      <sheetName val="Taxes"/>
      <sheetName val="Geog package rev breakdown"/>
      <sheetName val="REVENUE BY GEOGRAPHY"/>
      <sheetName val="Debt Schedule 12-31-02"/>
      <sheetName val="Capex &amp; Depr Schedule"/>
      <sheetName val="Report IS"/>
      <sheetName val="Report SCF &amp; BS"/>
      <sheetName val="Air Fleet"/>
      <sheetName val="Data"/>
      <sheetName val="Air Volumes vs GDP"/>
      <sheetName val="Ground Volumes vs GDP"/>
      <sheetName val="Real Air Yields"/>
      <sheetName val="Real Ground Yields"/>
      <sheetName val="Fuel Surcharge"/>
      <sheetName val="90-91 Recession"/>
      <sheetName val="mStartup"/>
      <sheetName val="MainCode"/>
      <sheetName val="Leverage"/>
      <sheetName val="Qtrly Trends"/>
      <sheetName val="Cust"/>
      <sheetName val="ERModelPubAnalystListing"/>
      <sheetName val="NY UPLOAD"/>
      <sheetName val="IndexInformation"/>
      <sheetName val="NY UPLOAD shadow"/>
      <sheetName val="DETAILED MODEL"/>
      <sheetName val="Key Assumptions"/>
      <sheetName val="CF &amp; BS"/>
      <sheetName val="Op Leases"/>
      <sheetName val="Return Analysis"/>
      <sheetName val="Capex-Depr Schedule"/>
      <sheetName val="UPS Int'l Operating Margin"/>
      <sheetName val="UPS Definition of Mkt"/>
      <sheetName val="Report Model"/>
      <sheetName val="Shipment Data"/>
      <sheetName val="RI Valuation"/>
      <sheetName val="DCF-old"/>
      <sheetName val="MWare_Cached"/>
      <sheetName val="Sensitivity - Air Surcharge Cap"/>
      <sheetName val="Model_Template"/>
      <sheetName val="Bal Sheet _ Cash Flow"/>
      <sheetName val="SQLSheet"/>
      <sheetName val="Analysis"/>
      <sheetName val="MACRS"/>
      <sheetName val="SEARS"/>
    </sheetNames>
    <sheetDataSet>
      <sheetData sheetId="0" refreshError="1"/>
      <sheetData sheetId="1" refreshError="1"/>
      <sheetData sheetId="2" refreshError="1"/>
      <sheetData sheetId="3" refreshError="1"/>
      <sheetData sheetId="4" refreshError="1"/>
      <sheetData sheetId="5" refreshError="1">
        <row r="10">
          <cell r="A10" t="str">
            <v xml:space="preserve">  Deferred Taxes, Credits and Other</v>
          </cell>
          <cell r="B10" t="str">
            <v>Comp+Calc</v>
          </cell>
          <cell r="AK10">
            <v>28</v>
          </cell>
          <cell r="AP10">
            <v>479</v>
          </cell>
          <cell r="AU10">
            <v>406</v>
          </cell>
          <cell r="AZ10">
            <v>23</v>
          </cell>
          <cell r="BE10">
            <v>562</v>
          </cell>
          <cell r="BJ10">
            <v>-81</v>
          </cell>
          <cell r="BK10">
            <v>38</v>
          </cell>
          <cell r="BL10">
            <v>73</v>
          </cell>
          <cell r="BM10">
            <v>67</v>
          </cell>
          <cell r="BO10">
            <v>638</v>
          </cell>
          <cell r="BP10">
            <v>-24</v>
          </cell>
          <cell r="BQ10">
            <v>93</v>
          </cell>
          <cell r="BR10">
            <v>11</v>
          </cell>
          <cell r="BS10">
            <v>106.66666666666667</v>
          </cell>
          <cell r="BT10">
            <v>162</v>
          </cell>
          <cell r="BU10">
            <v>-148</v>
          </cell>
          <cell r="BY10">
            <v>166.31429186984445</v>
          </cell>
          <cell r="CD10">
            <v>177.26979658412776</v>
          </cell>
          <cell r="CI10">
            <v>188.13037837219659</v>
          </cell>
          <cell r="CN10">
            <v>199.22936668042567</v>
          </cell>
          <cell r="CS10">
            <v>211.37509957879183</v>
          </cell>
        </row>
        <row r="38">
          <cell r="A38" t="str">
            <v xml:space="preserve">    % of Revenue</v>
          </cell>
          <cell r="B38" t="str">
            <v>Calc+Input</v>
          </cell>
          <cell r="AK38">
            <v>9.9595583011920577E-2</v>
          </cell>
          <cell r="AP38">
            <v>0.10430364063966699</v>
          </cell>
          <cell r="AU38">
            <v>8.8344504164593052E-2</v>
          </cell>
          <cell r="AZ38">
            <v>6.688080552952376E-2</v>
          </cell>
          <cell r="BE38">
            <v>5.4927061625483775E-2</v>
          </cell>
          <cell r="BJ38">
            <v>7.2784595565801066E-2</v>
          </cell>
          <cell r="BO38">
            <v>7.823218997361478E-2</v>
          </cell>
          <cell r="BT38">
            <v>5.3018674852903555E-2</v>
          </cell>
          <cell r="BY38">
            <v>6.0096502001369775E-2</v>
          </cell>
          <cell r="CD38">
            <v>6.7500000000000004E-2</v>
          </cell>
          <cell r="CI38">
            <v>6.7500000000000004E-2</v>
          </cell>
          <cell r="CN38">
            <v>6.7500000000000004E-2</v>
          </cell>
          <cell r="CS38">
            <v>6.7500000000000004E-2</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sheetData sheetId="59" refreshError="1"/>
      <sheetData sheetId="60" refreshError="1"/>
      <sheetData sheetId="61" refreshError="1"/>
      <sheetData sheetId="62"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Exclusion List"/>
      <sheetName val="CFOld"/>
      <sheetName val="PLOld"/>
      <sheetName val="Headline"/>
      <sheetName val="MTT old"/>
      <sheetName val="c1"/>
      <sheetName val="BizJet Deliveries"/>
      <sheetName val="Cash flow"/>
      <sheetName val="Profit &amp; Loss"/>
      <sheetName val="Inputs, sensitivity &amp; val"/>
      <sheetName val="DOMNETREV1002B"/>
      <sheetName val="Monthly figures"/>
      <sheetName val="Consolidated"/>
    </sheetNames>
    <definedNames>
      <definedName name="Download_series"/>
      <definedName name="Update_Thi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__FDSCACHE__"/>
      <sheetName val="EPS to March"/>
      <sheetName val=" Shares"/>
      <sheetName val="MM output - 2004 FC"/>
      <sheetName val="SBS"/>
      <sheetName val="SBS - IBES"/>
      <sheetName val="Ownership Analysis"/>
      <sheetName val="PP Analysis"/>
    </sheetNames>
    <sheetDataSet>
      <sheetData sheetId="0" refreshError="1">
        <row r="3">
          <cell r="B3" t="str">
            <v>Epsilon</v>
          </cell>
        </row>
      </sheetData>
      <sheetData sheetId="1"/>
      <sheetData sheetId="2"/>
      <sheetData sheetId="3"/>
      <sheetData sheetId="4"/>
      <sheetData sheetId="5"/>
      <sheetData sheetId="6"/>
      <sheetData sheetId="7"/>
      <sheetData sheetId="8"/>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ssum"/>
      <sheetName val="Trans Sum"/>
      <sheetName val="IRR"/>
      <sheetName val="Larry"/>
      <sheetName val="Case"/>
      <sheetName val="LBO Sum"/>
      <sheetName val="Recap Sum"/>
      <sheetName val="Macro"/>
    </sheetNames>
    <sheetDataSet>
      <sheetData sheetId="0"/>
      <sheetData sheetId="1"/>
      <sheetData sheetId="2" refreshError="1">
        <row r="13">
          <cell r="K13">
            <v>2273.0066931726842</v>
          </cell>
        </row>
      </sheetData>
      <sheetData sheetId="3"/>
      <sheetData sheetId="4"/>
      <sheetData sheetId="5"/>
      <sheetData sheetId="6"/>
      <sheetData sheetId="7"/>
      <sheetData sheetId="8"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
      <sheetName val="TOC"/>
      <sheetName val="__FDSCACHE__"/>
      <sheetName val="P&amp;L"/>
      <sheetName val="Bal Sheet"/>
      <sheetName val="Cash Flow"/>
      <sheetName val="Industry Model"/>
      <sheetName val="Revenue per Procedure"/>
      <sheetName val="P&amp;L Variance"/>
      <sheetName val="Model Changes Chart"/>
      <sheetName val="Operations Charts"/>
      <sheetName val="Guidance Chart"/>
      <sheetName val="Desk Preview"/>
      <sheetName val="Procedure Penetration"/>
      <sheetName val="DCF Summary"/>
      <sheetName val="Sum of Parts &amp; DCF"/>
      <sheetName val="Buyback Analysis"/>
      <sheetName val="Da Vinci Profitability"/>
      <sheetName val="Guidance"/>
      <sheetName val="MW Valuation"/>
      <sheetName val="MW-Cache"/>
      <sheetName val="mwareValPrintout"/>
      <sheetName val="mwareTaxoPres"/>
      <sheetName val="MWA RR"/>
      <sheetName val="mwareDates"/>
      <sheetName val="mwareSettings"/>
      <sheetName val="NY UPLOAD shadow"/>
      <sheetName val="__APW_ACTIVE_FIELD_RESTORE__"/>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Inputs"/>
      <sheetName val="Hist Inputs"/>
      <sheetName val="Cases"/>
      <sheetName val="Financials"/>
      <sheetName val="DCF Matrix"/>
      <sheetName val="Performance"/>
      <sheetName val="Sensitive"/>
      <sheetName val="Calcs for Sensitivy"/>
      <sheetName val="HistGraph"/>
      <sheetName val="ProjGraph"/>
      <sheetName val="MainPrint Code"/>
      <sheetName val="AdditionalPrint Code"/>
      <sheetName val="InitialPrintDialog"/>
      <sheetName val="DCF Code"/>
      <sheetName val="DCFprintDialog"/>
    </sheetNames>
    <sheetDataSet>
      <sheetData sheetId="0" refreshError="1">
        <row r="11">
          <cell r="H11">
            <v>12</v>
          </cell>
        </row>
        <row r="20">
          <cell r="O20" t="str">
            <v>On</v>
          </cell>
        </row>
      </sheetData>
      <sheetData sheetId="1" refreshError="1">
        <row r="39">
          <cell r="G39">
            <v>0</v>
          </cell>
        </row>
      </sheetData>
      <sheetData sheetId="2"/>
      <sheetData sheetId="3"/>
      <sheetData sheetId="4"/>
      <sheetData sheetId="5"/>
      <sheetData sheetId="6"/>
      <sheetData sheetId="7"/>
      <sheetData sheetId="8"/>
      <sheetData sheetId="9"/>
      <sheetData sheetId="10" refreshError="1"/>
      <sheetData sheetId="11" refreshError="1"/>
      <sheetData sheetId="12"/>
      <sheetData sheetId="13" refreshError="1"/>
      <sheetData sheetId="14"/>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Fee"/>
      <sheetName val="Syn"/>
      <sheetName val="Bill"/>
      <sheetName val="west_val"/>
      <sheetName val="pickup_west"/>
      <sheetName val="pickup_south"/>
      <sheetName val="South_val"/>
      <sheetName val="contri2"/>
      <sheetName val="timber"/>
      <sheetName val="TAB1"/>
      <sheetName val="wood_cases"/>
      <sheetName val="old_wood"/>
      <sheetName val="Paper_Cases"/>
      <sheetName val="old_Paper"/>
      <sheetName val="TAB2"/>
      <sheetName val="old_South_wood"/>
      <sheetName val="old_South_Paper "/>
      <sheetName val="chippin_west"/>
      <sheetName val="Paper"/>
      <sheetName val="Wood "/>
      <sheetName val="WEST"/>
      <sheetName val="chippin_newco"/>
      <sheetName val="chippin_south"/>
      <sheetName val="South_Paper "/>
      <sheetName val="South_Wood "/>
      <sheetName val="SOUTH"/>
      <sheetName val="NewCo"/>
      <sheetName val="Mini"/>
      <sheetName val="Sens"/>
      <sheetName val="lob"/>
      <sheetName val="op_contri"/>
      <sheetName val="TAB3"/>
      <sheetName val="Calcs"/>
      <sheetName val="transinputs"/>
      <sheetName val="PFBS"/>
      <sheetName val="Module1"/>
      <sheetName val="TAB4"/>
      <sheetName val="comps"/>
      <sheetName val="replace"/>
      <sheetName val="valuemat"/>
      <sheetName val="FAST"/>
      <sheetName val="DCF Inputs"/>
      <sheetName val="DCF Matrix"/>
      <sheetName val="Main_value"/>
      <sheetName val="Sheet5"/>
      <sheetName val="Sheet6"/>
      <sheetName val="Sheet7"/>
      <sheetName val="Sheet8"/>
      <sheetName val="Sheet9"/>
      <sheetName val="Sheet10"/>
      <sheetName val="Sheet11"/>
      <sheetName val="Sheet12"/>
      <sheetName val="Sheet13"/>
      <sheetName val="Sheet14"/>
      <sheetName val="Sheet15"/>
      <sheetName val="Sheet16"/>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row r="15">
          <cell r="O15">
            <v>0</v>
          </cell>
        </row>
        <row r="46">
          <cell r="O46">
            <v>299.81604188264572</v>
          </cell>
        </row>
      </sheetData>
      <sheetData sheetId="34" refreshError="1">
        <row r="35">
          <cell r="T35">
            <v>1</v>
          </cell>
        </row>
      </sheetData>
      <sheetData sheetId="35"/>
      <sheetData sheetId="36" refreshError="1"/>
      <sheetData sheetId="37"/>
      <sheetData sheetId="38"/>
      <sheetData sheetId="39"/>
      <sheetData sheetId="40"/>
      <sheetData sheetId="41"/>
      <sheetData sheetId="42"/>
      <sheetData sheetId="43"/>
      <sheetData sheetId="44" refreshError="1">
        <row r="16">
          <cell r="Q16">
            <v>3698.75</v>
          </cell>
        </row>
      </sheetData>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TRLY"/>
      <sheetName val="graphs"/>
      <sheetName val="D"/>
      <sheetName val="modelbook"/>
      <sheetName val="top tab"/>
      <sheetName val="earnings"/>
      <sheetName val="Sheet9"/>
      <sheetName val="PGR "/>
      <sheetName val="sensitivity"/>
      <sheetName val="E"/>
      <sheetName val="PGR-AMBEST"/>
      <sheetName val="Misc "/>
      <sheetName val="Mkt Share"/>
      <sheetName val="F"/>
      <sheetName val="Post charge mix"/>
      <sheetName val="Valuation"/>
      <sheetName val="pgr"/>
      <sheetName val="crstudy"/>
      <sheetName val="notes"/>
      <sheetName val="Misc"/>
      <sheetName val="bus mix"/>
      <sheetName val="NY UPLOAD"/>
      <sheetName val="mStartup"/>
      <sheetName val="NY UPLOAD Shadow"/>
      <sheetName val="PGR.N"/>
      <sheetName val="RESIDUAL INCOME"/>
      <sheetName val="seg data_qtrly"/>
      <sheetName val="seg data_monthly"/>
      <sheetName val="SegGraphs"/>
      <sheetName val="MonthlyAnysMay01"/>
      <sheetName val="bus mixOLD"/>
      <sheetName val="MonthlyAnys"/>
      <sheetName val="Val"/>
    </sheetNames>
    <sheetDataSet>
      <sheetData sheetId="0" refreshError="1">
        <row r="99">
          <cell r="HM99" t="str">
            <v>qtr_lc</v>
          </cell>
        </row>
        <row r="100">
          <cell r="IU100">
            <v>0.72498259383505259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60">
          <cell r="Y60">
            <v>100</v>
          </cell>
          <cell r="Z60">
            <v>100</v>
          </cell>
          <cell r="AA60">
            <v>100</v>
          </cell>
          <cell r="AB60">
            <v>100</v>
          </cell>
          <cell r="AC60">
            <v>100</v>
          </cell>
          <cell r="AD60">
            <v>100</v>
          </cell>
          <cell r="AE60">
            <v>100</v>
          </cell>
          <cell r="AF60">
            <v>100</v>
          </cell>
          <cell r="AG60">
            <v>100</v>
          </cell>
          <cell r="AH60">
            <v>100</v>
          </cell>
          <cell r="AI60">
            <v>100</v>
          </cell>
          <cell r="AJ60">
            <v>96</v>
          </cell>
          <cell r="AK60">
            <v>80</v>
          </cell>
          <cell r="AL60">
            <v>72</v>
          </cell>
          <cell r="AM60">
            <v>64</v>
          </cell>
          <cell r="AN60">
            <v>56.000000000000007</v>
          </cell>
          <cell r="AO60">
            <v>48</v>
          </cell>
          <cell r="AP60">
            <v>28.000000000000004</v>
          </cell>
          <cell r="AQ60">
            <v>4</v>
          </cell>
          <cell r="AR60">
            <v>4</v>
          </cell>
          <cell r="AS60">
            <v>0</v>
          </cell>
          <cell r="AT60" t="str">
            <v/>
          </cell>
          <cell r="AU60" t="str">
            <v/>
          </cell>
          <cell r="AV60" t="str">
            <v/>
          </cell>
          <cell r="AW60" t="str">
            <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str">
            <v/>
          </cell>
          <cell r="BL60" t="str">
            <v/>
          </cell>
          <cell r="BM60" t="str">
            <v/>
          </cell>
          <cell r="BN60" t="str">
            <v/>
          </cell>
          <cell r="BO60" t="str">
            <v/>
          </cell>
          <cell r="BP60" t="str">
            <v/>
          </cell>
          <cell r="BQ60" t="str">
            <v/>
          </cell>
          <cell r="BR60" t="str">
            <v/>
          </cell>
          <cell r="BS60" t="str">
            <v/>
          </cell>
          <cell r="BT60" t="str">
            <v/>
          </cell>
          <cell r="BU60" t="str">
            <v/>
          </cell>
          <cell r="BV60" t="str">
            <v/>
          </cell>
          <cell r="BW60" t="str">
            <v/>
          </cell>
        </row>
      </sheetData>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c Sales"/>
      <sheetName val="Contents"/>
      <sheetName val="Summary (£)"/>
      <sheetName val="Summary ($)"/>
      <sheetName val="Ann P&amp;L (£)"/>
      <sheetName val="Ann P&amp;L ($)"/>
      <sheetName val="Balance Sheet"/>
      <sheetName val="RImodel"/>
      <sheetName val="Cash flow"/>
      <sheetName val="Quart P&amp;L"/>
      <sheetName val="Driver of revgr"/>
      <sheetName val="Ann Sales ($)"/>
      <sheetName val="Ann Sales (£)"/>
      <sheetName val="Quart Sales"/>
      <sheetName val="PPI Summary"/>
      <sheetName val="Chart2"/>
      <sheetName val="Royalty Payments"/>
      <sheetName val="Chart5"/>
      <sheetName val="Margin Drivers"/>
      <sheetName val="Pipeline"/>
      <sheetName val="Residual income(1)"/>
      <sheetName val="Residual income(2)"/>
      <sheetName val="DCF"/>
      <sheetName val="US PPI Market Model"/>
      <sheetName val="US PPI Vol and Value model"/>
      <sheetName val="Global PPI"/>
      <sheetName val="Switching Model"/>
      <sheetName val="Report Summary"/>
      <sheetName val="AZNfeed"/>
      <sheetName val="GE Upload1"/>
      <sheetName val="GE3"/>
      <sheetName val="Sheet2"/>
      <sheetName val="Gross margin computatation II"/>
      <sheetName val="GM comp1"/>
      <sheetName val="Chart3"/>
      <sheetName val="Chart4"/>
      <sheetName val="Chart6"/>
      <sheetName val="Pauls GM Comp"/>
      <sheetName val="Chart1"/>
      <sheetName val="Summary"/>
      <sheetName val="CHART RP"/>
      <sheetName val="CHART-GM"/>
      <sheetName val="xbrlPreview"/>
      <sheetName val="Pipeline (2)"/>
      <sheetName val="xbrldates"/>
      <sheetName val="xbrlSettings"/>
      <sheetName val="RI Valuation"/>
      <sheetName val="Convergence Valuation"/>
      <sheetName val=""/>
      <sheetName val="Quart P&amp;L IFRS"/>
      <sheetName val="mwarePreview"/>
      <sheetName val="mwareValPrintout"/>
      <sheetName val="GVAT Analysis"/>
      <sheetName val="Profit Map"/>
      <sheetName val="GVAT Adjusted"/>
      <sheetName val="GVAT Stock Adj"/>
      <sheetName val="GVAT Pension"/>
      <sheetName val="mwareTaxoPres"/>
      <sheetName val="IFRS adjustments"/>
      <sheetName val="IFRS-OptionsAdj"/>
      <sheetName val="Model_Template"/>
      <sheetName val="mwareDates"/>
      <sheetName val="mwareSettings"/>
      <sheetName val="IFRS Quart P&amp;L"/>
      <sheetName val="IFRS Ann P&amp;L ($)"/>
      <sheetName val="IFRS Ann P&amp;L(£)"/>
      <sheetName val="IFRS Margin Drivers"/>
      <sheetName val="IFRS Balance Sheet"/>
      <sheetName val="IFRS Cash Flow"/>
      <sheetName val="DCF NEW"/>
      <sheetName val="CHART - Drivers RevGr"/>
      <sheetName val="MWare_Cached"/>
      <sheetName val="ModelWare Summary"/>
      <sheetName val="QPreview"/>
      <sheetName val="RI GW"/>
      <sheetName val="Simple RI Valuation"/>
      <sheetName val="Drivers Chart"/>
      <sheetName val="Nexium Value"/>
      <sheetName val="DCF 2020"/>
      <sheetName val="Pipeline for report"/>
      <sheetName val="Primary Care"/>
      <sheetName val="Quart P&amp;L PF"/>
      <sheetName val="Toprol P&amp;L"/>
      <sheetName val="IFRS Quart P&amp;L (ex US Toprol)"/>
      <sheetName val="Medi BS"/>
      <sheetName val="MW-Cache"/>
      <sheetName val="MW Valuation 2020"/>
      <sheetName val="MW Valuation"/>
      <sheetName val="PPI"/>
      <sheetName val="MWA RR_AZN.L"/>
      <sheetName val="Quart P&amp;L ($)"/>
      <sheetName val="cons"/>
      <sheetName val="Gross margin"/>
      <sheetName val="Ann P&amp;L(£)"/>
      <sheetName val="Sheet1"/>
      <sheetName val="Crestor value"/>
      <sheetName val="Crestor value (2)"/>
      <sheetName val="Seroquel Value"/>
      <sheetName val="Other product DCF"/>
      <sheetName val="Nexium Value Bear"/>
      <sheetName val="EBIT"/>
      <sheetName val="Drivers"/>
      <sheetName val="Chart Data"/>
      <sheetName val="#REF"/>
      <sheetName val="FX"/>
      <sheetName val="Page 3"/>
      <sheetName val="Tables"/>
      <sheetName val="EM growth "/>
      <sheetName val="Brilinta"/>
      <sheetName val="Pipeline- China"/>
      <sheetName val="Buyback flex"/>
      <sheetName val="Changes to model"/>
      <sheetName val="Gross Margins"/>
      <sheetName val="AFOSHEET"/>
      <sheetName val="Merger - Onyx"/>
      <sheetName val="Merger - Amylin"/>
      <sheetName val="__FDSCACHE__"/>
      <sheetName val="Ph III"/>
      <sheetName val="DCF flex"/>
      <sheetName val="R&amp;D"/>
      <sheetName val="Strategy"/>
      <sheetName val="Sales Data"/>
      <sheetName val="Sales by geog"/>
      <sheetName val="Sales by thera"/>
      <sheetName val="sales by business"/>
      <sheetName val="gross profit margin"/>
      <sheetName val="EBIT-reported"/>
      <sheetName val="Pre R&amp;D margin"/>
      <sheetName val="Charts"/>
      <sheetName val="pre r&amp;D cashflow"/>
      <sheetName val="SOTP Analysis"/>
      <sheetName val="Scenarios"/>
      <sheetName val="RI New"/>
      <sheetName val="MW IV (Ext.)"/>
      <sheetName val="DCF 2013"/>
      <sheetName val="RI Old"/>
      <sheetName val="Other Margin Drivers"/>
      <sheetName val="P&amp;L Ex US Toprol"/>
      <sheetName val="Team Contacts"/>
      <sheetName val="Residual Income"/>
      <sheetName val="Quast P&amp;L ($)"/>
      <sheetName val="flex"/>
      <sheetName val="LT Guidance - EPS"/>
      <sheetName val="LT Guidance - PE"/>
      <sheetName val="IMS monthly"/>
      <sheetName val="Model Account (S)"/>
      <sheetName val="P&amp;L_BS_CFS"/>
      <sheetName val="Sales"/>
      <sheetName val="BMS royalties"/>
      <sheetName val="Output"/>
      <sheetName val="Guidance &amp; LT targets"/>
      <sheetName val="Consensus"/>
      <sheetName val="Bull bear"/>
      <sheetName val="Patent expiries"/>
      <sheetName val="Valuation"/>
      <sheetName val="Bull bear_old"/>
      <sheetName val="Patent expiries_old"/>
      <sheetName val="Snapshot"/>
      <sheetName val="Shares"/>
      <sheetName val="Newsflow"/>
      <sheetName val="Bull bear_waterfall"/>
      <sheetName val="R&amp;D sortie"/>
      <sheetName val="Lien R&amp;D - CA Nx Pdts"/>
      <sheetName val="LiensData"/>
      <sheetName val="Old_Grille"/>
      <sheetName val="Old_MOP"/>
      <sheetName val="Old_CA"/>
      <sheetName val="Modeles (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4">
          <cell r="C4">
            <v>37256</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efreshError="1"/>
      <sheetData sheetId="102"/>
      <sheetData sheetId="103" refreshError="1"/>
      <sheetData sheetId="104"/>
      <sheetData sheetId="105"/>
      <sheetData sheetId="106"/>
      <sheetData sheetId="107"/>
      <sheetData sheetId="108"/>
      <sheetData sheetId="109" refreshError="1"/>
      <sheetData sheetId="110"/>
      <sheetData sheetId="111"/>
      <sheetData sheetId="112"/>
      <sheetData sheetId="113"/>
      <sheetData sheetId="114" refreshError="1"/>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P&amp;L"/>
      <sheetName val="Revenue Build"/>
      <sheetName val="Org Rev"/>
      <sheetName val="Bal Sheet"/>
      <sheetName val="MW-Cache"/>
      <sheetName val="Cash Flow"/>
      <sheetName val="Q Variance"/>
      <sheetName val="Earnings Charts"/>
      <sheetName val="Guidance"/>
      <sheetName val="BBB"/>
      <sheetName val="Debt"/>
      <sheetName val="FX"/>
      <sheetName val="DCF"/>
      <sheetName val="Quarterly Guidance"/>
      <sheetName val="Links"/>
      <sheetName val="Residual Income"/>
      <sheetName val="mwareDates"/>
      <sheetName val="MWA RR"/>
      <sheetName val="mwareSettings"/>
      <sheetName val="Page 7"/>
      <sheetName val="Page 8"/>
      <sheetName val="Data"/>
      <sheetName val="Page 3"/>
      <sheetName val="Page 4"/>
      <sheetName val="Page 5"/>
      <sheetName val="Page 6"/>
      <sheetName val="Page1"/>
      <sheetName val="ToDo"/>
      <sheetName val="IS"/>
      <sheetName val="RevBuild"/>
      <sheetName val="OrgRev"/>
      <sheetName val="BS"/>
      <sheetName val="CFS"/>
      <sheetName val="TMOLIFE"/>
      <sheetName val="Consensus"/>
      <sheetName val="EPS Charts"/>
      <sheetName val="CommTrkr"/>
      <sheetName val="LinksQ"/>
      <sheetName val="LinksA"/>
      <sheetName val="GeoRev"/>
      <sheetName val="Timeline"/>
      <sheetName val="TMO"/>
      <sheetName val="Sheet1"/>
    </sheetNames>
    <sheetDataSet>
      <sheetData sheetId="0" refreshError="1"/>
      <sheetData sheetId="1" refreshError="1">
        <row r="7">
          <cell r="I7" t="str">
            <v>2004A</v>
          </cell>
          <cell r="O7" t="str">
            <v>2005A</v>
          </cell>
          <cell r="U7" t="str">
            <v>2006A</v>
          </cell>
          <cell r="AA7" t="str">
            <v>2007A</v>
          </cell>
          <cell r="AG7" t="str">
            <v>2008A</v>
          </cell>
          <cell r="AM7" t="str">
            <v>2009A</v>
          </cell>
          <cell r="AS7" t="str">
            <v>2010A</v>
          </cell>
          <cell r="AY7" t="str">
            <v>2011A</v>
          </cell>
          <cell r="BE7" t="str">
            <v>2012E</v>
          </cell>
          <cell r="BK7" t="str">
            <v>2013E</v>
          </cell>
          <cell r="BQ7" t="str">
            <v>2014E</v>
          </cell>
          <cell r="BW7" t="str">
            <v>2015E</v>
          </cell>
        </row>
        <row r="8">
          <cell r="I8">
            <v>38080</v>
          </cell>
          <cell r="J8">
            <v>38171</v>
          </cell>
          <cell r="K8">
            <v>38262</v>
          </cell>
          <cell r="L8">
            <v>38352</v>
          </cell>
          <cell r="O8">
            <v>38444</v>
          </cell>
          <cell r="P8">
            <v>38535</v>
          </cell>
          <cell r="Q8">
            <v>38626</v>
          </cell>
          <cell r="R8">
            <v>38717</v>
          </cell>
          <cell r="U8">
            <v>38808</v>
          </cell>
          <cell r="V8">
            <v>38899</v>
          </cell>
          <cell r="W8">
            <v>38990</v>
          </cell>
          <cell r="X8">
            <v>39082</v>
          </cell>
          <cell r="AA8">
            <v>39172</v>
          </cell>
          <cell r="AB8">
            <v>39263</v>
          </cell>
          <cell r="AC8">
            <v>39354</v>
          </cell>
          <cell r="AD8">
            <v>39447</v>
          </cell>
          <cell r="AG8">
            <v>39536</v>
          </cell>
          <cell r="AH8">
            <v>39627</v>
          </cell>
          <cell r="AI8">
            <v>39718</v>
          </cell>
          <cell r="AJ8">
            <v>39813</v>
          </cell>
          <cell r="AM8">
            <v>39901</v>
          </cell>
          <cell r="AN8">
            <v>39992</v>
          </cell>
          <cell r="AO8">
            <v>40083</v>
          </cell>
          <cell r="AP8">
            <v>40178</v>
          </cell>
          <cell r="AS8">
            <v>40266</v>
          </cell>
          <cell r="AT8">
            <v>40357</v>
          </cell>
          <cell r="AU8">
            <v>40448</v>
          </cell>
          <cell r="AV8">
            <v>40543</v>
          </cell>
          <cell r="AY8">
            <v>40631</v>
          </cell>
          <cell r="AZ8">
            <v>40722</v>
          </cell>
          <cell r="BA8">
            <v>40813</v>
          </cell>
          <cell r="BB8">
            <v>40908</v>
          </cell>
          <cell r="BE8">
            <v>40997</v>
          </cell>
          <cell r="BF8">
            <v>41088</v>
          </cell>
          <cell r="BG8">
            <v>41179</v>
          </cell>
          <cell r="BH8">
            <v>41274</v>
          </cell>
          <cell r="BK8">
            <v>41362</v>
          </cell>
          <cell r="BL8">
            <v>41453</v>
          </cell>
          <cell r="BM8">
            <v>41544</v>
          </cell>
          <cell r="BN8">
            <v>41639</v>
          </cell>
          <cell r="BQ8">
            <v>41727</v>
          </cell>
          <cell r="BR8">
            <v>41818</v>
          </cell>
          <cell r="BS8">
            <v>41909</v>
          </cell>
          <cell r="BT8">
            <v>42004</v>
          </cell>
          <cell r="BW8">
            <v>42092</v>
          </cell>
          <cell r="BX8">
            <v>42183</v>
          </cell>
          <cell r="BY8">
            <v>42274</v>
          </cell>
          <cell r="BZ8">
            <v>42369</v>
          </cell>
        </row>
        <row r="9">
          <cell r="C9" t="str">
            <v>Revenue</v>
          </cell>
          <cell r="I9">
            <v>525.03200000000004</v>
          </cell>
          <cell r="J9">
            <v>525.30899999999997</v>
          </cell>
          <cell r="K9">
            <v>542.31499999999994</v>
          </cell>
          <cell r="L9">
            <v>613.33900000000006</v>
          </cell>
          <cell r="M9">
            <v>2205.9950000000003</v>
          </cell>
          <cell r="O9">
            <v>559.20799999999997</v>
          </cell>
          <cell r="P9">
            <v>653.62099999999998</v>
          </cell>
          <cell r="Q9">
            <v>679.41100000000006</v>
          </cell>
          <cell r="R9">
            <v>740.78700000000003</v>
          </cell>
          <cell r="S9">
            <v>2633.027</v>
          </cell>
          <cell r="U9">
            <v>684.28700000000003</v>
          </cell>
          <cell r="V9">
            <v>713.46799999999996</v>
          </cell>
          <cell r="W9">
            <v>724.96199999999999</v>
          </cell>
          <cell r="X9">
            <v>1668.8999999999999</v>
          </cell>
          <cell r="Y9">
            <v>3766.8</v>
          </cell>
          <cell r="AA9">
            <v>2338.2000000000003</v>
          </cell>
          <cell r="AB9">
            <v>2385.9</v>
          </cell>
          <cell r="AC9">
            <v>2401.1999999999998</v>
          </cell>
          <cell r="AD9">
            <v>2621.1</v>
          </cell>
          <cell r="AE9">
            <v>9592.5</v>
          </cell>
          <cell r="AG9">
            <v>2554</v>
          </cell>
          <cell r="AH9">
            <v>2709.6000000000004</v>
          </cell>
          <cell r="AI9">
            <v>2588.1000000000004</v>
          </cell>
          <cell r="AJ9">
            <v>2646.2999999999997</v>
          </cell>
          <cell r="AK9">
            <v>10313.200000000001</v>
          </cell>
          <cell r="AM9">
            <v>2255.1000000000004</v>
          </cell>
          <cell r="AN9">
            <v>2484.1</v>
          </cell>
          <cell r="AO9">
            <v>2531.1</v>
          </cell>
          <cell r="AP9">
            <v>2839.4</v>
          </cell>
          <cell r="AQ9">
            <v>9911.6</v>
          </cell>
          <cell r="AS9">
            <v>2626.8999999999996</v>
          </cell>
          <cell r="AT9">
            <v>2595.6999999999998</v>
          </cell>
          <cell r="AU9">
            <v>2628.7</v>
          </cell>
          <cell r="AV9">
            <v>2718.9</v>
          </cell>
          <cell r="AW9">
            <v>10570.199999999999</v>
          </cell>
          <cell r="AY9">
            <v>2682.6</v>
          </cell>
          <cell r="AZ9">
            <v>2854</v>
          </cell>
          <cell r="BA9">
            <v>2932.9</v>
          </cell>
          <cell r="BB9">
            <v>3089.3</v>
          </cell>
          <cell r="BC9">
            <v>11558.8</v>
          </cell>
          <cell r="BE9">
            <v>3056.8</v>
          </cell>
          <cell r="BF9">
            <v>3108.1</v>
          </cell>
          <cell r="BG9">
            <v>2962.2028414147771</v>
          </cell>
          <cell r="BH9">
            <v>3054.5401695015048</v>
          </cell>
          <cell r="BI9">
            <v>12181.643010916281</v>
          </cell>
          <cell r="BK9">
            <v>3147.7721003300003</v>
          </cell>
          <cell r="BL9">
            <v>3237.5855535400001</v>
          </cell>
          <cell r="BM9">
            <v>3048.3352334999154</v>
          </cell>
          <cell r="BN9">
            <v>3146.8347564726155</v>
          </cell>
          <cell r="BO9">
            <v>12580.52764384253</v>
          </cell>
          <cell r="BQ9">
            <v>3254.9437618932002</v>
          </cell>
          <cell r="BR9">
            <v>3357.2608898460999</v>
          </cell>
          <cell r="BS9">
            <v>3156.4157261293858</v>
          </cell>
          <cell r="BT9">
            <v>3271.6279401215888</v>
          </cell>
          <cell r="BU9">
            <v>13040.248317990276</v>
          </cell>
          <cell r="BW9">
            <v>3392.315677989594</v>
          </cell>
          <cell r="BX9">
            <v>3492.4774550567508</v>
          </cell>
          <cell r="BY9">
            <v>3278.3323214926254</v>
          </cell>
          <cell r="BZ9">
            <v>3414.0525106607424</v>
          </cell>
          <cell r="CA9">
            <v>13577.177965199713</v>
          </cell>
        </row>
        <row r="10">
          <cell r="C10" t="str">
            <v>COGS</v>
          </cell>
          <cell r="I10">
            <v>284.17200000000003</v>
          </cell>
          <cell r="J10">
            <v>286.42399999999998</v>
          </cell>
          <cell r="K10">
            <v>291.36</v>
          </cell>
          <cell r="L10">
            <v>329.28000000000003</v>
          </cell>
          <cell r="M10">
            <v>1188.155</v>
          </cell>
          <cell r="O10">
            <v>305.30599999999998</v>
          </cell>
          <cell r="P10">
            <v>359.84199999999998</v>
          </cell>
          <cell r="Q10">
            <v>377.173</v>
          </cell>
          <cell r="R10">
            <v>403.29299999999995</v>
          </cell>
          <cell r="S10">
            <v>1445.6139999999998</v>
          </cell>
          <cell r="U10">
            <v>371.66300000000001</v>
          </cell>
          <cell r="V10">
            <v>387.71</v>
          </cell>
          <cell r="W10">
            <v>386.09300000000002</v>
          </cell>
          <cell r="X10">
            <v>950.351</v>
          </cell>
          <cell r="Y10">
            <v>2121.9</v>
          </cell>
          <cell r="AA10">
            <v>1391.6999999999998</v>
          </cell>
          <cell r="AB10">
            <v>1407.8999999999999</v>
          </cell>
          <cell r="AC10">
            <v>1421.8999999999999</v>
          </cell>
          <cell r="AD10">
            <v>1549.6</v>
          </cell>
          <cell r="AE10">
            <v>5715.3</v>
          </cell>
          <cell r="AG10">
            <v>1503.3000000000002</v>
          </cell>
          <cell r="AH10">
            <v>1590.6</v>
          </cell>
          <cell r="AI10">
            <v>1523.2</v>
          </cell>
          <cell r="AJ10">
            <v>1548.3</v>
          </cell>
          <cell r="AK10">
            <v>6100.3000000000011</v>
          </cell>
          <cell r="AM10">
            <v>1338.4</v>
          </cell>
          <cell r="AN10">
            <v>1464.6999999999998</v>
          </cell>
          <cell r="AO10">
            <v>1488.3</v>
          </cell>
          <cell r="AP10">
            <v>1662.2</v>
          </cell>
          <cell r="AQ10">
            <v>5888.3</v>
          </cell>
          <cell r="AS10">
            <v>1522.9999999999995</v>
          </cell>
          <cell r="AT10">
            <v>1511.6999999999998</v>
          </cell>
          <cell r="AU10">
            <v>1532.4999999999998</v>
          </cell>
          <cell r="AV10">
            <v>1560.6000000000001</v>
          </cell>
          <cell r="AW10">
            <v>6127.7999999999993</v>
          </cell>
          <cell r="AY10">
            <v>1526</v>
          </cell>
          <cell r="AZ10">
            <v>1632.8</v>
          </cell>
          <cell r="BA10">
            <v>1637.3000000000002</v>
          </cell>
          <cell r="BB10">
            <v>1701.3000000000002</v>
          </cell>
          <cell r="BC10">
            <v>6497.4000000000005</v>
          </cell>
          <cell r="BE10">
            <v>1683.0000000000002</v>
          </cell>
          <cell r="BF10">
            <v>1720.4</v>
          </cell>
          <cell r="BG10">
            <v>1628.4796727412936</v>
          </cell>
          <cell r="BH10">
            <v>1657.7211869380708</v>
          </cell>
          <cell r="BI10">
            <v>6689.6008596793645</v>
          </cell>
          <cell r="BK10">
            <v>1723.6437174779262</v>
          </cell>
          <cell r="BL10">
            <v>1783.9790666847343</v>
          </cell>
          <cell r="BM10">
            <v>1672.7828718842304</v>
          </cell>
          <cell r="BN10">
            <v>1703.0898790540698</v>
          </cell>
          <cell r="BO10">
            <v>6883.4955351009603</v>
          </cell>
          <cell r="BQ10">
            <v>1769.3085470514166</v>
          </cell>
          <cell r="BR10">
            <v>1836.4936997442107</v>
          </cell>
          <cell r="BS10">
            <v>1719.4666953080291</v>
          </cell>
          <cell r="BT10">
            <v>1757.5423467745836</v>
          </cell>
          <cell r="BU10">
            <v>7082.8112888782398</v>
          </cell>
          <cell r="BW10">
            <v>1830.411328790638</v>
          </cell>
          <cell r="BX10">
            <v>1896.4901506740405</v>
          </cell>
          <cell r="BY10">
            <v>1772.76778779707</v>
          </cell>
          <cell r="BZ10">
            <v>1820.3976528716528</v>
          </cell>
          <cell r="CA10">
            <v>7320.0669201334013</v>
          </cell>
        </row>
        <row r="11">
          <cell r="C11" t="str">
            <v>Gross profit</v>
          </cell>
          <cell r="I11">
            <v>240.86</v>
          </cell>
          <cell r="J11">
            <v>238.88499999999999</v>
          </cell>
          <cell r="K11">
            <v>250.95499999999993</v>
          </cell>
          <cell r="L11">
            <v>284.05900000000003</v>
          </cell>
          <cell r="M11">
            <v>1017.8400000000004</v>
          </cell>
          <cell r="O11">
            <v>253.90199999999999</v>
          </cell>
          <cell r="P11">
            <v>293.779</v>
          </cell>
          <cell r="Q11">
            <v>302.23800000000006</v>
          </cell>
          <cell r="R11">
            <v>337.49400000000009</v>
          </cell>
          <cell r="S11">
            <v>1187.4130000000002</v>
          </cell>
          <cell r="U11">
            <v>312.62400000000002</v>
          </cell>
          <cell r="V11">
            <v>325.75799999999998</v>
          </cell>
          <cell r="W11">
            <v>338.86899999999997</v>
          </cell>
          <cell r="X11">
            <v>718.54899999999986</v>
          </cell>
          <cell r="Y11">
            <v>1644.9</v>
          </cell>
          <cell r="AA11">
            <v>946.50000000000045</v>
          </cell>
          <cell r="AB11">
            <v>978.00000000000023</v>
          </cell>
          <cell r="AC11">
            <v>979.3</v>
          </cell>
          <cell r="AD11">
            <v>1071.5</v>
          </cell>
          <cell r="AE11">
            <v>3877.2</v>
          </cell>
          <cell r="AG11">
            <v>1050.6999999999998</v>
          </cell>
          <cell r="AH11">
            <v>1119.0000000000005</v>
          </cell>
          <cell r="AI11">
            <v>1064.9000000000003</v>
          </cell>
          <cell r="AJ11">
            <v>1097.9999999999998</v>
          </cell>
          <cell r="AK11">
            <v>4212.8999999999996</v>
          </cell>
          <cell r="AM11">
            <v>916.70000000000027</v>
          </cell>
          <cell r="AN11">
            <v>1019.4000000000001</v>
          </cell>
          <cell r="AO11">
            <v>1042.8</v>
          </cell>
          <cell r="AP11">
            <v>1177.2</v>
          </cell>
          <cell r="AQ11">
            <v>4023.3</v>
          </cell>
          <cell r="AS11">
            <v>1103.9000000000001</v>
          </cell>
          <cell r="AT11">
            <v>1084</v>
          </cell>
          <cell r="AU11">
            <v>1096.2</v>
          </cell>
          <cell r="AV11">
            <v>1158.3</v>
          </cell>
          <cell r="AW11">
            <v>4442.3999999999996</v>
          </cell>
          <cell r="AY11">
            <v>1156.5999999999999</v>
          </cell>
          <cell r="AZ11">
            <v>1221.2</v>
          </cell>
          <cell r="BA11">
            <v>1295.5999999999999</v>
          </cell>
          <cell r="BB11">
            <v>1388</v>
          </cell>
          <cell r="BC11">
            <v>5061.3999999999987</v>
          </cell>
          <cell r="BE11">
            <v>1373.8</v>
          </cell>
          <cell r="BF11">
            <v>1387.7</v>
          </cell>
          <cell r="BG11">
            <v>1333.7231686734835</v>
          </cell>
          <cell r="BH11">
            <v>1396.818982563434</v>
          </cell>
          <cell r="BI11">
            <v>5492.0421512369167</v>
          </cell>
          <cell r="BK11">
            <v>1424.1283828520741</v>
          </cell>
          <cell r="BL11">
            <v>1453.6064868552658</v>
          </cell>
          <cell r="BM11">
            <v>1375.552361615685</v>
          </cell>
          <cell r="BN11">
            <v>1443.7448774185457</v>
          </cell>
          <cell r="BO11">
            <v>5697.0321087415696</v>
          </cell>
          <cell r="BQ11">
            <v>1485.6352148417836</v>
          </cell>
          <cell r="BR11">
            <v>1520.7671901018891</v>
          </cell>
          <cell r="BS11">
            <v>1436.9490308213567</v>
          </cell>
          <cell r="BT11">
            <v>1514.0855933470052</v>
          </cell>
          <cell r="BU11">
            <v>5957.4370291120358</v>
          </cell>
          <cell r="BW11">
            <v>1561.904349198956</v>
          </cell>
          <cell r="BX11">
            <v>1595.9873043827104</v>
          </cell>
          <cell r="BY11">
            <v>1505.5645336955554</v>
          </cell>
          <cell r="BZ11">
            <v>1593.6548577890896</v>
          </cell>
          <cell r="CA11">
            <v>6257.1110450663118</v>
          </cell>
        </row>
        <row r="12">
          <cell r="C12" t="str">
            <v>SG&amp;A</v>
          </cell>
          <cell r="I12">
            <v>146.75299999999999</v>
          </cell>
          <cell r="J12">
            <v>140.864</v>
          </cell>
          <cell r="K12">
            <v>147.346</v>
          </cell>
          <cell r="L12">
            <v>168.66399999999999</v>
          </cell>
          <cell r="M12">
            <v>603.62699999999995</v>
          </cell>
          <cell r="O12">
            <v>156.08699999999999</v>
          </cell>
          <cell r="P12">
            <v>173.48400000000001</v>
          </cell>
          <cell r="Q12">
            <v>168.75399999999999</v>
          </cell>
          <cell r="R12">
            <v>185.821</v>
          </cell>
          <cell r="S12">
            <v>684.14600000000007</v>
          </cell>
          <cell r="U12">
            <v>176.887</v>
          </cell>
          <cell r="V12">
            <v>181.26400000000001</v>
          </cell>
          <cell r="W12">
            <v>191.53299999999999</v>
          </cell>
          <cell r="X12">
            <v>403.06299999999999</v>
          </cell>
          <cell r="Y12">
            <v>913.8</v>
          </cell>
          <cell r="AA12">
            <v>511.2</v>
          </cell>
          <cell r="AB12">
            <v>514.70000000000005</v>
          </cell>
          <cell r="AC12">
            <v>515.79999999999995</v>
          </cell>
          <cell r="AD12">
            <v>558</v>
          </cell>
          <cell r="AE12">
            <v>2041.6</v>
          </cell>
          <cell r="AG12">
            <v>541.6</v>
          </cell>
          <cell r="AH12">
            <v>578</v>
          </cell>
          <cell r="AI12">
            <v>548.70000000000005</v>
          </cell>
          <cell r="AJ12">
            <v>545.4</v>
          </cell>
          <cell r="AK12">
            <v>2148.8000000000002</v>
          </cell>
          <cell r="AM12">
            <v>509.5</v>
          </cell>
          <cell r="AN12">
            <v>542.70000000000005</v>
          </cell>
          <cell r="AO12">
            <v>544.79999999999995</v>
          </cell>
          <cell r="AP12">
            <v>598.1</v>
          </cell>
          <cell r="AQ12">
            <v>2130.1</v>
          </cell>
          <cell r="AS12">
            <v>582.9</v>
          </cell>
          <cell r="AT12">
            <v>567</v>
          </cell>
          <cell r="AU12">
            <v>573.6</v>
          </cell>
          <cell r="AV12">
            <v>594</v>
          </cell>
          <cell r="AW12">
            <v>2317.5</v>
          </cell>
          <cell r="AY12">
            <v>603.6</v>
          </cell>
          <cell r="AZ12">
            <v>627.6</v>
          </cell>
          <cell r="BA12">
            <v>662</v>
          </cell>
          <cell r="BB12">
            <v>699.80000000000007</v>
          </cell>
          <cell r="BC12">
            <v>2593</v>
          </cell>
          <cell r="BE12">
            <v>709</v>
          </cell>
          <cell r="BF12">
            <v>703.4</v>
          </cell>
          <cell r="BG12">
            <v>671.57629845210124</v>
          </cell>
          <cell r="BH12">
            <v>694.98061100015991</v>
          </cell>
          <cell r="BI12">
            <v>2778.9569094522612</v>
          </cell>
          <cell r="BK12">
            <v>730.10024179991171</v>
          </cell>
          <cell r="BL12">
            <v>732.70412096137068</v>
          </cell>
          <cell r="BM12">
            <v>691.10381771737048</v>
          </cell>
          <cell r="BN12">
            <v>715.97982688398895</v>
          </cell>
          <cell r="BO12">
            <v>2869.8880073626419</v>
          </cell>
          <cell r="BQ12">
            <v>752.51663279042214</v>
          </cell>
          <cell r="BR12">
            <v>757.27012740547241</v>
          </cell>
          <cell r="BS12">
            <v>713.23999236879695</v>
          </cell>
          <cell r="BT12">
            <v>741.91952628295803</v>
          </cell>
          <cell r="BU12">
            <v>2964.9462788476494</v>
          </cell>
          <cell r="BW12">
            <v>781.73167032449101</v>
          </cell>
          <cell r="BX12">
            <v>785.15047396152818</v>
          </cell>
          <cell r="BY12">
            <v>738.33014640637771</v>
          </cell>
          <cell r="BZ12">
            <v>771.65714911138298</v>
          </cell>
          <cell r="CA12">
            <v>3076.8694398037796</v>
          </cell>
        </row>
        <row r="13">
          <cell r="C13" t="str">
            <v>R&amp;D</v>
          </cell>
          <cell r="I13">
            <v>34.268999999999998</v>
          </cell>
          <cell r="J13">
            <v>32.591999999999999</v>
          </cell>
          <cell r="K13">
            <v>32.874000000000002</v>
          </cell>
          <cell r="L13">
            <v>34.945</v>
          </cell>
          <cell r="M13">
            <v>134.67999999999998</v>
          </cell>
          <cell r="O13">
            <v>36.328000000000003</v>
          </cell>
          <cell r="P13">
            <v>39.432000000000002</v>
          </cell>
          <cell r="Q13">
            <v>38.783999999999999</v>
          </cell>
          <cell r="R13">
            <v>38.231000000000002</v>
          </cell>
          <cell r="S13">
            <v>152.77500000000001</v>
          </cell>
          <cell r="U13">
            <v>38.737000000000002</v>
          </cell>
          <cell r="V13">
            <v>40.619999999999997</v>
          </cell>
          <cell r="W13">
            <v>38.658000000000001</v>
          </cell>
          <cell r="X13">
            <v>52.168999999999997</v>
          </cell>
          <cell r="Y13">
            <v>167.9</v>
          </cell>
          <cell r="AA13">
            <v>59.8</v>
          </cell>
          <cell r="AB13">
            <v>58.7</v>
          </cell>
          <cell r="AC13">
            <v>58.8</v>
          </cell>
          <cell r="AD13">
            <v>61.4</v>
          </cell>
          <cell r="AE13">
            <v>237</v>
          </cell>
          <cell r="AG13">
            <v>62</v>
          </cell>
          <cell r="AH13">
            <v>64.400000000000006</v>
          </cell>
          <cell r="AI13">
            <v>61.8</v>
          </cell>
          <cell r="AJ13">
            <v>60.9</v>
          </cell>
          <cell r="AK13">
            <v>247.2</v>
          </cell>
          <cell r="AM13">
            <v>58.2</v>
          </cell>
          <cell r="AN13">
            <v>58.1</v>
          </cell>
          <cell r="AO13">
            <v>60.5</v>
          </cell>
          <cell r="AP13">
            <v>69.3</v>
          </cell>
          <cell r="AQ13">
            <v>243.8</v>
          </cell>
          <cell r="AS13">
            <v>66.099999999999994</v>
          </cell>
          <cell r="AT13">
            <v>69.599999999999994</v>
          </cell>
          <cell r="AU13">
            <v>71.5</v>
          </cell>
          <cell r="AV13">
            <v>77.599999999999994</v>
          </cell>
          <cell r="AW13">
            <v>284.79999999999995</v>
          </cell>
          <cell r="AY13">
            <v>74.8</v>
          </cell>
          <cell r="AZ13">
            <v>83.3</v>
          </cell>
          <cell r="BA13">
            <v>86.8</v>
          </cell>
          <cell r="BB13">
            <v>95.7</v>
          </cell>
          <cell r="BC13">
            <v>340.59999999999997</v>
          </cell>
          <cell r="BE13">
            <v>91.8</v>
          </cell>
          <cell r="BF13">
            <v>94.2</v>
          </cell>
          <cell r="BG13">
            <v>87.667225829316592</v>
          </cell>
          <cell r="BH13">
            <v>94.623213744632764</v>
          </cell>
          <cell r="BI13">
            <v>368.29043957394936</v>
          </cell>
          <cell r="BK13">
            <v>94.532020024304501</v>
          </cell>
          <cell r="BL13">
            <v>98.12443587512243</v>
          </cell>
          <cell r="BM13">
            <v>90.216338186706892</v>
          </cell>
          <cell r="BN13">
            <v>97.482305439558885</v>
          </cell>
          <cell r="BO13">
            <v>380.35509952569271</v>
          </cell>
          <cell r="BQ13">
            <v>95.309327817743849</v>
          </cell>
          <cell r="BR13">
            <v>99.233598949423964</v>
          </cell>
          <cell r="BS13">
            <v>91.047698955183279</v>
          </cell>
          <cell r="BT13">
            <v>98.894414178963785</v>
          </cell>
          <cell r="BU13">
            <v>384.48503990131485</v>
          </cell>
          <cell r="BW13">
            <v>96.787533823844157</v>
          </cell>
          <cell r="BX13">
            <v>100.61095926747952</v>
          </cell>
          <cell r="BY13">
            <v>92.105668180640762</v>
          </cell>
          <cell r="BZ13">
            <v>100.63906925143452</v>
          </cell>
          <cell r="CA13">
            <v>390.14323052339898</v>
          </cell>
        </row>
        <row r="14">
          <cell r="C14" t="str">
            <v>One-time items, total</v>
          </cell>
          <cell r="I14">
            <v>6.9640000000000004</v>
          </cell>
          <cell r="J14">
            <v>6.4589999999999996</v>
          </cell>
          <cell r="K14">
            <v>11.114000000000001</v>
          </cell>
          <cell r="L14">
            <v>14.402999999999999</v>
          </cell>
          <cell r="M14">
            <v>32.420999999999992</v>
          </cell>
          <cell r="O14">
            <v>1.8109999999999999</v>
          </cell>
          <cell r="P14">
            <v>27.649000000000001</v>
          </cell>
          <cell r="Q14">
            <v>32.590000000000003</v>
          </cell>
          <cell r="R14">
            <v>24.954999999999998</v>
          </cell>
          <cell r="S14">
            <v>87.004999999999995</v>
          </cell>
          <cell r="U14">
            <v>29.155000000000001</v>
          </cell>
          <cell r="V14">
            <v>31.701000000000001</v>
          </cell>
          <cell r="W14">
            <v>33.567</v>
          </cell>
          <cell r="X14">
            <v>236.48699999999999</v>
          </cell>
          <cell r="Y14">
            <v>331.8</v>
          </cell>
          <cell r="AA14">
            <v>183.10000000000002</v>
          </cell>
          <cell r="AB14">
            <v>161.69999999999999</v>
          </cell>
          <cell r="AC14">
            <v>151.20000000000002</v>
          </cell>
          <cell r="AD14">
            <v>172.49999999999997</v>
          </cell>
          <cell r="AE14">
            <v>658.69999999999993</v>
          </cell>
          <cell r="AG14">
            <v>147.6</v>
          </cell>
          <cell r="AH14">
            <v>147.09999999999997</v>
          </cell>
          <cell r="AI14">
            <v>168.1</v>
          </cell>
          <cell r="AJ14">
            <v>173.7</v>
          </cell>
          <cell r="AK14">
            <v>619.4</v>
          </cell>
          <cell r="AM14">
            <v>160</v>
          </cell>
          <cell r="AN14">
            <v>160.5</v>
          </cell>
          <cell r="AO14">
            <v>164.6</v>
          </cell>
          <cell r="AP14">
            <v>185.50000000000003</v>
          </cell>
          <cell r="AQ14">
            <v>667.69999999999993</v>
          </cell>
          <cell r="AS14">
            <v>172.59999999999997</v>
          </cell>
          <cell r="AT14">
            <v>165.60000000000002</v>
          </cell>
          <cell r="AU14">
            <v>149.9</v>
          </cell>
          <cell r="AV14">
            <v>174.3</v>
          </cell>
          <cell r="AW14">
            <v>662.40000000000009</v>
          </cell>
          <cell r="AY14">
            <v>157.50000000000003</v>
          </cell>
          <cell r="AZ14">
            <v>223.4</v>
          </cell>
          <cell r="BA14">
            <v>237.4</v>
          </cell>
          <cell r="BB14">
            <v>232.5</v>
          </cell>
          <cell r="BC14">
            <v>850.80000000000007</v>
          </cell>
          <cell r="BE14">
            <v>219.3</v>
          </cell>
          <cell r="BF14">
            <v>224.3</v>
          </cell>
          <cell r="BG14">
            <v>209.50000000000003</v>
          </cell>
          <cell r="BH14">
            <v>209.50000000000003</v>
          </cell>
          <cell r="BI14">
            <v>862.6</v>
          </cell>
          <cell r="BK14">
            <v>186.82499999999999</v>
          </cell>
          <cell r="BL14">
            <v>186.82499999999999</v>
          </cell>
          <cell r="BM14">
            <v>186.82499999999999</v>
          </cell>
          <cell r="BN14">
            <v>186.82499999999999</v>
          </cell>
          <cell r="BO14">
            <v>747.3</v>
          </cell>
          <cell r="BQ14">
            <v>177.7</v>
          </cell>
          <cell r="BR14">
            <v>177.7</v>
          </cell>
          <cell r="BS14">
            <v>177.7</v>
          </cell>
          <cell r="BT14">
            <v>177.7</v>
          </cell>
          <cell r="BU14">
            <v>710.8</v>
          </cell>
          <cell r="BW14">
            <v>172.82499999999999</v>
          </cell>
          <cell r="BX14">
            <v>172.82499999999999</v>
          </cell>
          <cell r="BY14">
            <v>172.82499999999999</v>
          </cell>
          <cell r="BZ14">
            <v>172.82499999999999</v>
          </cell>
          <cell r="CA14">
            <v>691.3</v>
          </cell>
        </row>
        <row r="15">
          <cell r="C15" t="str">
            <v>Cost of Revenues Charges</v>
          </cell>
          <cell r="I15">
            <v>3.1579999999999999</v>
          </cell>
          <cell r="J15">
            <v>0.81499999999999995</v>
          </cell>
          <cell r="K15">
            <v>5.0350000000000001</v>
          </cell>
          <cell r="L15">
            <v>6.8209999999999997</v>
          </cell>
          <cell r="M15">
            <v>15.828999999999999</v>
          </cell>
          <cell r="O15">
            <v>-0.27100000000000002</v>
          </cell>
          <cell r="P15">
            <v>2.2160000000000002</v>
          </cell>
          <cell r="Q15">
            <v>10.481999999999999</v>
          </cell>
          <cell r="R15">
            <v>4.4729999999999999</v>
          </cell>
          <cell r="S15">
            <v>16.899999999999999</v>
          </cell>
          <cell r="U15">
            <v>3.5939999999999999</v>
          </cell>
          <cell r="V15">
            <v>4.78</v>
          </cell>
          <cell r="W15">
            <v>5.1779999999999999</v>
          </cell>
          <cell r="X15">
            <v>32.159999999999997</v>
          </cell>
          <cell r="Y15">
            <v>77.7</v>
          </cell>
          <cell r="AA15">
            <v>7.4</v>
          </cell>
          <cell r="AB15">
            <v>8.3000000000000007</v>
          </cell>
          <cell r="AC15">
            <v>8.8000000000000007</v>
          </cell>
          <cell r="AD15">
            <v>17.7</v>
          </cell>
          <cell r="AE15">
            <v>49.2</v>
          </cell>
          <cell r="AG15">
            <v>4.9000000000000004</v>
          </cell>
          <cell r="AH15">
            <v>-5.4</v>
          </cell>
          <cell r="AI15">
            <v>15.4</v>
          </cell>
          <cell r="AJ15">
            <v>20.5</v>
          </cell>
          <cell r="AK15">
            <v>1.5</v>
          </cell>
          <cell r="AM15">
            <v>13.6</v>
          </cell>
          <cell r="AN15">
            <v>10.3</v>
          </cell>
          <cell r="AO15">
            <v>13.1</v>
          </cell>
          <cell r="AP15">
            <v>23.8</v>
          </cell>
          <cell r="AQ15">
            <v>6.7</v>
          </cell>
          <cell r="AS15">
            <v>5.0999999999999996</v>
          </cell>
          <cell r="AT15">
            <v>3.7</v>
          </cell>
          <cell r="AU15">
            <v>2.5</v>
          </cell>
          <cell r="AV15">
            <v>4.7</v>
          </cell>
          <cell r="AW15">
            <v>16</v>
          </cell>
          <cell r="AY15">
            <v>2.9</v>
          </cell>
          <cell r="AZ15">
            <v>15.4</v>
          </cell>
          <cell r="BA15">
            <v>24.3</v>
          </cell>
          <cell r="BB15">
            <v>30.2</v>
          </cell>
          <cell r="BC15">
            <v>72.8</v>
          </cell>
          <cell r="BE15">
            <v>26.8</v>
          </cell>
          <cell r="BF15">
            <v>12.8</v>
          </cell>
          <cell r="BG15">
            <v>12.8</v>
          </cell>
          <cell r="BH15">
            <v>12.8</v>
          </cell>
          <cell r="BI15">
            <v>65.2</v>
          </cell>
          <cell r="BK15">
            <v>6.25</v>
          </cell>
          <cell r="BL15">
            <v>6.25</v>
          </cell>
          <cell r="BM15">
            <v>6.25</v>
          </cell>
          <cell r="BN15">
            <v>6.25</v>
          </cell>
          <cell r="BO15">
            <v>25</v>
          </cell>
          <cell r="BQ15">
            <v>6.25</v>
          </cell>
          <cell r="BR15">
            <v>6.25</v>
          </cell>
          <cell r="BS15">
            <v>6.25</v>
          </cell>
          <cell r="BT15">
            <v>6.25</v>
          </cell>
          <cell r="BU15">
            <v>25</v>
          </cell>
          <cell r="BW15">
            <v>6.25</v>
          </cell>
          <cell r="BX15">
            <v>6.25</v>
          </cell>
          <cell r="BY15">
            <v>6.25</v>
          </cell>
          <cell r="BZ15">
            <v>6.25</v>
          </cell>
          <cell r="CA15">
            <v>25</v>
          </cell>
        </row>
        <row r="16">
          <cell r="C16" t="str">
            <v>SG&amp;A Costs</v>
          </cell>
          <cell r="I16">
            <v>3.806</v>
          </cell>
          <cell r="J16">
            <v>5.6440000000000001</v>
          </cell>
          <cell r="K16">
            <v>6.0789999999999997</v>
          </cell>
          <cell r="L16">
            <v>7.3019999999999996</v>
          </cell>
          <cell r="M16">
            <v>22.831</v>
          </cell>
          <cell r="O16">
            <v>7.4139999999999997</v>
          </cell>
          <cell r="P16">
            <v>19.109000000000002</v>
          </cell>
          <cell r="Q16">
            <v>25.568999999999999</v>
          </cell>
          <cell r="R16">
            <v>25.547999999999998</v>
          </cell>
          <cell r="S16">
            <v>77.64</v>
          </cell>
          <cell r="U16">
            <v>25.561</v>
          </cell>
          <cell r="V16">
            <v>25.655000000000001</v>
          </cell>
          <cell r="W16">
            <v>26.405000000000001</v>
          </cell>
          <cell r="X16">
            <v>93.204999999999998</v>
          </cell>
          <cell r="Y16">
            <v>0</v>
          </cell>
          <cell r="AA16">
            <v>139.30000000000001</v>
          </cell>
          <cell r="AB16">
            <v>142.1</v>
          </cell>
          <cell r="AC16">
            <v>141.5</v>
          </cell>
          <cell r="AD16">
            <v>148.19999999999999</v>
          </cell>
          <cell r="AE16">
            <v>0</v>
          </cell>
          <cell r="AG16">
            <v>151.19999999999999</v>
          </cell>
          <cell r="AH16">
            <v>151.6</v>
          </cell>
          <cell r="AI16">
            <v>152</v>
          </cell>
          <cell r="AJ16">
            <v>148</v>
          </cell>
          <cell r="AK16">
            <v>0</v>
          </cell>
          <cell r="AM16">
            <v>145.30000000000001</v>
          </cell>
          <cell r="AN16">
            <v>147.1</v>
          </cell>
          <cell r="AO16">
            <v>148.19999999999999</v>
          </cell>
          <cell r="AP16">
            <v>156.4</v>
          </cell>
          <cell r="AQ16">
            <v>1.5</v>
          </cell>
          <cell r="AS16">
            <v>1.1000000000000001</v>
          </cell>
          <cell r="AT16">
            <v>-0.2</v>
          </cell>
          <cell r="AU16">
            <v>0.5</v>
          </cell>
          <cell r="AV16">
            <v>1.6</v>
          </cell>
          <cell r="AW16">
            <v>3</v>
          </cell>
          <cell r="AY16">
            <v>3.1</v>
          </cell>
          <cell r="AZ16">
            <v>38</v>
          </cell>
          <cell r="BA16">
            <v>20.6</v>
          </cell>
          <cell r="BB16">
            <v>-0.2</v>
          </cell>
          <cell r="BC16">
            <v>61.5</v>
          </cell>
          <cell r="BE16">
            <v>-7.7</v>
          </cell>
          <cell r="BF16">
            <v>1.8</v>
          </cell>
          <cell r="BG16">
            <v>1.8</v>
          </cell>
          <cell r="BH16">
            <v>1.8</v>
          </cell>
          <cell r="BI16">
            <v>-2.3000000000000007</v>
          </cell>
          <cell r="BK16">
            <v>0</v>
          </cell>
          <cell r="BL16">
            <v>0</v>
          </cell>
          <cell r="BM16">
            <v>0</v>
          </cell>
          <cell r="BN16">
            <v>0</v>
          </cell>
          <cell r="BO16">
            <v>0</v>
          </cell>
          <cell r="BQ16">
            <v>0</v>
          </cell>
          <cell r="BR16">
            <v>0</v>
          </cell>
          <cell r="BS16">
            <v>0</v>
          </cell>
          <cell r="BT16">
            <v>0</v>
          </cell>
          <cell r="BU16">
            <v>0</v>
          </cell>
          <cell r="BW16">
            <v>0</v>
          </cell>
          <cell r="BX16">
            <v>0</v>
          </cell>
          <cell r="BY16">
            <v>0</v>
          </cell>
          <cell r="BZ16">
            <v>0</v>
          </cell>
          <cell r="CA16">
            <v>0</v>
          </cell>
        </row>
        <row r="17">
          <cell r="C17" t="str">
            <v>Restructuring &amp; other costs</v>
          </cell>
          <cell r="L17">
            <v>0.28000000000000003</v>
          </cell>
          <cell r="M17">
            <v>3.3610000000000002</v>
          </cell>
          <cell r="O17">
            <v>-5.3319999999999999</v>
          </cell>
          <cell r="P17">
            <v>6.3239999999999998</v>
          </cell>
          <cell r="Q17">
            <v>-3.4609999999999994</v>
          </cell>
          <cell r="R17">
            <v>-5.0659999999999998</v>
          </cell>
          <cell r="S17">
            <v>-7.5349999999999993</v>
          </cell>
          <cell r="U17">
            <v>0</v>
          </cell>
          <cell r="V17">
            <v>1.266</v>
          </cell>
          <cell r="W17">
            <v>1.984</v>
          </cell>
          <cell r="X17">
            <v>111.122</v>
          </cell>
          <cell r="Y17">
            <v>45.7</v>
          </cell>
          <cell r="AA17">
            <v>36.4</v>
          </cell>
          <cell r="AB17">
            <v>11.2</v>
          </cell>
          <cell r="AC17">
            <v>0.4</v>
          </cell>
          <cell r="AD17">
            <v>1.2</v>
          </cell>
          <cell r="AE17">
            <v>42.2</v>
          </cell>
          <cell r="AG17">
            <v>0.6</v>
          </cell>
          <cell r="AH17">
            <v>0.2</v>
          </cell>
          <cell r="AI17">
            <v>0.7</v>
          </cell>
          <cell r="AJ17">
            <v>0.7</v>
          </cell>
          <cell r="AK17">
            <v>35.4</v>
          </cell>
          <cell r="AM17">
            <v>0</v>
          </cell>
          <cell r="AN17">
            <v>0.9</v>
          </cell>
          <cell r="AO17">
            <v>1</v>
          </cell>
          <cell r="AP17">
            <v>4.8</v>
          </cell>
          <cell r="AQ17">
            <v>59.2</v>
          </cell>
          <cell r="AS17">
            <v>17.399999999999999</v>
          </cell>
          <cell r="AT17">
            <v>8.1999999999999993</v>
          </cell>
          <cell r="AU17">
            <v>10.3</v>
          </cell>
          <cell r="AV17">
            <v>24.5</v>
          </cell>
          <cell r="AW17">
            <v>60.4</v>
          </cell>
          <cell r="AY17">
            <v>15.3</v>
          </cell>
          <cell r="AZ17">
            <v>39.9</v>
          </cell>
          <cell r="BA17">
            <v>12.3</v>
          </cell>
          <cell r="BB17">
            <v>32.9</v>
          </cell>
          <cell r="BC17">
            <v>100.4</v>
          </cell>
          <cell r="BE17">
            <v>15.1</v>
          </cell>
          <cell r="BF17">
            <v>24.3</v>
          </cell>
          <cell r="BG17">
            <v>12.8</v>
          </cell>
          <cell r="BH17">
            <v>12.8</v>
          </cell>
          <cell r="BI17">
            <v>65</v>
          </cell>
          <cell r="BK17">
            <v>0</v>
          </cell>
          <cell r="BL17">
            <v>0</v>
          </cell>
          <cell r="BM17">
            <v>0</v>
          </cell>
          <cell r="BN17">
            <v>0</v>
          </cell>
          <cell r="BO17">
            <v>0</v>
          </cell>
          <cell r="BQ17">
            <v>0</v>
          </cell>
          <cell r="BR17">
            <v>0</v>
          </cell>
          <cell r="BS17">
            <v>0</v>
          </cell>
          <cell r="BT17">
            <v>0</v>
          </cell>
          <cell r="BU17">
            <v>0</v>
          </cell>
          <cell r="BW17">
            <v>0</v>
          </cell>
          <cell r="BX17">
            <v>0</v>
          </cell>
          <cell r="BY17">
            <v>0</v>
          </cell>
          <cell r="BZ17">
            <v>0</v>
          </cell>
          <cell r="CA17">
            <v>0</v>
          </cell>
        </row>
        <row r="18">
          <cell r="C18" t="str">
            <v>Stock-based Compensation Acceleration Charges</v>
          </cell>
          <cell r="I18">
            <v>0</v>
          </cell>
          <cell r="J18">
            <v>0</v>
          </cell>
          <cell r="K18">
            <v>0</v>
          </cell>
          <cell r="L18">
            <v>0</v>
          </cell>
          <cell r="M18">
            <v>-9.6</v>
          </cell>
          <cell r="O18">
            <v>0</v>
          </cell>
          <cell r="P18">
            <v>0</v>
          </cell>
          <cell r="Q18">
            <v>0</v>
          </cell>
          <cell r="R18">
            <v>0</v>
          </cell>
          <cell r="S18">
            <v>0</v>
          </cell>
          <cell r="U18">
            <v>0</v>
          </cell>
          <cell r="V18">
            <v>0</v>
          </cell>
          <cell r="W18">
            <v>0</v>
          </cell>
          <cell r="X18">
            <v>0</v>
          </cell>
          <cell r="Y18">
            <v>36.700000000000003</v>
          </cell>
          <cell r="AA18">
            <v>0</v>
          </cell>
          <cell r="AB18">
            <v>0.1</v>
          </cell>
          <cell r="AC18">
            <v>0.5</v>
          </cell>
          <cell r="AD18">
            <v>5.4</v>
          </cell>
          <cell r="AE18">
            <v>0</v>
          </cell>
          <cell r="AG18">
            <v>-9.1000000000000014</v>
          </cell>
          <cell r="AH18">
            <v>0.7</v>
          </cell>
          <cell r="AI18">
            <v>0</v>
          </cell>
          <cell r="AJ18">
            <v>4.5</v>
          </cell>
          <cell r="AK18">
            <v>0</v>
          </cell>
          <cell r="AM18">
            <v>1.1000000000000001</v>
          </cell>
          <cell r="AN18">
            <v>2.2000000000000002</v>
          </cell>
          <cell r="AO18">
            <v>2.2999999999999998</v>
          </cell>
          <cell r="AP18">
            <v>0.5</v>
          </cell>
          <cell r="AQ18">
            <v>0</v>
          </cell>
          <cell r="AS18">
            <v>0</v>
          </cell>
          <cell r="AT18">
            <v>0</v>
          </cell>
          <cell r="AU18">
            <v>0</v>
          </cell>
          <cell r="AV18">
            <v>0</v>
          </cell>
          <cell r="AW18">
            <v>0</v>
          </cell>
          <cell r="AY18">
            <v>0</v>
          </cell>
          <cell r="AZ18">
            <v>0</v>
          </cell>
          <cell r="BA18">
            <v>0</v>
          </cell>
          <cell r="BB18">
            <v>0</v>
          </cell>
          <cell r="BC18">
            <v>0</v>
          </cell>
          <cell r="BE18">
            <v>0</v>
          </cell>
          <cell r="BF18">
            <v>0</v>
          </cell>
          <cell r="BG18">
            <v>0</v>
          </cell>
          <cell r="BH18">
            <v>0</v>
          </cell>
          <cell r="BI18">
            <v>0</v>
          </cell>
          <cell r="BK18">
            <v>0</v>
          </cell>
          <cell r="BL18">
            <v>0</v>
          </cell>
          <cell r="BM18">
            <v>0</v>
          </cell>
          <cell r="BN18">
            <v>0</v>
          </cell>
          <cell r="BO18">
            <v>0</v>
          </cell>
          <cell r="BQ18">
            <v>0</v>
          </cell>
          <cell r="BR18">
            <v>0</v>
          </cell>
          <cell r="BS18">
            <v>0</v>
          </cell>
          <cell r="BT18">
            <v>0</v>
          </cell>
          <cell r="BU18">
            <v>0</v>
          </cell>
          <cell r="BW18">
            <v>0</v>
          </cell>
          <cell r="BX18">
            <v>0</v>
          </cell>
          <cell r="BY18">
            <v>0</v>
          </cell>
          <cell r="BZ18">
            <v>0</v>
          </cell>
          <cell r="CA18">
            <v>0</v>
          </cell>
        </row>
        <row r="19">
          <cell r="C19" t="str">
            <v>Amortization of Acquisition-related Intangible Assets</v>
          </cell>
          <cell r="Y19">
            <v>170.8</v>
          </cell>
          <cell r="AE19">
            <v>561.29999999999995</v>
          </cell>
          <cell r="AK19">
            <v>585.70000000000005</v>
          </cell>
          <cell r="AQ19">
            <v>579.9</v>
          </cell>
          <cell r="AS19">
            <v>146.69999999999999</v>
          </cell>
          <cell r="AT19">
            <v>137.80000000000001</v>
          </cell>
          <cell r="AU19">
            <v>135.1</v>
          </cell>
          <cell r="AV19">
            <v>135.1</v>
          </cell>
          <cell r="AW19">
            <v>554.70000000000005</v>
          </cell>
          <cell r="AY19">
            <v>135.4</v>
          </cell>
          <cell r="AZ19">
            <v>151.19999999999999</v>
          </cell>
          <cell r="BA19">
            <v>174.6</v>
          </cell>
          <cell r="BB19">
            <v>186.7</v>
          </cell>
          <cell r="BC19">
            <v>647.90000000000009</v>
          </cell>
          <cell r="BE19">
            <v>183.9</v>
          </cell>
          <cell r="BF19">
            <v>183.4</v>
          </cell>
          <cell r="BG19">
            <v>182.10000000000002</v>
          </cell>
          <cell r="BH19">
            <v>182.10000000000002</v>
          </cell>
          <cell r="BI19">
            <v>731.50000000000011</v>
          </cell>
          <cell r="BK19">
            <v>180.57499999999999</v>
          </cell>
          <cell r="BL19">
            <v>180.57499999999999</v>
          </cell>
          <cell r="BM19">
            <v>180.57499999999999</v>
          </cell>
          <cell r="BN19">
            <v>180.57499999999999</v>
          </cell>
          <cell r="BO19">
            <v>722.3</v>
          </cell>
          <cell r="BQ19">
            <v>171.45</v>
          </cell>
          <cell r="BR19">
            <v>171.45</v>
          </cell>
          <cell r="BS19">
            <v>171.45</v>
          </cell>
          <cell r="BT19">
            <v>171.45</v>
          </cell>
          <cell r="BU19">
            <v>685.8</v>
          </cell>
          <cell r="BW19">
            <v>166.57499999999999</v>
          </cell>
          <cell r="BX19">
            <v>166.57499999999999</v>
          </cell>
          <cell r="BY19">
            <v>166.57499999999999</v>
          </cell>
          <cell r="BZ19">
            <v>166.57499999999999</v>
          </cell>
          <cell r="CA19">
            <v>666.3</v>
          </cell>
        </row>
        <row r="20">
          <cell r="C20" t="str">
            <v>Gain/loss on extinguishment of debt fac.</v>
          </cell>
          <cell r="Y20">
            <v>0.9</v>
          </cell>
          <cell r="AE20">
            <v>0</v>
          </cell>
          <cell r="AK20">
            <v>0</v>
          </cell>
          <cell r="AQ20">
            <v>15.1</v>
          </cell>
          <cell r="AS20">
            <v>0.7</v>
          </cell>
          <cell r="AT20">
            <v>15.3</v>
          </cell>
          <cell r="AU20">
            <v>0.8</v>
          </cell>
          <cell r="AV20">
            <v>0</v>
          </cell>
          <cell r="AW20">
            <v>16.8</v>
          </cell>
          <cell r="AY20">
            <v>0</v>
          </cell>
          <cell r="AZ20">
            <v>0</v>
          </cell>
          <cell r="BA20">
            <v>0</v>
          </cell>
          <cell r="BB20">
            <v>0</v>
          </cell>
          <cell r="BC20">
            <v>0</v>
          </cell>
          <cell r="BE20">
            <v>0</v>
          </cell>
          <cell r="BF20">
            <v>0</v>
          </cell>
          <cell r="BI20">
            <v>0</v>
          </cell>
          <cell r="BO20">
            <v>0</v>
          </cell>
          <cell r="BU20">
            <v>0</v>
          </cell>
          <cell r="CA20">
            <v>0</v>
          </cell>
        </row>
        <row r="21">
          <cell r="C21" t="str">
            <v>Other Income</v>
          </cell>
          <cell r="Y21">
            <v>0</v>
          </cell>
          <cell r="AE21">
            <v>6</v>
          </cell>
          <cell r="AK21">
            <v>-3.2</v>
          </cell>
          <cell r="AQ21">
            <v>5.3</v>
          </cell>
          <cell r="AS21">
            <v>1.6</v>
          </cell>
          <cell r="AT21">
            <v>0.8</v>
          </cell>
          <cell r="AU21">
            <v>0.7</v>
          </cell>
          <cell r="AV21">
            <v>8.4</v>
          </cell>
          <cell r="AW21">
            <v>11.5</v>
          </cell>
          <cell r="AY21">
            <v>0.8</v>
          </cell>
          <cell r="AZ21">
            <v>-21.1</v>
          </cell>
          <cell r="BA21">
            <v>5.6</v>
          </cell>
          <cell r="BB21">
            <v>-17.100000000000001</v>
          </cell>
          <cell r="BC21">
            <v>-31.800000000000004</v>
          </cell>
          <cell r="BE21">
            <v>1.2</v>
          </cell>
          <cell r="BF21">
            <v>2</v>
          </cell>
          <cell r="BI21">
            <v>3.2</v>
          </cell>
          <cell r="BO21">
            <v>0</v>
          </cell>
          <cell r="BU21">
            <v>0</v>
          </cell>
          <cell r="CA21">
            <v>0</v>
          </cell>
        </row>
        <row r="22">
          <cell r="C22" t="str">
            <v>Total operating expenses</v>
          </cell>
          <cell r="I22">
            <v>465.19400000000002</v>
          </cell>
          <cell r="J22">
            <v>459.88</v>
          </cell>
          <cell r="K22">
            <v>471.58000000000004</v>
          </cell>
          <cell r="L22">
            <v>532.88900000000001</v>
          </cell>
          <cell r="M22">
            <v>1926.462</v>
          </cell>
          <cell r="O22">
            <v>497.721</v>
          </cell>
          <cell r="P22">
            <v>572.75800000000004</v>
          </cell>
          <cell r="Q22">
            <v>584.71100000000001</v>
          </cell>
          <cell r="R22">
            <v>627.34499999999991</v>
          </cell>
          <cell r="S22">
            <v>2282.5349999999999</v>
          </cell>
          <cell r="U22">
            <v>587.28699999999992</v>
          </cell>
          <cell r="V22">
            <v>609.59399999999994</v>
          </cell>
          <cell r="W22">
            <v>616.28399999999999</v>
          </cell>
          <cell r="X22">
            <v>1405.5830000000001</v>
          </cell>
          <cell r="Y22">
            <v>3203.6</v>
          </cell>
          <cell r="AA22">
            <v>1962.6999999999998</v>
          </cell>
          <cell r="AB22">
            <v>1981.3</v>
          </cell>
          <cell r="AC22">
            <v>1996.4999999999998</v>
          </cell>
          <cell r="AD22">
            <v>2169</v>
          </cell>
          <cell r="AE22">
            <v>7993.9</v>
          </cell>
          <cell r="AG22">
            <v>2106.9</v>
          </cell>
          <cell r="AH22">
            <v>2233</v>
          </cell>
          <cell r="AI22">
            <v>2133.7000000000003</v>
          </cell>
          <cell r="AJ22">
            <v>2154.6</v>
          </cell>
          <cell r="AK22">
            <v>8496.3000000000029</v>
          </cell>
          <cell r="AM22">
            <v>1906.1000000000001</v>
          </cell>
          <cell r="AN22">
            <v>2065.5</v>
          </cell>
          <cell r="AO22">
            <v>2093.6</v>
          </cell>
          <cell r="AP22">
            <v>2329.6000000000004</v>
          </cell>
          <cell r="AQ22">
            <v>8262.1999999999989</v>
          </cell>
          <cell r="AS22">
            <v>2171.9999999999995</v>
          </cell>
          <cell r="AT22">
            <v>2148.2999999999997</v>
          </cell>
          <cell r="AU22">
            <v>2177.6</v>
          </cell>
          <cell r="AV22">
            <v>2232.2000000000003</v>
          </cell>
          <cell r="AW22">
            <v>8730.0999999999985</v>
          </cell>
          <cell r="AY22">
            <v>2204.4</v>
          </cell>
          <cell r="AZ22">
            <v>2343.7000000000003</v>
          </cell>
          <cell r="BA22">
            <v>2386.1000000000004</v>
          </cell>
          <cell r="BB22">
            <v>2496.8000000000002</v>
          </cell>
          <cell r="BC22">
            <v>9431.0000000000018</v>
          </cell>
          <cell r="BE22">
            <v>2483.8000000000002</v>
          </cell>
          <cell r="BF22">
            <v>2518</v>
          </cell>
          <cell r="BG22">
            <v>2387.7231970227112</v>
          </cell>
          <cell r="BH22">
            <v>2447.3250116828635</v>
          </cell>
          <cell r="BI22">
            <v>9836.8482087055745</v>
          </cell>
          <cell r="BK22">
            <v>2548.2759793021423</v>
          </cell>
          <cell r="BL22">
            <v>2614.8076235212275</v>
          </cell>
          <cell r="BM22">
            <v>2454.1030277883074</v>
          </cell>
          <cell r="BN22">
            <v>2516.5520113776174</v>
          </cell>
          <cell r="BO22">
            <v>10133.738641989294</v>
          </cell>
          <cell r="BQ22">
            <v>2617.1345076595826</v>
          </cell>
          <cell r="BR22">
            <v>2692.9974260991071</v>
          </cell>
          <cell r="BS22">
            <v>2523.7543866320093</v>
          </cell>
          <cell r="BT22">
            <v>2598.3562872365055</v>
          </cell>
          <cell r="BU22">
            <v>10432.242607627206</v>
          </cell>
          <cell r="BW22">
            <v>2708.9305329389731</v>
          </cell>
          <cell r="BX22">
            <v>2782.251583903048</v>
          </cell>
          <cell r="BY22">
            <v>2603.2036023840888</v>
          </cell>
          <cell r="BZ22">
            <v>2692.6938712344704</v>
          </cell>
          <cell r="CA22">
            <v>10787.07959046058</v>
          </cell>
        </row>
        <row r="24">
          <cell r="C24" t="str">
            <v>EBITA (non-GAAP)</v>
          </cell>
          <cell r="I24">
            <v>59.838000000000022</v>
          </cell>
          <cell r="J24">
            <v>65.428999999999974</v>
          </cell>
          <cell r="K24">
            <v>70.7349999999999</v>
          </cell>
          <cell r="L24">
            <v>80.450000000000045</v>
          </cell>
          <cell r="M24">
            <v>279.53300000000036</v>
          </cell>
          <cell r="O24">
            <v>61.486999999999966</v>
          </cell>
          <cell r="P24">
            <v>80.862999999999943</v>
          </cell>
          <cell r="Q24">
            <v>94.700000000000045</v>
          </cell>
          <cell r="R24">
            <v>113.44200000000012</v>
          </cell>
          <cell r="S24">
            <v>350.49200000000019</v>
          </cell>
          <cell r="U24">
            <v>97.000000000000114</v>
          </cell>
          <cell r="V24">
            <v>103.87400000000002</v>
          </cell>
          <cell r="W24">
            <v>108.678</v>
          </cell>
          <cell r="X24">
            <v>263.31699999999978</v>
          </cell>
          <cell r="Y24">
            <v>563.20000000000027</v>
          </cell>
          <cell r="AA24">
            <v>375.50000000000045</v>
          </cell>
          <cell r="AB24">
            <v>404.60000000000014</v>
          </cell>
          <cell r="AC24">
            <v>404.70000000000005</v>
          </cell>
          <cell r="AD24">
            <v>452.09999999999991</v>
          </cell>
          <cell r="AE24">
            <v>1598.6000000000004</v>
          </cell>
          <cell r="AG24">
            <v>447.09999999999991</v>
          </cell>
          <cell r="AH24">
            <v>476.60000000000036</v>
          </cell>
          <cell r="AI24">
            <v>454.40000000000009</v>
          </cell>
          <cell r="AJ24">
            <v>491.69999999999982</v>
          </cell>
          <cell r="AK24">
            <v>1816.8999999999978</v>
          </cell>
          <cell r="AM24">
            <v>349.00000000000023</v>
          </cell>
          <cell r="AN24">
            <v>418.59999999999991</v>
          </cell>
          <cell r="AO24">
            <v>437.5</v>
          </cell>
          <cell r="AP24">
            <v>509.79999999999973</v>
          </cell>
          <cell r="AQ24">
            <v>1649.4000000000015</v>
          </cell>
          <cell r="AS24">
            <v>454.90000000000009</v>
          </cell>
          <cell r="AT24">
            <v>447.40000000000009</v>
          </cell>
          <cell r="AU24">
            <v>451.09999999999991</v>
          </cell>
          <cell r="AV24">
            <v>486.69999999999982</v>
          </cell>
          <cell r="AW24">
            <v>1840.1000000000004</v>
          </cell>
          <cell r="AY24">
            <v>478.19999999999982</v>
          </cell>
          <cell r="AZ24">
            <v>510.29999999999973</v>
          </cell>
          <cell r="BA24">
            <v>546.79999999999973</v>
          </cell>
          <cell r="BB24">
            <v>592.5</v>
          </cell>
          <cell r="BC24">
            <v>2127.7999999999975</v>
          </cell>
          <cell r="BE24">
            <v>573</v>
          </cell>
          <cell r="BF24">
            <v>590.09999999999991</v>
          </cell>
          <cell r="BG24">
            <v>574.47964439206589</v>
          </cell>
          <cell r="BH24">
            <v>607.21515781864127</v>
          </cell>
          <cell r="BI24">
            <v>2344.7948022107066</v>
          </cell>
          <cell r="BK24">
            <v>599.49612102785795</v>
          </cell>
          <cell r="BL24">
            <v>622.77793001877262</v>
          </cell>
          <cell r="BM24">
            <v>594.232205711608</v>
          </cell>
          <cell r="BN24">
            <v>630.28274509499806</v>
          </cell>
          <cell r="BO24">
            <v>2446.7890018532362</v>
          </cell>
          <cell r="BQ24">
            <v>637.80925423361759</v>
          </cell>
          <cell r="BR24">
            <v>664.26346374699278</v>
          </cell>
          <cell r="BS24">
            <v>632.6613394973765</v>
          </cell>
          <cell r="BT24">
            <v>673.27165288508331</v>
          </cell>
          <cell r="BU24">
            <v>2608.0057103630697</v>
          </cell>
          <cell r="BW24">
            <v>683.38514505062085</v>
          </cell>
          <cell r="BX24">
            <v>710.22587115370288</v>
          </cell>
          <cell r="BY24">
            <v>675.12871910853664</v>
          </cell>
          <cell r="BZ24">
            <v>721.35863942627202</v>
          </cell>
          <cell r="CA24">
            <v>2790.0983747391329</v>
          </cell>
        </row>
        <row r="25">
          <cell r="C25" t="str">
            <v>Depreciation</v>
          </cell>
          <cell r="I25">
            <v>10.878</v>
          </cell>
          <cell r="J25">
            <v>10.782</v>
          </cell>
          <cell r="K25">
            <v>10.204000000000001</v>
          </cell>
          <cell r="L25">
            <v>11.477</v>
          </cell>
          <cell r="M25">
            <v>43.341000000000001</v>
          </cell>
          <cell r="O25">
            <v>10.151999999999999</v>
          </cell>
          <cell r="P25">
            <v>10.76</v>
          </cell>
          <cell r="Q25">
            <v>12.34</v>
          </cell>
          <cell r="R25">
            <v>12.419999999999996</v>
          </cell>
          <cell r="S25">
            <v>45.67199999999999</v>
          </cell>
          <cell r="U25">
            <v>11.8</v>
          </cell>
          <cell r="V25">
            <v>13.4</v>
          </cell>
          <cell r="W25">
            <v>13.4</v>
          </cell>
          <cell r="X25">
            <v>30.400000000000002</v>
          </cell>
          <cell r="Y25">
            <v>69</v>
          </cell>
          <cell r="AA25">
            <v>46</v>
          </cell>
          <cell r="AB25">
            <v>45</v>
          </cell>
          <cell r="AC25">
            <v>46.1</v>
          </cell>
          <cell r="AD25">
            <v>41.900000000000006</v>
          </cell>
          <cell r="AE25">
            <v>179</v>
          </cell>
          <cell r="AG25">
            <v>47.6</v>
          </cell>
          <cell r="AH25">
            <v>48.2</v>
          </cell>
          <cell r="AI25">
            <v>47.7</v>
          </cell>
          <cell r="AJ25">
            <v>39.199999999999996</v>
          </cell>
          <cell r="AK25">
            <v>182.7</v>
          </cell>
          <cell r="AM25">
            <v>45</v>
          </cell>
          <cell r="AN25">
            <v>47.2</v>
          </cell>
          <cell r="AO25">
            <v>47.3</v>
          </cell>
          <cell r="AP25">
            <v>43.499999999999986</v>
          </cell>
          <cell r="AQ25">
            <v>183</v>
          </cell>
          <cell r="AS25">
            <v>46.9</v>
          </cell>
          <cell r="AT25">
            <v>47.5</v>
          </cell>
          <cell r="AU25">
            <v>47.3</v>
          </cell>
          <cell r="AV25">
            <v>49.6</v>
          </cell>
          <cell r="AW25">
            <v>191.29999999999998</v>
          </cell>
          <cell r="AY25">
            <v>48.9</v>
          </cell>
          <cell r="AZ25">
            <v>51.4</v>
          </cell>
          <cell r="BA25">
            <v>55.1</v>
          </cell>
          <cell r="BB25">
            <v>60.2</v>
          </cell>
          <cell r="BC25">
            <v>215.60000000000002</v>
          </cell>
          <cell r="BE25">
            <v>59.9</v>
          </cell>
          <cell r="BF25">
            <v>58.2</v>
          </cell>
          <cell r="BG25">
            <v>54.116208453016007</v>
          </cell>
          <cell r="BH25">
            <v>56.258710538153785</v>
          </cell>
          <cell r="BI25">
            <v>228.4749189911698</v>
          </cell>
          <cell r="BK25">
            <v>59.991179738172313</v>
          </cell>
          <cell r="BL25">
            <v>61.768032329741438</v>
          </cell>
          <cell r="BM25">
            <v>63.59558276791681</v>
          </cell>
          <cell r="BN25">
            <v>65.316305293873484</v>
          </cell>
          <cell r="BO25">
            <v>250.67110012970403</v>
          </cell>
          <cell r="BQ25">
            <v>67.092628774119092</v>
          </cell>
          <cell r="BR25">
            <v>68.965311194370472</v>
          </cell>
          <cell r="BS25">
            <v>70.896860219031808</v>
          </cell>
          <cell r="BT25">
            <v>72.712856031472342</v>
          </cell>
          <cell r="BU25">
            <v>279.66765621899367</v>
          </cell>
          <cell r="BW25">
            <v>74.595137440078133</v>
          </cell>
          <cell r="BX25">
            <v>76.583679558328157</v>
          </cell>
          <cell r="BY25">
            <v>78.630935526126194</v>
          </cell>
          <cell r="BZ25">
            <v>80.552661720774424</v>
          </cell>
          <cell r="CA25">
            <v>310.36241424530692</v>
          </cell>
        </row>
        <row r="26">
          <cell r="C26" t="str">
            <v>Stock based compensation</v>
          </cell>
          <cell r="M26">
            <v>17.8</v>
          </cell>
          <cell r="S26">
            <v>2.8</v>
          </cell>
        </row>
        <row r="27">
          <cell r="C27" t="str">
            <v>EBITDA (non-GAAP)</v>
          </cell>
          <cell r="I27">
            <v>70.716000000000022</v>
          </cell>
          <cell r="J27">
            <v>76.21099999999997</v>
          </cell>
          <cell r="K27">
            <v>80.938999999999908</v>
          </cell>
          <cell r="L27">
            <v>91.927000000000049</v>
          </cell>
          <cell r="M27">
            <v>340.67400000000038</v>
          </cell>
          <cell r="O27">
            <v>71.638999999999967</v>
          </cell>
          <cell r="P27">
            <v>91.622999999999948</v>
          </cell>
          <cell r="Q27">
            <v>107.04000000000005</v>
          </cell>
          <cell r="R27">
            <v>125.86200000000012</v>
          </cell>
          <cell r="S27">
            <v>398.96400000000017</v>
          </cell>
          <cell r="U27">
            <v>108.80000000000011</v>
          </cell>
          <cell r="V27">
            <v>117.27400000000003</v>
          </cell>
          <cell r="W27">
            <v>122.078</v>
          </cell>
          <cell r="X27">
            <v>293.71699999999976</v>
          </cell>
          <cell r="Y27">
            <v>632.20000000000027</v>
          </cell>
          <cell r="AA27">
            <v>421.50000000000045</v>
          </cell>
          <cell r="AB27">
            <v>449.60000000000014</v>
          </cell>
          <cell r="AC27">
            <v>450.80000000000007</v>
          </cell>
          <cell r="AD27">
            <v>493.99999999999989</v>
          </cell>
          <cell r="AE27">
            <v>1777.6000000000004</v>
          </cell>
          <cell r="AG27">
            <v>494.69999999999993</v>
          </cell>
          <cell r="AH27">
            <v>524.80000000000041</v>
          </cell>
          <cell r="AI27">
            <v>502.10000000000008</v>
          </cell>
          <cell r="AJ27">
            <v>530.89999999999986</v>
          </cell>
          <cell r="AK27">
            <v>1999.5999999999979</v>
          </cell>
          <cell r="AM27">
            <v>394.00000000000023</v>
          </cell>
          <cell r="AN27">
            <v>465.7999999999999</v>
          </cell>
          <cell r="AO27">
            <v>484.8</v>
          </cell>
          <cell r="AP27">
            <v>553.29999999999973</v>
          </cell>
          <cell r="AQ27">
            <v>1832.4000000000015</v>
          </cell>
          <cell r="AS27">
            <v>501.80000000000007</v>
          </cell>
          <cell r="AT27">
            <v>494.90000000000009</v>
          </cell>
          <cell r="AU27">
            <v>498.39999999999992</v>
          </cell>
          <cell r="AV27">
            <v>536.29999999999984</v>
          </cell>
          <cell r="AW27">
            <v>2031.4000000000003</v>
          </cell>
          <cell r="AY27">
            <v>527.0999999999998</v>
          </cell>
          <cell r="AZ27">
            <v>561.6999999999997</v>
          </cell>
          <cell r="BA27">
            <v>601.89999999999975</v>
          </cell>
          <cell r="BB27">
            <v>652.70000000000005</v>
          </cell>
          <cell r="BC27">
            <v>2343.3999999999974</v>
          </cell>
          <cell r="BE27">
            <v>632.9</v>
          </cell>
          <cell r="BF27">
            <v>648.29999999999995</v>
          </cell>
          <cell r="BG27">
            <v>628.59585284508194</v>
          </cell>
          <cell r="BH27">
            <v>663.47386835679504</v>
          </cell>
          <cell r="BI27">
            <v>2573.2697212018766</v>
          </cell>
          <cell r="BK27">
            <v>659.48730076603022</v>
          </cell>
          <cell r="BL27">
            <v>684.54596234851408</v>
          </cell>
          <cell r="BM27">
            <v>657.82778847952477</v>
          </cell>
          <cell r="BN27">
            <v>695.59905038887155</v>
          </cell>
          <cell r="BO27">
            <v>2697.4601019829402</v>
          </cell>
          <cell r="BQ27">
            <v>704.90188300773673</v>
          </cell>
          <cell r="BR27">
            <v>733.22877494136321</v>
          </cell>
          <cell r="BS27">
            <v>703.55819971640835</v>
          </cell>
          <cell r="BT27">
            <v>745.98450891655568</v>
          </cell>
          <cell r="BU27">
            <v>2887.6733665820634</v>
          </cell>
          <cell r="BW27">
            <v>757.98028249069898</v>
          </cell>
          <cell r="BX27">
            <v>786.80955071203107</v>
          </cell>
          <cell r="BY27">
            <v>753.75965463466287</v>
          </cell>
          <cell r="BZ27">
            <v>801.9113011470464</v>
          </cell>
          <cell r="CA27">
            <v>3100.4607889844397</v>
          </cell>
        </row>
        <row r="28">
          <cell r="C28" t="str">
            <v>Other expense, net</v>
          </cell>
          <cell r="I28">
            <v>2.6019999999999999</v>
          </cell>
          <cell r="J28">
            <v>10.667</v>
          </cell>
          <cell r="K28">
            <v>2.4710000000000001</v>
          </cell>
          <cell r="L28">
            <v>5.9670000000000005</v>
          </cell>
          <cell r="M28">
            <v>12.1</v>
          </cell>
          <cell r="O28">
            <v>3.3039999999999998</v>
          </cell>
          <cell r="P28">
            <v>25.504000000000001</v>
          </cell>
          <cell r="Q28">
            <v>-2.7509999999999999</v>
          </cell>
          <cell r="R28">
            <v>-3.6460000000000004</v>
          </cell>
          <cell r="S28">
            <v>22.410999999999998</v>
          </cell>
          <cell r="U28">
            <v>-3.7789999999999999</v>
          </cell>
          <cell r="V28">
            <v>-3.383</v>
          </cell>
          <cell r="W28">
            <v>-5.7430000000000003</v>
          </cell>
          <cell r="X28">
            <v>-19.683999999999997</v>
          </cell>
          <cell r="Y28">
            <v>-35.400000000000091</v>
          </cell>
          <cell r="AA28">
            <v>-26.7</v>
          </cell>
          <cell r="AB28">
            <v>-20.599999999999998</v>
          </cell>
          <cell r="AC28">
            <v>-18.2</v>
          </cell>
          <cell r="AD28">
            <v>-21.6</v>
          </cell>
          <cell r="AE28">
            <v>-107.69999999999982</v>
          </cell>
          <cell r="AG28">
            <v>-21.9</v>
          </cell>
          <cell r="AH28">
            <v>-22</v>
          </cell>
          <cell r="AI28">
            <v>-22.1</v>
          </cell>
          <cell r="AJ28">
            <v>-17.700000000000003</v>
          </cell>
          <cell r="AK28">
            <v>-104.60000000000014</v>
          </cell>
          <cell r="AM28">
            <v>-21.8</v>
          </cell>
          <cell r="AN28">
            <v>-26.000000000000004</v>
          </cell>
          <cell r="AO28">
            <v>-26</v>
          </cell>
          <cell r="AP28">
            <v>-27.599999999999994</v>
          </cell>
          <cell r="AQ28">
            <v>-101.30000000000018</v>
          </cell>
          <cell r="AS28">
            <v>-22.600000000000023</v>
          </cell>
          <cell r="AT28">
            <v>-20.699999999999932</v>
          </cell>
          <cell r="AU28">
            <v>-13.899999999999977</v>
          </cell>
          <cell r="AV28">
            <v>-14.800000000000011</v>
          </cell>
          <cell r="AW28">
            <v>-71.999999999999943</v>
          </cell>
          <cell r="AY28">
            <v>-21.699999999999989</v>
          </cell>
          <cell r="AZ28">
            <v>-31.300000000000011</v>
          </cell>
          <cell r="BA28">
            <v>-44.699999999999932</v>
          </cell>
          <cell r="BB28">
            <v>-52.699999999999932</v>
          </cell>
          <cell r="BC28">
            <v>-150.39999999999986</v>
          </cell>
          <cell r="BE28">
            <v>-48.7</v>
          </cell>
          <cell r="BF28">
            <v>-45</v>
          </cell>
          <cell r="BG28">
            <v>-65</v>
          </cell>
          <cell r="BH28">
            <v>-66</v>
          </cell>
          <cell r="BI28">
            <v>-224.7</v>
          </cell>
          <cell r="BK28">
            <v>-46.71619510034666</v>
          </cell>
          <cell r="BL28">
            <v>-46.946405401611656</v>
          </cell>
          <cell r="BM28">
            <v>-45.505220811841525</v>
          </cell>
          <cell r="BN28">
            <v>-44.045260390704875</v>
          </cell>
          <cell r="BO28">
            <v>-183.2130817045047</v>
          </cell>
          <cell r="BQ28">
            <v>-40.843911119621026</v>
          </cell>
          <cell r="BR28">
            <v>-41.956400744679591</v>
          </cell>
          <cell r="BS28">
            <v>-40.55455161471258</v>
          </cell>
          <cell r="BT28">
            <v>-35.291556059203501</v>
          </cell>
          <cell r="BU28">
            <v>-158.64641953821672</v>
          </cell>
          <cell r="BW28">
            <v>-36.076674331650167</v>
          </cell>
          <cell r="BX28">
            <v>-28.29914366690463</v>
          </cell>
          <cell r="BY28">
            <v>-30.617511906393428</v>
          </cell>
          <cell r="BZ28">
            <v>-28.695245313754775</v>
          </cell>
          <cell r="CA28">
            <v>-123.68857521870299</v>
          </cell>
        </row>
        <row r="29">
          <cell r="C29" t="str">
            <v>Pretax Income</v>
          </cell>
          <cell r="I29">
            <v>62.440000000000019</v>
          </cell>
          <cell r="J29">
            <v>76.095999999999975</v>
          </cell>
          <cell r="K29">
            <v>73.205999999999904</v>
          </cell>
          <cell r="L29">
            <v>86.417000000000044</v>
          </cell>
          <cell r="M29">
            <v>291.63300000000038</v>
          </cell>
          <cell r="O29">
            <v>64.790999999999968</v>
          </cell>
          <cell r="P29">
            <v>106.36699999999995</v>
          </cell>
          <cell r="Q29">
            <v>91.949000000000041</v>
          </cell>
          <cell r="R29">
            <v>109.79600000000012</v>
          </cell>
          <cell r="S29">
            <v>372.90300000000019</v>
          </cell>
          <cell r="U29">
            <v>93.221000000000117</v>
          </cell>
          <cell r="V29">
            <v>100.49100000000003</v>
          </cell>
          <cell r="W29">
            <v>102.935</v>
          </cell>
          <cell r="X29">
            <v>243.63299999999978</v>
          </cell>
          <cell r="Y29">
            <v>527.80000000000018</v>
          </cell>
          <cell r="AA29">
            <v>348.80000000000047</v>
          </cell>
          <cell r="AB29">
            <v>384.00000000000011</v>
          </cell>
          <cell r="AC29">
            <v>386.50000000000006</v>
          </cell>
          <cell r="AD29">
            <v>430.49999999999989</v>
          </cell>
          <cell r="AE29">
            <v>1490.9000000000005</v>
          </cell>
          <cell r="AG29">
            <v>425.19999999999993</v>
          </cell>
          <cell r="AH29">
            <v>454.60000000000036</v>
          </cell>
          <cell r="AI29">
            <v>432.30000000000007</v>
          </cell>
          <cell r="AJ29">
            <v>473.99999999999983</v>
          </cell>
          <cell r="AK29">
            <v>1712.2999999999977</v>
          </cell>
          <cell r="AM29">
            <v>327.20000000000022</v>
          </cell>
          <cell r="AN29">
            <v>392.59999999999991</v>
          </cell>
          <cell r="AO29">
            <v>411.5</v>
          </cell>
          <cell r="AP29">
            <v>482.1999999999997</v>
          </cell>
          <cell r="AQ29">
            <v>1548.1000000000013</v>
          </cell>
          <cell r="AS29">
            <v>432.30000000000007</v>
          </cell>
          <cell r="AT29">
            <v>426.70000000000016</v>
          </cell>
          <cell r="AU29">
            <v>437.19999999999993</v>
          </cell>
          <cell r="AV29">
            <v>471.89999999999981</v>
          </cell>
          <cell r="AW29">
            <v>1768.1000000000004</v>
          </cell>
          <cell r="AY29">
            <v>456.49999999999983</v>
          </cell>
          <cell r="AZ29">
            <v>478.99999999999972</v>
          </cell>
          <cell r="BA29">
            <v>502.0999999999998</v>
          </cell>
          <cell r="BB29">
            <v>539.80000000000007</v>
          </cell>
          <cell r="BC29">
            <v>1977.3999999999976</v>
          </cell>
          <cell r="BE29">
            <v>524.29999999999995</v>
          </cell>
          <cell r="BF29">
            <v>545.09999999999991</v>
          </cell>
          <cell r="BG29">
            <v>509.47964439206589</v>
          </cell>
          <cell r="BH29">
            <v>541.21515781864127</v>
          </cell>
          <cell r="BI29">
            <v>2120.0948022107068</v>
          </cell>
          <cell r="BK29">
            <v>552.77992592751127</v>
          </cell>
          <cell r="BL29">
            <v>575.83152461716099</v>
          </cell>
          <cell r="BM29">
            <v>548.72698489976642</v>
          </cell>
          <cell r="BN29">
            <v>586.23748470429314</v>
          </cell>
          <cell r="BO29">
            <v>2263.5759201487317</v>
          </cell>
          <cell r="BQ29">
            <v>596.9653431139966</v>
          </cell>
          <cell r="BR29">
            <v>622.30706300231316</v>
          </cell>
          <cell r="BS29">
            <v>592.10678788266387</v>
          </cell>
          <cell r="BT29">
            <v>637.98009682587985</v>
          </cell>
          <cell r="BU29">
            <v>2449.3592908248529</v>
          </cell>
          <cell r="BW29">
            <v>647.30847071897074</v>
          </cell>
          <cell r="BX29">
            <v>681.9267274867982</v>
          </cell>
          <cell r="BY29">
            <v>644.51120720214317</v>
          </cell>
          <cell r="BZ29">
            <v>692.66339411251727</v>
          </cell>
          <cell r="CA29">
            <v>2666.4097995204297</v>
          </cell>
        </row>
        <row r="30">
          <cell r="C30" t="str">
            <v>Provision for income taxes</v>
          </cell>
          <cell r="I30">
            <v>15.811</v>
          </cell>
          <cell r="J30">
            <v>19.058</v>
          </cell>
          <cell r="K30">
            <v>19.451000000000001</v>
          </cell>
          <cell r="L30">
            <v>-13.468</v>
          </cell>
          <cell r="M30">
            <v>77</v>
          </cell>
          <cell r="O30">
            <v>17.785</v>
          </cell>
          <cell r="P30">
            <v>50.914999999999999</v>
          </cell>
          <cell r="Q30">
            <v>30.009999999999998</v>
          </cell>
          <cell r="R30">
            <v>32.704999999999998</v>
          </cell>
          <cell r="S30">
            <v>131.41500000000002</v>
          </cell>
          <cell r="U30">
            <v>28.413999999999998</v>
          </cell>
          <cell r="V30">
            <v>30.719000000000001</v>
          </cell>
          <cell r="W30">
            <v>31.494</v>
          </cell>
          <cell r="X30">
            <v>61.996999999999993</v>
          </cell>
          <cell r="Y30">
            <v>148.30000000000001</v>
          </cell>
          <cell r="AA30">
            <v>87.3</v>
          </cell>
          <cell r="AB30">
            <v>92.9</v>
          </cell>
          <cell r="AC30">
            <v>95.2</v>
          </cell>
          <cell r="AD30">
            <v>97</v>
          </cell>
          <cell r="AE30">
            <v>349.2</v>
          </cell>
          <cell r="AG30">
            <v>103.4</v>
          </cell>
          <cell r="AH30">
            <v>107.6</v>
          </cell>
          <cell r="AI30">
            <v>100.69999999999999</v>
          </cell>
          <cell r="AJ30">
            <v>99.1</v>
          </cell>
          <cell r="AK30">
            <v>382.3</v>
          </cell>
          <cell r="AM30">
            <v>65.400000000000006</v>
          </cell>
          <cell r="AN30">
            <v>78.5</v>
          </cell>
          <cell r="AO30">
            <v>82.3</v>
          </cell>
          <cell r="AP30">
            <v>96.6</v>
          </cell>
          <cell r="AQ30">
            <v>297.10000000000002</v>
          </cell>
          <cell r="AS30">
            <v>90.9</v>
          </cell>
          <cell r="AT30">
            <v>88.4</v>
          </cell>
          <cell r="AU30">
            <v>85.6</v>
          </cell>
          <cell r="AV30">
            <v>87.5</v>
          </cell>
          <cell r="AW30">
            <v>352.4</v>
          </cell>
          <cell r="AY30">
            <v>93.6</v>
          </cell>
          <cell r="AZ30">
            <v>96</v>
          </cell>
          <cell r="BA30">
            <v>92.9</v>
          </cell>
          <cell r="BB30">
            <v>95.2</v>
          </cell>
          <cell r="BC30">
            <v>377.7</v>
          </cell>
          <cell r="BE30">
            <v>91.8</v>
          </cell>
          <cell r="BF30">
            <v>96</v>
          </cell>
          <cell r="BG30">
            <v>87.121019191043274</v>
          </cell>
          <cell r="BH30">
            <v>92.494097991523631</v>
          </cell>
          <cell r="BI30">
            <v>367.41511718256692</v>
          </cell>
          <cell r="BK30">
            <v>96.183707111386951</v>
          </cell>
          <cell r="BL30">
            <v>100.19468528338601</v>
          </cell>
          <cell r="BM30">
            <v>95.478495372559351</v>
          </cell>
          <cell r="BN30">
            <v>102.00532233854699</v>
          </cell>
          <cell r="BO30">
            <v>393.86221010587929</v>
          </cell>
          <cell r="BQ30">
            <v>103.8719697018354</v>
          </cell>
          <cell r="BR30">
            <v>108.28142896240249</v>
          </cell>
          <cell r="BS30">
            <v>103.02658109158351</v>
          </cell>
          <cell r="BT30">
            <v>111.00853684770294</v>
          </cell>
          <cell r="BU30">
            <v>426.18851660352436</v>
          </cell>
          <cell r="BW30">
            <v>112.6316739051009</v>
          </cell>
          <cell r="BX30">
            <v>118.65525058270288</v>
          </cell>
          <cell r="BY30">
            <v>112.14495005317291</v>
          </cell>
          <cell r="BZ30">
            <v>120.523430575578</v>
          </cell>
          <cell r="CA30">
            <v>463.95530511655471</v>
          </cell>
        </row>
        <row r="31">
          <cell r="C31" t="str">
            <v>Adjustment for one-time items</v>
          </cell>
          <cell r="L31">
            <v>37.664999999999999</v>
          </cell>
          <cell r="M31">
            <v>51.991</v>
          </cell>
          <cell r="O31">
            <v>0.38800000000000001</v>
          </cell>
          <cell r="P31">
            <v>28.957000000000001</v>
          </cell>
          <cell r="Q31">
            <v>11.247999999999999</v>
          </cell>
          <cell r="R31">
            <v>3.2250000000000001</v>
          </cell>
          <cell r="S31">
            <v>43.818000000000005</v>
          </cell>
          <cell r="U31">
            <v>7.9669999999999996</v>
          </cell>
          <cell r="V31">
            <v>10.872</v>
          </cell>
          <cell r="W31">
            <v>10.959</v>
          </cell>
          <cell r="X31">
            <v>79.771999999999991</v>
          </cell>
          <cell r="AE31">
            <v>0</v>
          </cell>
          <cell r="AK31">
            <v>0</v>
          </cell>
        </row>
        <row r="32">
          <cell r="C32" t="str">
            <v>Net Income (Non-GAAP) - continuing ops</v>
          </cell>
          <cell r="I32">
            <v>46.629000000000019</v>
          </cell>
          <cell r="J32">
            <v>57.037999999999975</v>
          </cell>
          <cell r="K32">
            <v>53.754999999999903</v>
          </cell>
          <cell r="L32">
            <v>99.885000000000048</v>
          </cell>
          <cell r="M32">
            <v>214.63300000000038</v>
          </cell>
          <cell r="O32">
            <v>47.005999999999972</v>
          </cell>
          <cell r="P32">
            <v>55.451999999999948</v>
          </cell>
          <cell r="Q32">
            <v>61.939000000000043</v>
          </cell>
          <cell r="R32">
            <v>77.091000000000122</v>
          </cell>
          <cell r="S32">
            <v>241.48800000000017</v>
          </cell>
          <cell r="U32">
            <v>64.807000000000116</v>
          </cell>
          <cell r="V32">
            <v>69.77200000000002</v>
          </cell>
          <cell r="W32">
            <v>71.441000000000003</v>
          </cell>
          <cell r="X32">
            <v>181.6359999999998</v>
          </cell>
          <cell r="Y32">
            <v>379.50000000000017</v>
          </cell>
          <cell r="AA32">
            <v>261.50000000000045</v>
          </cell>
          <cell r="AB32">
            <v>291.10000000000014</v>
          </cell>
          <cell r="AC32">
            <v>291.30000000000007</v>
          </cell>
          <cell r="AD32">
            <v>333.49999999999989</v>
          </cell>
          <cell r="AE32">
            <v>1141.7000000000005</v>
          </cell>
          <cell r="AG32">
            <v>321.79999999999995</v>
          </cell>
          <cell r="AH32">
            <v>347.00000000000034</v>
          </cell>
          <cell r="AI32">
            <v>331.60000000000008</v>
          </cell>
          <cell r="AJ32">
            <v>374.89999999999986</v>
          </cell>
          <cell r="AK32">
            <v>1329.9999999999977</v>
          </cell>
          <cell r="AM32">
            <v>261.80000000000018</v>
          </cell>
          <cell r="AN32">
            <v>314.09999999999991</v>
          </cell>
          <cell r="AO32">
            <v>329.2</v>
          </cell>
          <cell r="AP32">
            <v>385.59999999999968</v>
          </cell>
          <cell r="AQ32">
            <v>1251.0000000000014</v>
          </cell>
          <cell r="AS32">
            <v>341.40000000000009</v>
          </cell>
          <cell r="AT32">
            <v>338.30000000000018</v>
          </cell>
          <cell r="AU32">
            <v>351.59999999999991</v>
          </cell>
          <cell r="AV32">
            <v>384.39999999999981</v>
          </cell>
          <cell r="AW32">
            <v>1415.7000000000003</v>
          </cell>
          <cell r="AY32">
            <v>362.89999999999986</v>
          </cell>
          <cell r="AZ32">
            <v>382.99999999999972</v>
          </cell>
          <cell r="BA32">
            <v>409.19999999999982</v>
          </cell>
          <cell r="BB32">
            <v>444.60000000000008</v>
          </cell>
          <cell r="BC32">
            <v>1599.6999999999975</v>
          </cell>
          <cell r="BE32">
            <v>432.49999999999994</v>
          </cell>
          <cell r="BF32">
            <v>449.09999999999991</v>
          </cell>
          <cell r="BG32">
            <v>422.35862520102262</v>
          </cell>
          <cell r="BH32">
            <v>448.72105982711764</v>
          </cell>
          <cell r="BI32">
            <v>1752.6796850281398</v>
          </cell>
          <cell r="BK32">
            <v>456.59621881612429</v>
          </cell>
          <cell r="BL32">
            <v>475.63683933377501</v>
          </cell>
          <cell r="BM32">
            <v>453.24848952720708</v>
          </cell>
          <cell r="BN32">
            <v>484.23216236574615</v>
          </cell>
          <cell r="BO32">
            <v>1869.7137100428524</v>
          </cell>
          <cell r="BQ32">
            <v>493.09337341216121</v>
          </cell>
          <cell r="BR32">
            <v>514.02563403991064</v>
          </cell>
          <cell r="BS32">
            <v>489.08020679108034</v>
          </cell>
          <cell r="BT32">
            <v>526.97155997817686</v>
          </cell>
          <cell r="BU32">
            <v>2023.1707742213284</v>
          </cell>
          <cell r="BW32">
            <v>534.67679681386983</v>
          </cell>
          <cell r="BX32">
            <v>563.27147690409538</v>
          </cell>
          <cell r="BY32">
            <v>532.36625714897025</v>
          </cell>
          <cell r="BZ32">
            <v>572.13996353693926</v>
          </cell>
          <cell r="CA32">
            <v>2202.4544944038748</v>
          </cell>
        </row>
        <row r="33">
          <cell r="C33" t="str">
            <v>Income from discontinued operations</v>
          </cell>
          <cell r="S33">
            <v>0</v>
          </cell>
          <cell r="Y33">
            <v>0</v>
          </cell>
          <cell r="AE33">
            <v>0</v>
          </cell>
          <cell r="AK33">
            <v>0</v>
          </cell>
          <cell r="AQ33">
            <v>0</v>
          </cell>
          <cell r="AW33">
            <v>0</v>
          </cell>
          <cell r="BC33">
            <v>0</v>
          </cell>
          <cell r="BG33">
            <v>0</v>
          </cell>
          <cell r="BH33">
            <v>0</v>
          </cell>
          <cell r="BI33">
            <v>0</v>
          </cell>
          <cell r="BK33">
            <v>0</v>
          </cell>
          <cell r="BL33">
            <v>0</v>
          </cell>
          <cell r="BM33">
            <v>0</v>
          </cell>
          <cell r="BN33">
            <v>0</v>
          </cell>
          <cell r="BO33">
            <v>0</v>
          </cell>
        </row>
        <row r="34">
          <cell r="C34" t="str">
            <v>Loss (Gain) on discontinued operations</v>
          </cell>
          <cell r="S34">
            <v>0</v>
          </cell>
          <cell r="AW34">
            <v>0</v>
          </cell>
          <cell r="BC34">
            <v>0</v>
          </cell>
          <cell r="BG34">
            <v>0</v>
          </cell>
          <cell r="BH34">
            <v>0</v>
          </cell>
          <cell r="BI34">
            <v>0</v>
          </cell>
          <cell r="BK34">
            <v>0</v>
          </cell>
          <cell r="BL34">
            <v>0</v>
          </cell>
          <cell r="BM34">
            <v>0</v>
          </cell>
          <cell r="BN34">
            <v>0</v>
          </cell>
          <cell r="BO34">
            <v>0</v>
          </cell>
          <cell r="BQ34">
            <v>0</v>
          </cell>
          <cell r="BR34">
            <v>0</v>
          </cell>
          <cell r="BS34">
            <v>0</v>
          </cell>
          <cell r="BT34">
            <v>0</v>
          </cell>
          <cell r="BU34">
            <v>0</v>
          </cell>
          <cell r="BW34">
            <v>0</v>
          </cell>
          <cell r="BX34">
            <v>0</v>
          </cell>
          <cell r="BY34">
            <v>0</v>
          </cell>
          <cell r="BZ34">
            <v>0</v>
          </cell>
          <cell r="CA34">
            <v>0</v>
          </cell>
        </row>
        <row r="35">
          <cell r="C35" t="str">
            <v>Net Income (Non-GAAP)</v>
          </cell>
          <cell r="I35">
            <v>46.629000000000019</v>
          </cell>
          <cell r="J35">
            <v>57.037999999999975</v>
          </cell>
          <cell r="K35">
            <v>53.754999999999903</v>
          </cell>
          <cell r="L35">
            <v>99.885000000000048</v>
          </cell>
          <cell r="M35">
            <v>214.63300000000038</v>
          </cell>
          <cell r="O35">
            <v>47.005999999999972</v>
          </cell>
          <cell r="P35">
            <v>55.451999999999948</v>
          </cell>
          <cell r="Q35">
            <v>61.939000000000043</v>
          </cell>
          <cell r="R35">
            <v>77.091000000000122</v>
          </cell>
          <cell r="S35">
            <v>241.48800000000017</v>
          </cell>
          <cell r="U35">
            <v>64.807000000000116</v>
          </cell>
          <cell r="V35">
            <v>69.77200000000002</v>
          </cell>
          <cell r="W35">
            <v>71.441000000000003</v>
          </cell>
          <cell r="X35">
            <v>181.6359999999998</v>
          </cell>
          <cell r="Y35">
            <v>379.50000000000017</v>
          </cell>
          <cell r="AA35">
            <v>261.50000000000045</v>
          </cell>
          <cell r="AB35">
            <v>291.10000000000014</v>
          </cell>
          <cell r="AC35">
            <v>291.30000000000007</v>
          </cell>
          <cell r="AD35">
            <v>333.49999999999989</v>
          </cell>
          <cell r="AE35">
            <v>1141.7000000000005</v>
          </cell>
          <cell r="AG35">
            <v>321.79999999999995</v>
          </cell>
          <cell r="AH35">
            <v>347.00000000000034</v>
          </cell>
          <cell r="AI35">
            <v>331.60000000000008</v>
          </cell>
          <cell r="AJ35">
            <v>374.89999999999986</v>
          </cell>
          <cell r="AK35">
            <v>1329.9999999999977</v>
          </cell>
          <cell r="AM35">
            <v>261.80000000000018</v>
          </cell>
          <cell r="AN35">
            <v>314.09999999999991</v>
          </cell>
          <cell r="AO35">
            <v>329.2</v>
          </cell>
          <cell r="AP35">
            <v>385.59999999999968</v>
          </cell>
          <cell r="AQ35">
            <v>1251.0000000000014</v>
          </cell>
          <cell r="AS35">
            <v>341.40000000000009</v>
          </cell>
          <cell r="AT35">
            <v>338.30000000000018</v>
          </cell>
          <cell r="AU35">
            <v>351.59999999999991</v>
          </cell>
          <cell r="AV35">
            <v>384.39999999999981</v>
          </cell>
          <cell r="AW35">
            <v>1415.7000000000003</v>
          </cell>
          <cell r="AY35">
            <v>362.89999999999986</v>
          </cell>
          <cell r="AZ35">
            <v>382.99999999999972</v>
          </cell>
          <cell r="BA35">
            <v>409.19999999999982</v>
          </cell>
          <cell r="BB35">
            <v>444.60000000000008</v>
          </cell>
          <cell r="BC35">
            <v>1599.6999999999975</v>
          </cell>
          <cell r="BE35">
            <v>432.49999999999994</v>
          </cell>
          <cell r="BF35">
            <v>449.09999999999991</v>
          </cell>
          <cell r="BG35">
            <v>422.35862520102262</v>
          </cell>
          <cell r="BH35">
            <v>448.72105982711764</v>
          </cell>
          <cell r="BI35">
            <v>1752.6796850281398</v>
          </cell>
          <cell r="BK35">
            <v>456.59621881612429</v>
          </cell>
          <cell r="BL35">
            <v>475.63683933377501</v>
          </cell>
          <cell r="BM35">
            <v>453.24848952720708</v>
          </cell>
          <cell r="BN35">
            <v>484.23216236574615</v>
          </cell>
          <cell r="BO35">
            <v>1869.7137100428524</v>
          </cell>
          <cell r="BQ35">
            <v>493.09337341216121</v>
          </cell>
          <cell r="BR35">
            <v>514.02563403991064</v>
          </cell>
          <cell r="BS35">
            <v>489.08020679108034</v>
          </cell>
          <cell r="BT35">
            <v>526.97155997817686</v>
          </cell>
          <cell r="BU35">
            <v>2023.1707742213284</v>
          </cell>
          <cell r="BW35">
            <v>534.67679681386983</v>
          </cell>
          <cell r="BX35">
            <v>563.27147690409538</v>
          </cell>
          <cell r="BY35">
            <v>532.36625714897025</v>
          </cell>
          <cell r="BZ35">
            <v>572.13996353693926</v>
          </cell>
          <cell r="CA35">
            <v>2202.4544944038748</v>
          </cell>
        </row>
        <row r="36">
          <cell r="C36" t="str">
            <v>One-time items</v>
          </cell>
          <cell r="I36">
            <v>6.9640000000000004</v>
          </cell>
          <cell r="J36">
            <v>6.4589999999999996</v>
          </cell>
          <cell r="K36">
            <v>11.114000000000001</v>
          </cell>
          <cell r="L36">
            <v>14.402999999999999</v>
          </cell>
          <cell r="M36">
            <v>32.420999999999992</v>
          </cell>
          <cell r="O36">
            <v>1.8109999999999999</v>
          </cell>
          <cell r="P36">
            <v>27.649000000000001</v>
          </cell>
          <cell r="Q36">
            <v>32.590000000000003</v>
          </cell>
          <cell r="R36">
            <v>24.954999999999998</v>
          </cell>
          <cell r="S36">
            <v>87.004999999999995</v>
          </cell>
          <cell r="U36">
            <v>29.155000000000001</v>
          </cell>
          <cell r="V36">
            <v>31.701000000000001</v>
          </cell>
          <cell r="W36">
            <v>33.567</v>
          </cell>
          <cell r="X36">
            <v>236.48699999999999</v>
          </cell>
          <cell r="Y36">
            <v>331.8</v>
          </cell>
          <cell r="AA36">
            <v>183.10000000000002</v>
          </cell>
          <cell r="AB36">
            <v>161.69999999999999</v>
          </cell>
          <cell r="AC36">
            <v>151.20000000000002</v>
          </cell>
          <cell r="AD36">
            <v>172.49999999999997</v>
          </cell>
          <cell r="AE36">
            <v>658.69999999999993</v>
          </cell>
          <cell r="AG36">
            <v>147.6</v>
          </cell>
          <cell r="AH36">
            <v>147.09999999999997</v>
          </cell>
          <cell r="AI36">
            <v>168.1</v>
          </cell>
          <cell r="AJ36">
            <v>173.7</v>
          </cell>
          <cell r="AK36">
            <v>619.4</v>
          </cell>
          <cell r="AM36">
            <v>112.9</v>
          </cell>
          <cell r="AN36">
            <v>107.2</v>
          </cell>
          <cell r="AO36">
            <v>108</v>
          </cell>
          <cell r="AP36">
            <v>201.30000000000004</v>
          </cell>
          <cell r="AQ36">
            <v>667.69999999999993</v>
          </cell>
          <cell r="AS36">
            <v>172.59999999999997</v>
          </cell>
          <cell r="AT36">
            <v>165.60000000000002</v>
          </cell>
          <cell r="AU36">
            <v>149.9</v>
          </cell>
          <cell r="AV36">
            <v>174.3</v>
          </cell>
          <cell r="AW36">
            <v>662.40000000000009</v>
          </cell>
          <cell r="AY36">
            <v>157.50000000000003</v>
          </cell>
          <cell r="AZ36">
            <v>223.4</v>
          </cell>
          <cell r="BA36">
            <v>237.4</v>
          </cell>
          <cell r="BB36">
            <v>232.5</v>
          </cell>
          <cell r="BC36">
            <v>850.80000000000007</v>
          </cell>
          <cell r="BE36">
            <v>219.3</v>
          </cell>
          <cell r="BF36">
            <v>224.3</v>
          </cell>
          <cell r="BG36">
            <v>209.50000000000003</v>
          </cell>
          <cell r="BH36">
            <v>209.50000000000003</v>
          </cell>
          <cell r="BI36">
            <v>862.6</v>
          </cell>
          <cell r="BK36">
            <v>186.82499999999999</v>
          </cell>
          <cell r="BL36">
            <v>186.82499999999999</v>
          </cell>
          <cell r="BM36">
            <v>186.82499999999999</v>
          </cell>
          <cell r="BN36">
            <v>186.82499999999999</v>
          </cell>
          <cell r="BO36">
            <v>747.3</v>
          </cell>
          <cell r="BQ36">
            <v>177.7</v>
          </cell>
          <cell r="BR36">
            <v>177.7</v>
          </cell>
          <cell r="BS36">
            <v>177.7</v>
          </cell>
          <cell r="BT36">
            <v>177.7</v>
          </cell>
          <cell r="BU36">
            <v>710.8</v>
          </cell>
          <cell r="BW36">
            <v>172.82499999999999</v>
          </cell>
          <cell r="BX36">
            <v>172.82499999999999</v>
          </cell>
          <cell r="BY36">
            <v>172.82499999999999</v>
          </cell>
          <cell r="BZ36">
            <v>172.82499999999999</v>
          </cell>
          <cell r="CA36">
            <v>691.3</v>
          </cell>
        </row>
        <row r="37">
          <cell r="C37" t="str">
            <v>Net income (GAAP)</v>
          </cell>
          <cell r="I37">
            <v>39.66500000000002</v>
          </cell>
          <cell r="J37">
            <v>50.578999999999979</v>
          </cell>
          <cell r="K37">
            <v>42.640999999999906</v>
          </cell>
          <cell r="L37">
            <v>85.482000000000056</v>
          </cell>
          <cell r="M37">
            <v>182.21200000000039</v>
          </cell>
          <cell r="O37">
            <v>45.194999999999972</v>
          </cell>
          <cell r="P37">
            <v>27.802999999999948</v>
          </cell>
          <cell r="Q37">
            <v>29.349000000000039</v>
          </cell>
          <cell r="R37">
            <v>52.136000000000124</v>
          </cell>
          <cell r="S37">
            <v>154.48300000000017</v>
          </cell>
          <cell r="U37">
            <v>35.652000000000115</v>
          </cell>
          <cell r="V37">
            <v>38.071000000000019</v>
          </cell>
          <cell r="W37">
            <v>37.874000000000002</v>
          </cell>
          <cell r="X37">
            <v>-54.851000000000198</v>
          </cell>
          <cell r="Y37">
            <v>166.7</v>
          </cell>
          <cell r="AA37">
            <v>78.400000000000432</v>
          </cell>
          <cell r="AB37">
            <v>129.40000000000015</v>
          </cell>
          <cell r="AC37">
            <v>140.10000000000005</v>
          </cell>
          <cell r="AD37">
            <v>160.99999999999991</v>
          </cell>
          <cell r="AE37">
            <v>748.4</v>
          </cell>
          <cell r="AG37">
            <v>174.19999999999996</v>
          </cell>
          <cell r="AH37">
            <v>199.90000000000038</v>
          </cell>
          <cell r="AI37">
            <v>163.50000000000009</v>
          </cell>
          <cell r="AJ37">
            <v>201.19999999999987</v>
          </cell>
          <cell r="AK37">
            <v>980.9</v>
          </cell>
          <cell r="AM37">
            <v>148.90000000000018</v>
          </cell>
          <cell r="AN37">
            <v>206.89999999999992</v>
          </cell>
          <cell r="AO37">
            <v>221.2</v>
          </cell>
          <cell r="AP37">
            <v>184.29999999999964</v>
          </cell>
          <cell r="AQ37">
            <v>850.3</v>
          </cell>
          <cell r="AS37">
            <v>232.3</v>
          </cell>
          <cell r="AT37">
            <v>237.3</v>
          </cell>
          <cell r="AU37">
            <v>268.5</v>
          </cell>
          <cell r="AV37">
            <v>297.5</v>
          </cell>
          <cell r="AW37">
            <v>1035.5999999999999</v>
          </cell>
          <cell r="AY37">
            <v>252.2</v>
          </cell>
          <cell r="AZ37">
            <v>523.4</v>
          </cell>
          <cell r="BA37">
            <v>265.39999999999998</v>
          </cell>
          <cell r="BB37">
            <v>288.89999999999998</v>
          </cell>
          <cell r="BC37">
            <v>1329.9</v>
          </cell>
          <cell r="BE37">
            <v>277.3</v>
          </cell>
          <cell r="BF37">
            <v>233.8</v>
          </cell>
          <cell r="BG37">
            <v>212.85862520102259</v>
          </cell>
          <cell r="BH37">
            <v>239.22105982711761</v>
          </cell>
          <cell r="BI37">
            <v>890.07968502813981</v>
          </cell>
          <cell r="BK37">
            <v>269.7712188161243</v>
          </cell>
          <cell r="BL37">
            <v>288.81183933377503</v>
          </cell>
          <cell r="BM37">
            <v>266.4234895272071</v>
          </cell>
          <cell r="BN37">
            <v>297.40716236574616</v>
          </cell>
          <cell r="BO37">
            <v>1122.4137100428525</v>
          </cell>
          <cell r="BQ37">
            <v>315.39337341216122</v>
          </cell>
          <cell r="BR37">
            <v>336.32563403991065</v>
          </cell>
          <cell r="BS37">
            <v>311.38020679108035</v>
          </cell>
          <cell r="BT37">
            <v>349.27155997817687</v>
          </cell>
          <cell r="BU37">
            <v>1312.3707742213285</v>
          </cell>
          <cell r="BW37">
            <v>361.85179681386984</v>
          </cell>
          <cell r="BX37">
            <v>390.44647690409539</v>
          </cell>
          <cell r="BY37">
            <v>359.54125714897026</v>
          </cell>
          <cell r="BZ37">
            <v>399.31496353693927</v>
          </cell>
          <cell r="CA37">
            <v>1511.1544944038749</v>
          </cell>
        </row>
        <row r="39">
          <cell r="C39" t="str">
            <v>Diluted EPS (GAAP)</v>
          </cell>
          <cell r="I39">
            <v>0.23332901950634144</v>
          </cell>
          <cell r="J39">
            <v>0.29661449322957278</v>
          </cell>
          <cell r="K39">
            <v>0.25754061726158067</v>
          </cell>
          <cell r="L39">
            <v>0.51972008244313828</v>
          </cell>
          <cell r="M39">
            <v>1.0869178780847191</v>
          </cell>
          <cell r="O39">
            <v>0.27435804042979406</v>
          </cell>
          <cell r="P39">
            <v>0.1688530165555269</v>
          </cell>
          <cell r="Q39">
            <v>0.17719081112083823</v>
          </cell>
          <cell r="R39">
            <v>0.31348309201981889</v>
          </cell>
          <cell r="S39">
            <v>0.93436921625316127</v>
          </cell>
          <cell r="U39">
            <v>0.21350804278305516</v>
          </cell>
          <cell r="V39">
            <v>0.2300042894340969</v>
          </cell>
          <cell r="W39">
            <v>0.23355800716571803</v>
          </cell>
          <cell r="X39">
            <v>-0.17229183222819441</v>
          </cell>
          <cell r="Y39">
            <v>0.8184728386818021</v>
          </cell>
          <cell r="AA39">
            <v>0.17773747449558019</v>
          </cell>
          <cell r="AB39">
            <v>0.28980963045912689</v>
          </cell>
          <cell r="AC39">
            <v>0.31370353784146898</v>
          </cell>
          <cell r="AD39">
            <v>0.36532788745178107</v>
          </cell>
          <cell r="AE39">
            <v>1.6867252648185711</v>
          </cell>
          <cell r="AG39">
            <v>0.39935809261806504</v>
          </cell>
          <cell r="AH39">
            <v>0.45722781335773188</v>
          </cell>
          <cell r="AI39">
            <v>0.37286202964652243</v>
          </cell>
          <cell r="AJ39">
            <v>0.47075339260645738</v>
          </cell>
          <cell r="AK39">
            <v>2.2559797608095673</v>
          </cell>
          <cell r="AM39">
            <v>0.3501058076651779</v>
          </cell>
          <cell r="AN39">
            <v>0.4883172055699786</v>
          </cell>
          <cell r="AO39">
            <v>0.52641599238457881</v>
          </cell>
          <cell r="AP39">
            <v>0.43652297489341463</v>
          </cell>
          <cell r="AQ39">
            <v>2.0108785621378735</v>
          </cell>
          <cell r="AS39">
            <v>0.55547584887613588</v>
          </cell>
          <cell r="AT39">
            <v>0.57056984852127923</v>
          </cell>
          <cell r="AU39">
            <v>0.66378244746600745</v>
          </cell>
          <cell r="AV39">
            <v>0.74598796389167499</v>
          </cell>
          <cell r="AW39">
            <v>2.5298644192011728</v>
          </cell>
          <cell r="AY39">
            <v>0.63912823112012163</v>
          </cell>
          <cell r="AZ39">
            <v>1.3563099248509978</v>
          </cell>
          <cell r="BA39">
            <v>0.69349359811863076</v>
          </cell>
          <cell r="BB39">
            <v>0.76855546687948917</v>
          </cell>
          <cell r="BC39">
            <v>3.4563056331622382</v>
          </cell>
          <cell r="BE39">
            <v>0.74925695757903266</v>
          </cell>
          <cell r="BF39">
            <v>0.6332611050920911</v>
          </cell>
          <cell r="BG39">
            <v>0.58809622730925837</v>
          </cell>
          <cell r="BH39">
            <v>0.67445021684142725</v>
          </cell>
          <cell r="BI39">
            <v>2.4453818618312431</v>
          </cell>
          <cell r="BK39">
            <v>0.76391600156204775</v>
          </cell>
          <cell r="BL39">
            <v>0.82641113928189824</v>
          </cell>
          <cell r="BM39">
            <v>0.77042902117396117</v>
          </cell>
          <cell r="BN39">
            <v>0.86923917126965355</v>
          </cell>
          <cell r="BO39">
            <v>3.2446732338564988</v>
          </cell>
          <cell r="BQ39">
            <v>0.93159067877915591</v>
          </cell>
          <cell r="BR39">
            <v>1.0050894922438118</v>
          </cell>
          <cell r="BS39">
            <v>0.94160314060598282</v>
          </cell>
          <cell r="BT39">
            <v>1.0688915047519578</v>
          </cell>
          <cell r="BU39">
            <v>3.9451161936926327</v>
          </cell>
          <cell r="BW39">
            <v>1.1206801688714516</v>
          </cell>
          <cell r="BX39">
            <v>1.225165941178423</v>
          </cell>
          <cell r="BY39">
            <v>1.1432466321827019</v>
          </cell>
          <cell r="BZ39">
            <v>1.286891512890914</v>
          </cell>
          <cell r="CA39">
            <v>4.7732219344284141</v>
          </cell>
        </row>
        <row r="40">
          <cell r="C40" t="str">
            <v>Diluted EPS (non-GAAP)</v>
          </cell>
          <cell r="I40">
            <v>0.27429468928680684</v>
          </cell>
          <cell r="J40">
            <v>0.33449252584725625</v>
          </cell>
          <cell r="K40">
            <v>0.32466630428217613</v>
          </cell>
          <cell r="L40">
            <v>0.60728855706268992</v>
          </cell>
          <cell r="M40">
            <v>1.2803132885153417</v>
          </cell>
          <cell r="O40">
            <v>0.28535178777393294</v>
          </cell>
          <cell r="P40">
            <v>0.33677076121415267</v>
          </cell>
          <cell r="Q40">
            <v>0.37394874271742112</v>
          </cell>
          <cell r="R40">
            <v>0.46353239694069048</v>
          </cell>
          <cell r="S40">
            <v>1.4606070136813973</v>
          </cell>
          <cell r="U40">
            <v>0.38810770023116331</v>
          </cell>
          <cell r="V40">
            <v>0.42152450112673179</v>
          </cell>
          <cell r="W40">
            <v>0.44055599065126633</v>
          </cell>
          <cell r="X40">
            <v>0.57053470745474411</v>
          </cell>
          <cell r="Y40">
            <v>1.8632899956793285</v>
          </cell>
          <cell r="AA40">
            <v>0.5928360915892098</v>
          </cell>
          <cell r="AB40">
            <v>0.65195968645016833</v>
          </cell>
          <cell r="AC40">
            <v>0.6522615315718765</v>
          </cell>
          <cell r="AD40">
            <v>0.7567506240072609</v>
          </cell>
          <cell r="AE40">
            <v>2.5731350011268885</v>
          </cell>
          <cell r="AG40">
            <v>0.7377349839523154</v>
          </cell>
          <cell r="AH40">
            <v>0.79368709972552687</v>
          </cell>
          <cell r="AI40">
            <v>0.7562143671607755</v>
          </cell>
          <cell r="AJ40">
            <v>0.87716424894712186</v>
          </cell>
          <cell r="AK40">
            <v>3.0588776448941988</v>
          </cell>
          <cell r="AM40">
            <v>0.61556548318833804</v>
          </cell>
          <cell r="AN40">
            <v>0.74132641019589307</v>
          </cell>
          <cell r="AO40">
            <v>0.78343645882912893</v>
          </cell>
          <cell r="AP40">
            <v>0.91331122690667854</v>
          </cell>
          <cell r="AQ40">
            <v>2.9584959205392014</v>
          </cell>
          <cell r="AS40">
            <v>0.81635581061692997</v>
          </cell>
          <cell r="AT40">
            <v>0.81341668670353495</v>
          </cell>
          <cell r="AU40">
            <v>0.86922126081582174</v>
          </cell>
          <cell r="AV40">
            <v>0.96389167502507467</v>
          </cell>
          <cell r="AW40">
            <v>3.4584096738732146</v>
          </cell>
          <cell r="AY40">
            <v>0.91966548403446491</v>
          </cell>
          <cell r="AZ40">
            <v>0.99248509976677823</v>
          </cell>
          <cell r="BA40">
            <v>1.069244839299712</v>
          </cell>
          <cell r="BB40">
            <v>1.1827613727055071</v>
          </cell>
          <cell r="BC40">
            <v>4.1574946397245078</v>
          </cell>
          <cell r="BE40">
            <v>1.1686030802485812</v>
          </cell>
          <cell r="BF40">
            <v>1.2164138678223184</v>
          </cell>
          <cell r="BG40">
            <v>1.1669130805372372</v>
          </cell>
          <cell r="BH40">
            <v>1.2651060751943373</v>
          </cell>
          <cell r="BI40">
            <v>4.8152667491028165</v>
          </cell>
          <cell r="BK40">
            <v>1.2929517067723444</v>
          </cell>
          <cell r="BL40">
            <v>1.360995391272724</v>
          </cell>
          <cell r="BM40">
            <v>1.3106794402952326</v>
          </cell>
          <cell r="BN40">
            <v>1.4152771579834427</v>
          </cell>
          <cell r="BO40">
            <v>5.4049678613770302</v>
          </cell>
          <cell r="BQ40">
            <v>1.4564706463830435</v>
          </cell>
          <cell r="BR40">
            <v>1.5361355520589581</v>
          </cell>
          <cell r="BS40">
            <v>1.4789618886459568</v>
          </cell>
          <cell r="BT40">
            <v>1.612714827802626</v>
          </cell>
          <cell r="BU40">
            <v>6.0818512121484787</v>
          </cell>
          <cell r="BW40">
            <v>1.6559312078066957</v>
          </cell>
          <cell r="BX40">
            <v>1.7674664005475826</v>
          </cell>
          <cell r="BY40">
            <v>1.6927846762272845</v>
          </cell>
          <cell r="BZ40">
            <v>1.8438629415230847</v>
          </cell>
          <cell r="CA40">
            <v>6.9568029881790103</v>
          </cell>
        </row>
        <row r="42">
          <cell r="C42" t="str">
            <v>Average basic shares</v>
          </cell>
          <cell r="I42">
            <v>165.20599999999999</v>
          </cell>
          <cell r="J42">
            <v>165.571</v>
          </cell>
          <cell r="K42">
            <v>161.51400000000001</v>
          </cell>
          <cell r="L42">
            <v>160.239</v>
          </cell>
          <cell r="M42">
            <v>163.13300000000001</v>
          </cell>
          <cell r="O42">
            <v>160.95699999999999</v>
          </cell>
          <cell r="P42">
            <v>161.255</v>
          </cell>
          <cell r="Q42">
            <v>161.76400000000001</v>
          </cell>
          <cell r="R42">
            <v>162.34100000000001</v>
          </cell>
          <cell r="S42">
            <v>161.58699999999999</v>
          </cell>
          <cell r="U42">
            <v>163.04400000000001</v>
          </cell>
          <cell r="V42">
            <v>161.28899999999999</v>
          </cell>
          <cell r="W42">
            <v>157.70500000000001</v>
          </cell>
          <cell r="X42">
            <v>302.19</v>
          </cell>
          <cell r="Y42">
            <v>196.05699999999999</v>
          </cell>
          <cell r="AA42">
            <v>420.1</v>
          </cell>
          <cell r="AB42">
            <v>424</v>
          </cell>
          <cell r="AC42">
            <v>424.3</v>
          </cell>
          <cell r="AD42">
            <v>417.5</v>
          </cell>
          <cell r="AE42">
            <v>421.5</v>
          </cell>
          <cell r="AG42">
            <v>417.5</v>
          </cell>
          <cell r="AH42">
            <v>418</v>
          </cell>
          <cell r="AI42">
            <v>419</v>
          </cell>
          <cell r="AJ42">
            <v>418.4</v>
          </cell>
          <cell r="AK42">
            <v>418.2</v>
          </cell>
          <cell r="AM42">
            <v>417.7</v>
          </cell>
          <cell r="AN42">
            <v>415.3</v>
          </cell>
          <cell r="AO42">
            <v>407.9</v>
          </cell>
          <cell r="AP42">
            <v>408.7</v>
          </cell>
          <cell r="AQ42">
            <v>412.40000000000003</v>
          </cell>
          <cell r="AS42">
            <v>409.6</v>
          </cell>
          <cell r="AT42">
            <v>409.3</v>
          </cell>
          <cell r="AU42">
            <v>400.7</v>
          </cell>
          <cell r="AV42">
            <v>393.5</v>
          </cell>
          <cell r="AW42">
            <v>403.27500000000003</v>
          </cell>
          <cell r="AY42">
            <v>388.6</v>
          </cell>
          <cell r="AZ42">
            <v>381.9</v>
          </cell>
          <cell r="BA42">
            <v>379.5</v>
          </cell>
          <cell r="BB42">
            <v>373.4</v>
          </cell>
          <cell r="BC42">
            <v>380.85</v>
          </cell>
          <cell r="BE42">
            <v>367.3</v>
          </cell>
          <cell r="BF42">
            <v>367</v>
          </cell>
          <cell r="BG42">
            <v>359.78846153846155</v>
          </cell>
          <cell r="BH42">
            <v>352.57692307692309</v>
          </cell>
          <cell r="BI42">
            <v>361.66634615384618</v>
          </cell>
          <cell r="BK42">
            <v>348.95505535128734</v>
          </cell>
          <cell r="BL42">
            <v>345.33318762565159</v>
          </cell>
          <cell r="BM42">
            <v>341.71131990001584</v>
          </cell>
          <cell r="BN42">
            <v>338.08945217438009</v>
          </cell>
          <cell r="BO42">
            <v>343.52225376283371</v>
          </cell>
          <cell r="BQ42">
            <v>334.20887961119894</v>
          </cell>
          <cell r="BR42">
            <v>330.32830704801779</v>
          </cell>
          <cell r="BS42">
            <v>326.44773448483664</v>
          </cell>
          <cell r="BT42">
            <v>322.5671619216555</v>
          </cell>
          <cell r="BU42">
            <v>328.38802076642725</v>
          </cell>
          <cell r="BW42">
            <v>318.42788452092896</v>
          </cell>
          <cell r="BX42">
            <v>314.28860712020241</v>
          </cell>
          <cell r="BY42">
            <v>310.14932971947587</v>
          </cell>
          <cell r="BZ42">
            <v>306.01005231874933</v>
          </cell>
          <cell r="CA42">
            <v>312.21896841983914</v>
          </cell>
        </row>
        <row r="43">
          <cell r="C43" t="str">
            <v>Convert</v>
          </cell>
          <cell r="Y43">
            <v>3.2</v>
          </cell>
          <cell r="AE43">
            <v>13.8</v>
          </cell>
          <cell r="AG43">
            <v>14.6</v>
          </cell>
          <cell r="AH43">
            <v>15.5</v>
          </cell>
          <cell r="AI43">
            <v>15.8</v>
          </cell>
          <cell r="AJ43">
            <v>7.2999999999999972</v>
          </cell>
          <cell r="AK43">
            <v>13.3</v>
          </cell>
          <cell r="AM43">
            <v>6.4</v>
          </cell>
          <cell r="AN43">
            <v>7</v>
          </cell>
          <cell r="AO43">
            <v>10.199999999999999</v>
          </cell>
          <cell r="AP43">
            <v>10.086956521739131</v>
          </cell>
          <cell r="AQ43">
            <v>8.4217391304347835</v>
          </cell>
          <cell r="AS43">
            <v>5</v>
          </cell>
          <cell r="AT43">
            <v>5.05</v>
          </cell>
          <cell r="AU43">
            <v>3</v>
          </cell>
          <cell r="AV43">
            <v>3.05</v>
          </cell>
          <cell r="AW43">
            <v>4.0250000000000004</v>
          </cell>
          <cell r="BA43">
            <v>171.79999999999981</v>
          </cell>
          <cell r="BB43">
            <v>212.10000000000008</v>
          </cell>
          <cell r="BI43">
            <v>-0.10317687395983843</v>
          </cell>
        </row>
        <row r="44">
          <cell r="C44" t="str">
            <v>Stock Options</v>
          </cell>
          <cell r="Y44">
            <v>4.4000000000000004</v>
          </cell>
          <cell r="AE44">
            <v>8.4</v>
          </cell>
          <cell r="AG44">
            <v>4</v>
          </cell>
          <cell r="AH44">
            <v>3.6</v>
          </cell>
          <cell r="AI44">
            <v>3.5</v>
          </cell>
          <cell r="AJ44">
            <v>2.0999999999999996</v>
          </cell>
          <cell r="AK44">
            <v>3.3</v>
          </cell>
          <cell r="AM44">
            <v>1.2</v>
          </cell>
          <cell r="AN44">
            <v>1.4</v>
          </cell>
          <cell r="AO44">
            <v>2.1</v>
          </cell>
          <cell r="AP44">
            <v>2.2000000000000002</v>
          </cell>
          <cell r="AQ44">
            <v>1.7249999999999999</v>
          </cell>
          <cell r="AS44">
            <v>2.95</v>
          </cell>
          <cell r="AT44">
            <v>3.7</v>
          </cell>
          <cell r="AU44">
            <v>4.45</v>
          </cell>
          <cell r="AV44">
            <v>5.2</v>
          </cell>
          <cell r="AW44">
            <v>4.0750000000000002</v>
          </cell>
        </row>
        <row r="45">
          <cell r="C45" t="str">
            <v>Average Share Price in the quarter</v>
          </cell>
          <cell r="AS45">
            <v>48.734999999999999</v>
          </cell>
          <cell r="AT45">
            <v>52.466718749999998</v>
          </cell>
          <cell r="AU45">
            <v>46.530769230769231</v>
          </cell>
          <cell r="AV45">
            <v>50</v>
          </cell>
        </row>
        <row r="46">
          <cell r="C46" t="str">
            <v>Average diluted shares</v>
          </cell>
          <cell r="I46">
            <v>169.99600000000001</v>
          </cell>
          <cell r="J46">
            <v>170.52099999999999</v>
          </cell>
          <cell r="K46">
            <v>165.57</v>
          </cell>
          <cell r="L46">
            <v>164.477</v>
          </cell>
          <cell r="M46">
            <v>167.64099999999999</v>
          </cell>
          <cell r="O46">
            <v>164.73</v>
          </cell>
          <cell r="P46">
            <v>164.65799999999999</v>
          </cell>
          <cell r="Q46">
            <v>165.63499999999999</v>
          </cell>
          <cell r="R46">
            <v>166.31200000000001</v>
          </cell>
          <cell r="S46">
            <v>165.334</v>
          </cell>
          <cell r="U46">
            <v>166.982</v>
          </cell>
          <cell r="V46">
            <v>165.523</v>
          </cell>
          <cell r="W46">
            <v>162.161</v>
          </cell>
          <cell r="X46">
            <v>318.36099999999999</v>
          </cell>
          <cell r="Y46">
            <v>203.672</v>
          </cell>
          <cell r="AA46">
            <v>441.1</v>
          </cell>
          <cell r="AB46">
            <v>446.5</v>
          </cell>
          <cell r="AC46">
            <v>446.6</v>
          </cell>
          <cell r="AD46">
            <v>440.7</v>
          </cell>
          <cell r="AE46">
            <v>443.7</v>
          </cell>
          <cell r="AG46">
            <v>436.2</v>
          </cell>
          <cell r="AH46">
            <v>437.2</v>
          </cell>
          <cell r="AI46">
            <v>438.5</v>
          </cell>
          <cell r="AJ46">
            <v>427.4</v>
          </cell>
          <cell r="AK46">
            <v>434.8</v>
          </cell>
          <cell r="AM46">
            <v>425.3</v>
          </cell>
          <cell r="AN46">
            <v>423.7</v>
          </cell>
          <cell r="AO46">
            <v>420.2</v>
          </cell>
          <cell r="AP46">
            <v>422.2</v>
          </cell>
          <cell r="AQ46">
            <v>422.85</v>
          </cell>
          <cell r="AS46">
            <v>418.2</v>
          </cell>
          <cell r="AT46">
            <v>415.9</v>
          </cell>
          <cell r="AU46">
            <v>404.5</v>
          </cell>
          <cell r="AV46">
            <v>398.8</v>
          </cell>
          <cell r="AW46">
            <v>409.34999999999997</v>
          </cell>
          <cell r="AY46">
            <v>394.6</v>
          </cell>
          <cell r="AZ46">
            <v>385.9</v>
          </cell>
          <cell r="BA46">
            <v>382.7</v>
          </cell>
          <cell r="BB46">
            <v>375.9</v>
          </cell>
          <cell r="BC46">
            <v>384.77499999999998</v>
          </cell>
          <cell r="BE46">
            <v>370.1</v>
          </cell>
          <cell r="BF46">
            <v>369.2</v>
          </cell>
          <cell r="BG46">
            <v>361.94523160762941</v>
          </cell>
          <cell r="BH46">
            <v>354.69046321525889</v>
          </cell>
          <cell r="BI46">
            <v>363.98392370572208</v>
          </cell>
          <cell r="BK46">
            <v>353.14251601550279</v>
          </cell>
          <cell r="BL46">
            <v>349.4771858771594</v>
          </cell>
          <cell r="BM46">
            <v>345.81185573881601</v>
          </cell>
          <cell r="BN46">
            <v>342.14652560047267</v>
          </cell>
          <cell r="BO46">
            <v>345.92503748329472</v>
          </cell>
          <cell r="BQ46">
            <v>338.55359504614449</v>
          </cell>
          <cell r="BR46">
            <v>334.62257503964202</v>
          </cell>
          <cell r="BS46">
            <v>330.69155503313948</v>
          </cell>
          <cell r="BT46">
            <v>326.760535026637</v>
          </cell>
          <cell r="BU46">
            <v>332.65706503639075</v>
          </cell>
          <cell r="BW46">
            <v>322.88587490422191</v>
          </cell>
          <cell r="BX46">
            <v>318.68864761988516</v>
          </cell>
          <cell r="BY46">
            <v>314.49142033554847</v>
          </cell>
          <cell r="BZ46">
            <v>310.29419305121178</v>
          </cell>
          <cell r="CA46">
            <v>316.59003397771681</v>
          </cell>
        </row>
        <row r="47">
          <cell r="C47" t="str">
            <v>Dilution ratio</v>
          </cell>
          <cell r="I47">
            <v>1.0289941043303514</v>
          </cell>
          <cell r="J47">
            <v>1.0298965398529936</v>
          </cell>
          <cell r="K47">
            <v>1.0251123741595154</v>
          </cell>
          <cell r="L47">
            <v>1.0264479933099933</v>
          </cell>
          <cell r="M47">
            <v>1.0276338938167016</v>
          </cell>
          <cell r="O47">
            <v>1.0234410432600012</v>
          </cell>
          <cell r="P47">
            <v>1.0211032216055316</v>
          </cell>
          <cell r="Q47">
            <v>1.0239299226032985</v>
          </cell>
          <cell r="R47">
            <v>1.0244608570847784</v>
          </cell>
          <cell r="S47">
            <v>1.0231887466194682</v>
          </cell>
          <cell r="U47">
            <v>1.0241529893771006</v>
          </cell>
          <cell r="V47">
            <v>1.0262510152583251</v>
          </cell>
          <cell r="W47">
            <v>1.0282552867696013</v>
          </cell>
          <cell r="X47">
            <v>1.0535126906912868</v>
          </cell>
          <cell r="Y47">
            <v>1.0388407452934607</v>
          </cell>
          <cell r="AA47">
            <v>1.0499880980718876</v>
          </cell>
          <cell r="AB47">
            <v>1.0530660377358489</v>
          </cell>
          <cell r="AC47">
            <v>1.0525571529578128</v>
          </cell>
          <cell r="AD47">
            <v>1.0555688622754491</v>
          </cell>
          <cell r="AE47">
            <v>1.0526690391459075</v>
          </cell>
          <cell r="AG47">
            <v>1.0447904191616766</v>
          </cell>
          <cell r="AH47">
            <v>1.045933014354067</v>
          </cell>
          <cell r="AI47">
            <v>1.0465393794749402</v>
          </cell>
          <cell r="AJ47">
            <v>1.0215105162523901</v>
          </cell>
          <cell r="AK47">
            <v>1.0396939263510283</v>
          </cell>
          <cell r="AM47">
            <v>1.0181948767057698</v>
          </cell>
          <cell r="AN47">
            <v>1.020226342403082</v>
          </cell>
          <cell r="AO47">
            <v>1.030154449620005</v>
          </cell>
          <cell r="AP47">
            <v>1.0330315634940055</v>
          </cell>
          <cell r="AQ47">
            <v>1.0253394762366634</v>
          </cell>
          <cell r="AS47">
            <v>1.02099609375</v>
          </cell>
          <cell r="AT47">
            <v>1.0161250916198388</v>
          </cell>
          <cell r="AU47">
            <v>1.0094834040429248</v>
          </cell>
          <cell r="AV47">
            <v>1.013468869123253</v>
          </cell>
          <cell r="AW47">
            <v>1.0150641621722147</v>
          </cell>
          <cell r="AY47">
            <v>1.0154400411734432</v>
          </cell>
          <cell r="AZ47">
            <v>1.0104739460591778</v>
          </cell>
          <cell r="BA47">
            <v>1.0084321475625824</v>
          </cell>
          <cell r="BB47">
            <v>1.0066952329941081</v>
          </cell>
          <cell r="BC47">
            <v>1.010305894709203</v>
          </cell>
          <cell r="BE47">
            <v>1.0076231962973048</v>
          </cell>
          <cell r="BF47">
            <v>1.0059945504087193</v>
          </cell>
          <cell r="BG47">
            <v>1.0059945504087193</v>
          </cell>
          <cell r="BH47">
            <v>1.0059945504087193</v>
          </cell>
          <cell r="BI47">
            <v>1.0175000000000001</v>
          </cell>
          <cell r="BK47">
            <v>1.012</v>
          </cell>
          <cell r="BL47">
            <v>1.012</v>
          </cell>
          <cell r="BM47">
            <v>1.012</v>
          </cell>
          <cell r="BN47">
            <v>1.012</v>
          </cell>
          <cell r="BO47">
            <v>1.0069945504087192</v>
          </cell>
          <cell r="BQ47">
            <v>1.0129999999999999</v>
          </cell>
          <cell r="BR47">
            <v>1.0129999999999999</v>
          </cell>
          <cell r="BS47">
            <v>1.0129999999999999</v>
          </cell>
          <cell r="BT47">
            <v>1.0129999999999999</v>
          </cell>
          <cell r="BU47">
            <v>1.0129999999999999</v>
          </cell>
          <cell r="BW47">
            <v>1.0139999999999998</v>
          </cell>
          <cell r="BX47">
            <v>1.0139999999999998</v>
          </cell>
          <cell r="BY47">
            <v>1.0139999999999998</v>
          </cell>
          <cell r="BZ47">
            <v>1.0139999999999998</v>
          </cell>
          <cell r="CA47">
            <v>1.0139999999999998</v>
          </cell>
        </row>
        <row r="49">
          <cell r="C49" t="str">
            <v>Margins</v>
          </cell>
        </row>
        <row r="50">
          <cell r="C50" t="str">
            <v>COGS</v>
          </cell>
          <cell r="I50">
            <v>0.54124700970607509</v>
          </cell>
          <cell r="J50">
            <v>0.54524860605852932</v>
          </cell>
          <cell r="K50">
            <v>0.53725233489761492</v>
          </cell>
          <cell r="L50">
            <v>0.53686460505527933</v>
          </cell>
          <cell r="M50">
            <v>0.53860276201895285</v>
          </cell>
          <cell r="O50">
            <v>0.54596143116693607</v>
          </cell>
          <cell r="P50">
            <v>0.55053616698361896</v>
          </cell>
          <cell r="Q50">
            <v>0.55514703176722191</v>
          </cell>
          <cell r="R50">
            <v>0.54441155149860887</v>
          </cell>
          <cell r="S50">
            <v>0.54903121008633782</v>
          </cell>
          <cell r="U50">
            <v>0.54313906299549752</v>
          </cell>
          <cell r="V50">
            <v>0.54341610275443331</v>
          </cell>
          <cell r="W50">
            <v>0.53256998297841818</v>
          </cell>
          <cell r="X50">
            <v>0.56944754029600342</v>
          </cell>
          <cell r="Y50">
            <v>0.56331634278432619</v>
          </cell>
          <cell r="AA50">
            <v>0.59520143700282258</v>
          </cell>
          <cell r="AB50">
            <v>0.59009178926191364</v>
          </cell>
          <cell r="AC50">
            <v>0.59216225220722973</v>
          </cell>
          <cell r="AD50">
            <v>0.59120216702910988</v>
          </cell>
          <cell r="AE50">
            <v>0.59580922595777952</v>
          </cell>
          <cell r="AG50">
            <v>0.58860610806577929</v>
          </cell>
          <cell r="AH50">
            <v>0.58702391496899897</v>
          </cell>
          <cell r="AI50">
            <v>0.58853985549244614</v>
          </cell>
          <cell r="AJ50">
            <v>0.58508105656955001</v>
          </cell>
          <cell r="AK50">
            <v>0.59150409184346286</v>
          </cell>
          <cell r="AM50">
            <v>0.59349917963726662</v>
          </cell>
          <cell r="AN50">
            <v>0.58963004709955313</v>
          </cell>
          <cell r="AO50">
            <v>0.58800521512385917</v>
          </cell>
          <cell r="AP50">
            <v>0.58540536733112625</v>
          </cell>
          <cell r="AQ50">
            <v>0.5940816820694943</v>
          </cell>
          <cell r="AS50">
            <v>0.57977083254025652</v>
          </cell>
          <cell r="AT50">
            <v>0.58238625418962131</v>
          </cell>
          <cell r="AU50">
            <v>0.58298778864077294</v>
          </cell>
          <cell r="AV50">
            <v>0.57398212512413116</v>
          </cell>
          <cell r="AW50">
            <v>0.57972413010160639</v>
          </cell>
          <cell r="AY50">
            <v>0.56885111459032289</v>
          </cell>
          <cell r="AZ50">
            <v>0.57210932025227745</v>
          </cell>
          <cell r="BA50">
            <v>0.5582529237273689</v>
          </cell>
          <cell r="BB50">
            <v>0.55070727996633539</v>
          </cell>
          <cell r="BC50">
            <v>0.5621171747932312</v>
          </cell>
          <cell r="BE50">
            <v>0.55057576550641196</v>
          </cell>
          <cell r="BF50">
            <v>0.55352144396898428</v>
          </cell>
          <cell r="BG50">
            <v>0.54975292372736895</v>
          </cell>
          <cell r="BH50">
            <v>0.54270727996633539</v>
          </cell>
          <cell r="BI50">
            <v>0.54915423590107204</v>
          </cell>
          <cell r="BK50">
            <v>0.54757576550641196</v>
          </cell>
          <cell r="BL50">
            <v>0.55102144396898434</v>
          </cell>
          <cell r="BM50">
            <v>0.54875292372736895</v>
          </cell>
          <cell r="BN50">
            <v>0.54120727996633544</v>
          </cell>
          <cell r="BO50">
            <v>0.54715475614173059</v>
          </cell>
          <cell r="BQ50">
            <v>0.54357576550641196</v>
          </cell>
          <cell r="BR50">
            <v>0.54702144396898433</v>
          </cell>
          <cell r="BS50">
            <v>0.54475292372736894</v>
          </cell>
          <cell r="BT50">
            <v>0.53720727996633544</v>
          </cell>
          <cell r="BU50">
            <v>0.54315003182161958</v>
          </cell>
          <cell r="BW50">
            <v>0.53957576550641195</v>
          </cell>
          <cell r="BX50">
            <v>0.54302144396898433</v>
          </cell>
          <cell r="BY50">
            <v>0.54075292372736894</v>
          </cell>
          <cell r="BZ50">
            <v>0.53320727996633543</v>
          </cell>
          <cell r="CA50">
            <v>0.53914494889113185</v>
          </cell>
        </row>
        <row r="51">
          <cell r="C51" t="str">
            <v>Gross Margin</v>
          </cell>
          <cell r="I51">
            <v>0.45875299029392491</v>
          </cell>
          <cell r="J51">
            <v>0.45475139394147063</v>
          </cell>
          <cell r="K51">
            <v>0.46274766510238508</v>
          </cell>
          <cell r="L51">
            <v>0.46313539494472061</v>
          </cell>
          <cell r="M51">
            <v>0.4613972379810472</v>
          </cell>
          <cell r="O51">
            <v>0.45403856883306393</v>
          </cell>
          <cell r="P51">
            <v>0.44946383301638104</v>
          </cell>
          <cell r="Q51">
            <v>0.44485296823277815</v>
          </cell>
          <cell r="R51">
            <v>0.45558844850139119</v>
          </cell>
          <cell r="S51">
            <v>0.45096878991366218</v>
          </cell>
          <cell r="U51">
            <v>0.45686093700450253</v>
          </cell>
          <cell r="V51">
            <v>0.45658389724556675</v>
          </cell>
          <cell r="W51">
            <v>0.46743001702158177</v>
          </cell>
          <cell r="X51">
            <v>0.43055245970399658</v>
          </cell>
          <cell r="Y51">
            <v>0.43668365721567376</v>
          </cell>
          <cell r="AA51">
            <v>0.40479856299717748</v>
          </cell>
          <cell r="AB51">
            <v>0.40990821073808631</v>
          </cell>
          <cell r="AC51">
            <v>0.40783774779277027</v>
          </cell>
          <cell r="AD51">
            <v>0.40879783297089012</v>
          </cell>
          <cell r="AE51">
            <v>0.40419077404222048</v>
          </cell>
          <cell r="AG51">
            <v>0.41139389193422077</v>
          </cell>
          <cell r="AH51">
            <v>0.41297608503100097</v>
          </cell>
          <cell r="AI51">
            <v>0.41146014450755386</v>
          </cell>
          <cell r="AJ51">
            <v>0.41491894343044999</v>
          </cell>
          <cell r="AK51">
            <v>0.40849590815653719</v>
          </cell>
          <cell r="AM51">
            <v>0.40650082036273344</v>
          </cell>
          <cell r="AN51">
            <v>0.41036995290044687</v>
          </cell>
          <cell r="AO51">
            <v>0.41199478487614083</v>
          </cell>
          <cell r="AP51">
            <v>0.4145946326688737</v>
          </cell>
          <cell r="AQ51">
            <v>0.4059183179305057</v>
          </cell>
          <cell r="AS51">
            <v>0.42022916745974354</v>
          </cell>
          <cell r="AT51">
            <v>0.41761374581037874</v>
          </cell>
          <cell r="AU51">
            <v>0.41701221135922706</v>
          </cell>
          <cell r="AV51">
            <v>0.4260178748758689</v>
          </cell>
          <cell r="AW51">
            <v>0.42027586989839361</v>
          </cell>
          <cell r="AY51">
            <v>0.43114888540967716</v>
          </cell>
          <cell r="AZ51">
            <v>0.42789067974772249</v>
          </cell>
          <cell r="BA51">
            <v>0.44174707627263116</v>
          </cell>
          <cell r="BB51">
            <v>0.44929272003366455</v>
          </cell>
          <cell r="BC51">
            <v>0.4378828252067688</v>
          </cell>
          <cell r="BE51">
            <v>0.44942423449358804</v>
          </cell>
          <cell r="BF51">
            <v>0.44647855603101577</v>
          </cell>
          <cell r="BG51">
            <v>0.45024707627263105</v>
          </cell>
          <cell r="BH51">
            <v>0.45729272003366461</v>
          </cell>
          <cell r="BI51">
            <v>0.45084576409892801</v>
          </cell>
          <cell r="BK51">
            <v>0.45242423449358798</v>
          </cell>
          <cell r="BL51">
            <v>0.44897855603101566</v>
          </cell>
          <cell r="BM51">
            <v>0.45124707627263105</v>
          </cell>
          <cell r="BN51">
            <v>0.45879272003366456</v>
          </cell>
          <cell r="BO51">
            <v>0.45284524385826941</v>
          </cell>
          <cell r="BQ51">
            <v>0.45642423449358804</v>
          </cell>
          <cell r="BR51">
            <v>0.45297855603101567</v>
          </cell>
          <cell r="BS51">
            <v>0.45524707627263106</v>
          </cell>
          <cell r="BT51">
            <v>0.46279272003366456</v>
          </cell>
          <cell r="BU51">
            <v>0.45684996817838042</v>
          </cell>
          <cell r="BW51">
            <v>0.46042423449358805</v>
          </cell>
          <cell r="BX51">
            <v>0.45697855603101567</v>
          </cell>
          <cell r="BY51">
            <v>0.45924707627263106</v>
          </cell>
          <cell r="BZ51">
            <v>0.46679272003366462</v>
          </cell>
          <cell r="CA51">
            <v>0.4608550511088681</v>
          </cell>
        </row>
        <row r="52">
          <cell r="C52" t="str">
            <v>Incremental Gross Margin</v>
          </cell>
          <cell r="AG52">
            <v>0.48285449490268534</v>
          </cell>
          <cell r="AH52">
            <v>0.43558850787766484</v>
          </cell>
          <cell r="AI52">
            <v>0.4579989299090429</v>
          </cell>
          <cell r="AJ52">
            <v>1.0515873015873001</v>
          </cell>
          <cell r="AK52">
            <v>0.46579714166782221</v>
          </cell>
          <cell r="AM52">
            <v>0.44831047172967448</v>
          </cell>
          <cell r="AN52">
            <v>0.44168514412416926</v>
          </cell>
          <cell r="AO52">
            <v>0.38771929824561735</v>
          </cell>
          <cell r="AP52">
            <v>0.41015018125323732</v>
          </cell>
          <cell r="AQ52">
            <v>0.47211155378485875</v>
          </cell>
        </row>
        <row r="53">
          <cell r="C53" t="str">
            <v>SG&amp;A</v>
          </cell>
          <cell r="I53">
            <v>0.27951248685794383</v>
          </cell>
          <cell r="J53">
            <v>0.26815455284413559</v>
          </cell>
          <cell r="K53">
            <v>0.27169818279044472</v>
          </cell>
          <cell r="L53">
            <v>0.27499311147668742</v>
          </cell>
          <cell r="M53">
            <v>0.27363026661438483</v>
          </cell>
          <cell r="O53">
            <v>0.27912154332556044</v>
          </cell>
          <cell r="P53">
            <v>0.26541986870066908</v>
          </cell>
          <cell r="Q53">
            <v>0.24838279038755626</v>
          </cell>
          <cell r="R53">
            <v>0.25084268487432959</v>
          </cell>
          <cell r="S53">
            <v>0.25983250456603751</v>
          </cell>
          <cell r="U53">
            <v>0.25849826169428908</v>
          </cell>
          <cell r="V53">
            <v>0.25406044840132985</v>
          </cell>
          <cell r="W53">
            <v>0.26419729585826568</v>
          </cell>
          <cell r="X53">
            <v>0.24151417101084549</v>
          </cell>
          <cell r="Y53">
            <v>0.24259318254221088</v>
          </cell>
          <cell r="AA53">
            <v>0.21862971516551191</v>
          </cell>
          <cell r="AB53">
            <v>0.21572572194978834</v>
          </cell>
          <cell r="AC53">
            <v>0.21480926203564885</v>
          </cell>
          <cell r="AD53">
            <v>0.21288771889664646</v>
          </cell>
          <cell r="AE53">
            <v>0.21283294240291895</v>
          </cell>
          <cell r="AG53">
            <v>0.2120595144870791</v>
          </cell>
          <cell r="AH53">
            <v>0.21331561854148212</v>
          </cell>
          <cell r="AI53">
            <v>0.21200880955140836</v>
          </cell>
          <cell r="AJ53">
            <v>0.20609908173676456</v>
          </cell>
          <cell r="AK53">
            <v>0.20835434200830005</v>
          </cell>
          <cell r="AM53">
            <v>0.22593233116048064</v>
          </cell>
          <cell r="AN53">
            <v>0.21846946580250395</v>
          </cell>
          <cell r="AO53">
            <v>0.21524238473391014</v>
          </cell>
          <cell r="AP53">
            <v>0.21064309361132633</v>
          </cell>
          <cell r="AQ53">
            <v>0.21490980265547438</v>
          </cell>
          <cell r="AS53">
            <v>0.2218965320339564</v>
          </cell>
          <cell r="AT53">
            <v>0.21843818623107447</v>
          </cell>
          <cell r="AU53">
            <v>0.21820671814965575</v>
          </cell>
          <cell r="AV53">
            <v>0.21847070506454816</v>
          </cell>
          <cell r="AW53">
            <v>0.219248453198615</v>
          </cell>
          <cell r="AY53">
            <v>0.22500559159024827</v>
          </cell>
          <cell r="AZ53">
            <v>0.21990189208128944</v>
          </cell>
          <cell r="BA53">
            <v>0.22571516246718265</v>
          </cell>
          <cell r="BB53">
            <v>0.22652380798239083</v>
          </cell>
          <cell r="BC53">
            <v>0.22433124545800603</v>
          </cell>
          <cell r="BE53">
            <v>0.23194190002617115</v>
          </cell>
          <cell r="BF53">
            <v>0.22631189472668189</v>
          </cell>
          <cell r="BG53">
            <v>0.22671516246718265</v>
          </cell>
          <cell r="BH53">
            <v>0.22752380798239083</v>
          </cell>
          <cell r="BI53">
            <v>0.2281266087802743</v>
          </cell>
          <cell r="BK53">
            <v>0.23194190002617115</v>
          </cell>
          <cell r="BL53">
            <v>0.22631189472668189</v>
          </cell>
          <cell r="BM53">
            <v>0.22671516246718265</v>
          </cell>
          <cell r="BN53">
            <v>0.22752380798239083</v>
          </cell>
          <cell r="BO53">
            <v>0.22812143406141577</v>
          </cell>
          <cell r="BQ53">
            <v>0.23119190002617115</v>
          </cell>
          <cell r="BR53">
            <v>0.22556189472668189</v>
          </cell>
          <cell r="BS53">
            <v>0.22596516246718265</v>
          </cell>
          <cell r="BT53">
            <v>0.22677380798239083</v>
          </cell>
          <cell r="BU53">
            <v>0.22736885115578828</v>
          </cell>
          <cell r="BW53">
            <v>0.23044190002617115</v>
          </cell>
          <cell r="BX53">
            <v>0.22481189472668189</v>
          </cell>
          <cell r="BY53">
            <v>0.22521516246718265</v>
          </cell>
          <cell r="BZ53">
            <v>0.22602380798239083</v>
          </cell>
          <cell r="CA53">
            <v>0.22662069007935556</v>
          </cell>
        </row>
        <row r="54">
          <cell r="C54" t="str">
            <v>R&amp;D</v>
          </cell>
          <cell r="I54">
            <v>6.5270307333648234E-2</v>
          </cell>
          <cell r="J54">
            <v>6.2043482978589748E-2</v>
          </cell>
          <cell r="K54">
            <v>6.0617906567216481E-2</v>
          </cell>
          <cell r="L54">
            <v>5.697501707864655E-2</v>
          </cell>
          <cell r="M54">
            <v>6.1051815620615624E-2</v>
          </cell>
          <cell r="O54">
            <v>6.4963305245990768E-2</v>
          </cell>
          <cell r="P54">
            <v>6.0328539015729307E-2</v>
          </cell>
          <cell r="Q54">
            <v>5.7084739575897353E-2</v>
          </cell>
          <cell r="R54">
            <v>5.1608627041241271E-2</v>
          </cell>
          <cell r="S54">
            <v>5.8022572499256561E-2</v>
          </cell>
          <cell r="U54">
            <v>5.6609288208017979E-2</v>
          </cell>
          <cell r="V54">
            <v>5.6933177101145392E-2</v>
          </cell>
          <cell r="W54">
            <v>5.3324174232580471E-2</v>
          </cell>
          <cell r="X54">
            <v>3.1259512253580202E-2</v>
          </cell>
          <cell r="Y54">
            <v>4.4573643410852709E-2</v>
          </cell>
          <cell r="AA54">
            <v>2.5575228808485156E-2</v>
          </cell>
          <cell r="AB54">
            <v>2.4602875225281866E-2</v>
          </cell>
          <cell r="AC54">
            <v>2.4487756121939031E-2</v>
          </cell>
          <cell r="AD54">
            <v>2.3425279462820952E-2</v>
          </cell>
          <cell r="AE54">
            <v>2.4706802189210321E-2</v>
          </cell>
          <cell r="AG54">
            <v>2.4275646045418951E-2</v>
          </cell>
          <cell r="AH54">
            <v>2.3767345733687627E-2</v>
          </cell>
          <cell r="AI54">
            <v>2.3878520922684589E-2</v>
          </cell>
          <cell r="AJ54">
            <v>2.301326380228999E-2</v>
          </cell>
          <cell r="AK54">
            <v>2.3969282085094828E-2</v>
          </cell>
          <cell r="AM54">
            <v>2.5808168152188369E-2</v>
          </cell>
          <cell r="AN54">
            <v>2.3388752465681738E-2</v>
          </cell>
          <cell r="AO54">
            <v>2.3902651021295091E-2</v>
          </cell>
          <cell r="AP54">
            <v>2.4406564767204337E-2</v>
          </cell>
          <cell r="AQ54">
            <v>2.4597441381815247E-2</v>
          </cell>
          <cell r="AS54">
            <v>2.5162739350565306E-2</v>
          </cell>
          <cell r="AT54">
            <v>2.6813576299264168E-2</v>
          </cell>
          <cell r="AU54">
            <v>2.7199756533647812E-2</v>
          </cell>
          <cell r="AV54">
            <v>2.8540954062304606E-2</v>
          </cell>
          <cell r="AW54">
            <v>2.6943671832131841E-2</v>
          </cell>
          <cell r="AY54">
            <v>2.7883396704689482E-2</v>
          </cell>
          <cell r="AZ54">
            <v>2.9187105816398037E-2</v>
          </cell>
          <cell r="BA54">
            <v>2.9595281121074703E-2</v>
          </cell>
          <cell r="BB54">
            <v>3.097789143171592E-2</v>
          </cell>
          <cell r="BC54">
            <v>2.9466726649825241E-2</v>
          </cell>
          <cell r="BE54">
            <v>3.0031405391258831E-2</v>
          </cell>
          <cell r="BF54">
            <v>3.0307905151056917E-2</v>
          </cell>
          <cell r="BG54">
            <v>2.9595281121074703E-2</v>
          </cell>
          <cell r="BH54">
            <v>3.097789143171592E-2</v>
          </cell>
          <cell r="BI54">
            <v>3.0233232023292336E-2</v>
          </cell>
          <cell r="BK54">
            <v>3.0031405391258831E-2</v>
          </cell>
          <cell r="BL54">
            <v>3.0307905151056917E-2</v>
          </cell>
          <cell r="BM54">
            <v>2.9595281121074703E-2</v>
          </cell>
          <cell r="BN54">
            <v>3.097789143171592E-2</v>
          </cell>
          <cell r="BO54">
            <v>3.0233636481205573E-2</v>
          </cell>
          <cell r="BQ54">
            <v>2.9281405391258831E-2</v>
          </cell>
          <cell r="BR54">
            <v>2.9557905151056916E-2</v>
          </cell>
          <cell r="BS54">
            <v>2.8845281121074703E-2</v>
          </cell>
          <cell r="BT54">
            <v>3.022789143171592E-2</v>
          </cell>
          <cell r="BU54">
            <v>2.9484487605261379E-2</v>
          </cell>
          <cell r="BW54">
            <v>2.853140539125883E-2</v>
          </cell>
          <cell r="BX54">
            <v>2.8807905151056915E-2</v>
          </cell>
          <cell r="BY54">
            <v>2.8095281121074702E-2</v>
          </cell>
          <cell r="BZ54">
            <v>2.9477891431715919E-2</v>
          </cell>
          <cell r="CA54">
            <v>2.8735222556807678E-2</v>
          </cell>
        </row>
        <row r="55">
          <cell r="C55" t="str">
            <v>EBIT</v>
          </cell>
          <cell r="I55">
            <v>0.11397019610233285</v>
          </cell>
          <cell r="J55">
            <v>0.12455335811874531</v>
          </cell>
          <cell r="K55">
            <v>0.13043157574472383</v>
          </cell>
          <cell r="L55">
            <v>0.13116726638938669</v>
          </cell>
          <cell r="M55">
            <v>0.12671515574604672</v>
          </cell>
          <cell r="O55">
            <v>0.10995372026151265</v>
          </cell>
          <cell r="P55">
            <v>0.12371542529998263</v>
          </cell>
          <cell r="Q55">
            <v>0.13938543826932451</v>
          </cell>
          <cell r="R55">
            <v>0.15313713658582037</v>
          </cell>
          <cell r="S55">
            <v>0.13311371284836812</v>
          </cell>
          <cell r="U55">
            <v>0.14175338710219559</v>
          </cell>
          <cell r="V55">
            <v>0.14559027174309153</v>
          </cell>
          <cell r="W55">
            <v>0.14990854693073569</v>
          </cell>
          <cell r="X55">
            <v>0.15777877643957086</v>
          </cell>
          <cell r="Y55">
            <v>0.14951683126261023</v>
          </cell>
          <cell r="AA55">
            <v>0.1605936190231804</v>
          </cell>
          <cell r="AB55">
            <v>0.1695796135630161</v>
          </cell>
          <cell r="AC55">
            <v>0.16854072963518243</v>
          </cell>
          <cell r="AD55">
            <v>0.17248483461142267</v>
          </cell>
          <cell r="AE55">
            <v>0.16665102945009125</v>
          </cell>
          <cell r="AG55">
            <v>0.17505873140172276</v>
          </cell>
          <cell r="AH55">
            <v>0.17589312075583122</v>
          </cell>
          <cell r="AI55">
            <v>0.17557281403346084</v>
          </cell>
          <cell r="AJ55">
            <v>0.18580659789139548</v>
          </cell>
          <cell r="AK55">
            <v>0.17617228406314214</v>
          </cell>
          <cell r="AM55">
            <v>0.15476032105006438</v>
          </cell>
          <cell r="AN55">
            <v>0.16851173463226116</v>
          </cell>
          <cell r="AO55">
            <v>0.17284974912093556</v>
          </cell>
          <cell r="AP55">
            <v>0.17954497429034294</v>
          </cell>
          <cell r="AQ55">
            <v>0.16641107389321616</v>
          </cell>
          <cell r="AS55">
            <v>0.17316989607522179</v>
          </cell>
          <cell r="AT55">
            <v>0.17236198328004013</v>
          </cell>
          <cell r="AU55">
            <v>0.17160573667592344</v>
          </cell>
          <cell r="AV55">
            <v>0.17900621574901607</v>
          </cell>
          <cell r="AW55">
            <v>0.17408374486764683</v>
          </cell>
          <cell r="AY55">
            <v>0.17825989711473936</v>
          </cell>
          <cell r="AZ55">
            <v>0.17880168185003495</v>
          </cell>
          <cell r="BA55">
            <v>0.18643663268437372</v>
          </cell>
          <cell r="BB55">
            <v>0.19179102061955783</v>
          </cell>
          <cell r="BC55">
            <v>0.18408485309893741</v>
          </cell>
          <cell r="BE55">
            <v>0.18745092907615807</v>
          </cell>
          <cell r="BF55">
            <v>0.18985875615327691</v>
          </cell>
          <cell r="BG55">
            <v>0.19393663268437375</v>
          </cell>
          <cell r="BH55">
            <v>0.19879102061955781</v>
          </cell>
          <cell r="BI55">
            <v>0.19248592329536141</v>
          </cell>
          <cell r="BK55">
            <v>0.19045092907615804</v>
          </cell>
          <cell r="BL55">
            <v>0.19235875615327683</v>
          </cell>
          <cell r="BM55">
            <v>0.19493663268437386</v>
          </cell>
          <cell r="BN55">
            <v>0.20029102061955789</v>
          </cell>
          <cell r="BO55">
            <v>0.19449017331564813</v>
          </cell>
          <cell r="BQ55">
            <v>0.19595092907615808</v>
          </cell>
          <cell r="BR55">
            <v>0.19785875615327686</v>
          </cell>
          <cell r="BS55">
            <v>0.20043663268437373</v>
          </cell>
          <cell r="BT55">
            <v>0.20579102061955781</v>
          </cell>
          <cell r="BU55">
            <v>0.1999966294173306</v>
          </cell>
          <cell r="BW55">
            <v>0.20145092907615808</v>
          </cell>
          <cell r="BX55">
            <v>0.20335875615327689</v>
          </cell>
          <cell r="BY55">
            <v>0.20593663268437362</v>
          </cell>
          <cell r="BZ55">
            <v>0.21129102061955782</v>
          </cell>
          <cell r="CA55">
            <v>0.20549913847270485</v>
          </cell>
        </row>
        <row r="56">
          <cell r="C56" t="str">
            <v>Incremental EBIT</v>
          </cell>
          <cell r="O56">
            <v>4.8250234082395461E-2</v>
          </cell>
          <cell r="P56">
            <v>0.12028493048194999</v>
          </cell>
          <cell r="Q56">
            <v>0.17480451654315315</v>
          </cell>
          <cell r="R56">
            <v>0.25886636118260059</v>
          </cell>
          <cell r="S56">
            <v>0.16616787500702496</v>
          </cell>
          <cell r="U56">
            <v>0.28392455967828434</v>
          </cell>
          <cell r="V56">
            <v>0.38449713435928434</v>
          </cell>
          <cell r="W56">
            <v>0.3068648328247453</v>
          </cell>
          <cell r="X56">
            <v>0.16148356934985253</v>
          </cell>
          <cell r="Y56">
            <v>0.18761074747766973</v>
          </cell>
          <cell r="AA56">
            <v>0.16838854280726998</v>
          </cell>
          <cell r="AB56">
            <v>0.17981358883350718</v>
          </cell>
          <cell r="AC56">
            <v>0.17659902710712921</v>
          </cell>
          <cell r="AD56">
            <v>0.1982598193656796</v>
          </cell>
          <cell r="AE56">
            <v>0.17772971488404829</v>
          </cell>
          <cell r="AG56">
            <v>0.33178869323447424</v>
          </cell>
          <cell r="AH56">
            <v>0.22242817423540368</v>
          </cell>
          <cell r="AI56">
            <v>0.26591760299625417</v>
          </cell>
          <cell r="AJ56">
            <v>1.5714285714285792</v>
          </cell>
          <cell r="AK56">
            <v>0.30289995837379941</v>
          </cell>
          <cell r="AM56">
            <v>0.32820341251254531</v>
          </cell>
          <cell r="AN56">
            <v>0.25720620842572212</v>
          </cell>
          <cell r="AO56">
            <v>0.29649122807017469</v>
          </cell>
          <cell r="AP56">
            <v>9.3733816675297121E-2</v>
          </cell>
          <cell r="AQ56">
            <v>0.41708167330676349</v>
          </cell>
          <cell r="AS56">
            <v>0.28483055406132346</v>
          </cell>
          <cell r="AT56">
            <v>0.25806451612903408</v>
          </cell>
          <cell r="AU56">
            <v>0.13934426229508118</v>
          </cell>
          <cell r="AV56">
            <v>0.19170124481327724</v>
          </cell>
          <cell r="AW56">
            <v>0.28955359854236157</v>
          </cell>
          <cell r="AY56">
            <v>0.41831238779173452</v>
          </cell>
          <cell r="AZ56">
            <v>0.24351529229577851</v>
          </cell>
          <cell r="BA56">
            <v>0.31459566074950601</v>
          </cell>
          <cell r="BB56">
            <v>0.28563714902807819</v>
          </cell>
          <cell r="BC56">
            <v>0.29101760064737708</v>
          </cell>
          <cell r="BE56">
            <v>0.25334045964724777</v>
          </cell>
          <cell r="BF56">
            <v>0.31404958677686035</v>
          </cell>
          <cell r="BG56">
            <v>0.94460615611521126</v>
          </cell>
          <cell r="BH56">
            <v>-0.42333801999633563</v>
          </cell>
          <cell r="BI56">
            <v>0.34839405501473319</v>
          </cell>
          <cell r="BK56">
            <v>0.291255461089099</v>
          </cell>
          <cell r="BL56">
            <v>0.25236738095789174</v>
          </cell>
          <cell r="BM56">
            <v>0.22932790836712785</v>
          </cell>
          <cell r="BN56">
            <v>0.2499343464593132</v>
          </cell>
          <cell r="BO56">
            <v>0.25569849330692979</v>
          </cell>
          <cell r="BQ56">
            <v>0.35749313435031621</v>
          </cell>
          <cell r="BR56">
            <v>0.34665065508661258</v>
          </cell>
          <cell r="BS56">
            <v>0.35556031297446161</v>
          </cell>
          <cell r="BT56">
            <v>0.34448121710723667</v>
          </cell>
          <cell r="BU56">
            <v>0.35068405137251119</v>
          </cell>
          <cell r="BW56">
            <v>0.3317700743507333</v>
          </cell>
          <cell r="BX56">
            <v>0.33991698676198628</v>
          </cell>
          <cell r="BY56">
            <v>0.34833141037635096</v>
          </cell>
          <cell r="BZ56">
            <v>0.33763125533153165</v>
          </cell>
          <cell r="CA56">
            <v>0.3391369154645229</v>
          </cell>
        </row>
        <row r="57">
          <cell r="C57" t="str">
            <v>EBITDA</v>
          </cell>
          <cell r="I57">
            <v>0.13468893324597361</v>
          </cell>
          <cell r="J57">
            <v>0.14507842051059466</v>
          </cell>
          <cell r="K57">
            <v>0.14924720872555602</v>
          </cell>
          <cell r="L57">
            <v>0.14987959350375574</v>
          </cell>
          <cell r="M57">
            <v>0.15443099372392063</v>
          </cell>
          <cell r="O57">
            <v>0.12810796698187432</v>
          </cell>
          <cell r="P57">
            <v>0.14017756467432954</v>
          </cell>
          <cell r="Q57">
            <v>0.15754822927506332</v>
          </cell>
          <cell r="R57">
            <v>0.16990308955205763</v>
          </cell>
          <cell r="S57">
            <v>0.15152294298539293</v>
          </cell>
          <cell r="U57">
            <v>0.15899761357442141</v>
          </cell>
          <cell r="V57">
            <v>0.1643717728055078</v>
          </cell>
          <cell r="W57">
            <v>0.16839227435369028</v>
          </cell>
          <cell r="X57">
            <v>0.17599436754748624</v>
          </cell>
          <cell r="Y57">
            <v>0.16783476691090587</v>
          </cell>
          <cell r="AA57">
            <v>0.18026687195278437</v>
          </cell>
          <cell r="AB57">
            <v>0.18844042080556608</v>
          </cell>
          <cell r="AC57">
            <v>0.1877394636015326</v>
          </cell>
          <cell r="AD57">
            <v>0.18847048948914574</v>
          </cell>
          <cell r="AE57">
            <v>0.18531144123012774</v>
          </cell>
          <cell r="AG57">
            <v>0.19369616288175409</v>
          </cell>
          <cell r="AH57">
            <v>0.19368172423974031</v>
          </cell>
          <cell r="AI57">
            <v>0.19400332290096983</v>
          </cell>
          <cell r="AJ57">
            <v>0.20061973321240975</v>
          </cell>
          <cell r="AK57">
            <v>0.19388744521583967</v>
          </cell>
          <cell r="AM57">
            <v>0.17471509023990076</v>
          </cell>
          <cell r="AN57">
            <v>0.18751258000885629</v>
          </cell>
          <cell r="AO57">
            <v>0.19153727628303902</v>
          </cell>
          <cell r="AP57">
            <v>0.19486511234767898</v>
          </cell>
          <cell r="AQ57">
            <v>0.18487428871221612</v>
          </cell>
          <cell r="AS57">
            <v>0.19102364003197692</v>
          </cell>
          <cell r="AT57">
            <v>0.19066147859922183</v>
          </cell>
          <cell r="AU57">
            <v>0.18959942176741354</v>
          </cell>
          <cell r="AV57">
            <v>0.19724888741770563</v>
          </cell>
          <cell r="AW57">
            <v>0.19218179410039551</v>
          </cell>
          <cell r="AY57">
            <v>0.1964884813240885</v>
          </cell>
          <cell r="AZ57">
            <v>0.19681149264190601</v>
          </cell>
          <cell r="BA57">
            <v>0.2052234989259776</v>
          </cell>
          <cell r="BB57">
            <v>0.2112776357103551</v>
          </cell>
          <cell r="BC57">
            <v>0.20273730837111098</v>
          </cell>
          <cell r="BE57">
            <v>0.20704658466370057</v>
          </cell>
          <cell r="BF57">
            <v>0.20858402239310189</v>
          </cell>
          <cell r="BG57">
            <v>0.21220553976136838</v>
          </cell>
          <cell r="BH57">
            <v>0.21720908272261247</v>
          </cell>
          <cell r="BI57">
            <v>0.21124159679411914</v>
          </cell>
          <cell r="BK57">
            <v>0.20950922739828975</v>
          </cell>
          <cell r="BL57">
            <v>0.21143718089550606</v>
          </cell>
          <cell r="BM57">
            <v>0.21579903064803224</v>
          </cell>
          <cell r="BN57">
            <v>0.22104721226881008</v>
          </cell>
          <cell r="BO57">
            <v>0.21441549816896568</v>
          </cell>
          <cell r="BQ57">
            <v>0.21656345994676687</v>
          </cell>
          <cell r="BR57">
            <v>0.21840089257256834</v>
          </cell>
          <cell r="BS57">
            <v>0.2228978248626203</v>
          </cell>
          <cell r="BT57">
            <v>0.22801630337245238</v>
          </cell>
          <cell r="BU57">
            <v>0.22144312716792675</v>
          </cell>
          <cell r="BW57">
            <v>0.22344037360930538</v>
          </cell>
          <cell r="BX57">
            <v>0.22528693766449692</v>
          </cell>
          <cell r="BY57">
            <v>0.22992167380135395</v>
          </cell>
          <cell r="BZ57">
            <v>0.23488546196726412</v>
          </cell>
          <cell r="CA57">
            <v>0.22835826391400132</v>
          </cell>
        </row>
        <row r="58">
          <cell r="C58" t="str">
            <v>Other Expense</v>
          </cell>
          <cell r="AE58">
            <v>1.1227521501172772E-2</v>
          </cell>
          <cell r="AK58">
            <v>1.014234185315907E-2</v>
          </cell>
          <cell r="AQ58">
            <v>1.0220347875216935E-2</v>
          </cell>
          <cell r="AS58">
            <v>8.6032966614640934E-3</v>
          </cell>
          <cell r="AT58">
            <v>7.9747274338328525E-3</v>
          </cell>
          <cell r="AU58">
            <v>5.2877848366112441E-3</v>
          </cell>
          <cell r="AV58">
            <v>5.4433778366251096E-3</v>
          </cell>
          <cell r="AW58">
            <v>6.8116024294715286E-3</v>
          </cell>
          <cell r="AY58">
            <v>8.0891672258256875E-3</v>
          </cell>
          <cell r="AZ58">
            <v>1.0967063770147166E-2</v>
          </cell>
          <cell r="BA58">
            <v>1.5240887858433609E-2</v>
          </cell>
          <cell r="BB58">
            <v>1.7058880652574993E-2</v>
          </cell>
          <cell r="BC58">
            <v>1.3011731321590466E-2</v>
          </cell>
          <cell r="BE58">
            <v>1.5931693274012039E-2</v>
          </cell>
          <cell r="BF58">
            <v>1.4478298639039929E-2</v>
          </cell>
          <cell r="BG58">
            <v>2.1943129312831041E-2</v>
          </cell>
          <cell r="BH58">
            <v>2.1607180242377063E-2</v>
          </cell>
          <cell r="BI58">
            <v>1.8445787632968769E-2</v>
          </cell>
          <cell r="BK58">
            <v>1.4841034741825533E-2</v>
          </cell>
          <cell r="BL58">
            <v>1.4500437015565536E-2</v>
          </cell>
          <cell r="BM58">
            <v>1.4927892546645916E-2</v>
          </cell>
          <cell r="BN58">
            <v>1.3996686765998662E-2</v>
          </cell>
          <cell r="BO58">
            <v>1.4563227146850025E-2</v>
          </cell>
          <cell r="BQ58">
            <v>1.2548269373436007E-2</v>
          </cell>
          <cell r="BR58">
            <v>1.2497211900205621E-2</v>
          </cell>
          <cell r="BS58">
            <v>1.2848292219239246E-2</v>
          </cell>
          <cell r="BT58">
            <v>1.0787154500793235E-2</v>
          </cell>
          <cell r="BU58">
            <v>1.2165904794876394E-2</v>
          </cell>
          <cell r="BW58">
            <v>1.0634822273683703E-2</v>
          </cell>
          <cell r="BX58">
            <v>8.1028851384367159E-3</v>
          </cell>
          <cell r="BY58">
            <v>9.3393557772243393E-3</v>
          </cell>
          <cell r="BZ58">
            <v>8.4050392383101368E-3</v>
          </cell>
          <cell r="CA58">
            <v>9.1100356447956152E-3</v>
          </cell>
        </row>
        <row r="59">
          <cell r="C59" t="str">
            <v>income tax rate</v>
          </cell>
          <cell r="I59">
            <v>0.25321909032671358</v>
          </cell>
          <cell r="J59">
            <v>0.25044680403700598</v>
          </cell>
          <cell r="K59">
            <v>0.26570226484168002</v>
          </cell>
          <cell r="L59">
            <v>0.28000277723133166</v>
          </cell>
          <cell r="M59">
            <v>0.44230591188239954</v>
          </cell>
          <cell r="O59">
            <v>0.28048648732077003</v>
          </cell>
          <cell r="P59">
            <v>0.7509095866199107</v>
          </cell>
          <cell r="Q59">
            <v>0.44870526052485593</v>
          </cell>
          <cell r="R59">
            <v>0.32724325112025904</v>
          </cell>
          <cell r="S59">
            <v>0.46991576898013676</v>
          </cell>
          <cell r="U59">
            <v>0.39026614174917618</v>
          </cell>
          <cell r="V59">
            <v>0.41387785970882957</v>
          </cell>
          <cell r="W59">
            <v>0.41242531694758833</v>
          </cell>
          <cell r="X59">
            <v>0.58189572020210767</v>
          </cell>
          <cell r="Y59">
            <v>0.28097764304660849</v>
          </cell>
          <cell r="AA59">
            <v>0.25028669724770608</v>
          </cell>
          <cell r="AB59">
            <v>0.24192708333333326</v>
          </cell>
          <cell r="AC59">
            <v>0.24631306597671407</v>
          </cell>
          <cell r="AD59">
            <v>0.22531939605110343</v>
          </cell>
          <cell r="AE59">
            <v>0.23422094037158753</v>
          </cell>
          <cell r="AG59">
            <v>0.24317968015051747</v>
          </cell>
          <cell r="AH59">
            <v>0.23669159700835879</v>
          </cell>
          <cell r="AI59">
            <v>0.23294008790191989</v>
          </cell>
          <cell r="AJ59">
            <v>0.20907172995780596</v>
          </cell>
          <cell r="AK59">
            <v>0.22326695088477516</v>
          </cell>
          <cell r="AM59">
            <v>0.19987775061124682</v>
          </cell>
          <cell r="AN59">
            <v>0.19994905756495165</v>
          </cell>
          <cell r="AO59">
            <v>0.19999999999999998</v>
          </cell>
          <cell r="AP59">
            <v>0.20033181252592297</v>
          </cell>
          <cell r="AQ59">
            <v>0.19191266714036548</v>
          </cell>
          <cell r="AS59">
            <v>0.21027064538514917</v>
          </cell>
          <cell r="AT59">
            <v>0.20717131474103578</v>
          </cell>
          <cell r="AU59">
            <v>0.1957913998170174</v>
          </cell>
          <cell r="AV59">
            <v>0.18542063996609459</v>
          </cell>
          <cell r="AW59">
            <v>0.19930999377863237</v>
          </cell>
          <cell r="AY59">
            <v>0.20503833515881714</v>
          </cell>
          <cell r="AZ59">
            <v>0.20041753653444688</v>
          </cell>
          <cell r="BA59">
            <v>0.1850229038040232</v>
          </cell>
          <cell r="BB59">
            <v>0.17636161541311596</v>
          </cell>
          <cell r="BC59">
            <v>0.19171009772760078</v>
          </cell>
          <cell r="BE59">
            <v>0.17509059698645815</v>
          </cell>
          <cell r="BF59">
            <v>0.17611447440836547</v>
          </cell>
          <cell r="BG59">
            <v>0.17100000000000001</v>
          </cell>
          <cell r="BH59">
            <v>0.17100000000000001</v>
          </cell>
          <cell r="BI59">
            <v>0.17330126784870592</v>
          </cell>
          <cell r="BK59">
            <v>0.17399999999999999</v>
          </cell>
          <cell r="BL59">
            <v>0.17399999999999999</v>
          </cell>
          <cell r="BM59">
            <v>0.17399999999999999</v>
          </cell>
          <cell r="BN59">
            <v>0.17399999999999999</v>
          </cell>
          <cell r="BO59">
            <v>0.17399999999999999</v>
          </cell>
          <cell r="BQ59">
            <v>0.17399999999999999</v>
          </cell>
          <cell r="BR59">
            <v>0.17399999999999999</v>
          </cell>
          <cell r="BS59">
            <v>0.17399999999999999</v>
          </cell>
          <cell r="BT59">
            <v>0.17399999999999999</v>
          </cell>
          <cell r="BU59">
            <v>0.17399999999999999</v>
          </cell>
          <cell r="BW59">
            <v>0.17399999999999999</v>
          </cell>
          <cell r="BX59">
            <v>0.17399999999999999</v>
          </cell>
          <cell r="BY59">
            <v>0.17399999999999999</v>
          </cell>
          <cell r="BZ59">
            <v>0.17399999999999999</v>
          </cell>
          <cell r="CA59">
            <v>0.17399999999999999</v>
          </cell>
        </row>
        <row r="60">
          <cell r="C60" t="str">
            <v>Net Income (non-GAAP)</v>
          </cell>
          <cell r="AE60">
            <v>0.11902006776127189</v>
          </cell>
          <cell r="AG60">
            <v>0.12599843382928738</v>
          </cell>
          <cell r="AH60">
            <v>0.1280631827576027</v>
          </cell>
          <cell r="AI60">
            <v>0.12812487925505198</v>
          </cell>
          <cell r="AJ60">
            <v>0.14166950081245508</v>
          </cell>
          <cell r="AK60">
            <v>0.12896094325718474</v>
          </cell>
          <cell r="AM60">
            <v>0.11609241275331478</v>
          </cell>
          <cell r="AN60">
            <v>0.12644418501670621</v>
          </cell>
          <cell r="AO60">
            <v>0.13006202836711311</v>
          </cell>
          <cell r="AP60">
            <v>0.13580333873353514</v>
          </cell>
          <cell r="AQ60">
            <v>0.12621574720529494</v>
          </cell>
          <cell r="AS60">
            <v>0.12996307434618756</v>
          </cell>
          <cell r="AT60">
            <v>0.1303309319258775</v>
          </cell>
          <cell r="AU60">
            <v>0.13375432723399397</v>
          </cell>
          <cell r="AV60">
            <v>0.14138070543234388</v>
          </cell>
          <cell r="AW60">
            <v>0.13393313276948407</v>
          </cell>
          <cell r="AY60">
            <v>0.13527920673973007</v>
          </cell>
          <cell r="AZ60">
            <v>0.13419761737911692</v>
          </cell>
          <cell r="BA60">
            <v>0.13952061099935212</v>
          </cell>
          <cell r="BB60">
            <v>0.14391609749781506</v>
          </cell>
          <cell r="BC60">
            <v>0.13839671938263468</v>
          </cell>
          <cell r="BE60">
            <v>0.14148783041088717</v>
          </cell>
          <cell r="BF60">
            <v>0.14449342041761845</v>
          </cell>
          <cell r="BG60">
            <v>0.1425826142950089</v>
          </cell>
          <cell r="BH60">
            <v>0.14690298209446959</v>
          </cell>
          <cell r="BI60">
            <v>0.14387875949553922</v>
          </cell>
          <cell r="BK60">
            <v>0.14505377272015865</v>
          </cell>
          <cell r="BL60">
            <v>0.14691097160774955</v>
          </cell>
          <cell r="BM60">
            <v>0.14868721935376328</v>
          </cell>
          <cell r="BN60">
            <v>0.15387911976303992</v>
          </cell>
          <cell r="BO60">
            <v>0.14861965753542727</v>
          </cell>
          <cell r="BQ60">
            <v>0.15149059691444844</v>
          </cell>
          <cell r="BR60">
            <v>0.15310863555303683</v>
          </cell>
          <cell r="BS60">
            <v>0.15494796922420107</v>
          </cell>
          <cell r="BT60">
            <v>0.16107319341409956</v>
          </cell>
          <cell r="BU60">
            <v>0.15514817853814716</v>
          </cell>
          <cell r="BW60">
            <v>0.15761410421884386</v>
          </cell>
          <cell r="BX60">
            <v>0.16128134945825801</v>
          </cell>
          <cell r="BY60">
            <v>0.1623893507253053</v>
          </cell>
          <cell r="BZ60">
            <v>0.16758382062091057</v>
          </cell>
          <cell r="CA60">
            <v>0.16221739893585302</v>
          </cell>
        </row>
        <row r="62">
          <cell r="C62" t="str">
            <v>Growth</v>
          </cell>
          <cell r="AQ62">
            <v>-9.2237061769615547E-3</v>
          </cell>
          <cell r="AS62">
            <v>0.14320944160648219</v>
          </cell>
          <cell r="AT62">
            <v>5.9587217043941321E-2</v>
          </cell>
          <cell r="AU62">
            <v>6.5752519411861998E-2</v>
          </cell>
          <cell r="AV62">
            <v>6.2930776146239431E-3</v>
          </cell>
          <cell r="AW62">
            <v>9.6212982855217177E-2</v>
          </cell>
          <cell r="AY62">
            <v>4.5300462249614704E-2</v>
          </cell>
          <cell r="AZ62">
            <v>0.11671379202010668</v>
          </cell>
          <cell r="BA62">
            <v>0.16075027127577113</v>
          </cell>
          <cell r="BB62">
            <v>0.18448481238832648</v>
          </cell>
          <cell r="BC62">
            <v>0.12731045613495739</v>
          </cell>
          <cell r="BE62">
            <v>0.18042452830188682</v>
          </cell>
          <cell r="BF62">
            <v>0.12195808130538754</v>
          </cell>
          <cell r="BG62">
            <v>1.3947014264714008E-2</v>
          </cell>
          <cell r="BH62">
            <v>-7.4119110687711487E-3</v>
          </cell>
          <cell r="BI62">
            <v>7.2827702831405272E-2</v>
          </cell>
          <cell r="BK62">
            <v>2.9760566713556758E-2</v>
          </cell>
          <cell r="BL62">
            <v>4.1660678079855851E-2</v>
          </cell>
          <cell r="BM62">
            <v>2.9077141808425466E-2</v>
          </cell>
          <cell r="BN62">
            <v>3.0215542061826417E-2</v>
          </cell>
          <cell r="BO62">
            <v>3.2725663552943152E-2</v>
          </cell>
          <cell r="BQ62">
            <v>2.812611130765319E-2</v>
          </cell>
          <cell r="BR62">
            <v>3.0903089821762153E-2</v>
          </cell>
          <cell r="BS62">
            <v>2.939580560714794E-2</v>
          </cell>
          <cell r="BT62">
            <v>3.3623947632629214E-2</v>
          </cell>
          <cell r="BU62">
            <v>3.0517167054494143E-2</v>
          </cell>
          <cell r="BW62">
            <v>3.6202292647599554E-2</v>
          </cell>
          <cell r="BX62">
            <v>3.4159462444636635E-2</v>
          </cell>
          <cell r="BY62">
            <v>3.2510908155257923E-2</v>
          </cell>
          <cell r="BZ62">
            <v>3.7442621233896523E-2</v>
          </cell>
          <cell r="CA62">
            <v>3.5104870167074198E-2</v>
          </cell>
        </row>
        <row r="63">
          <cell r="C63" t="str">
            <v>Revenues</v>
          </cell>
          <cell r="O63">
            <v>6.509317527312608E-2</v>
          </cell>
          <cell r="P63">
            <v>0.2442600450401573</v>
          </cell>
          <cell r="Q63">
            <v>0.25279772825756264</v>
          </cell>
          <cell r="R63">
            <v>0.20779373234051635</v>
          </cell>
          <cell r="S63">
            <v>0.1935779546191172</v>
          </cell>
          <cell r="U63">
            <v>0.22367169282270649</v>
          </cell>
          <cell r="V63">
            <v>9.1562235607484999E-2</v>
          </cell>
          <cell r="W63">
            <v>6.7044837366483589E-2</v>
          </cell>
          <cell r="X63">
            <v>1.2528743079994653</v>
          </cell>
          <cell r="Y63">
            <v>0.43059679980493937</v>
          </cell>
          <cell r="AA63">
            <v>2.4169873167252924</v>
          </cell>
          <cell r="AB63">
            <v>2.3440883122999212</v>
          </cell>
          <cell r="AC63">
            <v>2.3121736035819804</v>
          </cell>
          <cell r="AD63">
            <v>0.57055545568937638</v>
          </cell>
          <cell r="AE63">
            <v>1.5465912711054473</v>
          </cell>
          <cell r="AG63">
            <v>9.229321700453319E-2</v>
          </cell>
          <cell r="AH63">
            <v>0.13567207343140963</v>
          </cell>
          <cell r="AI63">
            <v>7.7836081959020698E-2</v>
          </cell>
          <cell r="AJ63">
            <v>9.6142840792032835E-3</v>
          </cell>
          <cell r="AK63">
            <v>7.513161323951012E-2</v>
          </cell>
          <cell r="AM63">
            <v>-0.11703210649960827</v>
          </cell>
          <cell r="AN63">
            <v>-8.3222615884263496E-2</v>
          </cell>
          <cell r="AO63">
            <v>-2.2023878520922913E-2</v>
          </cell>
          <cell r="AP63">
            <v>7.2969806900200496E-2</v>
          </cell>
          <cell r="AQ63">
            <v>-3.8940387076756067E-2</v>
          </cell>
          <cell r="AS63">
            <v>0.16487073743958103</v>
          </cell>
          <cell r="AT63">
            <v>4.4925727627712186E-2</v>
          </cell>
          <cell r="AU63">
            <v>3.8560309746750399E-2</v>
          </cell>
          <cell r="AV63">
            <v>-4.2438543354229807E-2</v>
          </cell>
          <cell r="AW63">
            <v>6.6447394971548279E-2</v>
          </cell>
          <cell r="AY63">
            <v>2.1203700178918261E-2</v>
          </cell>
          <cell r="AZ63">
            <v>9.9510729283045052E-2</v>
          </cell>
          <cell r="BA63">
            <v>0.11572260052497452</v>
          </cell>
          <cell r="BB63">
            <v>0.13623156423553651</v>
          </cell>
          <cell r="BC63">
            <v>9.3527085580216163E-2</v>
          </cell>
          <cell r="BE63">
            <v>0.13949153806009096</v>
          </cell>
          <cell r="BF63">
            <v>8.9032936229852755E-2</v>
          </cell>
          <cell r="BG63">
            <v>9.9910809829100167E-3</v>
          </cell>
          <cell r="BH63">
            <v>-1.125168500906204E-2</v>
          </cell>
          <cell r="BI63">
            <v>5.3884746765778591E-2</v>
          </cell>
          <cell r="BK63">
            <v>2.9760566713556758E-2</v>
          </cell>
          <cell r="BL63">
            <v>4.1660678079855851E-2</v>
          </cell>
          <cell r="BM63">
            <v>2.9077141808425466E-2</v>
          </cell>
          <cell r="BN63">
            <v>3.0215542061826195E-2</v>
          </cell>
          <cell r="BO63">
            <v>3.2744731771305213E-2</v>
          </cell>
          <cell r="BQ63">
            <v>3.4046829995082684E-2</v>
          </cell>
          <cell r="BR63">
            <v>3.6964378030179379E-2</v>
          </cell>
          <cell r="BS63">
            <v>3.5455579636291867E-2</v>
          </cell>
          <cell r="BT63">
            <v>3.9656732337880252E-2</v>
          </cell>
          <cell r="BU63">
            <v>3.6542241085790517E-2</v>
          </cell>
          <cell r="BW63">
            <v>4.2204082818467104E-2</v>
          </cell>
          <cell r="BX63">
            <v>4.0275858697668587E-2</v>
          </cell>
          <cell r="BY63">
            <v>3.8625012020435667E-2</v>
          </cell>
          <cell r="BZ63">
            <v>4.353324190459773E-2</v>
          </cell>
          <cell r="CA63">
            <v>4.1174802359299489E-2</v>
          </cell>
        </row>
        <row r="64">
          <cell r="C64" t="str">
            <v>COGS</v>
          </cell>
          <cell r="AG64">
            <v>8.0189696055184667E-2</v>
          </cell>
          <cell r="AH64">
            <v>0.12976773918602169</v>
          </cell>
          <cell r="AI64">
            <v>7.1242703424994946E-2</v>
          </cell>
          <cell r="AJ64">
            <v>-8.3892617449665696E-4</v>
          </cell>
          <cell r="AK64">
            <v>6.7363043059857075E-2</v>
          </cell>
          <cell r="AM64">
            <v>-0.10969201090933289</v>
          </cell>
          <cell r="AN64">
            <v>-7.9152521061234826E-2</v>
          </cell>
          <cell r="AO64">
            <v>-2.2912289915966499E-2</v>
          </cell>
          <cell r="AP64">
            <v>7.3564554672867155E-2</v>
          </cell>
          <cell r="AQ64">
            <v>-3.4752389226759495E-2</v>
          </cell>
          <cell r="AS64">
            <v>0.13792588164973063</v>
          </cell>
          <cell r="AT64">
            <v>3.2088482283061381E-2</v>
          </cell>
          <cell r="AU64">
            <v>2.9698313512060537E-2</v>
          </cell>
          <cell r="AV64">
            <v>-6.1123811815665952E-2</v>
          </cell>
          <cell r="AW64">
            <v>4.0673878708625377E-2</v>
          </cell>
          <cell r="AY64">
            <v>1.9697964543667901E-3</v>
          </cell>
          <cell r="AZ64">
            <v>8.0108487133690565E-2</v>
          </cell>
          <cell r="BA64">
            <v>6.8384991843393417E-2</v>
          </cell>
          <cell r="BB64">
            <v>9.015763168012314E-2</v>
          </cell>
          <cell r="BC64">
            <v>6.0315284441398331E-2</v>
          </cell>
          <cell r="BE64">
            <v>0.10288335517693326</v>
          </cell>
          <cell r="BF64">
            <v>5.3650171484566522E-2</v>
          </cell>
          <cell r="BG64">
            <v>-5.3871173631628855E-3</v>
          </cell>
          <cell r="BH64">
            <v>-2.5615007971509618E-2</v>
          </cell>
          <cell r="BI64">
            <v>2.9581195505796742E-2</v>
          </cell>
          <cell r="BK64">
            <v>2.4149564752184105E-2</v>
          </cell>
          <cell r="BL64">
            <v>3.6955979240138381E-2</v>
          </cell>
          <cell r="BM64">
            <v>2.7205251551196463E-2</v>
          </cell>
          <cell r="BN64">
            <v>2.7368107781621687E-2</v>
          </cell>
          <cell r="BO64">
            <v>2.8984490926845741E-2</v>
          </cell>
          <cell r="BQ64">
            <v>2.6493195264452929E-2</v>
          </cell>
          <cell r="BR64">
            <v>2.9436798917751528E-2</v>
          </cell>
          <cell r="BS64">
            <v>2.7907879862025364E-2</v>
          </cell>
          <cell r="BT64">
            <v>3.1972750463855615E-2</v>
          </cell>
          <cell r="BU64">
            <v>2.8955601519738083E-2</v>
          </cell>
          <cell r="BW64">
            <v>3.4534836697109883E-2</v>
          </cell>
          <cell r="BX64">
            <v>3.266902082930434E-2</v>
          </cell>
          <cell r="BY64">
            <v>3.0998618719679571E-2</v>
          </cell>
          <cell r="BZ64">
            <v>3.5763181588438053E-2</v>
          </cell>
          <cell r="CA64">
            <v>3.349738141798464E-2</v>
          </cell>
        </row>
        <row r="65">
          <cell r="C65" t="str">
            <v>SGA</v>
          </cell>
          <cell r="AG65">
            <v>5.946791862284817E-2</v>
          </cell>
          <cell r="AH65">
            <v>0.12298426267728768</v>
          </cell>
          <cell r="AI65">
            <v>6.3784412563009152E-2</v>
          </cell>
          <cell r="AJ65">
            <v>-2.2580645161290325E-2</v>
          </cell>
          <cell r="AK65">
            <v>5.2507836990595802E-2</v>
          </cell>
          <cell r="AM65">
            <v>-5.9268833087149253E-2</v>
          </cell>
          <cell r="AN65">
            <v>-6.1072664359861473E-2</v>
          </cell>
          <cell r="AO65">
            <v>-7.1077091306727125E-3</v>
          </cell>
          <cell r="AP65">
            <v>9.6626329299596803E-2</v>
          </cell>
          <cell r="AQ65">
            <v>-8.7025316455697777E-3</v>
          </cell>
          <cell r="AS65">
            <v>0.14406280667320903</v>
          </cell>
          <cell r="AT65">
            <v>4.4776119402984982E-2</v>
          </cell>
          <cell r="AU65">
            <v>5.2863436123348206E-2</v>
          </cell>
          <cell r="AV65">
            <v>-6.8550409630496745E-3</v>
          </cell>
          <cell r="AW65">
            <v>8.7977090277451708E-2</v>
          </cell>
          <cell r="AY65">
            <v>3.5512094698919361E-2</v>
          </cell>
          <cell r="AZ65">
            <v>0.10687830687830702</v>
          </cell>
          <cell r="BA65">
            <v>0.15411436541143653</v>
          </cell>
          <cell r="BB65">
            <v>0.17811447811447834</v>
          </cell>
          <cell r="BC65">
            <v>0.1188781014023732</v>
          </cell>
          <cell r="BE65">
            <v>0.17461895294897278</v>
          </cell>
          <cell r="BF65">
            <v>0.12077756532823436</v>
          </cell>
          <cell r="BG65">
            <v>1.4465707631572844E-2</v>
          </cell>
          <cell r="BH65">
            <v>-6.8868090880824795E-3</v>
          </cell>
          <cell r="BI65">
            <v>7.171496700819957E-2</v>
          </cell>
          <cell r="BK65">
            <v>2.9760566713556758E-2</v>
          </cell>
          <cell r="BL65">
            <v>4.1660678079856073E-2</v>
          </cell>
          <cell r="BM65">
            <v>2.9077141808425466E-2</v>
          </cell>
          <cell r="BN65">
            <v>3.0215542061826195E-2</v>
          </cell>
          <cell r="BO65">
            <v>3.2721305465763129E-2</v>
          </cell>
          <cell r="BQ65">
            <v>3.070316883507318E-2</v>
          </cell>
          <cell r="BR65">
            <v>3.3527867172179926E-2</v>
          </cell>
          <cell r="BS65">
            <v>3.2030172723599648E-2</v>
          </cell>
          <cell r="BT65">
            <v>3.6229651206600488E-2</v>
          </cell>
          <cell r="BU65">
            <v>3.3122641455393786E-2</v>
          </cell>
          <cell r="BW65">
            <v>3.8823112023100403E-2</v>
          </cell>
          <cell r="BX65">
            <v>3.6816910567406547E-2</v>
          </cell>
          <cell r="BY65">
            <v>3.5177716204964682E-2</v>
          </cell>
          <cell r="BZ65">
            <v>4.0082005898148365E-2</v>
          </cell>
          <cell r="CA65">
            <v>3.7748798942701223E-2</v>
          </cell>
        </row>
        <row r="66">
          <cell r="C66" t="str">
            <v>R&amp;D</v>
          </cell>
          <cell r="AG66">
            <v>3.6789297658862852E-2</v>
          </cell>
          <cell r="AH66">
            <v>9.7103918228279351E-2</v>
          </cell>
          <cell r="AI66">
            <v>5.1020408163265252E-2</v>
          </cell>
          <cell r="AJ66">
            <v>-8.1433224755700362E-3</v>
          </cell>
          <cell r="AK66">
            <v>4.3037974683544311E-2</v>
          </cell>
          <cell r="AM66">
            <v>-6.1290322580645151E-2</v>
          </cell>
          <cell r="AN66">
            <v>-9.782608695652184E-2</v>
          </cell>
          <cell r="AO66">
            <v>-2.1035598705501535E-2</v>
          </cell>
          <cell r="AP66">
            <v>0.13793103448275867</v>
          </cell>
          <cell r="AQ66">
            <v>-1.3754045307443286E-2</v>
          </cell>
          <cell r="AS66">
            <v>0.13573883161512001</v>
          </cell>
          <cell r="AT66">
            <v>0.19793459552495674</v>
          </cell>
          <cell r="AU66">
            <v>0.18181818181818188</v>
          </cell>
          <cell r="AV66">
            <v>0.11976911976911975</v>
          </cell>
          <cell r="AW66">
            <v>0.16817063166529911</v>
          </cell>
          <cell r="AY66">
            <v>0.1316187594553706</v>
          </cell>
          <cell r="AZ66">
            <v>0.19683908045977017</v>
          </cell>
          <cell r="BA66">
            <v>0.21398601398601391</v>
          </cell>
          <cell r="BB66">
            <v>0.23324742268041243</v>
          </cell>
          <cell r="BC66">
            <v>0.1959269662921348</v>
          </cell>
          <cell r="BE66">
            <v>0.22727272727272729</v>
          </cell>
          <cell r="BF66">
            <v>0.13085234093637466</v>
          </cell>
          <cell r="BG66">
            <v>9.9910809829100167E-3</v>
          </cell>
          <cell r="BH66">
            <v>-1.125168500906204E-2</v>
          </cell>
          <cell r="BI66">
            <v>8.1299000510714592E-2</v>
          </cell>
          <cell r="BK66">
            <v>2.9760566713556758E-2</v>
          </cell>
          <cell r="BL66">
            <v>4.1660678079855851E-2</v>
          </cell>
          <cell r="BM66">
            <v>2.9077141808425466E-2</v>
          </cell>
          <cell r="BN66">
            <v>3.0215542061826195E-2</v>
          </cell>
          <cell r="BO66">
            <v>3.2758547752964162E-2</v>
          </cell>
          <cell r="BQ66">
            <v>8.2226931492577204E-3</v>
          </cell>
          <cell r="BR66">
            <v>1.130363771683851E-2</v>
          </cell>
          <cell r="BS66">
            <v>9.2151907867934479E-3</v>
          </cell>
          <cell r="BT66">
            <v>1.4485795478856867E-2</v>
          </cell>
          <cell r="BU66">
            <v>1.0858117534830569E-2</v>
          </cell>
          <cell r="BW66">
            <v>1.5509562809287836E-2</v>
          </cell>
          <cell r="BX66">
            <v>1.3879979489180405E-2</v>
          </cell>
          <cell r="BY66">
            <v>1.1619944683920691E-2</v>
          </cell>
          <cell r="BZ66">
            <v>1.7641593683072276E-2</v>
          </cell>
          <cell r="CA66">
            <v>1.4716282910608003E-2</v>
          </cell>
        </row>
        <row r="67">
          <cell r="C67" t="str">
            <v>EBIT</v>
          </cell>
          <cell r="U67">
            <v>0.57756924227885831</v>
          </cell>
          <cell r="V67">
            <v>0.28456772565944988</v>
          </cell>
          <cell r="W67">
            <v>0.14760295670538492</v>
          </cell>
          <cell r="X67">
            <v>1.3211597115706661</v>
          </cell>
          <cell r="Y67">
            <v>0.60688403729614371</v>
          </cell>
          <cell r="AA67">
            <v>2.8711340206185567</v>
          </cell>
          <cell r="AB67">
            <v>2.8951036833086246</v>
          </cell>
          <cell r="AC67">
            <v>2.7238447523877882</v>
          </cell>
          <cell r="AD67">
            <v>0.71694193690494834</v>
          </cell>
          <cell r="AE67">
            <v>1.8384232954545445</v>
          </cell>
          <cell r="AG67">
            <v>0.19067909454061094</v>
          </cell>
          <cell r="AH67">
            <v>0.17795353435491901</v>
          </cell>
          <cell r="AI67">
            <v>0.12280701754385981</v>
          </cell>
          <cell r="AJ67">
            <v>8.7591240875912302E-2</v>
          </cell>
          <cell r="AK67">
            <v>0.13655698736394184</v>
          </cell>
          <cell r="AM67">
            <v>-0.21941400134198097</v>
          </cell>
          <cell r="AN67">
            <v>-0.12169534200587584</v>
          </cell>
          <cell r="AO67">
            <v>-3.7191901408450856E-2</v>
          </cell>
          <cell r="AP67">
            <v>3.6811063656701171E-2</v>
          </cell>
          <cell r="AQ67">
            <v>-9.2189993945729798E-2</v>
          </cell>
          <cell r="AS67">
            <v>0.30343839541547224</v>
          </cell>
          <cell r="AT67">
            <v>6.8800764452938923E-2</v>
          </cell>
          <cell r="AU67">
            <v>3.1085714285714161E-2</v>
          </cell>
          <cell r="AV67">
            <v>-4.5311887014515384E-2</v>
          </cell>
          <cell r="AW67">
            <v>0.11561780041227032</v>
          </cell>
          <cell r="AY67">
            <v>5.1220048362276893E-2</v>
          </cell>
          <cell r="AZ67">
            <v>0.1405900759946348</v>
          </cell>
          <cell r="BA67">
            <v>0.21214808246508499</v>
          </cell>
          <cell r="BB67">
            <v>0.21738237107047498</v>
          </cell>
          <cell r="BC67">
            <v>0.15635019835878317</v>
          </cell>
          <cell r="BE67">
            <v>0.19824341279799285</v>
          </cell>
          <cell r="BF67">
            <v>0.15637860082304567</v>
          </cell>
          <cell r="BG67">
            <v>5.0621149217385142E-2</v>
          </cell>
          <cell r="BH67">
            <v>2.4835709398550732E-2</v>
          </cell>
          <cell r="BI67">
            <v>0.10198082630449723</v>
          </cell>
          <cell r="BK67">
            <v>4.6241048914237304E-2</v>
          </cell>
          <cell r="BL67">
            <v>5.5376936144336142E-2</v>
          </cell>
          <cell r="BM67">
            <v>3.4383396369848773E-2</v>
          </cell>
          <cell r="BN67">
            <v>3.7989149281491441E-2</v>
          </cell>
          <cell r="BO67">
            <v>4.3498134483396234E-2</v>
          </cell>
          <cell r="BQ67">
            <v>6.3908892588112831E-2</v>
          </cell>
          <cell r="BR67">
            <v>6.6613686401779892E-2</v>
          </cell>
          <cell r="BS67">
            <v>6.4670230620955005E-2</v>
          </cell>
          <cell r="BT67">
            <v>6.8205750712096336E-2</v>
          </cell>
          <cell r="BU67">
            <v>6.5889093169752444E-2</v>
          </cell>
          <cell r="BW67">
            <v>7.1456929347578413E-2</v>
          </cell>
          <cell r="BX67">
            <v>6.9193038478203128E-2</v>
          </cell>
          <cell r="BY67">
            <v>6.7124979763895087E-2</v>
          </cell>
          <cell r="BZ67">
            <v>7.1422859309652864E-2</v>
          </cell>
          <cell r="CA67">
            <v>6.9820654016403028E-2</v>
          </cell>
        </row>
        <row r="68">
          <cell r="C68" t="str">
            <v>EBITDA</v>
          </cell>
          <cell r="U68">
            <v>0.51872583369393999</v>
          </cell>
          <cell r="V68">
            <v>0.27996245484212579</v>
          </cell>
          <cell r="W68">
            <v>0.14048953662182306</v>
          </cell>
          <cell r="X68">
            <v>1.3336431965168156</v>
          </cell>
          <cell r="Y68">
            <v>0.58460412468292877</v>
          </cell>
          <cell r="AA68">
            <v>2.8740808823529416</v>
          </cell>
          <cell r="AB68">
            <v>2.8337568429489917</v>
          </cell>
          <cell r="AC68">
            <v>2.6927210471993321</v>
          </cell>
          <cell r="AD68">
            <v>0.68189107201830423</v>
          </cell>
          <cell r="AE68">
            <v>1.8117684277127486</v>
          </cell>
          <cell r="AG68">
            <v>0.17366548042704477</v>
          </cell>
          <cell r="AH68">
            <v>0.16725978647686879</v>
          </cell>
          <cell r="AI68">
            <v>0.11379769299023956</v>
          </cell>
          <cell r="AJ68">
            <v>7.4696356275303577E-2</v>
          </cell>
          <cell r="AK68">
            <v>0.12488748874887357</v>
          </cell>
          <cell r="AM68">
            <v>-0.203557711744491</v>
          </cell>
          <cell r="AN68">
            <v>-0.11242378048780577</v>
          </cell>
          <cell r="AO68">
            <v>-3.4455287791276823E-2</v>
          </cell>
          <cell r="AP68">
            <v>4.2192503296289097E-2</v>
          </cell>
          <cell r="AQ68">
            <v>-8.3616723344667188E-2</v>
          </cell>
          <cell r="AS68">
            <v>0.27360406091370493</v>
          </cell>
          <cell r="AT68">
            <v>6.2473164448261453E-2</v>
          </cell>
          <cell r="AU68">
            <v>2.8052805280527782E-2</v>
          </cell>
          <cell r="AV68">
            <v>-3.0724742454364518E-2</v>
          </cell>
          <cell r="AW68">
            <v>0.10860074219602645</v>
          </cell>
          <cell r="AY68">
            <v>5.0418493423674215E-2</v>
          </cell>
          <cell r="AZ68">
            <v>0.1349767629824199</v>
          </cell>
          <cell r="BA68">
            <v>0.20766452648475098</v>
          </cell>
          <cell r="BB68">
            <v>0.21704269998135417</v>
          </cell>
          <cell r="BC68">
            <v>0.15358865806832589</v>
          </cell>
          <cell r="BE68">
            <v>0.20072092582052781</v>
          </cell>
          <cell r="BF68">
            <v>0.15417482641979752</v>
          </cell>
          <cell r="BG68">
            <v>4.4352638054630633E-2</v>
          </cell>
          <cell r="BH68">
            <v>1.6506616143396657E-2</v>
          </cell>
          <cell r="BI68">
            <v>9.8092396177297703E-2</v>
          </cell>
          <cell r="BK68">
            <v>4.2008691366772322E-2</v>
          </cell>
          <cell r="BL68">
            <v>5.5909243172164391E-2</v>
          </cell>
          <cell r="BM68">
            <v>4.6503545166797444E-2</v>
          </cell>
          <cell r="BN68">
            <v>4.8419664382020056E-2</v>
          </cell>
          <cell r="BO68">
            <v>4.8261703682993318E-2</v>
          </cell>
          <cell r="BQ68">
            <v>6.8863467407113133E-2</v>
          </cell>
          <cell r="BR68">
            <v>7.1116937752185416E-2</v>
          </cell>
          <cell r="BS68">
            <v>6.9517299265485555E-2</v>
          </cell>
          <cell r="BT68">
            <v>7.2434628108702048E-2</v>
          </cell>
          <cell r="BU68">
            <v>7.0515691579384088E-2</v>
          </cell>
          <cell r="BW68">
            <v>7.5298989494087865E-2</v>
          </cell>
          <cell r="BX68">
            <v>7.3075113255003821E-2</v>
          </cell>
          <cell r="BY68">
            <v>7.1353663333736828E-2</v>
          </cell>
          <cell r="BZ68">
            <v>7.4970447190273459E-2</v>
          </cell>
          <cell r="CA68">
            <v>7.3688189552490124E-2</v>
          </cell>
        </row>
        <row r="69">
          <cell r="C69" t="str">
            <v>Adj EPS</v>
          </cell>
          <cell r="AA69">
            <v>0.5275040697108222</v>
          </cell>
          <cell r="AB69">
            <v>0.54667091641763421</v>
          </cell>
          <cell r="AC69">
            <v>0.48054173683496959</v>
          </cell>
          <cell r="AD69">
            <v>0.32638841094042959</v>
          </cell>
          <cell r="AE69">
            <v>0.38096324624378219</v>
          </cell>
          <cell r="AG69">
            <v>0.24441644903007953</v>
          </cell>
          <cell r="AH69">
            <v>0.21738677439865195</v>
          </cell>
          <cell r="AI69">
            <v>0.15937293640234218</v>
          </cell>
          <cell r="AJ69">
            <v>0.15911929388604729</v>
          </cell>
          <cell r="AK69">
            <v>0.18877464398664756</v>
          </cell>
          <cell r="AM69">
            <v>-0.16560079624999047</v>
          </cell>
          <cell r="AN69">
            <v>-6.5971450900160988E-2</v>
          </cell>
          <cell r="AO69">
            <v>3.5997850411860544E-2</v>
          </cell>
          <cell r="AP69">
            <v>4.1208904721031114E-2</v>
          </cell>
          <cell r="AQ69">
            <v>-3.2816521616205185E-2</v>
          </cell>
          <cell r="AS69">
            <v>0.32618841197624171</v>
          </cell>
          <cell r="AT69">
            <v>9.724498617092614E-2</v>
          </cell>
          <cell r="AU69">
            <v>0.10949809779710917</v>
          </cell>
          <cell r="AV69">
            <v>5.5381393142082125E-2</v>
          </cell>
          <cell r="AW69">
            <v>0.16897564396265974</v>
          </cell>
          <cell r="AY69">
            <v>0.12654981084713857</v>
          </cell>
          <cell r="AZ69">
            <v>0.22014352052321273</v>
          </cell>
          <cell r="BA69">
            <v>0.2301181385003801</v>
          </cell>
          <cell r="BB69">
            <v>0.22706877064244657</v>
          </cell>
          <cell r="BC69">
            <v>0.20214058823990033</v>
          </cell>
          <cell r="BE69">
            <v>0.27068276513113898</v>
          </cell>
          <cell r="BF69">
            <v>0.22562431225230561</v>
          </cell>
          <cell r="BG69">
            <v>9.1343196289347173E-2</v>
          </cell>
          <cell r="BH69">
            <v>6.96207234942674E-2</v>
          </cell>
          <cell r="BI69">
            <v>0.15821357966246108</v>
          </cell>
          <cell r="BK69">
            <v>0.10640792295131751</v>
          </cell>
          <cell r="BL69">
            <v>0.11885882533486924</v>
          </cell>
          <cell r="BM69">
            <v>0.12320228657631183</v>
          </cell>
          <cell r="BN69">
            <v>0.11870236475311935</v>
          </cell>
          <cell r="BO69">
            <v>0.12246488990128901</v>
          </cell>
          <cell r="BQ69">
            <v>0.12646948741720521</v>
          </cell>
          <cell r="BR69">
            <v>0.12868534449808333</v>
          </cell>
          <cell r="BS69">
            <v>0.1283932921941755</v>
          </cell>
          <cell r="BT69">
            <v>0.13950459717763142</v>
          </cell>
          <cell r="BU69">
            <v>0.12523355700379657</v>
          </cell>
          <cell r="BW69">
            <v>0.13694787596233859</v>
          </cell>
          <cell r="BX69">
            <v>0.15059273133712736</v>
          </cell>
          <cell r="BY69">
            <v>0.14457626611128571</v>
          </cell>
          <cell r="BZ69">
            <v>0.14332857225316475</v>
          </cell>
          <cell r="CA69">
            <v>0.14386273940454486</v>
          </cell>
        </row>
        <row r="70">
          <cell r="C70" t="str">
            <v>Net Income</v>
          </cell>
          <cell r="U70">
            <v>0.37869633663787927</v>
          </cell>
          <cell r="V70">
            <v>0.25824136189858038</v>
          </cell>
          <cell r="W70">
            <v>0.15340899917660855</v>
          </cell>
          <cell r="X70">
            <v>1.3561245800417625</v>
          </cell>
          <cell r="Y70">
            <v>0.57150665871596074</v>
          </cell>
          <cell r="AA70">
            <v>3.0350579412717762</v>
          </cell>
          <cell r="AB70">
            <v>3.172160752164193</v>
          </cell>
          <cell r="AC70">
            <v>3.0774905166501041</v>
          </cell>
          <cell r="AD70">
            <v>0.83608976194146667</v>
          </cell>
          <cell r="AE70">
            <v>2.0084321475625821</v>
          </cell>
          <cell r="AG70">
            <v>0.2305927342256191</v>
          </cell>
          <cell r="AH70">
            <v>0.19203023016145715</v>
          </cell>
          <cell r="AI70">
            <v>0.13834534843803636</v>
          </cell>
          <cell r="AJ70">
            <v>0.12413793103448278</v>
          </cell>
          <cell r="AK70">
            <v>0.16492949110974608</v>
          </cell>
          <cell r="AM70">
            <v>-0.18645121193287684</v>
          </cell>
          <cell r="AN70">
            <v>-9.4812680115274883E-2</v>
          </cell>
          <cell r="AO70">
            <v>-7.2376357056697094E-3</v>
          </cell>
          <cell r="AP70">
            <v>2.8540944251800093E-2</v>
          </cell>
          <cell r="AQ70">
            <v>-5.9398496240598897E-2</v>
          </cell>
          <cell r="AS70">
            <v>0.30404889228418575</v>
          </cell>
          <cell r="AT70">
            <v>7.7045526902261408E-2</v>
          </cell>
          <cell r="AU70">
            <v>6.8043742405831997E-2</v>
          </cell>
          <cell r="AV70">
            <v>-3.1120331950204028E-3</v>
          </cell>
          <cell r="AW70">
            <v>0.13165467625899185</v>
          </cell>
          <cell r="AY70">
            <v>6.2975981253660773E-2</v>
          </cell>
          <cell r="AZ70">
            <v>0.13213124445758062</v>
          </cell>
          <cell r="BA70">
            <v>0.1638225255972694</v>
          </cell>
          <cell r="BB70">
            <v>0.15660770031217552</v>
          </cell>
          <cell r="BC70">
            <v>0.12997103906194618</v>
          </cell>
          <cell r="BE70">
            <v>0.19178837145219108</v>
          </cell>
          <cell r="BF70">
            <v>0.17258485639686749</v>
          </cell>
          <cell r="BG70">
            <v>3.2156953081678319E-2</v>
          </cell>
          <cell r="BH70">
            <v>9.2691404118703247E-3</v>
          </cell>
          <cell r="BI70">
            <v>9.5630233811428766E-2</v>
          </cell>
          <cell r="BK70">
            <v>5.5713800730923246E-2</v>
          </cell>
          <cell r="BL70">
            <v>5.9088931938933609E-2</v>
          </cell>
          <cell r="BM70">
            <v>7.3136577503258859E-2</v>
          </cell>
          <cell r="BN70">
            <v>7.9138479821540209E-2</v>
          </cell>
          <cell r="BO70">
            <v>6.6774337612541812E-2</v>
          </cell>
          <cell r="BQ70">
            <v>7.9933107397752501E-2</v>
          </cell>
          <cell r="BR70">
            <v>8.0710305702785368E-2</v>
          </cell>
          <cell r="BS70">
            <v>7.9055348427636396E-2</v>
          </cell>
          <cell r="BT70">
            <v>8.8262203410084838E-2</v>
          </cell>
          <cell r="BU70">
            <v>8.2075166563847279E-2</v>
          </cell>
          <cell r="BW70">
            <v>8.4331742513502395E-2</v>
          </cell>
          <cell r="BX70">
            <v>9.5804254891228124E-2</v>
          </cell>
          <cell r="BY70">
            <v>8.8505013608903393E-2</v>
          </cell>
          <cell r="BZ70">
            <v>8.5713171239512276E-2</v>
          </cell>
          <cell r="CA70">
            <v>8.8615218481271629E-2</v>
          </cell>
        </row>
      </sheetData>
      <sheetData sheetId="2" refreshError="1"/>
      <sheetData sheetId="3" refreshError="1"/>
      <sheetData sheetId="4" refreshError="1"/>
      <sheetData sheetId="5" refreshError="1"/>
      <sheetData sheetId="6" refreshError="1"/>
      <sheetData sheetId="7" refreshError="1">
        <row r="7">
          <cell r="E7" t="str">
            <v>Current Quarter</v>
          </cell>
          <cell r="P7" t="str">
            <v>Y/Y</v>
          </cell>
        </row>
        <row r="8">
          <cell r="D8" t="str">
            <v>($ in millions, except EPS)</v>
          </cell>
          <cell r="E8" t="str">
            <v>2Q12E</v>
          </cell>
          <cell r="F8" t="str">
            <v>2Q12A</v>
          </cell>
          <cell r="G8" t="str">
            <v>Co. Guid
(midpt)</v>
          </cell>
          <cell r="H8" t="str">
            <v>A v E ($)</v>
          </cell>
          <cell r="I8" t="str">
            <v>A v E (%)</v>
          </cell>
          <cell r="J8" t="str">
            <v>EPS Impact</v>
          </cell>
          <cell r="K8" t="str">
            <v>Cons Est</v>
          </cell>
          <cell r="M8" t="str">
            <v>Variance</v>
          </cell>
          <cell r="O8" t="str">
            <v>2Q11A</v>
          </cell>
          <cell r="P8" t="str">
            <v>% Change</v>
          </cell>
          <cell r="Q8" t="str">
            <v>Comments</v>
          </cell>
        </row>
        <row r="9">
          <cell r="D9" t="str">
            <v>Analytical Technologies</v>
          </cell>
          <cell r="E9">
            <v>990.70749999999998</v>
          </cell>
          <cell r="F9">
            <v>999.5</v>
          </cell>
          <cell r="H9">
            <v>8.7925000000000182</v>
          </cell>
          <cell r="I9">
            <v>8.8749706649036142E-3</v>
          </cell>
          <cell r="O9">
            <v>929.2</v>
          </cell>
          <cell r="P9">
            <v>7.5656478691347395E-2</v>
          </cell>
        </row>
        <row r="10">
          <cell r="D10" t="str">
            <v>Specialty Diagnostics</v>
          </cell>
          <cell r="E10">
            <v>731.92075</v>
          </cell>
          <cell r="F10">
            <v>731.9</v>
          </cell>
          <cell r="H10">
            <v>-2.0750000000020918E-2</v>
          </cell>
          <cell r="I10">
            <v>-2.8350063855930863E-5</v>
          </cell>
          <cell r="O10">
            <v>570.6</v>
          </cell>
          <cell r="P10">
            <v>0.28268489309498768</v>
          </cell>
        </row>
        <row r="11">
          <cell r="D11" t="str">
            <v>Lab Products &amp; Services</v>
          </cell>
          <cell r="E11">
            <v>1500.2015000000001</v>
          </cell>
          <cell r="F11">
            <v>1519.7</v>
          </cell>
          <cell r="O11">
            <v>1483.9</v>
          </cell>
          <cell r="P11">
            <v>2.4125614933620865E-2</v>
          </cell>
        </row>
        <row r="12">
          <cell r="D12" t="str">
            <v>Eliminations</v>
          </cell>
          <cell r="E12">
            <v>-148.2501685</v>
          </cell>
          <cell r="F12">
            <v>-143</v>
          </cell>
          <cell r="O12">
            <v>-129.69999999999999</v>
          </cell>
        </row>
        <row r="13">
          <cell r="D13" t="str">
            <v>Total Revenues</v>
          </cell>
          <cell r="E13">
            <v>3074.5795814999997</v>
          </cell>
          <cell r="F13">
            <v>3108.1</v>
          </cell>
          <cell r="H13">
            <v>33.520418500000233</v>
          </cell>
          <cell r="I13">
            <v>1.0902439703202038E-2</v>
          </cell>
          <cell r="J13">
            <v>1.4433365526662112E-2</v>
          </cell>
          <cell r="K13">
            <v>3054.82</v>
          </cell>
          <cell r="M13">
            <v>1.7441289503145718E-2</v>
          </cell>
          <cell r="O13">
            <v>2854</v>
          </cell>
          <cell r="P13">
            <v>8.9032936229852755E-2</v>
          </cell>
          <cell r="Q13" t="str">
            <v>pro forma 1% reported and organic 4%</v>
          </cell>
        </row>
        <row r="15">
          <cell r="D15" t="str">
            <v>Reported Growth (% y/y)</v>
          </cell>
          <cell r="E15">
            <v>6.1151232656864618E-2</v>
          </cell>
          <cell r="F15">
            <v>8.9032936229852755E-2</v>
          </cell>
          <cell r="O15">
            <v>0.09</v>
          </cell>
          <cell r="Q15" t="str">
            <v>changed historicals so y/y comps changed</v>
          </cell>
        </row>
        <row r="16">
          <cell r="D16" t="str">
            <v>FX Impact (% y/y)</v>
          </cell>
          <cell r="E16">
            <v>-3.15E-2</v>
          </cell>
          <cell r="F16">
            <v>-0.03</v>
          </cell>
          <cell r="O16">
            <v>0.04</v>
          </cell>
        </row>
        <row r="17">
          <cell r="D17" t="str">
            <v>CC growth (% y/y)</v>
          </cell>
          <cell r="E17">
            <v>2.1154958504485011E-2</v>
          </cell>
          <cell r="F17">
            <v>0.04</v>
          </cell>
          <cell r="O17">
            <v>0.04</v>
          </cell>
          <cell r="Q17" t="str">
            <v>acquisitions added 1%</v>
          </cell>
        </row>
        <row r="19">
          <cell r="D19" t="str">
            <v>COGS</v>
          </cell>
          <cell r="E19">
            <v>1743.3440309921866</v>
          </cell>
          <cell r="F19">
            <v>1720.4</v>
          </cell>
          <cell r="H19">
            <v>-22.944030992186526</v>
          </cell>
          <cell r="I19">
            <v>-1.3160931281663513E-2</v>
          </cell>
          <cell r="K19">
            <v>1707.2625275</v>
          </cell>
          <cell r="O19">
            <v>1632.8</v>
          </cell>
          <cell r="P19">
            <v>5.3650171484566522E-2</v>
          </cell>
        </row>
        <row r="20">
          <cell r="D20" t="str">
            <v>Gross Profit</v>
          </cell>
          <cell r="E20">
            <v>1331.2355505078131</v>
          </cell>
          <cell r="F20">
            <v>1387.7</v>
          </cell>
          <cell r="H20">
            <v>56.464449492186986</v>
          </cell>
          <cell r="I20">
            <v>4.2415070323691406E-2</v>
          </cell>
          <cell r="K20">
            <v>1347.5574725000001</v>
          </cell>
          <cell r="M20">
            <v>2.9789102371661436E-2</v>
          </cell>
          <cell r="O20">
            <v>1221.2</v>
          </cell>
          <cell r="P20">
            <v>0.13634130363576813</v>
          </cell>
        </row>
        <row r="21">
          <cell r="D21" t="str">
            <v>SG&amp;A</v>
          </cell>
          <cell r="E21">
            <v>672.89631767382321</v>
          </cell>
          <cell r="F21">
            <v>703.4</v>
          </cell>
          <cell r="H21">
            <v>30.503682326176772</v>
          </cell>
          <cell r="I21">
            <v>4.5331920423679506E-2</v>
          </cell>
          <cell r="O21">
            <v>627.6</v>
          </cell>
          <cell r="P21">
            <v>0.12077756532823436</v>
          </cell>
          <cell r="Q21" t="str">
            <v>primarily due to acquisitions</v>
          </cell>
        </row>
        <row r="22">
          <cell r="D22" t="str">
            <v>R&amp;D</v>
          </cell>
          <cell r="E22">
            <v>86.087962994191813</v>
          </cell>
          <cell r="F22">
            <v>94.2</v>
          </cell>
          <cell r="H22">
            <v>8.1120370058081903</v>
          </cell>
          <cell r="I22">
            <v>9.4229631224466148E-2</v>
          </cell>
          <cell r="O22">
            <v>83.3</v>
          </cell>
          <cell r="P22">
            <v>0.13085234093637466</v>
          </cell>
          <cell r="Q22" t="str">
            <v>primarily due to acquisitions</v>
          </cell>
        </row>
        <row r="23">
          <cell r="D23" t="str">
            <v>Total Operating Expenses</v>
          </cell>
          <cell r="E23">
            <v>2502.3283116602015</v>
          </cell>
          <cell r="F23">
            <v>2518</v>
          </cell>
          <cell r="H23">
            <v>15.671688339798493</v>
          </cell>
          <cell r="I23">
            <v>6.2628425961424039E-3</v>
          </cell>
          <cell r="K23">
            <v>2476.9120000000003</v>
          </cell>
          <cell r="M23">
            <v>1.6588397165502755E-2</v>
          </cell>
          <cell r="O23">
            <v>2343.7000000000003</v>
          </cell>
          <cell r="P23">
            <v>7.4369586551179534E-2</v>
          </cell>
        </row>
        <row r="24">
          <cell r="D24" t="str">
            <v>Operating Income (Loss)</v>
          </cell>
          <cell r="E24">
            <v>572.25126983979817</v>
          </cell>
          <cell r="F24">
            <v>590.09999999999991</v>
          </cell>
          <cell r="H24">
            <v>17.84873016020174</v>
          </cell>
          <cell r="I24">
            <v>3.1190372308301795E-2</v>
          </cell>
          <cell r="K24">
            <v>577.90800000000002</v>
          </cell>
          <cell r="M24">
            <v>2.1096783571087352E-2</v>
          </cell>
          <cell r="O24">
            <v>510.29999999999973</v>
          </cell>
          <cell r="P24">
            <v>0.15637860082304567</v>
          </cell>
        </row>
        <row r="25">
          <cell r="D25" t="str">
            <v>Other (Income) expense, net</v>
          </cell>
          <cell r="E25">
            <v>-51.947374999999994</v>
          </cell>
          <cell r="F25">
            <v>-45</v>
          </cell>
          <cell r="O25">
            <v>-31.300000000000011</v>
          </cell>
          <cell r="Q25" t="str">
            <v>due to debt issued last year higher y/y</v>
          </cell>
        </row>
        <row r="26">
          <cell r="D26" t="str">
            <v>Income Taxes</v>
          </cell>
          <cell r="E26">
            <v>89.75242185986518</v>
          </cell>
          <cell r="F26">
            <v>96</v>
          </cell>
          <cell r="H26">
            <v>6.24757814013482</v>
          </cell>
          <cell r="I26">
            <v>6.9609020131952137E-2</v>
          </cell>
          <cell r="O26">
            <v>96</v>
          </cell>
          <cell r="P26">
            <v>0</v>
          </cell>
        </row>
        <row r="27">
          <cell r="D27" t="str">
            <v>Net Income (Loss)</v>
          </cell>
          <cell r="E27">
            <v>430.55147297993301</v>
          </cell>
          <cell r="F27">
            <v>449.09999999999991</v>
          </cell>
          <cell r="H27">
            <v>18.548527020066899</v>
          </cell>
          <cell r="I27">
            <v>4.3080858350544871E-2</v>
          </cell>
          <cell r="K27">
            <v>427.66899999999998</v>
          </cell>
          <cell r="M27">
            <v>5.0111184116688134E-2</v>
          </cell>
          <cell r="O27">
            <v>382.99999999999972</v>
          </cell>
          <cell r="P27">
            <v>0.17258485639686749</v>
          </cell>
        </row>
        <row r="28">
          <cell r="D28" t="str">
            <v>Diluted Shares Outstanding</v>
          </cell>
          <cell r="E28">
            <v>369.7435227272727</v>
          </cell>
          <cell r="F28">
            <v>369.2</v>
          </cell>
          <cell r="H28">
            <v>-0.54352272727271611</v>
          </cell>
          <cell r="I28">
            <v>-1.4699993207821782E-3</v>
          </cell>
          <cell r="J28">
            <v>1.7881275594888724E-3</v>
          </cell>
          <cell r="K28">
            <v>368.88051269223803</v>
          </cell>
          <cell r="O28">
            <v>385.9</v>
          </cell>
          <cell r="P28">
            <v>-4.3275459963721175E-2</v>
          </cell>
        </row>
        <row r="29">
          <cell r="D29" t="str">
            <v>EPS, Diluted</v>
          </cell>
          <cell r="E29">
            <v>1.1644598120452079</v>
          </cell>
          <cell r="F29">
            <v>1.2164138678223184</v>
          </cell>
          <cell r="H29">
            <v>5.1954055777110542E-2</v>
          </cell>
          <cell r="I29">
            <v>4.4616443813428441E-2</v>
          </cell>
          <cell r="J29">
            <v>5.1954055777110542E-2</v>
          </cell>
          <cell r="K29">
            <v>1.15937</v>
          </cell>
          <cell r="M29">
            <v>4.9202470153892452E-2</v>
          </cell>
          <cell r="O29">
            <v>0.99248509976677823</v>
          </cell>
          <cell r="P29">
            <v>0.22562431225230561</v>
          </cell>
          <cell r="Q29" t="str">
            <v>LPS would have been a $0.02 drag on Q</v>
          </cell>
        </row>
        <row r="31">
          <cell r="D31" t="str">
            <v>Margin Analysis</v>
          </cell>
        </row>
        <row r="32">
          <cell r="D32" t="str">
            <v>Gross Margin</v>
          </cell>
          <cell r="E32">
            <v>0.43298132808725059</v>
          </cell>
          <cell r="F32">
            <v>0.44647855603101577</v>
          </cell>
          <cell r="I32">
            <v>130</v>
          </cell>
          <cell r="J32">
            <v>9.514086872908889E-2</v>
          </cell>
          <cell r="K32">
            <v>0.44112499999999999</v>
          </cell>
          <cell r="O32">
            <v>0.42789067974772249</v>
          </cell>
          <cell r="P32">
            <v>190</v>
          </cell>
        </row>
        <row r="33">
          <cell r="D33" t="str">
            <v>SG&amp;A</v>
          </cell>
          <cell r="E33">
            <v>0.2188579933733692</v>
          </cell>
          <cell r="F33">
            <v>0.22631189472668189</v>
          </cell>
          <cell r="I33">
            <v>70</v>
          </cell>
          <cell r="J33">
            <v>-5.2541948104439351E-2</v>
          </cell>
          <cell r="O33">
            <v>0.21990189208128944</v>
          </cell>
          <cell r="P33">
            <v>60</v>
          </cell>
        </row>
        <row r="34">
          <cell r="D34" t="str">
            <v>R&amp;D</v>
          </cell>
          <cell r="E34">
            <v>2.7999913715745145E-2</v>
          </cell>
          <cell r="F34">
            <v>3.0307905151056917E-2</v>
          </cell>
          <cell r="I34">
            <v>20</v>
          </cell>
          <cell r="J34">
            <v>-1.62688450613514E-2</v>
          </cell>
          <cell r="O34">
            <v>2.9187105816398037E-2</v>
          </cell>
          <cell r="P34">
            <v>10</v>
          </cell>
        </row>
        <row r="35">
          <cell r="D35" t="str">
            <v>Operating Income</v>
          </cell>
          <cell r="E35">
            <v>0.18612342099813631</v>
          </cell>
          <cell r="F35">
            <v>0.18985875615327691</v>
          </cell>
          <cell r="I35">
            <v>40</v>
          </cell>
          <cell r="K35">
            <v>0.18917906783378399</v>
          </cell>
          <cell r="O35">
            <v>0.17880168185003495</v>
          </cell>
          <cell r="P35">
            <v>110.00000000000001</v>
          </cell>
          <cell r="Q35" t="str">
            <v>driven by good pull through on organic growth, productivity &amp; cost actions, and solid accretion</v>
          </cell>
        </row>
        <row r="36">
          <cell r="D36" t="str">
            <v>Effective Tax Rate</v>
          </cell>
          <cell r="E36">
            <v>0.15684093088162371</v>
          </cell>
          <cell r="F36">
            <v>0.16268429079816982</v>
          </cell>
          <cell r="I36">
            <v>60</v>
          </cell>
          <cell r="J36">
            <v>-4.1189371704560829E-2</v>
          </cell>
          <cell r="K36">
            <v>0.17368866459027288</v>
          </cell>
          <cell r="O36">
            <v>0.1881246325690771</v>
          </cell>
          <cell r="P36">
            <v>-250</v>
          </cell>
        </row>
        <row r="37">
          <cell r="D37" t="str">
            <v>Net Income</v>
          </cell>
          <cell r="E37">
            <v>0.14003588509160633</v>
          </cell>
          <cell r="F37">
            <v>0.14449342041761845</v>
          </cell>
          <cell r="I37">
            <v>40</v>
          </cell>
          <cell r="K37">
            <v>0.13999810136112764</v>
          </cell>
          <cell r="O37">
            <v>0.13419761737911692</v>
          </cell>
          <cell r="P37">
            <v>100</v>
          </cell>
        </row>
      </sheetData>
      <sheetData sheetId="8" refreshError="1">
        <row r="1">
          <cell r="B1">
            <v>2011</v>
          </cell>
          <cell r="C1" t="str">
            <v>2012 Guidance</v>
          </cell>
          <cell r="E1">
            <v>2012</v>
          </cell>
        </row>
        <row r="2">
          <cell r="A2" t="str">
            <v>($mm, except EPS)</v>
          </cell>
          <cell r="B2" t="str">
            <v>Actual</v>
          </cell>
          <cell r="C2" t="str">
            <v>Previous</v>
          </cell>
          <cell r="D2" t="str">
            <v>Current</v>
          </cell>
          <cell r="E2" t="str">
            <v>MSe</v>
          </cell>
          <cell r="F2" t="str">
            <v>Commentary</v>
          </cell>
        </row>
        <row r="3">
          <cell r="A3" t="str">
            <v>Total Revenues</v>
          </cell>
          <cell r="B3">
            <v>11558.8</v>
          </cell>
          <cell r="C3" t="str">
            <v>$12,270-$12,430</v>
          </cell>
          <cell r="D3" t="str">
            <v>$12,140-$12,260</v>
          </cell>
          <cell r="E3">
            <v>12181.643010916281</v>
          </cell>
          <cell r="F3" t="str">
            <v>Lab Workstations discontinued ops (-$110m), Doe &amp; Ingalls update (+$75m), and unfavorable FX (-$40m)</v>
          </cell>
        </row>
        <row r="4">
          <cell r="A4" t="str">
            <v>Organic Growth</v>
          </cell>
          <cell r="B4">
            <v>0.03</v>
          </cell>
          <cell r="C4">
            <v>0.03</v>
          </cell>
          <cell r="D4">
            <v>0.03</v>
          </cell>
          <cell r="E4">
            <v>3.2080330999612876E-2</v>
          </cell>
          <cell r="F4" t="str">
            <v>same organic growth</v>
          </cell>
        </row>
        <row r="5">
          <cell r="A5" t="str">
            <v>Currency Growth</v>
          </cell>
          <cell r="B5">
            <v>0.02</v>
          </cell>
          <cell r="C5">
            <v>-2.5000000000000001E-2</v>
          </cell>
          <cell r="D5">
            <v>-3.1577672422742849E-2</v>
          </cell>
          <cell r="E5">
            <v>-2.9963117427830893E-2</v>
          </cell>
          <cell r="F5" t="str">
            <v>$40mm increased FX headwind to $365mm or ~3% headwind on reported; Euro at 1.21 for 2H</v>
          </cell>
        </row>
        <row r="6">
          <cell r="A6" t="str">
            <v>Total Growth</v>
          </cell>
          <cell r="B6">
            <v>9.3527085580216163E-2</v>
          </cell>
          <cell r="C6" t="str">
            <v>4-5%</v>
          </cell>
          <cell r="D6" t="str">
            <v>5-6%</v>
          </cell>
          <cell r="E6">
            <v>5.3884746765778591E-2</v>
          </cell>
          <cell r="F6" t="str">
            <v>Acquisitions contribute 1% to growth</v>
          </cell>
        </row>
        <row r="8">
          <cell r="A8" t="str">
            <v>Gross Margins</v>
          </cell>
          <cell r="B8">
            <v>0.4378828252067688</v>
          </cell>
          <cell r="C8" t="str">
            <v>up slightly</v>
          </cell>
          <cell r="D8" t="str">
            <v>up slightly</v>
          </cell>
          <cell r="E8">
            <v>0.45084576409892801</v>
          </cell>
          <cell r="F8" t="str">
            <v>improving gross margins due to acquisitions &amp; mix</v>
          </cell>
        </row>
        <row r="9">
          <cell r="A9" t="str">
            <v>EBIT Margin</v>
          </cell>
          <cell r="B9">
            <v>0.18408485309893741</v>
          </cell>
          <cell r="C9" t="str">
            <v>18.8%-19.0%</v>
          </cell>
          <cell r="D9" t="str">
            <v>18.8%-19.0%</v>
          </cell>
          <cell r="E9">
            <v>0.19248592329536141</v>
          </cell>
          <cell r="F9" t="str">
            <v>still +70-90 bps</v>
          </cell>
        </row>
        <row r="11">
          <cell r="A11" t="str">
            <v>Net Interest Expense</v>
          </cell>
          <cell r="B11">
            <v>-150.39999999999986</v>
          </cell>
          <cell r="C11" t="str">
            <v>(205-210)</v>
          </cell>
          <cell r="D11" t="str">
            <v>(220-225)</v>
          </cell>
          <cell r="E11">
            <v>-224.7</v>
          </cell>
          <cell r="F11" t="str">
            <v>up $70-75mm y/y and +15mm vs. previous guidance</v>
          </cell>
        </row>
        <row r="12">
          <cell r="A12" t="str">
            <v>Tax Rate</v>
          </cell>
          <cell r="B12">
            <v>0.19171009772760078</v>
          </cell>
          <cell r="C12" t="str">
            <v>17-18%</v>
          </cell>
          <cell r="D12" t="str">
            <v>17-18%</v>
          </cell>
          <cell r="E12">
            <v>0.17330126784870592</v>
          </cell>
        </row>
        <row r="13">
          <cell r="A13" t="str">
            <v>Adjusted EPS, Diluted</v>
          </cell>
          <cell r="B13">
            <v>4.1574946397245078</v>
          </cell>
          <cell r="C13" t="str">
            <v>$4.71-$4.83</v>
          </cell>
          <cell r="D13" t="str">
            <v>$4.74-$4.84</v>
          </cell>
          <cell r="E13">
            <v>4.8152667491028165</v>
          </cell>
          <cell r="F13" t="str">
            <v>+$0.02 from buyback, -$0.02 from FX and debt issuance, +0.02 higher from workstation divestiture</v>
          </cell>
        </row>
        <row r="14">
          <cell r="A14" t="str">
            <v>Diluted Share Count</v>
          </cell>
          <cell r="B14">
            <v>384.77499999999998</v>
          </cell>
          <cell r="C14" t="str">
            <v>367-372</v>
          </cell>
          <cell r="D14" t="str">
            <v>364-368</v>
          </cell>
          <cell r="E14">
            <v>363.98392370572208</v>
          </cell>
          <cell r="F14" t="str">
            <v>use $750mm repurchase through EOY</v>
          </cell>
        </row>
        <row r="15">
          <cell r="A15" t="str">
            <v>FCF</v>
          </cell>
          <cell r="B15">
            <v>1424.5</v>
          </cell>
          <cell r="C15" t="str">
            <v>&gt;$1,500</v>
          </cell>
          <cell r="E15">
            <v>1575.3018869243094</v>
          </cell>
          <cell r="F15" t="str">
            <v xml:space="preserve">Capex 300-310; </v>
          </cell>
        </row>
        <row r="17">
          <cell r="H17" t="str">
            <v>Analysis</v>
          </cell>
          <cell r="I17" t="str">
            <v>Commentary</v>
          </cell>
        </row>
        <row r="18">
          <cell r="H18" t="str">
            <v>Product Lines</v>
          </cell>
        </row>
        <row r="19">
          <cell r="H19" t="str">
            <v>MS</v>
          </cell>
          <cell r="I19" t="str">
            <v xml:space="preserve">Instrumentation broadly would be softer in 2H; good strength in biopharma; believe have gained share in mass spec vs. peers; pricing was up slightly in the quarter overall as well </v>
          </cell>
        </row>
        <row r="20">
          <cell r="H20" t="str">
            <v>Phadia</v>
          </cell>
          <cell r="I20" t="str">
            <v>Integration for both businesses has gone well; '12 accretion will be better for both; Phadia will be more accretive than the $0.30 that was discussed</v>
          </cell>
        </row>
        <row r="21">
          <cell r="H21" t="str">
            <v>Dionex</v>
          </cell>
          <cell r="I21" t="str">
            <v>Integration going well; both businesses have more European exposure than company average and growing slightly less than company avg for organic growth</v>
          </cell>
        </row>
        <row r="22">
          <cell r="H22" t="str">
            <v>New Products</v>
          </cell>
          <cell r="I22" t="str">
            <v xml:space="preserve">Launched 13 products in Q1 and continued in Q2 with ASMS- Qexactive2 strong follow through; intro of 8 software packages going well; launched new spectrometer as well as '50 </v>
          </cell>
        </row>
        <row r="23">
          <cell r="H23" t="str">
            <v>Revenue Mix</v>
          </cell>
        </row>
        <row r="24">
          <cell r="H24" t="str">
            <v>Analytical Technologies</v>
          </cell>
          <cell r="I24" t="str">
            <v>5% organic- strong growth in instruments sold to industrial and applied markets, as well as bioprocess; margin expansion +40 bps y/y driven by organic growth pull thorugh and productivity actions; Q4 strongest Q for instrumentation</v>
          </cell>
        </row>
        <row r="25">
          <cell r="H25" t="str">
            <v>Specialty Diagnostics</v>
          </cell>
          <cell r="I25" t="str">
            <v>3% organic- strong growth in clinical diagnostics, offset by weak demand in S. Europe</v>
          </cell>
        </row>
        <row r="26">
          <cell r="H26" t="str">
            <v>Lab Products &amp; Services</v>
          </cell>
          <cell r="I26" t="str">
            <v>Organic 4%, solid growth in lab consumables and clinical trials logistics business; channel business also performing well, good trajectory; would have had 3.5% organic growth without divestiture vs. 4%, and $0.02 lower on the year (all in Q3- nothing in Q</v>
          </cell>
        </row>
        <row r="28">
          <cell r="H28" t="str">
            <v>End Market</v>
          </cell>
        </row>
        <row r="29">
          <cell r="H29" t="str">
            <v>Industrial/Applied</v>
          </cell>
          <cell r="I29" t="str">
            <v>Strong sales &amp; bookings in applied, particularly in mining industry; consistent pacing through the quarter; for comps, industrial gets harder for Q3/Q4</v>
          </cell>
        </row>
        <row r="30">
          <cell r="H30" t="str">
            <v>Academic/Govt</v>
          </cell>
          <cell r="I30" t="str">
            <v>Markets are consistent with 1H trends- down low single digits; outlook has not changed; lab consumables spend is steady while capital equipment side is constrained; for comps, Q3/Q4 academic comps are easier</v>
          </cell>
        </row>
        <row r="31">
          <cell r="H31" t="str">
            <v>Diagnostics</v>
          </cell>
          <cell r="I31" t="str">
            <v xml:space="preserve">Trends continuing from last several quarters- clinical Dx product sales robust, driven by strength in Biomarker business in applied markets- high single digit growth there; softness in Europe; pricing here was flat, and traditionally haven't gotten a lot </v>
          </cell>
        </row>
        <row r="32">
          <cell r="H32" t="str">
            <v>Pharma</v>
          </cell>
          <cell r="I32" t="str">
            <v>Strength on quarter, continue to gain share; BioProcess production had another great quarter; sera media &amp; disposable products grew in the US, and vaccines/biosimilars grew in LatAm and ROW</v>
          </cell>
        </row>
        <row r="34">
          <cell r="H34" t="str">
            <v>Geography</v>
          </cell>
        </row>
        <row r="35">
          <cell r="H35" t="str">
            <v>US</v>
          </cell>
          <cell r="I35" t="str">
            <v>N America low single digits; US was slightly stronger than 1Q- low single digit org. growth- implies slowdown in 2H to 2% in US and W Europe</v>
          </cell>
        </row>
        <row r="36">
          <cell r="H36" t="str">
            <v>Europe</v>
          </cell>
          <cell r="I36" t="str">
            <v>Europe weakened but still up y/y low single digits; expect slowdown in 2H in W Europe; 3Q is seasonally weakest quarter in Europe &amp; around the world</v>
          </cell>
        </row>
        <row r="37">
          <cell r="H37" t="str">
            <v>Asia</v>
          </cell>
          <cell r="I37" t="str">
            <v>Low double digits overall; Good growth- slightly stronger than Q1- India, S. Korea strong, China was +20%- driven by biopharma, HC, and environmental monitoring strength- due to regulations relating to particulate matter- TMO is 70% share for this applica</v>
          </cell>
        </row>
        <row r="38">
          <cell r="H38" t="str">
            <v>EM</v>
          </cell>
          <cell r="I38" t="str">
            <v>Low single digit growth; going to continue to expand in emerging markets and make commercial investments there</v>
          </cell>
        </row>
        <row r="50">
          <cell r="S50">
            <v>2010</v>
          </cell>
          <cell r="T50">
            <v>2011</v>
          </cell>
          <cell r="U50" t="str">
            <v>2012E</v>
          </cell>
          <cell r="V50" t="str">
            <v>2013E</v>
          </cell>
          <cell r="W50" t="str">
            <v>2014E</v>
          </cell>
          <cell r="X50" t="str">
            <v>2015E</v>
          </cell>
          <cell r="Y50" t="str">
            <v>Comments</v>
          </cell>
        </row>
        <row r="51">
          <cell r="Q51" t="str">
            <v>Total Revs ($MM)</v>
          </cell>
        </row>
        <row r="52">
          <cell r="R52" t="str">
            <v>Current</v>
          </cell>
          <cell r="S52">
            <v>10570.199999999999</v>
          </cell>
          <cell r="T52">
            <v>11558.8</v>
          </cell>
          <cell r="U52">
            <v>12181.643010916281</v>
          </cell>
          <cell r="V52">
            <v>12580.52764384253</v>
          </cell>
          <cell r="W52">
            <v>13040.248317990276</v>
          </cell>
          <cell r="X52">
            <v>13577.177965199713</v>
          </cell>
          <cell r="Y52" t="str">
            <v>Sustainable 4% growth rate</v>
          </cell>
        </row>
        <row r="53">
          <cell r="R53" t="str">
            <v>% Y/Y</v>
          </cell>
          <cell r="T53">
            <v>9.3527085580216163E-2</v>
          </cell>
          <cell r="U53">
            <v>5.3884746765778591E-2</v>
          </cell>
          <cell r="V53">
            <v>3.2744731771305213E-2</v>
          </cell>
          <cell r="W53">
            <v>3.6542241085790517E-2</v>
          </cell>
          <cell r="X53">
            <v>4.1174802359299489E-2</v>
          </cell>
        </row>
        <row r="54">
          <cell r="R54" t="str">
            <v>Prior</v>
          </cell>
          <cell r="S54">
            <v>10570.2</v>
          </cell>
          <cell r="T54">
            <v>11725.9</v>
          </cell>
          <cell r="U54">
            <v>12329.063963099999</v>
          </cell>
          <cell r="V54">
            <v>12740.925074374001</v>
          </cell>
          <cell r="W54">
            <v>13208.993797358809</v>
          </cell>
          <cell r="X54">
            <v>13754.818656943684</v>
          </cell>
        </row>
        <row r="55">
          <cell r="R55" t="str">
            <v>% Y/Y</v>
          </cell>
          <cell r="T55">
            <v>0.10933567955194778</v>
          </cell>
          <cell r="U55">
            <v>5.1438607109049128E-2</v>
          </cell>
          <cell r="V55">
            <v>3.3405708049424776E-2</v>
          </cell>
          <cell r="W55">
            <v>3.673742057601781E-2</v>
          </cell>
          <cell r="X55">
            <v>4.132221333119368E-2</v>
          </cell>
        </row>
        <row r="56">
          <cell r="Q56" t="str">
            <v xml:space="preserve">COGS </v>
          </cell>
        </row>
        <row r="57">
          <cell r="R57" t="str">
            <v>Current</v>
          </cell>
          <cell r="S57">
            <v>6127.7999999999993</v>
          </cell>
          <cell r="T57">
            <v>6497.4000000000005</v>
          </cell>
          <cell r="U57">
            <v>6689.6008596793645</v>
          </cell>
          <cell r="V57">
            <v>6883.4955351009603</v>
          </cell>
          <cell r="W57">
            <v>7082.8112888782398</v>
          </cell>
          <cell r="X57">
            <v>7320.0669201334013</v>
          </cell>
        </row>
        <row r="58">
          <cell r="R58" t="str">
            <v>% sales</v>
          </cell>
          <cell r="S58">
            <v>0.57972413010160639</v>
          </cell>
          <cell r="T58">
            <v>0.5621171747932312</v>
          </cell>
          <cell r="U58">
            <v>0.54915423590107204</v>
          </cell>
          <cell r="V58">
            <v>0.54715475614173059</v>
          </cell>
          <cell r="W58">
            <v>0.54315003182161958</v>
          </cell>
          <cell r="X58">
            <v>0.53914494889113185</v>
          </cell>
        </row>
        <row r="59">
          <cell r="R59" t="str">
            <v>Prior</v>
          </cell>
          <cell r="S59">
            <v>6127.8</v>
          </cell>
          <cell r="T59">
            <v>6664.5</v>
          </cell>
          <cell r="U59">
            <v>6859.1139928342564</v>
          </cell>
          <cell r="V59">
            <v>7024.7183908234101</v>
          </cell>
          <cell r="W59">
            <v>7229.8853901584498</v>
          </cell>
          <cell r="X59">
            <v>7473.5418878996743</v>
          </cell>
        </row>
        <row r="60">
          <cell r="R60" t="str">
            <v>% sales</v>
          </cell>
          <cell r="S60">
            <v>0.57972413010160639</v>
          </cell>
          <cell r="T60">
            <v>0.56835722631098684</v>
          </cell>
          <cell r="U60">
            <v>0.55633696226762153</v>
          </cell>
          <cell r="V60">
            <v>0.55135073393943135</v>
          </cell>
          <cell r="W60">
            <v>0.54734565713885752</v>
          </cell>
          <cell r="X60">
            <v>0.54333990685707034</v>
          </cell>
        </row>
        <row r="61">
          <cell r="Q61" t="str">
            <v>SG&amp;A</v>
          </cell>
        </row>
        <row r="62">
          <cell r="R62" t="str">
            <v>Current</v>
          </cell>
          <cell r="S62">
            <v>2317.5</v>
          </cell>
          <cell r="T62">
            <v>2593</v>
          </cell>
          <cell r="U62">
            <v>2778.9569094522612</v>
          </cell>
          <cell r="V62">
            <v>2869.8880073626419</v>
          </cell>
          <cell r="W62">
            <v>2964.9462788476494</v>
          </cell>
          <cell r="X62">
            <v>3076.8694398037796</v>
          </cell>
        </row>
        <row r="63">
          <cell r="R63" t="str">
            <v>% sales</v>
          </cell>
          <cell r="S63">
            <v>0.219248453198615</v>
          </cell>
          <cell r="T63">
            <v>0.22433124545800603</v>
          </cell>
          <cell r="U63">
            <v>0.2281266087802743</v>
          </cell>
          <cell r="V63">
            <v>0.22812143406141577</v>
          </cell>
          <cell r="W63">
            <v>0.22736885115578828</v>
          </cell>
          <cell r="X63">
            <v>0.22662069007935556</v>
          </cell>
        </row>
        <row r="64">
          <cell r="R64" t="str">
            <v>Prior</v>
          </cell>
          <cell r="S64">
            <v>2317.5</v>
          </cell>
          <cell r="T64">
            <v>2593</v>
          </cell>
          <cell r="U64">
            <v>2763.4525179782313</v>
          </cell>
          <cell r="V64">
            <v>2855.7332098784591</v>
          </cell>
          <cell r="W64">
            <v>2950.6941543773014</v>
          </cell>
          <cell r="X64">
            <v>3062.3363005746405</v>
          </cell>
        </row>
        <row r="65">
          <cell r="R65" t="str">
            <v>% sales</v>
          </cell>
          <cell r="S65">
            <v>0.21924845319861497</v>
          </cell>
          <cell r="T65">
            <v>0.22113441185751201</v>
          </cell>
          <cell r="U65">
            <v>0.22414130758418041</v>
          </cell>
          <cell r="V65">
            <v>0.22413860792747575</v>
          </cell>
          <cell r="W65">
            <v>0.22338523279247086</v>
          </cell>
          <cell r="X65">
            <v>0.22263734455188308</v>
          </cell>
        </row>
        <row r="66">
          <cell r="Q66" t="str">
            <v>R&amp;D</v>
          </cell>
        </row>
        <row r="67">
          <cell r="R67" t="str">
            <v>Current</v>
          </cell>
          <cell r="S67">
            <v>284.79999999999995</v>
          </cell>
          <cell r="T67">
            <v>340.59999999999997</v>
          </cell>
          <cell r="U67">
            <v>368.29043957394936</v>
          </cell>
          <cell r="V67">
            <v>380.35509952569271</v>
          </cell>
          <cell r="W67">
            <v>384.48503990131485</v>
          </cell>
          <cell r="X67">
            <v>390.14323052339898</v>
          </cell>
        </row>
        <row r="68">
          <cell r="R68" t="str">
            <v>% sales</v>
          </cell>
          <cell r="S68">
            <v>2.6943671832131841E-2</v>
          </cell>
          <cell r="T68">
            <v>2.9466726649825241E-2</v>
          </cell>
          <cell r="U68">
            <v>3.0233232023292336E-2</v>
          </cell>
          <cell r="V68">
            <v>3.0233636481205573E-2</v>
          </cell>
          <cell r="W68">
            <v>2.9484487605261379E-2</v>
          </cell>
          <cell r="X68">
            <v>2.8735222556807678E-2</v>
          </cell>
        </row>
        <row r="69">
          <cell r="R69" t="str">
            <v>Prior</v>
          </cell>
          <cell r="S69">
            <v>284.8</v>
          </cell>
          <cell r="T69">
            <v>340.6</v>
          </cell>
          <cell r="U69">
            <v>358.64519153634689</v>
          </cell>
          <cell r="V69">
            <v>370.60942505382383</v>
          </cell>
          <cell r="W69">
            <v>374.32176024261116</v>
          </cell>
          <cell r="X69">
            <v>379.48788802854426</v>
          </cell>
        </row>
        <row r="70">
          <cell r="R70" t="str">
            <v>% sales</v>
          </cell>
          <cell r="S70">
            <v>2.6943671832131841E-2</v>
          </cell>
          <cell r="T70">
            <v>2.9046810905772696E-2</v>
          </cell>
          <cell r="U70">
            <v>2.9089409594251932E-2</v>
          </cell>
          <cell r="V70">
            <v>2.9088109606674926E-2</v>
          </cell>
          <cell r="W70">
            <v>2.8338400788518674E-2</v>
          </cell>
          <cell r="X70">
            <v>2.7589450467743668E-2</v>
          </cell>
        </row>
        <row r="71">
          <cell r="Q71" t="str">
            <v>Int Exp/Other</v>
          </cell>
        </row>
        <row r="72">
          <cell r="R72" t="str">
            <v>Current</v>
          </cell>
          <cell r="S72">
            <v>-71.999999999999943</v>
          </cell>
          <cell r="T72">
            <v>-150.39999999999986</v>
          </cell>
          <cell r="U72">
            <v>-224.7</v>
          </cell>
          <cell r="V72">
            <v>-183.2130817045047</v>
          </cell>
          <cell r="W72">
            <v>-158.64641953821672</v>
          </cell>
          <cell r="X72">
            <v>-123.68857521870299</v>
          </cell>
        </row>
        <row r="73">
          <cell r="R73" t="str">
            <v>% sales</v>
          </cell>
          <cell r="S73">
            <v>-6.8116024294715286E-3</v>
          </cell>
          <cell r="T73">
            <v>-1.3011731321590466E-2</v>
          </cell>
          <cell r="U73">
            <v>-1.8445787632968769E-2</v>
          </cell>
          <cell r="V73">
            <v>-1.4563227146850025E-2</v>
          </cell>
          <cell r="W73">
            <v>-1.2165904794876394E-2</v>
          </cell>
          <cell r="X73">
            <v>-9.1100356447956152E-3</v>
          </cell>
        </row>
        <row r="74">
          <cell r="R74" t="str">
            <v>Prior</v>
          </cell>
          <cell r="S74">
            <v>-71.999999999999943</v>
          </cell>
          <cell r="T74">
            <v>-150.4</v>
          </cell>
          <cell r="U74">
            <v>-202.25387499999999</v>
          </cell>
          <cell r="V74">
            <v>-188.32484134598826</v>
          </cell>
          <cell r="W74">
            <v>-162.42762130718484</v>
          </cell>
          <cell r="X74">
            <v>-126.05908932965031</v>
          </cell>
        </row>
        <row r="75">
          <cell r="R75" t="str">
            <v>% sales</v>
          </cell>
          <cell r="S75">
            <v>-6.8116024294715277E-3</v>
          </cell>
          <cell r="T75">
            <v>-1.2826307575537913E-2</v>
          </cell>
          <cell r="U75">
            <v>-1.6404641553108272E-2</v>
          </cell>
          <cell r="V75">
            <v>-1.4781096368329536E-2</v>
          </cell>
          <cell r="W75">
            <v>-1.2296744460555571E-2</v>
          </cell>
          <cell r="X75">
            <v>-9.1647220129662255E-3</v>
          </cell>
        </row>
        <row r="76">
          <cell r="Q76" t="str">
            <v>EPS- Diluted Adj.</v>
          </cell>
        </row>
        <row r="77">
          <cell r="R77" t="str">
            <v>Current</v>
          </cell>
          <cell r="S77">
            <v>3.4584096738732146</v>
          </cell>
          <cell r="T77">
            <v>4.1574946397245078</v>
          </cell>
          <cell r="U77">
            <v>4.8152667491028165</v>
          </cell>
          <cell r="V77">
            <v>5.4049678613770302</v>
          </cell>
          <cell r="W77">
            <v>6.0818512121484787</v>
          </cell>
          <cell r="X77">
            <v>6.9568029881790103</v>
          </cell>
        </row>
        <row r="78">
          <cell r="R78" t="str">
            <v>% Y/Y</v>
          </cell>
          <cell r="T78">
            <v>0.20214058823990033</v>
          </cell>
          <cell r="U78">
            <v>0.15821357966246108</v>
          </cell>
          <cell r="V78">
            <v>0.12246488990128901</v>
          </cell>
          <cell r="W78">
            <v>0.12523355700379657</v>
          </cell>
          <cell r="X78">
            <v>0.14386273940454486</v>
          </cell>
        </row>
        <row r="79">
          <cell r="R79" t="str">
            <v>Prior</v>
          </cell>
          <cell r="S79">
            <v>3.4584096738732146</v>
          </cell>
          <cell r="T79">
            <v>4.1574946397245132</v>
          </cell>
          <cell r="U79">
            <v>4.8164473532256684</v>
          </cell>
          <cell r="V79">
            <v>5.3260367232475581</v>
          </cell>
          <cell r="W79">
            <v>6.0189766752123948</v>
          </cell>
          <cell r="X79">
            <v>6.8780970827631673</v>
          </cell>
        </row>
        <row r="80">
          <cell r="R80" t="str">
            <v>% Y/Y</v>
          </cell>
          <cell r="T80">
            <v>0.20214058823990189</v>
          </cell>
          <cell r="U80">
            <v>0.1584975497514578</v>
          </cell>
          <cell r="V80">
            <v>0.10580191843695919</v>
          </cell>
          <cell r="W80">
            <v>0.13010423847440467</v>
          </cell>
          <cell r="X80">
            <v>0.1427352943713569</v>
          </cell>
        </row>
        <row r="81">
          <cell r="Q81" t="str">
            <v>Diluted Shs</v>
          </cell>
        </row>
        <row r="82">
          <cell r="R82" t="str">
            <v>Current</v>
          </cell>
          <cell r="S82">
            <v>409.34999999999997</v>
          </cell>
          <cell r="T82">
            <v>384.77499999999998</v>
          </cell>
          <cell r="U82">
            <v>363.98392370572208</v>
          </cell>
          <cell r="V82">
            <v>345.92503748329472</v>
          </cell>
          <cell r="W82">
            <v>332.65706503639075</v>
          </cell>
          <cell r="X82">
            <v>316.59003397771681</v>
          </cell>
        </row>
        <row r="83">
          <cell r="R83" t="str">
            <v>% Y/Y</v>
          </cell>
          <cell r="T83">
            <v>-6.0034200561866369E-2</v>
          </cell>
          <cell r="U83">
            <v>-5.4034374099871108E-2</v>
          </cell>
          <cell r="V83">
            <v>-4.9614516043922308E-2</v>
          </cell>
          <cell r="W83">
            <v>-3.83550509770334E-2</v>
          </cell>
          <cell r="X83">
            <v>-4.8299082591004905E-2</v>
          </cell>
        </row>
        <row r="84">
          <cell r="R84" t="str">
            <v>Prior</v>
          </cell>
          <cell r="S84">
            <v>409.35</v>
          </cell>
          <cell r="T84">
            <v>384.77499999999998</v>
          </cell>
          <cell r="U84">
            <v>368.45196022727276</v>
          </cell>
          <cell r="V84">
            <v>356.93921840774613</v>
          </cell>
          <cell r="W84">
            <v>341.93772375751701</v>
          </cell>
          <cell r="X84">
            <v>325.8551015911857</v>
          </cell>
        </row>
        <row r="85">
          <cell r="R85" t="str">
            <v>% Y/Y</v>
          </cell>
          <cell r="T85">
            <v>-6.003420056186648E-2</v>
          </cell>
          <cell r="U85">
            <v>-4.2422298155356253E-2</v>
          </cell>
          <cell r="V85">
            <v>-3.1246249341230881E-2</v>
          </cell>
          <cell r="W85">
            <v>-4.2028148986117619E-2</v>
          </cell>
          <cell r="X85">
            <v>-4.7033775593991467E-2</v>
          </cell>
        </row>
        <row r="86">
          <cell r="Q86" t="str">
            <v>FCF</v>
          </cell>
        </row>
        <row r="87">
          <cell r="R87" t="str">
            <v>Current</v>
          </cell>
          <cell r="S87">
            <v>1239.9999999999998</v>
          </cell>
          <cell r="T87">
            <v>1424.5</v>
          </cell>
          <cell r="U87">
            <v>1575.3018869243094</v>
          </cell>
          <cell r="V87">
            <v>1644.5873070170619</v>
          </cell>
          <cell r="W87">
            <v>1817.1464779661073</v>
          </cell>
          <cell r="X87">
            <v>1945.6685496018629</v>
          </cell>
        </row>
        <row r="88">
          <cell r="R88" t="str">
            <v>% Y/Y</v>
          </cell>
          <cell r="T88">
            <v>0.14879032258064528</v>
          </cell>
          <cell r="U88">
            <v>0.10586303048389567</v>
          </cell>
          <cell r="V88">
            <v>4.3982312639787802E-2</v>
          </cell>
          <cell r="W88">
            <v>0.10492551548511697</v>
          </cell>
          <cell r="X88">
            <v>7.0727414214624806E-2</v>
          </cell>
        </row>
        <row r="89">
          <cell r="R89" t="str">
            <v>Prior</v>
          </cell>
          <cell r="S89">
            <v>1240</v>
          </cell>
          <cell r="T89">
            <v>1424.5</v>
          </cell>
          <cell r="U89">
            <v>1559.7019119336819</v>
          </cell>
          <cell r="V89">
            <v>1721.9872961077901</v>
          </cell>
          <cell r="W89">
            <v>1885.5349283103346</v>
          </cell>
          <cell r="X89">
            <v>2018.5558878479412</v>
          </cell>
        </row>
        <row r="90">
          <cell r="R90" t="str">
            <v>% Y/Y</v>
          </cell>
          <cell r="T90">
            <v>0.14879032258064506</v>
          </cell>
          <cell r="U90">
            <v>9.4911837089281859E-2</v>
          </cell>
          <cell r="V90">
            <v>0.10404897431516935</v>
          </cell>
          <cell r="W90">
            <v>9.4976096845900804E-2</v>
          </cell>
          <cell r="X90">
            <v>7.0548128035373692E-2</v>
          </cell>
        </row>
      </sheetData>
      <sheetData sheetId="9" refreshError="1"/>
      <sheetData sheetId="10" refreshError="1"/>
      <sheetData sheetId="11" refreshError="1"/>
      <sheetData sheetId="12" refreshError="1"/>
      <sheetData sheetId="13" refreshError="1">
        <row r="56">
          <cell r="I56" t="str">
            <v>WACC</v>
          </cell>
        </row>
        <row r="57">
          <cell r="I57">
            <v>6.6970283544374828E-2</v>
          </cell>
          <cell r="J57">
            <v>7.1970283544374833E-2</v>
          </cell>
          <cell r="K57">
            <v>7.6970283544374837E-2</v>
          </cell>
          <cell r="L57">
            <v>8.1970283544374842E-2</v>
          </cell>
          <cell r="M57">
            <v>8.6970283544374846E-2</v>
          </cell>
          <cell r="N57">
            <v>9.1970283544374851E-2</v>
          </cell>
          <cell r="O57">
            <v>9.6970283544374855E-2</v>
          </cell>
          <cell r="P57">
            <v>0.10197028354437486</v>
          </cell>
          <cell r="Q57">
            <v>0.10697028354437486</v>
          </cell>
        </row>
        <row r="58">
          <cell r="H58">
            <v>-0.01</v>
          </cell>
          <cell r="I58">
            <v>88.727278757774656</v>
          </cell>
          <cell r="J58">
            <v>82.898128065702551</v>
          </cell>
          <cell r="K58">
            <v>77.813241525523949</v>
          </cell>
          <cell r="L58">
            <v>73.348205516203663</v>
          </cell>
          <cell r="M58">
            <v>69.404403174040226</v>
          </cell>
          <cell r="N58">
            <v>65.902683076269682</v>
          </cell>
          <cell r="O58">
            <v>62.778803913861061</v>
          </cell>
          <cell r="P58">
            <v>59.980099988796148</v>
          </cell>
          <cell r="Q58">
            <v>57.463002220525951</v>
          </cell>
        </row>
        <row r="59">
          <cell r="G59" t="str">
            <v>Terminal</v>
          </cell>
          <cell r="H59">
            <v>-5.0000000000000001E-3</v>
          </cell>
          <cell r="I59">
            <v>93.402620670254962</v>
          </cell>
          <cell r="J59">
            <v>86.880230319843903</v>
          </cell>
          <cell r="K59">
            <v>81.232471234710047</v>
          </cell>
          <cell r="L59">
            <v>76.30527620721665</v>
          </cell>
          <cell r="M59">
            <v>71.978226479935216</v>
          </cell>
          <cell r="N59">
            <v>68.155869684606813</v>
          </cell>
          <cell r="O59">
            <v>64.761592452841526</v>
          </cell>
          <cell r="P59">
            <v>61.733211804253223</v>
          </cell>
          <cell r="Q59">
            <v>59.019748031981258</v>
          </cell>
        </row>
        <row r="60">
          <cell r="G60" t="str">
            <v>Value</v>
          </cell>
          <cell r="H60">
            <v>0</v>
          </cell>
          <cell r="I60">
            <v>98.776084445902015</v>
          </cell>
          <cell r="J60">
            <v>91.415630693435631</v>
          </cell>
          <cell r="K60">
            <v>85.095928190014405</v>
          </cell>
          <cell r="L60">
            <v>79.623096009145186</v>
          </cell>
          <cell r="M60">
            <v>74.847992629868642</v>
          </cell>
          <cell r="N60">
            <v>70.654047014022908</v>
          </cell>
          <cell r="O60">
            <v>66.948854823031624</v>
          </cell>
          <cell r="P60">
            <v>63.65824741500839</v>
          </cell>
          <cell r="Q60">
            <v>60.722024523535175</v>
          </cell>
        </row>
        <row r="61">
          <cell r="G61" t="str">
            <v>Growth</v>
          </cell>
          <cell r="H61">
            <v>5.0000000000000001E-3</v>
          </cell>
          <cell r="I61">
            <v>105.01665152789414</v>
          </cell>
          <cell r="J61">
            <v>96.628256865330357</v>
          </cell>
          <cell r="K61">
            <v>89.496197947080518</v>
          </cell>
          <cell r="L61">
            <v>83.371967854686844</v>
          </cell>
          <cell r="M61">
            <v>78.067857135675098</v>
          </cell>
          <cell r="N61">
            <v>73.439469276720331</v>
          </cell>
          <cell r="O61">
            <v>69.373939920943855</v>
          </cell>
          <cell r="P61">
            <v>65.781801122276519</v>
          </cell>
          <cell r="Q61">
            <v>62.591239502693981</v>
          </cell>
        </row>
        <row r="62">
          <cell r="H62">
            <v>0.01</v>
          </cell>
          <cell r="I62">
            <v>112.3526260212135</v>
          </cell>
          <cell r="J62">
            <v>102.68203235489152</v>
          </cell>
          <cell r="K62">
            <v>94.553515804316376</v>
          </cell>
          <cell r="L62">
            <v>87.641731332290817</v>
          </cell>
          <cell r="M62">
            <v>81.706047306600126</v>
          </cell>
          <cell r="N62">
            <v>76.564700326487426</v>
          </cell>
          <cell r="O62">
            <v>72.077865675581677</v>
          </cell>
          <cell r="P62">
            <v>68.136250465116277</v>
          </cell>
          <cell r="Q62">
            <v>64.653216110553529</v>
          </cell>
        </row>
        <row r="63">
          <cell r="H63">
            <v>1.4999999999999999E-2</v>
          </cell>
          <cell r="I63">
            <v>121.1001715110727</v>
          </cell>
          <cell r="J63">
            <v>109.79842770746349</v>
          </cell>
          <cell r="K63">
            <v>100.42692123901418</v>
          </cell>
          <cell r="L63">
            <v>92.549055717752509</v>
          </cell>
          <cell r="M63">
            <v>85.849750307508884</v>
          </cell>
          <cell r="N63">
            <v>80.095962237238084</v>
          </cell>
          <cell r="O63">
            <v>75.111658015733241</v>
          </cell>
          <cell r="P63">
            <v>70.761418638214693</v>
          </cell>
          <cell r="Q63">
            <v>66.939393028382199</v>
          </cell>
        </row>
        <row r="64">
          <cell r="H64">
            <v>0.02</v>
          </cell>
          <cell r="I64">
            <v>131.71007439581444</v>
          </cell>
          <cell r="J64">
            <v>118.28414315360314</v>
          </cell>
          <cell r="K64">
            <v>107.33128616158658</v>
          </cell>
          <cell r="L64">
            <v>98.248263584261665</v>
          </cell>
          <cell r="M64">
            <v>90.612190871050714</v>
          </cell>
          <cell r="N64">
            <v>84.117879698702737</v>
          </cell>
          <cell r="O64">
            <v>78.539601475050517</v>
          </cell>
          <cell r="P64">
            <v>73.706845331789921</v>
          </cell>
          <cell r="Q64">
            <v>69.488438689953938</v>
          </cell>
        </row>
        <row r="65">
          <cell r="H65">
            <v>2.5000000000000001E-2</v>
          </cell>
          <cell r="I65">
            <v>144.84793325052806</v>
          </cell>
          <cell r="J65">
            <v>128.57647222985267</v>
          </cell>
          <cell r="K65">
            <v>115.56417277996172</v>
          </cell>
          <cell r="L65">
            <v>104.94785402075921</v>
          </cell>
          <cell r="M65">
            <v>96.14313535149509</v>
          </cell>
          <cell r="N65">
            <v>88.7403497110312</v>
          </cell>
          <cell r="O65">
            <v>82.443844775149103</v>
          </cell>
          <cell r="P65">
            <v>77.034942655891911</v>
          </cell>
          <cell r="Q65">
            <v>72.348456273465118</v>
          </cell>
        </row>
        <row r="66">
          <cell r="H66">
            <v>3.0000000000000002E-2</v>
          </cell>
          <cell r="I66">
            <v>161.53941885493768</v>
          </cell>
          <cell r="J66">
            <v>141.32109092796475</v>
          </cell>
          <cell r="K66">
            <v>125.54984562765509</v>
          </cell>
          <cell r="L66">
            <v>112.93656392699705</v>
          </cell>
          <cell r="M66">
            <v>102.64492711166848</v>
          </cell>
          <cell r="N66">
            <v>94.10873691914243</v>
          </cell>
          <cell r="O66">
            <v>86.931069525148757</v>
          </cell>
          <cell r="P66">
            <v>80.825466576111182</v>
          </cell>
          <cell r="Q66">
            <v>75.580048112885379</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Valuation Matrix"/>
      <sheetName val="Overview"/>
      <sheetName val="AD Sensitivities"/>
      <sheetName val="Inputs"/>
      <sheetName val="Funds Output"/>
      <sheetName val="Assumptions"/>
      <sheetName val="PF Credit Stats"/>
      <sheetName val="Module1"/>
      <sheetName val="Module2"/>
      <sheetName val="Pro Forma Balance Sheet"/>
      <sheetName val="PF Financials"/>
      <sheetName val="AccDil"/>
      <sheetName val="JV Assumptions"/>
      <sheetName val="JV AccDil "/>
      <sheetName val="JV Pro Forma Balance Sheet"/>
      <sheetName val="JV Credit Stats "/>
      <sheetName val="JV Financials"/>
      <sheetName val="Returns Analysis"/>
      <sheetName val="Acquiror Financials"/>
      <sheetName val="Target  Financials"/>
      <sheetName val="Target Detail"/>
      <sheetName val="DCF"/>
      <sheetName val="Exit Analysis"/>
      <sheetName val="Buildup"/>
      <sheetName val="Synergies"/>
      <sheetName val="Shareholder Analysis"/>
      <sheetName val="Broncos AccDil Input"/>
      <sheetName val="Broncos AccDil"/>
      <sheetName val="BUD AccDil Input"/>
      <sheetName val="BUD AccDil"/>
      <sheetName val="HEIN AccDil Input"/>
      <sheetName val="HEIN AccDil"/>
      <sheetName val="SAB AccDil Input"/>
      <sheetName val="SAB AccDil"/>
      <sheetName val="PMB AccDil Input"/>
      <sheetName val="PMB AccDil"/>
      <sheetName val="PMB AccDil (2)"/>
      <sheetName val="Combination Analysis"/>
      <sheetName val="Strategic JV Analysis"/>
      <sheetName val="MOL AccDil Input"/>
      <sheetName val="MOL AccDil 2"/>
      <sheetName val="MOL AccDil"/>
      <sheetName val="AdditionalPrintCode"/>
      <sheetName val="MainPrintCode"/>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sheetData sheetId="28" refreshError="1"/>
      <sheetData sheetId="29"/>
      <sheetData sheetId="30" refreshError="1"/>
      <sheetData sheetId="31"/>
      <sheetData sheetId="32" refreshError="1"/>
      <sheetData sheetId="33"/>
      <sheetData sheetId="34" refreshError="1"/>
      <sheetData sheetId="35" refreshError="1">
        <row r="26">
          <cell r="T26">
            <v>6000</v>
          </cell>
        </row>
      </sheetData>
      <sheetData sheetId="36" refreshError="1"/>
      <sheetData sheetId="37" refreshError="1"/>
      <sheetData sheetId="38"/>
      <sheetData sheetId="39"/>
      <sheetData sheetId="40"/>
      <sheetData sheetId="41" refreshError="1"/>
      <sheetData sheetId="42" refreshError="1"/>
      <sheetData sheetId="43" refreshError="1"/>
      <sheetData sheetId="44"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fd shares"/>
      <sheetName val="xchange"/>
      <sheetName val="Side-by_side"/>
      <sheetName val="Val_Matrix"/>
      <sheetName val="ownership"/>
    </sheetNames>
    <sheetDataSet>
      <sheetData sheetId="0" refreshError="1"/>
      <sheetData sheetId="1" refreshError="1">
        <row r="7">
          <cell r="F7" t="str">
            <v>MLNM</v>
          </cell>
          <cell r="H7" t="str">
            <v>VRTX</v>
          </cell>
        </row>
        <row r="9">
          <cell r="L9">
            <v>36578</v>
          </cell>
        </row>
        <row r="10">
          <cell r="K10" t="str">
            <v>^IB_PRICE_HIGH_52W</v>
          </cell>
        </row>
        <row r="11">
          <cell r="H11">
            <v>29.16700559255203</v>
          </cell>
          <cell r="K11" t="str">
            <v>^IB_PRICE_LOW_52W</v>
          </cell>
        </row>
        <row r="14">
          <cell r="K14" t="str">
            <v>^P_PRICE</v>
          </cell>
        </row>
      </sheetData>
      <sheetData sheetId="2" refreshError="1"/>
      <sheetData sheetId="3" refreshError="1"/>
      <sheetData sheetId="4" refreshError="1"/>
      <sheetData sheetId="5"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ssum"/>
      <sheetName val="Case"/>
      <sheetName val="Group 1"/>
      <sheetName val="Asbury"/>
      <sheetName val="combo"/>
      <sheetName val="Summary New"/>
      <sheetName val="AdditionalPrintCode"/>
      <sheetName val="MainPrintCode"/>
      <sheetName val="Calc"/>
      <sheetName val="AccDil"/>
      <sheetName val="Cases"/>
      <sheetName val="DCF Inputs"/>
      <sheetName val="DCF Matrix"/>
      <sheetName val="Summary Val"/>
      <sheetName val="ValMatrix"/>
      <sheetName val="Macr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Quarterly"/>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Combo Box"/>
      <sheetName val="MMD"/>
      <sheetName val="Model"/>
      <sheetName val="MATQTRS"/>
      <sheetName val="UNIV-EBS DATA"/>
      <sheetName val="Ratios"/>
      <sheetName val="MATINC"/>
      <sheetName val="MATBAL"/>
      <sheetName val="Macro1"/>
      <sheetName val="Macro2"/>
      <sheetName val="LXK"/>
      <sheetName val="Valuation"/>
      <sheetName val="Analysis"/>
      <sheetName val="MACRS"/>
      <sheetName val="FutureAcq"/>
      <sheetName val="Credit Output"/>
      <sheetName val="CalcsMO"/>
      <sheetName val=" Capital"/>
      <sheetName val="New Business"/>
      <sheetName val="yearly"/>
      <sheetName val="OnAir"/>
      <sheetName val="RELPE"/>
      <sheetName val="SALESCAT"/>
      <sheetName val="MATCASH"/>
      <sheetName val="FinSum"/>
      <sheetName val="Gas"/>
      <sheetName val="Off Peak"/>
      <sheetName val="Peak"/>
      <sheetName val="Aladdin Macro1"/>
      <sheetName val="DATA"/>
      <sheetName val="Scenario"/>
      <sheetName val="WY"/>
      <sheetName val="changes in EST"/>
      <sheetName val="US peers EBIT Margins"/>
      <sheetName val="Sheet7"/>
      <sheetName val="Model (Euro)"/>
      <sheetName val="Monthly Spot"/>
      <sheetName val="NKEBALST"/>
      <sheetName val="NKEQTRIN"/>
      <sheetName val="main"/>
      <sheetName val="Sheet1"/>
      <sheetName val="DMK"/>
      <sheetName val="Cashflow Model"/>
      <sheetName val="premium detail - P&amp;C"/>
      <sheetName val="Sainsbury"/>
      <sheetName val="Accounts&amp;Forecasts"/>
      <sheetName val="単独"/>
      <sheetName val="ｾｸﾞﾒﾝﾄ"/>
      <sheetName val="Annual"/>
      <sheetName val="macro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TRADING"/>
      <sheetName val="__FDSCACHE__"/>
      <sheetName val="OPERATING"/>
      <sheetName val="FACTSET"/>
      <sheetName val="TOP"/>
      <sheetName val="Dialog1"/>
      <sheetName val="Module1"/>
    </sheetNames>
    <sheetDataSet>
      <sheetData sheetId="0" refreshError="1">
        <row r="13">
          <cell r="A13" t="str">
            <v>AAII</v>
          </cell>
          <cell r="B13" t="str">
            <v xml:space="preserve">Applied Analytical Industries </v>
          </cell>
        </row>
        <row r="14">
          <cell r="A14" t="str">
            <v>BLPG</v>
          </cell>
          <cell r="B14" t="str">
            <v xml:space="preserve">Boron LePore &amp; Associates </v>
          </cell>
        </row>
        <row r="15">
          <cell r="A15" t="str">
            <v>BREL</v>
          </cell>
          <cell r="B15" t="str">
            <v xml:space="preserve">BioReliance Corporation </v>
          </cell>
        </row>
        <row r="16">
          <cell r="A16" t="str">
            <v>DATA</v>
          </cell>
          <cell r="B16" t="str">
            <v>Collaborative Clinical Research (a)</v>
          </cell>
        </row>
        <row r="17">
          <cell r="A17" t="str">
            <v>CCRO</v>
          </cell>
          <cell r="B17" t="str">
            <v xml:space="preserve">ClinTrials Research </v>
          </cell>
        </row>
        <row r="18">
          <cell r="A18" t="str">
            <v>CVD</v>
          </cell>
          <cell r="B18" t="str">
            <v>Covance</v>
          </cell>
        </row>
        <row r="19">
          <cell r="A19" t="str">
            <v>DJII</v>
          </cell>
          <cell r="B19" t="str">
            <v>DJIA</v>
          </cell>
        </row>
        <row r="20">
          <cell r="A20" t="str">
            <v>ICLRY</v>
          </cell>
          <cell r="B20" t="str">
            <v>ICON plc</v>
          </cell>
        </row>
        <row r="21">
          <cell r="A21" t="str">
            <v>KNDL</v>
          </cell>
          <cell r="B21" t="str">
            <v xml:space="preserve">Kendle International </v>
          </cell>
        </row>
        <row r="22">
          <cell r="A22" t="str">
            <v>PPDI</v>
          </cell>
          <cell r="B22" t="str">
            <v xml:space="preserve">Pharmaceutical Product Development </v>
          </cell>
        </row>
        <row r="23">
          <cell r="A23" t="str">
            <v>PRWW</v>
          </cell>
          <cell r="B23" t="str">
            <v>Premier Research Worldwide</v>
          </cell>
        </row>
        <row r="24">
          <cell r="A24" t="str">
            <v>PRXL</v>
          </cell>
          <cell r="B24" t="str">
            <v>Parexel International</v>
          </cell>
        </row>
        <row r="25">
          <cell r="A25" t="str">
            <v>PDII</v>
          </cell>
          <cell r="B25" t="str">
            <v>Professional Detailing</v>
          </cell>
        </row>
        <row r="26">
          <cell r="A26" t="str">
            <v>QTRN</v>
          </cell>
          <cell r="B26" t="str">
            <v xml:space="preserve">Quintiles Transnational </v>
          </cell>
        </row>
        <row r="27">
          <cell r="A27" t="str">
            <v>SNC</v>
          </cell>
          <cell r="B27" t="str">
            <v>Snyder Communications</v>
          </cell>
        </row>
        <row r="28">
          <cell r="A28" t="str">
            <v>VTIV</v>
          </cell>
          <cell r="B28" t="str">
            <v>Ventiv Health</v>
          </cell>
        </row>
        <row r="29">
          <cell r="A29" t="str">
            <v>SP50</v>
          </cell>
          <cell r="B29" t="str">
            <v>S &amp; P 500</v>
          </cell>
        </row>
        <row r="30">
          <cell r="A30" t="str">
            <v>SPII</v>
          </cell>
          <cell r="B30" t="str">
            <v>S &amp; P 400</v>
          </cell>
        </row>
      </sheetData>
      <sheetData sheetId="1"/>
      <sheetData sheetId="2"/>
      <sheetData sheetId="3"/>
      <sheetData sheetId="4"/>
      <sheetData sheetId="5"/>
      <sheetData sheetId="6"/>
      <sheetData sheetId="7"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Trans Assump"/>
      <sheetName val="Hist Inputs"/>
      <sheetName val="Cases"/>
      <sheetName val="DCF Inputs"/>
      <sheetName val="DCF"/>
      <sheetName val="DCF Matrix"/>
      <sheetName val="Standalone"/>
      <sheetName val="Hist Graph"/>
      <sheetName val="Proj Graph"/>
      <sheetName val="LBO"/>
      <sheetName val="LBO Summary"/>
      <sheetName val="LBO IRR"/>
      <sheetName val="LBO Sens"/>
      <sheetName val="Trading Value"/>
      <sheetName val="Trading Val Calc"/>
      <sheetName val="PFMA Statements"/>
      <sheetName val="PFMA Fin Sum"/>
      <sheetName val="PFMA Cap"/>
      <sheetName val="PFMA Credit"/>
      <sheetName val="Fin Graph"/>
      <sheetName val="Credit Graph"/>
      <sheetName val="Earnings"/>
      <sheetName val="Bal Sheets"/>
      <sheetName val="Schedules"/>
      <sheetName val="DCFLBO Code"/>
      <sheetName val="CasesDialog"/>
      <sheetName val="MainPrint Code"/>
      <sheetName val="AdditionalPrint Code"/>
      <sheetName val="InitialPrintDialog"/>
    </sheetNames>
    <sheetDataSet>
      <sheetData sheetId="0" refreshError="1"/>
      <sheetData sheetId="1" refreshError="1">
        <row r="28">
          <cell r="J28" t="str">
            <v>Yes</v>
          </cell>
        </row>
        <row r="29">
          <cell r="J29">
            <v>40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4)"/>
      <sheetName val="Financials"/>
      <sheetName val="DCF Inputs"/>
      <sheetName val="Wang DCF "/>
      <sheetName val="Sensitivity Analysis"/>
    </sheetNames>
    <sheetDataSet>
      <sheetData sheetId="0" refreshError="1"/>
      <sheetData sheetId="1" refreshError="1"/>
      <sheetData sheetId="2" refreshError="1"/>
      <sheetData sheetId="3" refreshError="1"/>
      <sheetData sheetId="4"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Cashflow Forecast Port"/>
      <sheetName val="FX Adjustment"/>
      <sheetName val="LBO Control"/>
      <sheetName val="Standalone"/>
      <sheetName val="Balance Sheet"/>
      <sheetName val="Data Validation Names"/>
      <sheetName val="c1"/>
      <sheetName val="DCF 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Page"/>
      <sheetName val="__FDSCACHE__"/>
      <sheetName val="Cap"/>
      <sheetName val="Sonoma Cases"/>
      <sheetName val="Sonoma Financials"/>
      <sheetName val="Cabernet Cases"/>
      <sheetName val="Cabernet Financials"/>
      <sheetName val="DEV"/>
      <sheetName val="Valuation Matrix"/>
      <sheetName val="Post Money Ownership"/>
      <sheetName val="Pro Forma Impact"/>
      <sheetName val="Sonoma Caps Table"/>
      <sheetName val="Sonoma Comp Val"/>
      <sheetName val="Relative Contribution"/>
      <sheetName val="Cash Requirments"/>
      <sheetName val="MiniMerger Assumptions"/>
      <sheetName val="Merger Output"/>
      <sheetName val="Stock Price Analysis"/>
      <sheetName val="EPS"/>
      <sheetName val="sonoma index"/>
      <sheetName val="nasdaq index"/>
      <sheetName val="comps index"/>
      <sheetName val="Sonoma"/>
      <sheetName val="Report"/>
      <sheetName val="DCF"/>
      <sheetName val="Valuation Summary"/>
    </sheetNames>
    <sheetDataSet>
      <sheetData sheetId="0" refreshError="1">
        <row r="7">
          <cell r="C7" t="str">
            <v>Cabernet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Cap"/>
      <sheetName val="LS Assmptns"/>
      <sheetName val="LS Fin"/>
      <sheetName val="Clin Assmptns"/>
      <sheetName val="Clin Fin"/>
      <sheetName val="Bio Assmptns"/>
      <sheetName val="Bio Fin"/>
      <sheetName val="Tot Fin"/>
      <sheetName val="Contribution"/>
      <sheetName val="__FDSCACHE__"/>
      <sheetName val="DCF Summary"/>
      <sheetName val="scen comp"/>
      <sheetName val="FD DCF Inputs"/>
      <sheetName val="FD DCF"/>
      <sheetName val="Football field"/>
      <sheetName val="BLANK3"/>
      <sheetName val="Total"/>
      <sheetName val="LS"/>
      <sheetName val="Clin"/>
      <sheetName val="Bio"/>
      <sheetName val="BLANK4"/>
      <sheetName val="BLANK5"/>
      <sheetName val="WACC"/>
      <sheetName val="cash burn"/>
    </sheetNames>
    <sheetDataSet>
      <sheetData sheetId="0" refreshError="1">
        <row r="33">
          <cell r="E33" t="str">
            <v>Burgundy Case</v>
          </cell>
        </row>
      </sheetData>
      <sheetData sheetId="1"/>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Pill Financials"/>
      <sheetName val="Asset Sale Assump"/>
      <sheetName val="Mult"/>
      <sheetName val="Val Mtx"/>
      <sheetName val="Inputs"/>
      <sheetName val="AdditionalPrintCode"/>
      <sheetName val="MainPrintCode"/>
      <sheetName val="EPS Calc"/>
      <sheetName val="Merger Inputs"/>
      <sheetName val="Calc"/>
      <sheetName val="Module12"/>
      <sheetName val="Module13"/>
      <sheetName val="GAAP"/>
      <sheetName val="AssetPur"/>
      <sheetName val="HAT-MINI-MERGER"/>
      <sheetName val="Pooling"/>
      <sheetName val="Credit"/>
      <sheetName val="FinCosts"/>
      <sheetName val="Debt Capacity"/>
      <sheetName val="Contribution"/>
      <sheetName val="Val_to_King"/>
      <sheetName val="MINI-MERGER"/>
      <sheetName val="Val-Matrix "/>
      <sheetName val="ValMatrix -King-BFO-no trick"/>
      <sheetName val="Val to King - no trick"/>
      <sheetName val="bfo-val"/>
      <sheetName val="Val to King - trick"/>
      <sheetName val="Val Creat - pool"/>
      <sheetName val="val creat summ"/>
      <sheetName val="Exchange Ratio Calc"/>
      <sheetName val="B IS"/>
      <sheetName val="K IS"/>
      <sheetName val="Combined IS"/>
      <sheetName val="B BS"/>
      <sheetName val="K BS"/>
      <sheetName val="PF Balance Sheet"/>
      <sheetName val="shares calcs"/>
      <sheetName val="PF Acquiror"/>
      <sheetName val="Sheet1"/>
      <sheetName val="Price Target"/>
      <sheetName val="Football"/>
      <sheetName val="Val Matrix"/>
      <sheetName val="Syn_Val_Creat"/>
      <sheetName val="cost syn"/>
      <sheetName val="side-by-side"/>
      <sheetName val="Cont. Analysis"/>
      <sheetName val="SHARE CALC"/>
      <sheetName val="Stock Change"/>
      <sheetName val="PF BS"/>
      <sheetName val="Mini-Merger - K &amp; Q"/>
      <sheetName val="Mini Merger OP"/>
      <sheetName val="Mini Merger 2"/>
      <sheetName val="King_bishop"/>
      <sheetName val="bishop-check"/>
      <sheetName val="InitialPrintDialog"/>
      <sheetName val="b-k_trick_cash-premium"/>
      <sheetName val="bishop-king-19.9-30-5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ssumptions"/>
      <sheetName val="Inputs"/>
      <sheetName val="Sideby side"/>
      <sheetName val="AD"/>
      <sheetName val="Value Creation"/>
      <sheetName val="CA"/>
      <sheetName val="Options"/>
      <sheetName val="Val Matrix"/>
    </sheetNames>
    <sheetDataSet>
      <sheetData sheetId="0" refreshError="1"/>
      <sheetData sheetId="1" refreshError="1"/>
      <sheetData sheetId="2" refreshError="1"/>
      <sheetData sheetId="3" refreshError="1"/>
      <sheetData sheetId="4" refreshError="1">
        <row r="18">
          <cell r="T18">
            <v>0.3</v>
          </cell>
        </row>
      </sheetData>
      <sheetData sheetId="5" refreshError="1"/>
      <sheetData sheetId="6" refreshError="1"/>
      <sheetData sheetId="7" refreshError="1"/>
      <sheetData sheetId="8"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nputs"/>
      <sheetName val="mini-m inputs"/>
      <sheetName val="mini-merger"/>
      <sheetName val="mini-merger normalized"/>
      <sheetName val="XR Calc"/>
      <sheetName val="PPDS"/>
      <sheetName val="Rel. Cont."/>
      <sheetName val="Then and Now"/>
      <sheetName val="Acc.Del Sensitivity"/>
    </sheetNames>
    <sheetDataSet>
      <sheetData sheetId="0" refreshError="1"/>
      <sheetData sheetId="1" refreshError="1">
        <row r="31">
          <cell r="L31">
            <v>24.990000000000002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tManagerCode"/>
      <sheetName val="LBO"/>
      <sheetName val="Sensitivity"/>
      <sheetName val="Shadow Quick LBO2"/>
    </sheetNames>
    <sheetDataSet>
      <sheetData sheetId="0" refreshError="1"/>
      <sheetData sheetId="1" refreshError="1">
        <row r="8">
          <cell r="Y8">
            <v>850</v>
          </cell>
        </row>
      </sheetData>
      <sheetData sheetId="2" refreshError="1"/>
      <sheetData sheetId="3"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 Inputs"/>
      <sheetName val="Calcs for Sensitivy"/>
      <sheetName val="Cases"/>
      <sheetName val="Financials"/>
      <sheetName val="Performance"/>
    </sheetNames>
    <sheetDataSet>
      <sheetData sheetId="0" refreshError="1"/>
      <sheetData sheetId="1" refreshError="1"/>
      <sheetData sheetId="2" refreshError="1"/>
      <sheetData sheetId="3" refreshError="1"/>
      <sheetData sheetId="4"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Page"/>
      <sheetName val="Cases"/>
      <sheetName val="Earnings"/>
      <sheetName val="DCF Input"/>
      <sheetName val="__FDSCACHE__"/>
      <sheetName val="DCF Output"/>
      <sheetName val="Contribution Analysis"/>
      <sheetName val="Valuation Matrix"/>
      <sheetName val="Sheet1"/>
      <sheetName val="Credit Statistics"/>
    </sheetNames>
    <sheetDataSet>
      <sheetData sheetId="0" refreshError="1">
        <row r="5">
          <cell r="C5" t="str">
            <v>New York Times</v>
          </cell>
        </row>
      </sheetData>
      <sheetData sheetId="1" refreshError="1"/>
      <sheetData sheetId="2" refreshError="1">
        <row r="50">
          <cell r="P50">
            <v>169.94192100000001</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es"/>
      <sheetName val="Financials"/>
      <sheetName val="Sheet2 (2)"/>
      <sheetName val="Standalone Financials"/>
      <sheetName val="DCF Inputs"/>
      <sheetName val="DCF Matrix"/>
      <sheetName val="DCF Matrix (2)"/>
      <sheetName val="Side-by-Side"/>
      <sheetName val="Sheet4 (2)"/>
      <sheetName val="Sheet17"/>
      <sheetName val="Sheet2"/>
      <sheetName val="Sensitivity Analysi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Module1"/>
      <sheetName val="Module2"/>
      <sheetName val="Logistics Valuation Model"/>
    </sheetNames>
    <definedNames>
      <definedName name="Print_DC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oRollUp"/>
      <sheetName val="Module3"/>
      <sheetName val="Geographic"/>
      <sheetName val="Model Assumptions"/>
      <sheetName val="Summary PF #4"/>
      <sheetName val="Summary of Pro Forma (3)"/>
      <sheetName val="Summary of Pro Forma (2)"/>
      <sheetName val="WellSens"/>
      <sheetName val="WellPoint"/>
      <sheetName val="SumFin"/>
      <sheetName val="Dental Valsum"/>
      <sheetName val="Dental DCF Inputs"/>
      <sheetName val="Dental DCF"/>
      <sheetName val="Dental Cases"/>
      <sheetName val="Dental (Klammer)"/>
      <sheetName val="Dental"/>
      <sheetName val="Hard Rock"/>
      <sheetName val="Poundstone"/>
      <sheetName val="Cases"/>
      <sheetName val="Covenant"/>
      <sheetName val="RushValSum"/>
      <sheetName val="RushMatrix"/>
      <sheetName val="Rush"/>
      <sheetName val="California"/>
      <sheetName val="CA Cases"/>
      <sheetName val="CredSens"/>
      <sheetName val="Dental PMAT"/>
      <sheetName val="PMAT (2)"/>
      <sheetName val="PFMA Income"/>
      <sheetName val="PFMA Balance"/>
      <sheetName val="PFMA Schedules"/>
      <sheetName val="SynSchedule"/>
      <sheetName val="DCF Inputs"/>
      <sheetName val="DCF Matrix"/>
      <sheetName val="Valuation Summary"/>
      <sheetName val="MemVal"/>
      <sheetName val="Sensitivities"/>
      <sheetName val="Synergy Analysis"/>
      <sheetName val="DCF Assumptions"/>
      <sheetName val="Sheet1"/>
      <sheetName val="DCFSENS"/>
      <sheetName val="SIDE"/>
      <sheetName val="PMAT"/>
      <sheetName val="Macred"/>
      <sheetName val="CredBuil(Update97Pound)"/>
      <sheetName val="CredDental"/>
      <sheetName val="Credit Buildup"/>
      <sheetName val="Financial Overview"/>
      <sheetName val="Sheet2"/>
      <sheetName val="Convert Analysis"/>
      <sheetName val="ConsMix With Convert"/>
      <sheetName val="Incr. Int"/>
      <sheetName val="Seller"/>
      <sheetName val="ConsMix"/>
      <sheetName val="Dollar for Dollar"/>
      <sheetName val="DCFYN26"/>
    </sheetNames>
    <definedNames>
      <definedName name="Print_HardRo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s for Sensitivy"/>
      <sheetName val="Financials"/>
      <sheetName val="Hist Inputs"/>
      <sheetName val="DCF7"/>
    </sheetNames>
    <definedNames>
      <definedName name="Print_ibt"/>
      <definedName name="Print_image"/>
      <definedName name="Print_valmat"/>
    </definedNames>
    <sheetDataSet>
      <sheetData sheetId="0" refreshError="1"/>
      <sheetData sheetId="1" refreshError="1"/>
      <sheetData sheetId="2" refreshError="1"/>
      <sheetData sheetId="3"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HIST20"/>
      <sheetName val="Graphs"/>
      <sheetName val="14150"/>
      <sheetName val="Hist Inputs"/>
    </sheetNames>
    <definedNames>
      <definedName name="Print_Valmax"/>
    </definedNames>
    <sheetDataSet>
      <sheetData sheetId="0" refreshError="1"/>
      <sheetData sheetId="1" refreshError="1"/>
      <sheetData sheetId="2" refreshError="1"/>
      <sheetData sheetId="3" refreshError="1"/>
      <sheetData sheetId="4"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LBO_2"/>
    </sheetNames>
    <definedNames>
      <definedName name="PrintModelReports"/>
      <definedName name="PrintPreviewModelReports"/>
    </definedNames>
    <sheetDataSet>
      <sheetData sheetId="0" refreshError="1"/>
      <sheetData sheetId="1"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FD Value"/>
      <sheetName val="Sheet13"/>
      <sheetName val="Sheet14"/>
      <sheetName val="Sheet12"/>
      <sheetName val="__FDSCACHE__"/>
      <sheetName val="Input"/>
      <sheetName val="FD TSO"/>
      <sheetName val="Value"/>
      <sheetName val="PF BS"/>
      <sheetName val="Sheet6"/>
      <sheetName val="Sheet1"/>
      <sheetName val="Sheet11"/>
      <sheetName val="Sheet16"/>
      <sheetName val="MiniMerg"/>
      <sheetName val="MiniMergSummary"/>
      <sheetName val="Sheet10"/>
      <sheetName val="Breakup"/>
      <sheetName val="Sheet7"/>
      <sheetName val="DCF"/>
      <sheetName val="Sheet4"/>
      <sheetName val="Sheet3"/>
      <sheetName val="Sheet9"/>
      <sheetName val="Sheet8"/>
      <sheetName val="Sheet5"/>
      <sheetName val="Multiple"/>
      <sheetName val="Multiple2"/>
      <sheetName val="Single"/>
      <sheetName val="Sheet2"/>
      <sheetName val="MainPrint Code"/>
      <sheetName val="AdditionalPrint Code"/>
      <sheetName val="InitialPrintDia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3">
          <cell r="T13">
            <v>0.2</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__FDSCACHE__"/>
      <sheetName val="Switches(2)"/>
      <sheetName val="SumVal"/>
      <sheetName val="Goodwill"/>
      <sheetName val="Debtrealloc"/>
      <sheetName val="Matrix"/>
      <sheetName val="Valmatrix"/>
      <sheetName val="40"/>
      <sheetName val="Borg"/>
      <sheetName val="Schw"/>
      <sheetName val="Elec"/>
      <sheetName val="Cable"/>
      <sheetName val="Corp"/>
      <sheetName val="Target"/>
      <sheetName val="10-Year DCF"/>
      <sheetName val="Combined"/>
      <sheetName val="Switches"/>
      <sheetName val="BearSens"/>
      <sheetName val="BearSens (38)"/>
      <sheetName val="Sources &amp; Uses"/>
      <sheetName val="Combined  PF BS"/>
      <sheetName val="Amort"/>
      <sheetName val="CorpExpense"/>
      <sheetName val="LBO Summary"/>
      <sheetName val="LBO Financials"/>
      <sheetName val="LBO PF BS"/>
      <sheetName val="5-Year DC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53">
          <cell r="D53">
            <v>5</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edit Stats (2)"/>
      <sheetName val="Assumptions"/>
      <sheetName val="Blend"/>
      <sheetName val="__FDSCACHE__"/>
      <sheetName val="Acc-Dil"/>
      <sheetName val="Credit Stats"/>
      <sheetName val="accdil"/>
      <sheetName val="val_matrix"/>
      <sheetName val="PrintManagerCode"/>
      <sheetName val="Shares"/>
      <sheetName val="ENDP"/>
    </sheetNames>
    <sheetDataSet>
      <sheetData sheetId="0" refreshError="1"/>
      <sheetData sheetId="1" refreshError="1">
        <row r="15">
          <cell r="C15">
            <v>0</v>
          </cell>
        </row>
        <row r="20">
          <cell r="C20">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agle"/>
      <sheetName val="VERTIGO"/>
      <sheetName val="Data"/>
      <sheetName val="Xrate"/>
      <sheetName val="Outputs"/>
      <sheetName val="Inputs"/>
      <sheetName val="Transinputs"/>
      <sheetName val="Shares"/>
      <sheetName val="Acquiror"/>
      <sheetName val="Target"/>
      <sheetName val="Calcs"/>
      <sheetName val="Summary"/>
      <sheetName val="EPS"/>
      <sheetName val="RD Sense"/>
      <sheetName val="Sense"/>
      <sheetName val="Contribute"/>
      <sheetName val="TMat"/>
      <sheetName val="PMat"/>
      <sheetName val="Majors"/>
      <sheetName val="LIQUID"/>
      <sheetName val="LESLIE"/>
      <sheetName val="Tainted"/>
      <sheetName val="Module1"/>
      <sheetName val="Matrix"/>
      <sheetName val="Graph"/>
      <sheetName val="Structure"/>
      <sheetName val="Exchange Ratio"/>
      <sheetName val="Interloper"/>
      <sheetName val="Merger Code"/>
      <sheetName val="MainPrint Code"/>
      <sheetName val="AdditionalPrint Code"/>
      <sheetName val="InitialPrintDialog"/>
      <sheetName val="MainPrint Code (2)"/>
      <sheetName val="AdditionalPrint Code (2)"/>
      <sheetName val="InitialPrintDialog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 Assump"/>
      <sheetName val="Trans Sum"/>
      <sheetName val="LBO Sum"/>
      <sheetName val="Cases"/>
      <sheetName val="Research"/>
      <sheetName val="Synergy"/>
      <sheetName val="Standalone"/>
      <sheetName val="Summary"/>
      <sheetName val="DCF Inputs"/>
      <sheetName val="DCF Matrix"/>
      <sheetName val="DCF Sens"/>
      <sheetName val="Comps"/>
      <sheetName val="Val Anal"/>
      <sheetName val="Gr Cos Sen"/>
      <sheetName val="Val Matrix"/>
      <sheetName val="Comparison"/>
      <sheetName val="Print Mod"/>
      <sheetName val="Val Mod"/>
      <sheetName val="Module1"/>
    </sheetNames>
    <sheetDataSet>
      <sheetData sheetId="0" refreshError="1">
        <row r="19">
          <cell r="C19">
            <v>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nputs"/>
      <sheetName val="Assumptions"/>
      <sheetName val="Calcs"/>
      <sheetName val="Prem Sens2"/>
      <sheetName val="Premium Sensitivity"/>
      <sheetName val="Exchange rate"/>
      <sheetName val="Contribution"/>
      <sheetName val="Comparison"/>
      <sheetName val="Proforma Growth Matrix"/>
      <sheetName val="Proforma Price"/>
      <sheetName val="Pro-Forma Stock Price"/>
      <sheetName val="2001 Sensitivities"/>
      <sheetName val="2002 Sensitivities "/>
      <sheetName val="Old Sensitivities"/>
      <sheetName val="Output"/>
      <sheetName val="Value Impact"/>
      <sheetName val="ProForma"/>
      <sheetName val="Interloper"/>
      <sheetName val="Interloper-Cash"/>
    </sheetNames>
    <sheetDataSet>
      <sheetData sheetId="0" refreshError="1"/>
      <sheetData sheetId="1" refreshError="1">
        <row r="59">
          <cell r="AC59">
            <v>0.1</v>
          </cell>
        </row>
        <row r="60">
          <cell r="AC60">
            <v>0.1</v>
          </cell>
        </row>
        <row r="61">
          <cell r="AC61">
            <v>0.1</v>
          </cell>
        </row>
        <row r="95">
          <cell r="AA95">
            <v>75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gt;&gt;&gt;"/>
      <sheetName val="post proforma"/>
      <sheetName val="Canada"/>
      <sheetName val="summary"/>
      <sheetName val="PRESENTATION&gt;&gt;&gt;"/>
      <sheetName val="PF Adj"/>
      <sheetName val="Hist Results"/>
      <sheetName val="Quarters"/>
      <sheetName val="Retail IS Summary"/>
      <sheetName val="IS Summary"/>
      <sheetName val="Proj Results"/>
      <sheetName val="Case Summary"/>
      <sheetName val="MODEL&gt;&gt;&gt;"/>
      <sheetName val="Assump"/>
      <sheetName val="LBO"/>
      <sheetName val="Consolidated"/>
      <sheetName val="Retail"/>
      <sheetName val="Closed"/>
      <sheetName val="Franchising"/>
      <sheetName val="Manufacturing"/>
      <sheetName val="Rite Aid"/>
      <sheetName val="DS.com"/>
      <sheetName val="Corporate"/>
      <sheetName val="New Prototype"/>
      <sheetName val="Takeback Prototype"/>
      <sheetName val="Buyback Prototype"/>
      <sheetName val="Convert '04"/>
      <sheetName val="Convert '05"/>
      <sheetName val="Convert '06"/>
      <sheetName val="Convert '07"/>
      <sheetName val="Convert '08"/>
      <sheetName val="DO NOT PRINT&gt;&gt;&gt;"/>
      <sheetName val="Sell Plant"/>
      <sheetName val="New Rollup"/>
      <sheetName val="Buyback Rollup"/>
      <sheetName val="Takeback Rollup"/>
      <sheetName val="Convert Roll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6">
          <cell r="P6">
            <v>1</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arison of Assumps."/>
      <sheetName val="Assumptions"/>
      <sheetName val="Syn. Assumps."/>
      <sheetName val="Synergy Output"/>
      <sheetName val="Lazard"/>
      <sheetName val="Hist. ROIC"/>
      <sheetName val="PF Cred Stats"/>
      <sheetName val="Summary"/>
      <sheetName val="Summary - Sales"/>
      <sheetName val="PF P&amp;L"/>
      <sheetName val="PF ROIC"/>
      <sheetName val="PF BS Adj"/>
      <sheetName val="PF CF"/>
      <sheetName val="__FDSCACHE__"/>
      <sheetName val="PF BS"/>
      <sheetName val="Holl. BS"/>
      <sheetName val="Holl. CF"/>
      <sheetName val="Holl P&amp;L Output"/>
      <sheetName val="Holl. P&amp;L"/>
      <sheetName val="Holl. Cases"/>
      <sheetName val="Divestiture"/>
      <sheetName val="Div. Output"/>
      <sheetName val="Tit P&amp;L Output (Div)"/>
      <sheetName val="Titan CF"/>
      <sheetName val="Lev Recap"/>
      <sheetName val="Titan BS"/>
      <sheetName val="Div. Tit BS"/>
      <sheetName val="Tit P&amp;L Output (Old)"/>
      <sheetName val="Titan P&amp;L"/>
      <sheetName val="Titan Cases"/>
      <sheetName val="Titan Mgmt Cases"/>
      <sheetName val="Fully Diluted Share"/>
      <sheetName val="Stock Price"/>
      <sheetName val="Acc-Dil Matrix"/>
      <sheetName val="ROIC Anal."/>
      <sheetName val="Growth Anal."/>
      <sheetName val="Impl. Val."/>
      <sheetName val="Disc Val Analysis"/>
      <sheetName val="PF Ownership"/>
      <sheetName val="Contr. Output"/>
      <sheetName val="Contribution"/>
      <sheetName val="Adjustments"/>
      <sheetName val="Acq. DCF"/>
      <sheetName val="Def DCF"/>
      <sheetName val="Fluid DCF"/>
      <sheetName val="DCF Output"/>
      <sheetName val="Pension DCF"/>
      <sheetName val="S-O-P DCF"/>
      <sheetName val="MoFlo DCF"/>
      <sheetName val="Elec DCF"/>
      <sheetName val="Graveyard"/>
      <sheetName val="Credit Stats"/>
      <sheetName val="ROIC (Old)"/>
      <sheetName val="Val Matrix"/>
      <sheetName val="DC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0">
          <cell r="K10">
            <v>93</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sales  graph"/>
      <sheetName val="P&amp;L Slide"/>
      <sheetName val="Productivity"/>
      <sheetName val="Pipeline &amp; Resources"/>
      <sheetName val="MLNM Buildup"/>
      <sheetName val="Inflam"/>
      <sheetName val="Metabolic"/>
      <sheetName val="Oncology"/>
      <sheetName val="SDA"/>
      <sheetName val="G2P Platform"/>
      <sheetName val="Patient Mgnt"/>
      <sheetName val="Research Mgnt"/>
      <sheetName val="Inflam SM"/>
      <sheetName val="Inflam Ab"/>
      <sheetName val="LDP-02"/>
      <sheetName val="LDP-977 oral"/>
      <sheetName val="LDP-977 inhale"/>
      <sheetName val="LDP-519"/>
      <sheetName val="CAMPATH-MS"/>
      <sheetName val="CAMPATH-Trans"/>
      <sheetName val="Onco SM"/>
      <sheetName val="Onco Ab"/>
      <sheetName val="CAMPATH-CCLFR"/>
      <sheetName val="CAMPATH-CCLFA"/>
      <sheetName val="CAMPATH-NHL"/>
      <sheetName val="LDP-341"/>
      <sheetName val="Metabolic SM"/>
      <sheetName val="pipeline2"/>
      <sheetName val="Metabolic DP"/>
      <sheetName val="Bayer"/>
      <sheetName val="SDA SM"/>
      <sheetName val="SDA Royalties"/>
      <sheetName val="CAMPATH Buildup"/>
      <sheetName val="LDP-01"/>
    </sheetNames>
    <sheetDataSet>
      <sheetData sheetId="0" refreshError="1">
        <row r="51">
          <cell r="E51" t="str">
            <v>TV</v>
          </cell>
        </row>
        <row r="52">
          <cell r="E52" t="str">
            <v>E-Lead</v>
          </cell>
        </row>
        <row r="53">
          <cell r="E53" t="str">
            <v>L-Lead</v>
          </cell>
        </row>
        <row r="54">
          <cell r="E54" t="str">
            <v>Preclin</v>
          </cell>
        </row>
        <row r="55">
          <cell r="E55" t="str">
            <v>Phase I</v>
          </cell>
        </row>
        <row r="56">
          <cell r="E56" t="str">
            <v>Phase IIa</v>
          </cell>
        </row>
        <row r="57">
          <cell r="E57" t="str">
            <v>Phase IIb</v>
          </cell>
        </row>
        <row r="58">
          <cell r="E58" t="str">
            <v>Phase III</v>
          </cell>
        </row>
        <row r="59">
          <cell r="E59" t="str">
            <v>NDA</v>
          </cell>
        </row>
        <row r="60">
          <cell r="E60" t="str">
            <v>Market</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 Exp. &amp; Eff."/>
      <sheetName val="Bach P&amp;L"/>
      <sheetName val="Chopin P&amp;L"/>
      <sheetName val="Contrib. Analysis"/>
      <sheetName val="Prices"/>
      <sheetName val="Exchange Ratio"/>
      <sheetName val="__FDSCACHE__"/>
      <sheetName val="MOE Accretion Dilution"/>
      <sheetName val="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9">
          <cell r="K9" t="str">
            <v>Chopin</v>
          </cell>
        </row>
      </sheetData>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nputs"/>
      <sheetName val="EPS Calc"/>
      <sheetName val="Merger Inputs"/>
      <sheetName val="Calc"/>
      <sheetName val="AccDilMult"/>
      <sheetName val="CreditStats"/>
      <sheetName val="TradingValtoAsbury"/>
      <sheetName val="TradingValtoGroup1"/>
      <sheetName val="AccDilPre"/>
      <sheetName val="AccDilPre POOL"/>
      <sheetName val="Output 1"/>
      <sheetName val="MINI-MERGER 2"/>
      <sheetName val="AccDilwCredi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Input"/>
      <sheetName val="sum_macro"/>
      <sheetName val="print_macro"/>
      <sheetName val="DCFLBO Code"/>
      <sheetName val="__FDSCACHE__"/>
      <sheetName val="CasesDialog"/>
      <sheetName val="MainPrint Code"/>
      <sheetName val="AdditionalPrint Code"/>
      <sheetName val="InitialPrintDialog"/>
    </sheetNames>
    <sheetDataSet>
      <sheetData sheetId="0" refreshError="1"/>
      <sheetData sheetId="1" refreshError="1">
        <row r="63">
          <cell r="K63">
            <v>86.5</v>
          </cell>
        </row>
        <row r="64">
          <cell r="K64">
            <v>40.0625</v>
          </cell>
        </row>
        <row r="68">
          <cell r="K68">
            <v>3.1</v>
          </cell>
        </row>
        <row r="70">
          <cell r="K70">
            <v>4.4639999999999995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s>
    <sheetDataSet>
      <sheetData sheetId="0" refreshError="1">
        <row r="49">
          <cell r="AF49">
            <v>12.538055999999999</v>
          </cell>
        </row>
      </sheetData>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inputs"/>
      <sheetName val="Acquiror"/>
      <sheetName val="Target"/>
      <sheetName val="Summary"/>
      <sheetName val="Mergesum"/>
      <sheetName val="Module1"/>
      <sheetName val="Calcs"/>
      <sheetName val="Reconcile"/>
      <sheetName val="Matrix"/>
      <sheetName val="Valuation"/>
      <sheetName val="SumVal"/>
      <sheetName val="Macros"/>
      <sheetName val="Cover1"/>
      <sheetName val="Sensinput"/>
      <sheetName val="Sensmacros"/>
      <sheetName val="Sens"/>
      <sheetName val="SensII Input"/>
      <sheetName val="SensII"/>
      <sheetName val="Sensgraph"/>
      <sheetName val="Cover2"/>
      <sheetName val="Exchinput"/>
      <sheetName val="Exchmacros"/>
      <sheetName val="Sens2"/>
      <sheetName val="Sens3"/>
    </sheetNames>
    <sheetDataSet>
      <sheetData sheetId="0" refreshError="1"/>
      <sheetData sheetId="1" refreshError="1"/>
      <sheetData sheetId="2" refreshError="1">
        <row r="23">
          <cell r="P23">
            <v>135269</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 val="Inputs"/>
      <sheetName val="GWP-WLine"/>
      <sheetName val="Forward Curves"/>
      <sheetName val="Broadcast Comps"/>
      <sheetName val="UTX"/>
      <sheetName val="Data"/>
      <sheetName val="All Sum"/>
      <sheetName val="Consol_Income"/>
      <sheetName val="Financials"/>
      <sheetName val="Cash Flow-Industrial"/>
      <sheetName val="Geo"/>
      <sheetName val="DCF"/>
      <sheetName val="Annual-consolidated"/>
      <sheetName val="Qtrly Inc St"/>
      <sheetName val="Bal Sheet - Cons."/>
      <sheetName val="Bal Sheet-Industrial"/>
      <sheetName val="Cash Flow - Cons."/>
      <sheetName val="CENMODEL"/>
      <sheetName val="MultipleSecurities"/>
    </sheetNames>
    <sheetDataSet>
      <sheetData sheetId="0"/>
      <sheetData sheetId="1" refreshError="1">
        <row r="1">
          <cell r="A1" t="str">
            <v>ticker</v>
          </cell>
        </row>
        <row r="2">
          <cell r="A2" t="str">
            <v>ABP.L</v>
          </cell>
        </row>
        <row r="3">
          <cell r="A3" t="str">
            <v>AGG.L</v>
          </cell>
        </row>
        <row r="4">
          <cell r="A4" t="str">
            <v>AHLN.AS</v>
          </cell>
        </row>
        <row r="5">
          <cell r="A5" t="str">
            <v>AHo.N</v>
          </cell>
        </row>
        <row r="6">
          <cell r="A6" t="str">
            <v>AIRF.PA</v>
          </cell>
        </row>
        <row r="7">
          <cell r="A7" t="str">
            <v>AKH.N</v>
          </cell>
        </row>
        <row r="8">
          <cell r="A8" t="str">
            <v>AIB.N</v>
          </cell>
        </row>
        <row r="9">
          <cell r="A9" t="str">
            <v>ALBK.I</v>
          </cell>
        </row>
        <row r="10">
          <cell r="A10" t="str">
            <v>ALO.N</v>
          </cell>
        </row>
        <row r="11">
          <cell r="A11" t="str">
            <v>AHC.N</v>
          </cell>
        </row>
        <row r="12">
          <cell r="A12" t="str">
            <v>AMGN.O</v>
          </cell>
        </row>
        <row r="13">
          <cell r="A13" t="str">
            <v>AAL.L</v>
          </cell>
        </row>
        <row r="14">
          <cell r="A14" t="str">
            <v>ANGL.I</v>
          </cell>
        </row>
        <row r="15">
          <cell r="A15" t="str">
            <v>A3TV.MC</v>
          </cell>
        </row>
        <row r="16">
          <cell r="A16" t="str">
            <v>5201.T</v>
          </cell>
        </row>
        <row r="17">
          <cell r="A17" t="str">
            <v>ASGLY.PK</v>
          </cell>
        </row>
        <row r="18">
          <cell r="A18" t="str">
            <v>020560.KQ</v>
          </cell>
        </row>
        <row r="19">
          <cell r="A19" t="str">
            <v>ASSAb.ST</v>
          </cell>
        </row>
        <row r="20">
          <cell r="A20" t="str">
            <v>AZN.L</v>
          </cell>
        </row>
        <row r="21">
          <cell r="A21" t="str">
            <v>AZN.N</v>
          </cell>
        </row>
        <row r="22">
          <cell r="A22" t="str">
            <v>AZN.ST</v>
          </cell>
        </row>
        <row r="23">
          <cell r="A23" t="str">
            <v>ATML.O</v>
          </cell>
        </row>
        <row r="24">
          <cell r="A24" t="str">
            <v>AMS.S</v>
          </cell>
        </row>
        <row r="25">
          <cell r="A25" t="str">
            <v>AWG.L</v>
          </cell>
        </row>
        <row r="26">
          <cell r="A26" t="str">
            <v>BBY.L</v>
          </cell>
        </row>
        <row r="27">
          <cell r="A27" t="str">
            <v>BRL.N</v>
          </cell>
        </row>
        <row r="28">
          <cell r="A28" t="str">
            <v>BCOM.BR</v>
          </cell>
        </row>
        <row r="29">
          <cell r="A29" t="str">
            <v>BKG_u.L</v>
          </cell>
        </row>
        <row r="30">
          <cell r="A30" t="str">
            <v>BEZQ.TA</v>
          </cell>
        </row>
        <row r="31">
          <cell r="A31" t="str">
            <v>1114.HK</v>
          </cell>
        </row>
        <row r="32">
          <cell r="A32" t="str">
            <v>CBA.N</v>
          </cell>
        </row>
        <row r="33">
          <cell r="A33" t="str">
            <v>BAB.N</v>
          </cell>
        </row>
        <row r="34">
          <cell r="A34" t="str">
            <v>BAY.L</v>
          </cell>
        </row>
        <row r="35">
          <cell r="A35" t="str">
            <v>BGY.L</v>
          </cell>
        </row>
        <row r="36">
          <cell r="A36" t="str">
            <v>BGY.N</v>
          </cell>
        </row>
        <row r="37">
          <cell r="A37" t="str">
            <v>BSY.L</v>
          </cell>
        </row>
        <row r="38">
          <cell r="A38" t="str">
            <v>BSY.N</v>
          </cell>
        </row>
        <row r="39">
          <cell r="A39" t="str">
            <v>BLGSY.OTC</v>
          </cell>
        </row>
        <row r="40">
          <cell r="A40" t="str">
            <v>BULG.MI</v>
          </cell>
        </row>
        <row r="41">
          <cell r="A41" t="str">
            <v>BNI.N</v>
          </cell>
        </row>
        <row r="42">
          <cell r="A42" t="str">
            <v>CW.L</v>
          </cell>
        </row>
        <row r="43">
          <cell r="A43" t="str">
            <v>CWP.N</v>
          </cell>
        </row>
        <row r="44">
          <cell r="A44" t="str">
            <v>CECO.O</v>
          </cell>
        </row>
        <row r="45">
          <cell r="A45" t="str">
            <v>CASP.PA</v>
          </cell>
        </row>
        <row r="46">
          <cell r="A46" t="str">
            <v>CASP_p.PA</v>
          </cell>
        </row>
        <row r="47">
          <cell r="A47" t="str">
            <v>6952.T</v>
          </cell>
        </row>
        <row r="48">
          <cell r="A48" t="str">
            <v>CSIOY.PK</v>
          </cell>
        </row>
        <row r="49">
          <cell r="A49" t="str">
            <v>0293.HK</v>
          </cell>
        </row>
        <row r="50">
          <cell r="A50" t="str">
            <v>CE.N</v>
          </cell>
        </row>
        <row r="51">
          <cell r="A51" t="str">
            <v>CZ.N</v>
          </cell>
        </row>
        <row r="52">
          <cell r="A52" t="str">
            <v>CNA.L</v>
          </cell>
        </row>
        <row r="53">
          <cell r="A53" t="str">
            <v>CVX.N</v>
          </cell>
        </row>
        <row r="54">
          <cell r="A54" t="str">
            <v>2002.TW</v>
          </cell>
        </row>
        <row r="55">
          <cell r="A55" t="str">
            <v>2002q.L</v>
          </cell>
        </row>
        <row r="56">
          <cell r="A56" t="str">
            <v>2891.TW</v>
          </cell>
        </row>
        <row r="57">
          <cell r="A57" t="str">
            <v>1110.HK</v>
          </cell>
        </row>
        <row r="58">
          <cell r="A58" t="str">
            <v>CBKG.DE</v>
          </cell>
        </row>
        <row r="59">
          <cell r="A59" t="str">
            <v>CRZBY.OTC</v>
          </cell>
        </row>
        <row r="60">
          <cell r="A60" t="str">
            <v>CAL.N</v>
          </cell>
        </row>
        <row r="61">
          <cell r="A61" t="str">
            <v>CHRN.S</v>
          </cell>
        </row>
        <row r="62">
          <cell r="A62" t="str">
            <v>CRBK.BO</v>
          </cell>
        </row>
        <row r="63">
          <cell r="A63" t="str">
            <v>COSr.AT</v>
          </cell>
        </row>
        <row r="64">
          <cell r="A64" t="str">
            <v>CSGKY.OTC</v>
          </cell>
        </row>
        <row r="65">
          <cell r="A65" t="str">
            <v>CSGN.VX</v>
          </cell>
        </row>
        <row r="66">
          <cell r="A66" t="str">
            <v>8601.T</v>
          </cell>
        </row>
        <row r="67">
          <cell r="A67" t="str">
            <v>DSECY.PK</v>
          </cell>
        </row>
        <row r="68">
          <cell r="A68" t="str">
            <v>DES.N</v>
          </cell>
        </row>
        <row r="69">
          <cell r="A69" t="str">
            <v>DESCB.MX</v>
          </cell>
        </row>
        <row r="70">
          <cell r="A70" t="str">
            <v>DT.N</v>
          </cell>
        </row>
        <row r="71">
          <cell r="A71" t="str">
            <v>DTEGn.DE</v>
          </cell>
        </row>
        <row r="72">
          <cell r="A72" t="str">
            <v>DEO.N</v>
          </cell>
        </row>
        <row r="73">
          <cell r="A73" t="str">
            <v>DGE.L</v>
          </cell>
        </row>
        <row r="74">
          <cell r="A74" t="str">
            <v>2884.TW</v>
          </cell>
        </row>
        <row r="75">
          <cell r="A75" t="str">
            <v>ELN.N</v>
          </cell>
        </row>
        <row r="76">
          <cell r="A76" t="str">
            <v>AKD_pb.SN</v>
          </cell>
        </row>
        <row r="77">
          <cell r="A77" t="str">
            <v>AKOa.N</v>
          </cell>
        </row>
        <row r="78">
          <cell r="A78" t="str">
            <v>AKOb.N</v>
          </cell>
        </row>
        <row r="79">
          <cell r="A79" t="str">
            <v>AND_pa.SN</v>
          </cell>
        </row>
        <row r="80">
          <cell r="A80" t="str">
            <v>END.SN</v>
          </cell>
        </row>
        <row r="81">
          <cell r="A81" t="str">
            <v>EOC.N</v>
          </cell>
        </row>
        <row r="82">
          <cell r="A82" t="str">
            <v>ENE.SN</v>
          </cell>
        </row>
        <row r="83">
          <cell r="A83" t="str">
            <v>ENI.N</v>
          </cell>
        </row>
        <row r="84">
          <cell r="A84" t="str">
            <v>2618.TW</v>
          </cell>
        </row>
        <row r="85">
          <cell r="A85" t="str">
            <v>XJT.N</v>
          </cell>
        </row>
        <row r="86">
          <cell r="A86" t="str">
            <v>XOM.N</v>
          </cell>
        </row>
        <row r="87">
          <cell r="A87" t="str">
            <v>FAMVY.OTC</v>
          </cell>
        </row>
        <row r="88">
          <cell r="A88" t="str">
            <v>FOR.AS</v>
          </cell>
        </row>
        <row r="89">
          <cell r="A89" t="str">
            <v>FOR.BR</v>
          </cell>
        </row>
        <row r="90">
          <cell r="A90" t="str">
            <v>FRNT.O</v>
          </cell>
        </row>
        <row r="91">
          <cell r="A91" t="str">
            <v>2817.TW</v>
          </cell>
        </row>
        <row r="92">
          <cell r="A92" t="str">
            <v>2881.TW</v>
          </cell>
        </row>
        <row r="93">
          <cell r="A93" t="str">
            <v>2881q.L</v>
          </cell>
        </row>
        <row r="94">
          <cell r="A94" t="str">
            <v>GAZPq.L</v>
          </cell>
        </row>
        <row r="95">
          <cell r="A95" t="str">
            <v>RADGYP.OTC</v>
          </cell>
        </row>
        <row r="96">
          <cell r="A96" t="str">
            <v>GFCP.PA</v>
          </cell>
        </row>
        <row r="97">
          <cell r="A97" t="str">
            <v>GD.N</v>
          </cell>
        </row>
        <row r="98">
          <cell r="A98" t="str">
            <v>GASI.MI</v>
          </cell>
        </row>
        <row r="99">
          <cell r="A99" t="str">
            <v>GNW.N</v>
          </cell>
        </row>
        <row r="100">
          <cell r="A100" t="str">
            <v>TL5.MC</v>
          </cell>
        </row>
        <row r="101">
          <cell r="A101" t="str">
            <v>GRAS.BO</v>
          </cell>
        </row>
        <row r="102">
          <cell r="A102" t="str">
            <v>GFS.L</v>
          </cell>
        </row>
        <row r="103">
          <cell r="A103" t="str">
            <v>ASR.N</v>
          </cell>
        </row>
        <row r="104">
          <cell r="A104" t="str">
            <v>ASUR.MX</v>
          </cell>
        </row>
        <row r="105">
          <cell r="A105" t="str">
            <v>GCARSOA1.MX</v>
          </cell>
        </row>
        <row r="106">
          <cell r="A106" t="str">
            <v>GPOOY.O</v>
          </cell>
        </row>
        <row r="107">
          <cell r="A107" t="str">
            <v>PRS.MC</v>
          </cell>
        </row>
        <row r="108">
          <cell r="A108" t="str">
            <v>HAN.N</v>
          </cell>
        </row>
        <row r="109">
          <cell r="A109" t="str">
            <v>HNS.L</v>
          </cell>
        </row>
        <row r="110">
          <cell r="A110" t="str">
            <v>HAS.L</v>
          </cell>
        </row>
        <row r="111">
          <cell r="A111" t="str">
            <v>HRMS.PA</v>
          </cell>
        </row>
        <row r="112">
          <cell r="A112" t="str">
            <v>HLT.N</v>
          </cell>
        </row>
        <row r="113">
          <cell r="A113" t="str">
            <v>HOLMb.ST</v>
          </cell>
        </row>
        <row r="114">
          <cell r="A114" t="str">
            <v>011170.KS</v>
          </cell>
        </row>
        <row r="115">
          <cell r="A115" t="str">
            <v>HMT.N</v>
          </cell>
        </row>
        <row r="116">
          <cell r="A116" t="str">
            <v>HVMG.DE</v>
          </cell>
        </row>
        <row r="117">
          <cell r="A117" t="str">
            <v>HVMGY.OTC</v>
          </cell>
        </row>
        <row r="118">
          <cell r="A118" t="str">
            <v>012330.KS</v>
          </cell>
        </row>
        <row r="119">
          <cell r="A119" t="str">
            <v>IBE.MC</v>
          </cell>
        </row>
        <row r="120">
          <cell r="A120" t="str">
            <v>IBLA.MC</v>
          </cell>
        </row>
        <row r="121">
          <cell r="A121" t="str">
            <v>ITX.MC</v>
          </cell>
        </row>
        <row r="122">
          <cell r="A122" t="str">
            <v>ING.AS</v>
          </cell>
        </row>
        <row r="123">
          <cell r="A123" t="str">
            <v>ING.N</v>
          </cell>
        </row>
        <row r="124">
          <cell r="A124" t="str">
            <v>IPR.L</v>
          </cell>
        </row>
        <row r="125">
          <cell r="A125" t="str">
            <v>IPR.N</v>
          </cell>
        </row>
        <row r="126">
          <cell r="A126" t="str">
            <v>ITRK.L</v>
          </cell>
        </row>
        <row r="127">
          <cell r="A127" t="str">
            <v>JCDX.PA</v>
          </cell>
        </row>
        <row r="128">
          <cell r="A128" t="str">
            <v>KEL.L</v>
          </cell>
        </row>
        <row r="129">
          <cell r="A129" t="str">
            <v>KPN.AS</v>
          </cell>
        </row>
        <row r="130">
          <cell r="A130" t="str">
            <v>KPN.N</v>
          </cell>
        </row>
        <row r="131">
          <cell r="A131" t="str">
            <v>LQI.N</v>
          </cell>
        </row>
        <row r="132">
          <cell r="A132" t="str">
            <v>LH.N</v>
          </cell>
        </row>
        <row r="133">
          <cell r="A133" t="str">
            <v>0992.HK</v>
          </cell>
        </row>
        <row r="134">
          <cell r="A134" t="str">
            <v>LGHLY.O</v>
          </cell>
        </row>
        <row r="135">
          <cell r="A135" t="str">
            <v>LING.DE</v>
          </cell>
        </row>
        <row r="136">
          <cell r="A136" t="str">
            <v>LAD.N</v>
          </cell>
        </row>
        <row r="137">
          <cell r="A137" t="str">
            <v>LOG.L</v>
          </cell>
        </row>
        <row r="138">
          <cell r="A138" t="str">
            <v>LMI.L</v>
          </cell>
        </row>
        <row r="139">
          <cell r="A139" t="str">
            <v>LKOH.RTS</v>
          </cell>
        </row>
        <row r="140">
          <cell r="A140" t="str">
            <v>LUKOY.OTC</v>
          </cell>
        </row>
        <row r="141">
          <cell r="A141" t="str">
            <v>LUN.CO</v>
          </cell>
        </row>
        <row r="142">
          <cell r="A142" t="str">
            <v>LYO.N</v>
          </cell>
        </row>
        <row r="143">
          <cell r="A143" t="str">
            <v>MANG.DE</v>
          </cell>
        </row>
        <row r="144">
          <cell r="A144" t="str">
            <v>MANG_p.DE</v>
          </cell>
        </row>
        <row r="145">
          <cell r="A145" t="str">
            <v>MOLB.BU</v>
          </cell>
        </row>
        <row r="146">
          <cell r="A146" t="str">
            <v>MOLBq.L</v>
          </cell>
        </row>
        <row r="147">
          <cell r="A147" t="str">
            <v>MRLAV.HE</v>
          </cell>
        </row>
        <row r="148">
          <cell r="A148" t="str">
            <v>MRLBV.HE</v>
          </cell>
        </row>
        <row r="149">
          <cell r="A149" t="str">
            <v>NGT.L</v>
          </cell>
        </row>
        <row r="150">
          <cell r="A150" t="str">
            <v>NGT.N</v>
          </cell>
        </row>
        <row r="151">
          <cell r="A151" t="str">
            <v>NXT.L</v>
          </cell>
        </row>
        <row r="152">
          <cell r="A152" t="str">
            <v>NHH.MC</v>
          </cell>
        </row>
        <row r="153">
          <cell r="A153" t="str">
            <v>8603.T</v>
          </cell>
        </row>
        <row r="154">
          <cell r="A154" t="str">
            <v>NIKOY.PK</v>
          </cell>
        </row>
        <row r="155">
          <cell r="A155" t="str">
            <v>NSG.OL</v>
          </cell>
        </row>
        <row r="156">
          <cell r="A156" t="str">
            <v>NSG.OTC</v>
          </cell>
        </row>
        <row r="157">
          <cell r="A157" t="str">
            <v>NSGB.OL</v>
          </cell>
        </row>
        <row r="158">
          <cell r="A158" t="str">
            <v>NOC.N</v>
          </cell>
        </row>
        <row r="159">
          <cell r="A159" t="str">
            <v>NVDA.O</v>
          </cell>
        </row>
        <row r="160">
          <cell r="A160" t="str">
            <v>OMVKY.OTC</v>
          </cell>
        </row>
        <row r="161">
          <cell r="A161" t="str">
            <v>OMVV.VI</v>
          </cell>
        </row>
        <row r="162">
          <cell r="A162" t="str">
            <v>ORBC.BO</v>
          </cell>
        </row>
        <row r="163">
          <cell r="A163" t="str">
            <v>0008.HK</v>
          </cell>
        </row>
        <row r="164">
          <cell r="A164" t="str">
            <v>PCW.N</v>
          </cell>
        </row>
        <row r="165">
          <cell r="A165" t="str">
            <v>PNN.L</v>
          </cell>
        </row>
        <row r="166">
          <cell r="A166" t="str">
            <v>PDRDY.OTC</v>
          </cell>
        </row>
        <row r="167">
          <cell r="A167" t="str">
            <v>PERP.PA</v>
          </cell>
        </row>
        <row r="168">
          <cell r="A168" t="str">
            <v>PER.BA</v>
          </cell>
        </row>
        <row r="169">
          <cell r="A169" t="str">
            <v>PZE.N</v>
          </cell>
        </row>
        <row r="170">
          <cell r="A170" t="str">
            <v>PNCL.O</v>
          </cell>
        </row>
        <row r="171">
          <cell r="A171" t="str">
            <v>PT.N</v>
          </cell>
        </row>
        <row r="172">
          <cell r="A172" t="str">
            <v>PTCO.IN</v>
          </cell>
        </row>
        <row r="173">
          <cell r="A173" t="str">
            <v>PPS.N</v>
          </cell>
        </row>
        <row r="174">
          <cell r="A174" t="str">
            <v>DPBGn.DE</v>
          </cell>
        </row>
        <row r="175">
          <cell r="A175" t="str">
            <v>PCO.N</v>
          </cell>
        </row>
        <row r="176">
          <cell r="A176" t="str">
            <v>PFG.N</v>
          </cell>
        </row>
        <row r="177">
          <cell r="A177" t="str">
            <v>PSMG_p.DE</v>
          </cell>
        </row>
        <row r="178">
          <cell r="A178" t="str">
            <v>PEUGY.OTC</v>
          </cell>
        </row>
        <row r="179">
          <cell r="A179" t="str">
            <v>PEUP.PA</v>
          </cell>
        </row>
        <row r="180">
          <cell r="A180" t="str">
            <v>PUBP.PA</v>
          </cell>
        </row>
        <row r="181">
          <cell r="A181" t="str">
            <v>PUMG.DE</v>
          </cell>
        </row>
        <row r="182">
          <cell r="A182" t="str">
            <v>PUMG.OTC</v>
          </cell>
        </row>
        <row r="183">
          <cell r="A183" t="str">
            <v>RANB.BO</v>
          </cell>
        </row>
        <row r="184">
          <cell r="A184" t="str">
            <v>RANBq.L</v>
          </cell>
        </row>
        <row r="185">
          <cell r="A185" t="str">
            <v>RTN.N</v>
          </cell>
        </row>
        <row r="186">
          <cell r="A186" t="str">
            <v>RTNa.N</v>
          </cell>
        </row>
        <row r="187">
          <cell r="A187" t="str">
            <v>RCOP.PA</v>
          </cell>
        </row>
        <row r="188">
          <cell r="A188" t="str">
            <v>RENA.PA</v>
          </cell>
        </row>
        <row r="189">
          <cell r="A189" t="str">
            <v>RSA.L</v>
          </cell>
        </row>
        <row r="190">
          <cell r="A190" t="str">
            <v>SBS.N</v>
          </cell>
        </row>
        <row r="191">
          <cell r="A191" t="str">
            <v>SBSP3.SA</v>
          </cell>
        </row>
        <row r="192">
          <cell r="A192" t="str">
            <v>005930.KS</v>
          </cell>
        </row>
        <row r="193">
          <cell r="A193" t="str">
            <v>0593q.L</v>
          </cell>
        </row>
        <row r="194">
          <cell r="A194" t="str">
            <v>SANM.O</v>
          </cell>
        </row>
        <row r="195">
          <cell r="A195" t="str">
            <v>SASY.PA</v>
          </cell>
        </row>
        <row r="196">
          <cell r="A196" t="str">
            <v>SNY.N</v>
          </cell>
        </row>
        <row r="197">
          <cell r="A197" t="str">
            <v>SAPJ.J</v>
          </cell>
        </row>
        <row r="198">
          <cell r="A198" t="str">
            <v>SPP.N</v>
          </cell>
        </row>
        <row r="199">
          <cell r="A199" t="str">
            <v>SAS.ST</v>
          </cell>
        </row>
        <row r="200">
          <cell r="A200" t="str">
            <v>SCAb.ST</v>
          </cell>
        </row>
        <row r="201">
          <cell r="A201" t="str">
            <v>SVCBY.OTC</v>
          </cell>
        </row>
        <row r="202">
          <cell r="A202" t="str">
            <v>SCHG.DE</v>
          </cell>
        </row>
        <row r="203">
          <cell r="A203" t="str">
            <v>SCO.N</v>
          </cell>
        </row>
        <row r="204">
          <cell r="A204" t="str">
            <v>SCOR.PA</v>
          </cell>
        </row>
        <row r="205">
          <cell r="A205" t="str">
            <v>SPI.N</v>
          </cell>
        </row>
        <row r="206">
          <cell r="A206" t="str">
            <v>SPW.L</v>
          </cell>
        </row>
        <row r="207">
          <cell r="A207" t="str">
            <v>SVT.L</v>
          </cell>
        </row>
        <row r="208">
          <cell r="A208" t="str">
            <v>8184.T</v>
          </cell>
        </row>
        <row r="209">
          <cell r="A209" t="str">
            <v>SHI.L</v>
          </cell>
        </row>
        <row r="210">
          <cell r="A210" t="str">
            <v>2890.TW</v>
          </cell>
        </row>
        <row r="211">
          <cell r="A211" t="str">
            <v>SKFa.ST</v>
          </cell>
        </row>
        <row r="212">
          <cell r="A212" t="str">
            <v>SKFb.ST</v>
          </cell>
        </row>
        <row r="213">
          <cell r="A213" t="str">
            <v>SKFR.O</v>
          </cell>
        </row>
        <row r="214">
          <cell r="A214" t="str">
            <v>SCGLY.OTC</v>
          </cell>
        </row>
        <row r="215">
          <cell r="A215" t="str">
            <v>SOGN.PA</v>
          </cell>
        </row>
        <row r="216">
          <cell r="A216" t="str">
            <v>6758.T</v>
          </cell>
        </row>
        <row r="217">
          <cell r="A217" t="str">
            <v>SNE.N</v>
          </cell>
        </row>
        <row r="218">
          <cell r="A218" t="str">
            <v>SGC.L</v>
          </cell>
        </row>
        <row r="219">
          <cell r="A219" t="str">
            <v>SEO.N</v>
          </cell>
        </row>
        <row r="220">
          <cell r="A220" t="str">
            <v>STERV.HE</v>
          </cell>
        </row>
        <row r="221">
          <cell r="A221" t="str">
            <v>LYOE.PA</v>
          </cell>
        </row>
        <row r="222">
          <cell r="A222" t="str">
            <v>5713.T</v>
          </cell>
        </row>
        <row r="223">
          <cell r="A223" t="str">
            <v>SLF.TO</v>
          </cell>
        </row>
        <row r="224">
          <cell r="A224" t="str">
            <v>SHO.N</v>
          </cell>
        </row>
        <row r="225">
          <cell r="A225" t="str">
            <v>SNGS.RTS</v>
          </cell>
        </row>
        <row r="226">
          <cell r="A226" t="str">
            <v>SNGSyq.L</v>
          </cell>
        </row>
        <row r="227">
          <cell r="A227" t="str">
            <v>SCM.N</v>
          </cell>
        </row>
        <row r="228">
          <cell r="A228" t="str">
            <v>SCMN.VX</v>
          </cell>
        </row>
        <row r="229">
          <cell r="A229" t="str">
            <v>2887.TW</v>
          </cell>
        </row>
        <row r="230">
          <cell r="A230" t="str">
            <v>1310.TW</v>
          </cell>
        </row>
        <row r="231">
          <cell r="A231" t="str">
            <v>TELA.VI</v>
          </cell>
        </row>
        <row r="232">
          <cell r="A232" t="str">
            <v>TKA.US</v>
          </cell>
        </row>
        <row r="233">
          <cell r="A233" t="str">
            <v>TMB.N</v>
          </cell>
        </row>
        <row r="234">
          <cell r="A234" t="str">
            <v>TMCP4.SA</v>
          </cell>
        </row>
        <row r="235">
          <cell r="A235" t="str">
            <v>TLSN.ST</v>
          </cell>
        </row>
        <row r="236">
          <cell r="A236" t="str">
            <v>TKGJ.J</v>
          </cell>
        </row>
        <row r="237">
          <cell r="A237" t="str">
            <v>THAI.BK</v>
          </cell>
        </row>
        <row r="238">
          <cell r="A238" t="str">
            <v>UU.L</v>
          </cell>
        </row>
        <row r="239">
          <cell r="A239" t="str">
            <v>UU.N</v>
          </cell>
        </row>
        <row r="240">
          <cell r="A240" t="str">
            <v>UNM.N</v>
          </cell>
        </row>
        <row r="241">
          <cell r="A241" t="str">
            <v>UPM.N</v>
          </cell>
        </row>
        <row r="242">
          <cell r="A242" t="str">
            <v>UPM1V.HE</v>
          </cell>
        </row>
        <row r="243">
          <cell r="A243" t="str">
            <v>VLO.N</v>
          </cell>
        </row>
        <row r="244">
          <cell r="A244" t="str">
            <v>VDOR.AS</v>
          </cell>
        </row>
        <row r="245">
          <cell r="A245" t="str">
            <v>2388.TW</v>
          </cell>
        </row>
        <row r="246">
          <cell r="A246" t="str">
            <v>VIA.N</v>
          </cell>
        </row>
        <row r="247">
          <cell r="A247" t="str">
            <v>6792.T</v>
          </cell>
        </row>
        <row r="248">
          <cell r="A248" t="str">
            <v>VJAPY.PK</v>
          </cell>
        </row>
        <row r="249">
          <cell r="A249" t="str">
            <v>VMOB.L</v>
          </cell>
        </row>
        <row r="250">
          <cell r="A250" t="str">
            <v>VLKAY.OTC</v>
          </cell>
        </row>
        <row r="251">
          <cell r="A251" t="str">
            <v>VOWG.DE</v>
          </cell>
        </row>
        <row r="252">
          <cell r="A252" t="str">
            <v>VOWG_p.F</v>
          </cell>
        </row>
        <row r="253">
          <cell r="A253" t="str">
            <v>WLTHYP.O</v>
          </cell>
        </row>
        <row r="254">
          <cell r="A254" t="str">
            <v>WOW.AX</v>
          </cell>
        </row>
        <row r="255">
          <cell r="A255" t="str">
            <v>XTA.L</v>
          </cell>
        </row>
      </sheetData>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OC"/>
      <sheetName val="P&amp;L"/>
      <sheetName val="Waterfall"/>
      <sheetName val="Sheet2"/>
      <sheetName val="New BXLT"/>
      <sheetName val="New BAX"/>
      <sheetName val="Reconciliation"/>
      <sheetName val="New guidance"/>
      <sheetName val="BAX"/>
      <sheetName val="BioSciences"/>
      <sheetName val="Medical Products"/>
      <sheetName val="Balance Sheet"/>
      <sheetName val="Cash Flow"/>
      <sheetName val="Pro Forma P&amp;L"/>
      <sheetName val="Pro Forma Sales"/>
      <sheetName val="P&amp;L Variance"/>
      <sheetName val="Product Line Variance"/>
      <sheetName val="Guidance at a Glance"/>
      <sheetName val="Hemophilia Segment Build"/>
      <sheetName val="FEIBA Model"/>
      <sheetName val="rFIX Model"/>
      <sheetName val="rVWF Model"/>
      <sheetName val="rFVIIa Model"/>
      <sheetName val="Model Changes"/>
      <sheetName val="SOTP Comps"/>
      <sheetName val="Baxalta Waterfall"/>
      <sheetName val="Pacritinib"/>
      <sheetName val="MM-398"/>
      <sheetName val="MS vs Cons"/>
      <sheetName val="Baxter Waterfall"/>
      <sheetName val="Bull Base Base"/>
      <sheetName val="MP"/>
      <sheetName val="Med Deliv Old"/>
      <sheetName val="Spin Segment P&amp;L"/>
      <sheetName val="Vaccines Divest"/>
      <sheetName val="Sheet4"/>
      <sheetName val="Sheet1"/>
      <sheetName val="Catalysts 2015"/>
      <sheetName val="SOTP"/>
      <sheetName val="Summary Segment P&amp;L"/>
      <sheetName val="Segment Historical"/>
      <sheetName val="Spin Segment Summary"/>
      <sheetName val="Item phasing"/>
      <sheetName val="model notes 101014"/>
      <sheetName val="LRP Analysis (2)"/>
      <sheetName val="Sheet3"/>
      <sheetName val="BioScience Old"/>
      <sheetName val="Product sales estimates"/>
      <sheetName val="Gambro Financing"/>
      <sheetName val="Summary"/>
      <sheetName val="Summary 2"/>
      <sheetName val="BAX Old"/>
      <sheetName val="Pipeline"/>
      <sheetName val="Catalysts "/>
      <sheetName val="Abbrev Catalysts"/>
      <sheetName val="Notes"/>
      <sheetName val="LINKS"/>
      <sheetName val="Renal Old"/>
      <sheetName val="EPS Preview"/>
      <sheetName val="Modeling Notes and Questions"/>
      <sheetName val="Gambro"/>
      <sheetName val="Gambro 2"/>
      <sheetName val="Hemophilia"/>
      <sheetName val="EM"/>
      <sheetName val="FX"/>
      <sheetName val="2011-12"/>
      <sheetName val="Currency"/>
      <sheetName val="EM Currency"/>
      <sheetName val="MS vs Consensus"/>
      <sheetName val="LINKSBackup"/>
      <sheetName val="Thomson Consensus (Raw)"/>
      <sheetName val="2Q11 Model Notes"/>
      <sheetName val="Margin Seasonality"/>
      <sheetName val="Buyback Analysis"/>
      <sheetName val="Hikma Margins"/>
      <sheetName val="LRP Analysis"/>
      <sheetName val="IVIG Changes"/>
      <sheetName val="rVIII market"/>
      <sheetName val="BAX P&amp;L pro forma rFVIII"/>
      <sheetName val="FX by Geography"/>
      <sheetName val="DCF"/>
      <sheetName val="Reform Analysis"/>
      <sheetName val="Reform Reconciliation"/>
      <sheetName val="Colleague Recall"/>
      <sheetName val="Guidance Reconciliation"/>
      <sheetName val="IVIG Price and Corporate GMs"/>
      <sheetName val="FX and GMs"/>
      <sheetName val="ApaTech Accretion"/>
      <sheetName val="CSL SCIG"/>
      <sheetName val="CSL Results"/>
      <sheetName val="Modeling to Do"/>
      <sheetName val="Guidance Chart"/>
      <sheetName val="HHI"/>
      <sheetName val="Options"/>
      <sheetName val="Pension"/>
      <sheetName val="MW-Cache"/>
      <sheetName val="OPEB"/>
      <sheetName val="Plasma Industry GMs"/>
      <sheetName val="Octapharma Impact"/>
      <sheetName val="mwareSettings"/>
      <sheetName val="mwareDates"/>
      <sheetName val="MWA RR"/>
      <sheetName val="BioScience"/>
      <sheetName val="Med Deliv"/>
      <sheetName val="Renal"/>
      <sheetName val="Valuation"/>
      <sheetName val="Currency Geography"/>
      <sheetName val="Buyback Offset to Tax"/>
      <sheetName val="FCF Valuation"/>
      <sheetName val="Product Line Guidance"/>
      <sheetName val="Swine Flu Charts"/>
      <sheetName val="Guidance"/>
      <sheetName val="MW Valuation"/>
      <sheetName val="Margin Charts"/>
      <sheetName val="Buyback Worksheet"/>
      <sheetName val="Collections-new"/>
      <sheetName val="Pretax Margins"/>
      <sheetName val="Prodsales"/>
      <sheetName val="Variance Table"/>
      <sheetName val="Desk Preview"/>
      <sheetName val="Spin Segment Summary v2"/>
      <sheetName val="Segments"/>
      <sheetName val="Segments 2"/>
      <sheetName val="2013-14"/>
      <sheetName val="New Currency"/>
      <sheetName val="#REF"/>
      <sheetName val="IS"/>
      <sheetName val="BS"/>
      <sheetName val="CFS"/>
      <sheetName val="Debt"/>
      <sheetName val="Variance"/>
      <sheetName val="ModelChanges"/>
      <sheetName val="Preview"/>
      <sheetName val="BBB"/>
      <sheetName val="Comps"/>
      <sheetName val="PFCalcs1"/>
      <sheetName val="PFCalcs2"/>
      <sheetName val="GrossMargin"/>
    </sheetNames>
    <sheetDataSet>
      <sheetData sheetId="0"/>
      <sheetData sheetId="1"/>
      <sheetData sheetId="2" refreshError="1"/>
      <sheetData sheetId="3"/>
      <sheetData sheetId="4"/>
      <sheetData sheetId="5"/>
      <sheetData sheetId="6"/>
      <sheetData sheetId="7"/>
      <sheetData sheetId="8"/>
      <sheetData sheetId="9"/>
      <sheetData sheetId="10"/>
      <sheetData sheetId="11"/>
      <sheetData sheetId="12" refreshError="1">
        <row r="6">
          <cell r="AH6">
            <v>38442</v>
          </cell>
        </row>
        <row r="7">
          <cell r="AH7">
            <v>38625</v>
          </cell>
        </row>
        <row r="8">
          <cell r="B8" t="str">
            <v>Cash and Equivalents</v>
          </cell>
          <cell r="D8">
            <v>709</v>
          </cell>
          <cell r="F8">
            <v>606</v>
          </cell>
          <cell r="H8">
            <v>694</v>
          </cell>
          <cell r="I8">
            <v>496</v>
          </cell>
          <cell r="J8">
            <v>568</v>
          </cell>
          <cell r="K8" t="e">
            <v>#REF!</v>
          </cell>
          <cell r="M8">
            <v>723</v>
          </cell>
          <cell r="N8">
            <v>431</v>
          </cell>
          <cell r="O8">
            <v>470</v>
          </cell>
          <cell r="P8">
            <v>582</v>
          </cell>
          <cell r="R8">
            <v>522</v>
          </cell>
          <cell r="S8">
            <v>472</v>
          </cell>
          <cell r="T8">
            <v>278</v>
          </cell>
          <cell r="U8">
            <v>1169</v>
          </cell>
          <cell r="W8">
            <v>1408</v>
          </cell>
          <cell r="X8">
            <v>608</v>
          </cell>
          <cell r="Y8">
            <v>830</v>
          </cell>
          <cell r="Z8">
            <v>925</v>
          </cell>
          <cell r="AB8">
            <v>648</v>
          </cell>
          <cell r="AC8">
            <v>760</v>
          </cell>
          <cell r="AD8">
            <v>822</v>
          </cell>
          <cell r="AE8">
            <v>1109</v>
          </cell>
          <cell r="AH8">
            <v>1106</v>
          </cell>
          <cell r="AI8">
            <v>1428</v>
          </cell>
          <cell r="AJ8">
            <v>1712</v>
          </cell>
          <cell r="AK8">
            <v>841</v>
          </cell>
          <cell r="AN8">
            <v>881</v>
          </cell>
          <cell r="AO8">
            <v>1061</v>
          </cell>
          <cell r="AP8">
            <v>2067</v>
          </cell>
          <cell r="AQ8">
            <v>2485</v>
          </cell>
          <cell r="AT8">
            <v>2384</v>
          </cell>
          <cell r="AU8">
            <v>2486</v>
          </cell>
          <cell r="AV8">
            <v>1818</v>
          </cell>
          <cell r="AW8">
            <v>2539</v>
          </cell>
          <cell r="AZ8">
            <v>1736</v>
          </cell>
          <cell r="BA8">
            <v>2147</v>
          </cell>
          <cell r="BB8">
            <v>2191</v>
          </cell>
          <cell r="BC8">
            <v>2131</v>
          </cell>
          <cell r="BF8">
            <v>1703</v>
          </cell>
          <cell r="BG8">
            <v>1802</v>
          </cell>
          <cell r="BH8">
            <v>2571</v>
          </cell>
          <cell r="BI8">
            <v>2786</v>
          </cell>
          <cell r="BL8">
            <v>2203.1324715770152</v>
          </cell>
          <cell r="BM8">
            <v>2115.5882677094369</v>
          </cell>
          <cell r="BN8">
            <v>2183.7289572370833</v>
          </cell>
          <cell r="BO8">
            <v>2221.3350043870255</v>
          </cell>
          <cell r="BR8">
            <v>2258.8663529210999</v>
          </cell>
          <cell r="BS8">
            <v>2564.9789267082033</v>
          </cell>
          <cell r="BT8">
            <v>2798.5106217155358</v>
          </cell>
          <cell r="BU8">
            <v>2977.1056120745116</v>
          </cell>
          <cell r="BX8">
            <v>3114.0527576149179</v>
          </cell>
          <cell r="BY8">
            <v>3537.9519649167696</v>
          </cell>
          <cell r="BZ8">
            <v>3891.0143549861828</v>
          </cell>
          <cell r="CA8">
            <v>4203.2423469950436</v>
          </cell>
        </row>
        <row r="9">
          <cell r="AH9">
            <v>1982</v>
          </cell>
        </row>
        <row r="10">
          <cell r="AH10">
            <v>2105</v>
          </cell>
        </row>
        <row r="11">
          <cell r="AH11">
            <v>447</v>
          </cell>
        </row>
        <row r="12">
          <cell r="AH12">
            <v>690</v>
          </cell>
        </row>
        <row r="13">
          <cell r="AH13">
            <v>968</v>
          </cell>
        </row>
        <row r="14">
          <cell r="AH14">
            <v>588</v>
          </cell>
        </row>
        <row r="15">
          <cell r="AH15">
            <v>249</v>
          </cell>
        </row>
        <row r="16">
          <cell r="AH16">
            <v>5781</v>
          </cell>
        </row>
        <row r="17">
          <cell r="AH17">
            <v>4310</v>
          </cell>
        </row>
        <row r="18">
          <cell r="AH18">
            <v>-3684</v>
          </cell>
        </row>
        <row r="19">
          <cell r="AH19">
            <v>2153</v>
          </cell>
        </row>
        <row r="20">
          <cell r="AH20">
            <v>1617</v>
          </cell>
        </row>
        <row r="21">
          <cell r="AH21">
            <v>536</v>
          </cell>
        </row>
        <row r="22">
          <cell r="AH22">
            <v>-385</v>
          </cell>
        </row>
        <row r="23">
          <cell r="AH23">
            <v>1564</v>
          </cell>
        </row>
        <row r="24">
          <cell r="AH24">
            <v>13808</v>
          </cell>
        </row>
        <row r="25">
          <cell r="AH25">
            <v>1531</v>
          </cell>
        </row>
        <row r="26">
          <cell r="AH26">
            <v>13783</v>
          </cell>
        </row>
        <row r="27">
          <cell r="AH27">
            <v>550</v>
          </cell>
        </row>
        <row r="28">
          <cell r="AH28">
            <v>1027</v>
          </cell>
        </row>
        <row r="29">
          <cell r="AH29">
            <v>2701</v>
          </cell>
        </row>
        <row r="30">
          <cell r="AH30">
            <v>417</v>
          </cell>
        </row>
        <row r="31">
          <cell r="AH31">
            <v>4695</v>
          </cell>
        </row>
        <row r="32">
          <cell r="AH32">
            <v>502</v>
          </cell>
        </row>
        <row r="33">
          <cell r="AH33">
            <v>3022</v>
          </cell>
        </row>
        <row r="34">
          <cell r="AH34">
            <v>0</v>
          </cell>
        </row>
        <row r="35">
          <cell r="AH35">
            <v>0</v>
          </cell>
        </row>
        <row r="36">
          <cell r="B36" t="str">
            <v>Other LT Liabilities</v>
          </cell>
          <cell r="C36">
            <v>461</v>
          </cell>
          <cell r="D36">
            <v>400</v>
          </cell>
          <cell r="E36">
            <v>311</v>
          </cell>
          <cell r="F36">
            <v>411</v>
          </cell>
          <cell r="G36">
            <v>330</v>
          </cell>
          <cell r="H36">
            <v>617</v>
          </cell>
          <cell r="I36">
            <v>615</v>
          </cell>
          <cell r="J36">
            <v>615</v>
          </cell>
          <cell r="K36">
            <v>632</v>
          </cell>
          <cell r="L36">
            <v>214</v>
          </cell>
          <cell r="M36">
            <v>695</v>
          </cell>
          <cell r="N36">
            <v>700</v>
          </cell>
          <cell r="O36">
            <v>714</v>
          </cell>
          <cell r="P36">
            <v>448</v>
          </cell>
          <cell r="Q36">
            <v>201</v>
          </cell>
          <cell r="R36">
            <v>496</v>
          </cell>
          <cell r="S36">
            <v>482</v>
          </cell>
          <cell r="T36">
            <v>488</v>
          </cell>
          <cell r="U36">
            <v>1280</v>
          </cell>
          <cell r="V36">
            <v>0</v>
          </cell>
          <cell r="W36">
            <v>1249</v>
          </cell>
          <cell r="X36">
            <v>1999</v>
          </cell>
          <cell r="Y36">
            <v>1738</v>
          </cell>
          <cell r="Z36">
            <v>2206</v>
          </cell>
          <cell r="AA36">
            <v>0</v>
          </cell>
          <cell r="AB36">
            <v>2289</v>
          </cell>
          <cell r="AC36">
            <v>2299</v>
          </cell>
          <cell r="AD36">
            <v>2046</v>
          </cell>
          <cell r="AE36">
            <v>2223</v>
          </cell>
          <cell r="AF36">
            <v>0</v>
          </cell>
          <cell r="AG36">
            <v>0</v>
          </cell>
          <cell r="AH36">
            <v>2081</v>
          </cell>
          <cell r="AI36">
            <v>2016</v>
          </cell>
          <cell r="AJ36">
            <v>2128</v>
          </cell>
          <cell r="AK36">
            <v>1849</v>
          </cell>
          <cell r="AL36">
            <v>0</v>
          </cell>
          <cell r="AM36">
            <v>0</v>
          </cell>
          <cell r="AN36">
            <v>1832</v>
          </cell>
          <cell r="AO36">
            <v>1937</v>
          </cell>
          <cell r="AP36">
            <v>1944</v>
          </cell>
          <cell r="AQ36">
            <v>2237</v>
          </cell>
          <cell r="AR36">
            <v>0</v>
          </cell>
          <cell r="AS36">
            <v>0</v>
          </cell>
          <cell r="AT36">
            <v>2131</v>
          </cell>
          <cell r="AU36">
            <v>2127</v>
          </cell>
          <cell r="AV36">
            <v>2142</v>
          </cell>
          <cell r="AW36">
            <v>1902</v>
          </cell>
          <cell r="AX36">
            <v>0</v>
          </cell>
          <cell r="AY36">
            <v>0</v>
          </cell>
          <cell r="AZ36">
            <v>2008</v>
          </cell>
          <cell r="BA36">
            <v>1686</v>
          </cell>
          <cell r="BB36">
            <v>1641</v>
          </cell>
          <cell r="BC36">
            <v>2179</v>
          </cell>
          <cell r="BD36">
            <v>0</v>
          </cell>
          <cell r="BE36">
            <v>0</v>
          </cell>
          <cell r="BF36">
            <v>1998</v>
          </cell>
          <cell r="BG36">
            <v>1981</v>
          </cell>
          <cell r="BH36">
            <v>2039</v>
          </cell>
          <cell r="BI36">
            <v>2030</v>
          </cell>
          <cell r="BJ36">
            <v>0</v>
          </cell>
          <cell r="BK36">
            <v>0</v>
          </cell>
          <cell r="BL36">
            <v>1578.5814360770578</v>
          </cell>
          <cell r="BM36">
            <v>1670.569586220571</v>
          </cell>
          <cell r="BN36">
            <v>1708.0087252421076</v>
          </cell>
          <cell r="BO36">
            <v>1869.3483375112569</v>
          </cell>
          <cell r="BP36">
            <v>0</v>
          </cell>
          <cell r="BQ36">
            <v>0</v>
          </cell>
          <cell r="BR36">
            <v>1841.2975250297529</v>
          </cell>
          <cell r="BS36">
            <v>1989.9729229462646</v>
          </cell>
          <cell r="BT36">
            <v>2017.7905376142542</v>
          </cell>
          <cell r="BU36">
            <v>2187.3499691017018</v>
          </cell>
          <cell r="BV36">
            <v>0</v>
          </cell>
          <cell r="BW36">
            <v>0</v>
          </cell>
          <cell r="BX36">
            <v>2165.032731613036</v>
          </cell>
          <cell r="BY36">
            <v>2329.6533877337702</v>
          </cell>
          <cell r="BZ36">
            <v>2351.6964473158505</v>
          </cell>
          <cell r="CA36">
            <v>2539.9532765022932</v>
          </cell>
        </row>
        <row r="37">
          <cell r="AH37">
            <v>9798</v>
          </cell>
        </row>
        <row r="38">
          <cell r="AH38">
            <v>2128</v>
          </cell>
        </row>
        <row r="39">
          <cell r="AH39">
            <v>648</v>
          </cell>
        </row>
        <row r="40">
          <cell r="AH40">
            <v>-1405</v>
          </cell>
        </row>
        <row r="41">
          <cell r="AH41">
            <v>3549</v>
          </cell>
        </row>
        <row r="42">
          <cell r="AH42">
            <v>2485</v>
          </cell>
        </row>
        <row r="43">
          <cell r="AH43">
            <v>-1267</v>
          </cell>
        </row>
        <row r="44">
          <cell r="AH44">
            <v>4010</v>
          </cell>
        </row>
        <row r="45">
          <cell r="AH45">
            <v>0</v>
          </cell>
        </row>
        <row r="46">
          <cell r="AH46">
            <v>4376</v>
          </cell>
        </row>
        <row r="47">
          <cell r="B47" t="str">
            <v>Total Liabilities &amp; Shareholders' Equity</v>
          </cell>
          <cell r="D47" t="e">
            <v>#REF!</v>
          </cell>
          <cell r="F47" t="e">
            <v>#REF!</v>
          </cell>
          <cell r="H47" t="e">
            <v>#REF!</v>
          </cell>
          <cell r="I47" t="e">
            <v>#REF!</v>
          </cell>
          <cell r="J47" t="e">
            <v>#REF!</v>
          </cell>
          <cell r="K47" t="e">
            <v>#REF!</v>
          </cell>
          <cell r="M47" t="e">
            <v>#REF!</v>
          </cell>
          <cell r="N47" t="e">
            <v>#REF!</v>
          </cell>
          <cell r="O47" t="e">
            <v>#REF!</v>
          </cell>
          <cell r="P47" t="e">
            <v>#REF!</v>
          </cell>
          <cell r="R47" t="e">
            <v>#REF!</v>
          </cell>
          <cell r="S47" t="e">
            <v>#REF!</v>
          </cell>
          <cell r="T47" t="e">
            <v>#REF!</v>
          </cell>
          <cell r="U47" t="e">
            <v>#REF!</v>
          </cell>
          <cell r="W47" t="e">
            <v>#REF!</v>
          </cell>
          <cell r="X47" t="e">
            <v>#REF!</v>
          </cell>
          <cell r="Y47" t="e">
            <v>#REF!</v>
          </cell>
          <cell r="Z47" t="e">
            <v>#REF!</v>
          </cell>
          <cell r="AB47" t="e">
            <v>#REF!</v>
          </cell>
          <cell r="AC47" t="e">
            <v>#REF!</v>
          </cell>
          <cell r="AD47" t="e">
            <v>#REF!</v>
          </cell>
          <cell r="AE47" t="e">
            <v>#REF!</v>
          </cell>
          <cell r="AF47">
            <v>0</v>
          </cell>
          <cell r="AH47">
            <v>13808</v>
          </cell>
          <cell r="AI47">
            <v>13626</v>
          </cell>
          <cell r="AJ47">
            <v>13783</v>
          </cell>
          <cell r="AK47">
            <v>12727</v>
          </cell>
          <cell r="AN47">
            <v>12780</v>
          </cell>
          <cell r="AO47">
            <v>13007</v>
          </cell>
          <cell r="AP47">
            <v>13931</v>
          </cell>
          <cell r="AQ47">
            <v>14686</v>
          </cell>
          <cell r="AT47">
            <v>14483</v>
          </cell>
          <cell r="AU47">
            <v>14659</v>
          </cell>
          <cell r="AV47">
            <v>14147</v>
          </cell>
          <cell r="AW47">
            <v>15294</v>
          </cell>
          <cell r="AZ47">
            <v>14972</v>
          </cell>
          <cell r="BA47">
            <v>15470</v>
          </cell>
          <cell r="BB47">
            <v>15209</v>
          </cell>
          <cell r="BC47">
            <v>15405</v>
          </cell>
          <cell r="BD47">
            <v>59</v>
          </cell>
          <cell r="BE47">
            <v>222</v>
          </cell>
          <cell r="BF47">
            <v>14953</v>
          </cell>
          <cell r="BG47">
            <v>15743</v>
          </cell>
          <cell r="BH47">
            <v>16954</v>
          </cell>
          <cell r="BI47">
            <v>17354</v>
          </cell>
          <cell r="BJ47">
            <v>230</v>
          </cell>
          <cell r="BK47">
            <v>236</v>
          </cell>
          <cell r="BL47">
            <v>16742.027131967465</v>
          </cell>
          <cell r="BM47">
            <v>16403.410375920059</v>
          </cell>
          <cell r="BN47">
            <v>16638.101655836064</v>
          </cell>
          <cell r="BO47">
            <v>17025.475494854938</v>
          </cell>
          <cell r="BP47">
            <v>237</v>
          </cell>
          <cell r="BQ47">
            <v>247</v>
          </cell>
          <cell r="BR47">
            <v>17303.972720073307</v>
          </cell>
          <cell r="BS47">
            <v>17578.770160350105</v>
          </cell>
          <cell r="BT47">
            <v>17945.336004727251</v>
          </cell>
          <cell r="BU47">
            <v>18515.120006178458</v>
          </cell>
          <cell r="BV47">
            <v>238</v>
          </cell>
          <cell r="BW47">
            <v>238</v>
          </cell>
          <cell r="BX47">
            <v>18871.453948687617</v>
          </cell>
          <cell r="BY47">
            <v>19265.299342125301</v>
          </cell>
          <cell r="BZ47">
            <v>19735.639160976152</v>
          </cell>
          <cell r="CA47">
            <v>20439.77430159802</v>
          </cell>
        </row>
        <row r="48">
          <cell r="AH48">
            <v>0</v>
          </cell>
        </row>
        <row r="49">
          <cell r="AH49">
            <v>13783</v>
          </cell>
        </row>
        <row r="50">
          <cell r="AH50">
            <v>0</v>
          </cell>
        </row>
        <row r="52">
          <cell r="AH52">
            <v>1.2313099041533546</v>
          </cell>
        </row>
        <row r="53">
          <cell r="AH53">
            <v>0.78296059637912674</v>
          </cell>
        </row>
        <row r="54">
          <cell r="AH54">
            <v>0.23556975505857294</v>
          </cell>
        </row>
        <row r="55">
          <cell r="AH55">
            <v>2650</v>
          </cell>
        </row>
        <row r="56">
          <cell r="AH56">
            <v>-4.193037974683544</v>
          </cell>
        </row>
        <row r="59">
          <cell r="AH59">
            <v>0.27594875378523182</v>
          </cell>
        </row>
        <row r="60">
          <cell r="AH60">
            <v>0.40573818097339992</v>
          </cell>
        </row>
        <row r="61">
          <cell r="AH61">
            <v>0.3330677867902665</v>
          </cell>
        </row>
        <row r="64">
          <cell r="AH64">
            <v>0.22907586779001943</v>
          </cell>
        </row>
        <row r="65">
          <cell r="AH65">
            <v>0.15285593495934957</v>
          </cell>
        </row>
        <row r="66">
          <cell r="AH66">
            <v>8.9124055732751395E-2</v>
          </cell>
        </row>
        <row r="67">
          <cell r="AH67" t="str">
            <v>NA</v>
          </cell>
        </row>
        <row r="69">
          <cell r="AH69">
            <v>75.894880402853545</v>
          </cell>
        </row>
        <row r="70">
          <cell r="AH70">
            <v>201.21463932107494</v>
          </cell>
        </row>
        <row r="71">
          <cell r="AH71">
            <v>135.84246817538897</v>
          </cell>
        </row>
        <row r="72">
          <cell r="AH72">
            <v>1.6488496799861616</v>
          </cell>
        </row>
        <row r="73">
          <cell r="AH73">
            <v>0.96722079138375083</v>
          </cell>
        </row>
        <row r="74">
          <cell r="AH74">
            <v>2383</v>
          </cell>
        </row>
        <row r="75">
          <cell r="AH75">
            <v>9291</v>
          </cell>
        </row>
        <row r="76">
          <cell r="AH76">
            <v>1414</v>
          </cell>
        </row>
        <row r="77">
          <cell r="AH77">
            <v>5482</v>
          </cell>
        </row>
        <row r="78">
          <cell r="AH78">
            <v>353</v>
          </cell>
        </row>
        <row r="79">
          <cell r="AH79">
            <v>1399</v>
          </cell>
        </row>
        <row r="80">
          <cell r="AH80">
            <v>0.248</v>
          </cell>
        </row>
        <row r="81">
          <cell r="AH81">
            <v>265.45600000000002</v>
          </cell>
        </row>
        <row r="82">
          <cell r="AH82">
            <v>1050.4497546012269</v>
          </cell>
        </row>
        <row r="83">
          <cell r="AH83">
            <v>500</v>
          </cell>
        </row>
        <row r="85">
          <cell r="AH85">
            <v>-41</v>
          </cell>
        </row>
        <row r="87">
          <cell r="AH87">
            <v>220.91503999999998</v>
          </cell>
        </row>
        <row r="88">
          <cell r="AH88">
            <v>0.30327306019684136</v>
          </cell>
        </row>
        <row r="89">
          <cell r="AH89">
            <v>5781</v>
          </cell>
        </row>
        <row r="90">
          <cell r="AH90">
            <v>3857.5</v>
          </cell>
        </row>
        <row r="91">
          <cell r="AH91">
            <v>2398</v>
          </cell>
        </row>
        <row r="92">
          <cell r="AH92">
            <v>3493</v>
          </cell>
        </row>
        <row r="93">
          <cell r="AH93">
            <v>1577</v>
          </cell>
        </row>
        <row r="94">
          <cell r="AH94">
            <v>3022</v>
          </cell>
        </row>
        <row r="95">
          <cell r="AH95">
            <v>4599</v>
          </cell>
        </row>
        <row r="96">
          <cell r="AH96">
            <v>8609</v>
          </cell>
        </row>
        <row r="97">
          <cell r="AH97">
            <v>11914</v>
          </cell>
        </row>
        <row r="98">
          <cell r="AH98">
            <v>328.71600000000001</v>
          </cell>
        </row>
        <row r="99">
          <cell r="AH99">
            <v>1232.0956493506494</v>
          </cell>
        </row>
        <row r="100">
          <cell r="AH100">
            <v>559</v>
          </cell>
        </row>
        <row r="101">
          <cell r="AH101">
            <v>1647</v>
          </cell>
        </row>
        <row r="102">
          <cell r="AH102">
            <v>-43</v>
          </cell>
        </row>
        <row r="103">
          <cell r="AH103">
            <v>65</v>
          </cell>
        </row>
        <row r="104">
          <cell r="AH104">
            <v>-133</v>
          </cell>
        </row>
        <row r="105">
          <cell r="AH105">
            <v>1644</v>
          </cell>
        </row>
        <row r="106">
          <cell r="AH106">
            <v>7994</v>
          </cell>
        </row>
        <row r="107">
          <cell r="AH107">
            <v>-3684</v>
          </cell>
        </row>
        <row r="108">
          <cell r="AH108">
            <v>4310</v>
          </cell>
        </row>
        <row r="109">
          <cell r="AH109">
            <v>1354</v>
          </cell>
        </row>
        <row r="110">
          <cell r="AH110">
            <v>15.026315789473685</v>
          </cell>
        </row>
        <row r="111">
          <cell r="AH111">
            <v>27.699248120300751</v>
          </cell>
        </row>
        <row r="112">
          <cell r="AH112">
            <v>0.46084563422566927</v>
          </cell>
        </row>
        <row r="113">
          <cell r="AH113">
            <v>296.16200000000003</v>
          </cell>
        </row>
        <row r="114">
          <cell r="AH114">
            <v>7831</v>
          </cell>
        </row>
        <row r="115">
          <cell r="AH115">
            <v>-3674</v>
          </cell>
        </row>
        <row r="116">
          <cell r="AH116">
            <v>4157</v>
          </cell>
        </row>
        <row r="118">
          <cell r="AH118">
            <v>0</v>
          </cell>
        </row>
        <row r="119">
          <cell r="AH119">
            <v>-14</v>
          </cell>
        </row>
        <row r="120">
          <cell r="AH120">
            <v>8738</v>
          </cell>
        </row>
        <row r="121">
          <cell r="AH121">
            <v>921</v>
          </cell>
        </row>
        <row r="122">
          <cell r="AH122">
            <v>-385</v>
          </cell>
        </row>
        <row r="123">
          <cell r="AH123">
            <v>536</v>
          </cell>
        </row>
        <row r="124">
          <cell r="AH124">
            <v>-3674</v>
          </cell>
        </row>
        <row r="125">
          <cell r="AH125">
            <v>14.988549618320612</v>
          </cell>
        </row>
        <row r="126">
          <cell r="AH126">
            <v>7.1374045801526718</v>
          </cell>
        </row>
        <row r="127">
          <cell r="AH127">
            <v>0.47619047619047616</v>
          </cell>
        </row>
        <row r="128">
          <cell r="AH128">
            <v>-131</v>
          </cell>
        </row>
        <row r="129">
          <cell r="AH129">
            <v>889</v>
          </cell>
        </row>
        <row r="130">
          <cell r="AH130">
            <v>-387</v>
          </cell>
        </row>
        <row r="131">
          <cell r="AH131">
            <v>502</v>
          </cell>
        </row>
        <row r="132">
          <cell r="AH132">
            <v>4114</v>
          </cell>
        </row>
        <row r="133">
          <cell r="AH133">
            <v>0</v>
          </cell>
        </row>
        <row r="134">
          <cell r="AH134">
            <v>-14</v>
          </cell>
        </row>
        <row r="135">
          <cell r="AH135">
            <v>7.1374045801526718</v>
          </cell>
        </row>
        <row r="136">
          <cell r="AH136">
            <v>899</v>
          </cell>
        </row>
        <row r="137">
          <cell r="AH137">
            <v>-400</v>
          </cell>
        </row>
        <row r="138">
          <cell r="AH138">
            <v>499</v>
          </cell>
        </row>
        <row r="139">
          <cell r="AH139">
            <v>-387</v>
          </cell>
        </row>
        <row r="140">
          <cell r="AH140">
            <v>15.875</v>
          </cell>
        </row>
        <row r="142">
          <cell r="AH142">
            <v>0</v>
          </cell>
        </row>
        <row r="143">
          <cell r="AH143">
            <v>-14</v>
          </cell>
        </row>
        <row r="145">
          <cell r="AH145">
            <v>899</v>
          </cell>
        </row>
        <row r="146">
          <cell r="AH146">
            <v>-400</v>
          </cell>
        </row>
        <row r="147">
          <cell r="AH147">
            <v>499</v>
          </cell>
        </row>
        <row r="149">
          <cell r="AH149">
            <v>15.875</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refreshError="1"/>
      <sheetData sheetId="122" refreshError="1"/>
      <sheetData sheetId="123" refreshError="1"/>
      <sheetData sheetId="124" refreshError="1"/>
      <sheetData sheetId="125" refreshError="1"/>
      <sheetData sheetId="126" refreshError="1"/>
      <sheetData sheetId="127"/>
      <sheetData sheetId="128"/>
      <sheetData sheetId="129"/>
      <sheetData sheetId="130"/>
      <sheetData sheetId="131"/>
      <sheetData sheetId="132"/>
      <sheetData sheetId="133"/>
      <sheetData sheetId="134"/>
      <sheetData sheetId="135"/>
      <sheetData sheetId="136"/>
      <sheetData sheetId="137"/>
      <sheetData sheetId="138"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Data1"/>
      <sheetName val="Data2"/>
      <sheetName val="Custom Indices"/>
      <sheetName val="MW-Cache"/>
      <sheetName val="Multiples"/>
      <sheetName val="Multiples (2)"/>
      <sheetName val="LST Perf"/>
      <sheetName val="3yr"/>
      <sheetName val="Charts01"/>
      <sheetName val="LST Charts"/>
      <sheetName val="Mth &amp; Yr Perf"/>
      <sheetName val="Data3"/>
      <sheetName val="EPSRev"/>
    </sheetNames>
    <sheetDataSet>
      <sheetData sheetId="0"/>
      <sheetData sheetId="1">
        <row r="2616">
          <cell r="A2616">
            <v>42734</v>
          </cell>
        </row>
      </sheetData>
      <sheetData sheetId="2"/>
      <sheetData sheetId="3"/>
      <sheetData sheetId="4"/>
      <sheetData sheetId="5">
        <row r="11">
          <cell r="BF11" t="str">
            <v>Abs NTM P/E</v>
          </cell>
        </row>
      </sheetData>
      <sheetData sheetId="6">
        <row r="11">
          <cell r="AF11" t="str">
            <v>Abs NTM P/E</v>
          </cell>
          <cell r="CF11" t="str">
            <v>Abs NTM P/E</v>
          </cell>
          <cell r="CG11" t="str">
            <v>3 Yr Avg</v>
          </cell>
          <cell r="CH11" t="str">
            <v>10 Yr Avg</v>
          </cell>
          <cell r="CI11" t="str">
            <v>StdDev1</v>
          </cell>
          <cell r="CJ11" t="str">
            <v>StdDev2</v>
          </cell>
          <cell r="CN11" t="str">
            <v>StdDev1</v>
          </cell>
          <cell r="CU11" t="str">
            <v>Abs NTM EV/EBITDA</v>
          </cell>
          <cell r="CV11" t="str">
            <v>3 Yr Avg</v>
          </cell>
          <cell r="CW11" t="str">
            <v>10 Yr Avg</v>
          </cell>
          <cell r="CY11" t="str">
            <v>StdDev2</v>
          </cell>
        </row>
        <row r="12">
          <cell r="A12">
            <v>39554</v>
          </cell>
          <cell r="CF12">
            <v>17.975706844760253</v>
          </cell>
          <cell r="CG12">
            <v>22.085252262534414</v>
          </cell>
          <cell r="CH12">
            <v>18.555263085067214</v>
          </cell>
          <cell r="CI12">
            <v>14.926604548033502</v>
          </cell>
          <cell r="CJ12">
            <v>22.183921622100925</v>
          </cell>
          <cell r="CU12">
            <v>9.408160241780557</v>
          </cell>
          <cell r="CV12">
            <v>13.67289934744978</v>
          </cell>
          <cell r="CW12">
            <v>11.062153668663059</v>
          </cell>
          <cell r="CX12">
            <v>8.6510321273089765</v>
          </cell>
          <cell r="CY12">
            <v>13.473275210017142</v>
          </cell>
        </row>
        <row r="13">
          <cell r="A13">
            <v>39555</v>
          </cell>
          <cell r="CF13">
            <v>17.501897812102882</v>
          </cell>
          <cell r="CG13">
            <v>22.085252262534414</v>
          </cell>
          <cell r="CH13">
            <v>18.555263085067214</v>
          </cell>
          <cell r="CI13">
            <v>14.926604548033502</v>
          </cell>
          <cell r="CJ13">
            <v>22.183921622100925</v>
          </cell>
          <cell r="CU13">
            <v>9.1717145117977026</v>
          </cell>
          <cell r="CV13">
            <v>13.67289934744978</v>
          </cell>
          <cell r="CW13">
            <v>11.062153668663059</v>
          </cell>
          <cell r="CX13">
            <v>8.6510321273089765</v>
          </cell>
          <cell r="CY13">
            <v>13.473275210017142</v>
          </cell>
        </row>
        <row r="14">
          <cell r="A14">
            <v>39556</v>
          </cell>
          <cell r="CF14">
            <v>17.650166638734152</v>
          </cell>
          <cell r="CG14">
            <v>22.085252262534414</v>
          </cell>
          <cell r="CH14">
            <v>18.555263085067214</v>
          </cell>
          <cell r="CI14">
            <v>14.926604548033502</v>
          </cell>
          <cell r="CJ14">
            <v>22.183921622100925</v>
          </cell>
          <cell r="CU14">
            <v>9.245705357328676</v>
          </cell>
          <cell r="CV14">
            <v>13.67289934744978</v>
          </cell>
          <cell r="CW14">
            <v>11.062153668663059</v>
          </cell>
          <cell r="CX14">
            <v>8.6510321273089765</v>
          </cell>
          <cell r="CY14">
            <v>13.473275210017142</v>
          </cell>
        </row>
        <row r="15">
          <cell r="A15">
            <v>39559</v>
          </cell>
          <cell r="CF15">
            <v>17.585703879428806</v>
          </cell>
          <cell r="CG15">
            <v>22.085252262534414</v>
          </cell>
          <cell r="CH15">
            <v>18.555263085067214</v>
          </cell>
          <cell r="CI15">
            <v>14.926604548033502</v>
          </cell>
          <cell r="CJ15">
            <v>22.183921622100925</v>
          </cell>
          <cell r="CU15">
            <v>9.2135363965657788</v>
          </cell>
          <cell r="CV15">
            <v>13.67289934744978</v>
          </cell>
          <cell r="CW15">
            <v>11.062153668663059</v>
          </cell>
          <cell r="CX15">
            <v>8.6510321273089765</v>
          </cell>
          <cell r="CY15">
            <v>13.473275210017142</v>
          </cell>
        </row>
        <row r="16">
          <cell r="A16">
            <v>39560</v>
          </cell>
          <cell r="CF16">
            <v>17.327848007427956</v>
          </cell>
          <cell r="CG16">
            <v>22.085252262534414</v>
          </cell>
          <cell r="CH16">
            <v>18.555263085067214</v>
          </cell>
          <cell r="CI16">
            <v>14.926604548033502</v>
          </cell>
          <cell r="CJ16">
            <v>22.183921622100925</v>
          </cell>
          <cell r="CU16">
            <v>9.0793291377143355</v>
          </cell>
          <cell r="CV16">
            <v>13.67289934744978</v>
          </cell>
          <cell r="CW16">
            <v>11.062153668663059</v>
          </cell>
          <cell r="CX16">
            <v>8.6510321273089765</v>
          </cell>
          <cell r="CY16">
            <v>13.473275210017142</v>
          </cell>
        </row>
        <row r="17">
          <cell r="A17">
            <v>39561</v>
          </cell>
          <cell r="CF17">
            <v>17.556691334787672</v>
          </cell>
          <cell r="CG17">
            <v>22.085252262534414</v>
          </cell>
          <cell r="CH17">
            <v>18.555263085067214</v>
          </cell>
          <cell r="CI17">
            <v>14.926604548033502</v>
          </cell>
          <cell r="CJ17">
            <v>22.183921622100925</v>
          </cell>
          <cell r="CU17">
            <v>9.1934597121768</v>
          </cell>
          <cell r="CV17">
            <v>13.67289934744978</v>
          </cell>
          <cell r="CW17">
            <v>11.062153668663059</v>
          </cell>
          <cell r="CX17">
            <v>8.6510321273089765</v>
          </cell>
          <cell r="CY17">
            <v>13.473275210017142</v>
          </cell>
        </row>
        <row r="18">
          <cell r="A18">
            <v>39562</v>
          </cell>
          <cell r="CF18">
            <v>17.308509534186847</v>
          </cell>
          <cell r="CG18">
            <v>22.085252262534414</v>
          </cell>
          <cell r="CH18">
            <v>18.555263085067214</v>
          </cell>
          <cell r="CI18">
            <v>14.926604548033502</v>
          </cell>
          <cell r="CJ18">
            <v>22.183921622100925</v>
          </cell>
          <cell r="CU18">
            <v>9.0696844996744197</v>
          </cell>
          <cell r="CV18">
            <v>13.67289934744978</v>
          </cell>
          <cell r="CW18">
            <v>11.062153668663059</v>
          </cell>
          <cell r="CX18">
            <v>8.6510321273089765</v>
          </cell>
          <cell r="CY18">
            <v>13.473275210017142</v>
          </cell>
        </row>
        <row r="19">
          <cell r="A19">
            <v>39563</v>
          </cell>
          <cell r="CF19">
            <v>17.58247746992943</v>
          </cell>
          <cell r="CG19">
            <v>22.085252262534414</v>
          </cell>
          <cell r="CH19">
            <v>18.555263085067214</v>
          </cell>
          <cell r="CI19">
            <v>14.926604548033502</v>
          </cell>
          <cell r="CJ19">
            <v>22.183921622100925</v>
          </cell>
          <cell r="CU19">
            <v>9.2063199797268762</v>
          </cell>
          <cell r="CV19">
            <v>13.67289934744978</v>
          </cell>
          <cell r="CW19">
            <v>11.062153668663059</v>
          </cell>
          <cell r="CX19">
            <v>8.6510321273089765</v>
          </cell>
          <cell r="CY19">
            <v>13.473275210017142</v>
          </cell>
        </row>
        <row r="20">
          <cell r="A20">
            <v>39566</v>
          </cell>
          <cell r="CF20">
            <v>17.895127186933703</v>
          </cell>
          <cell r="CG20">
            <v>22.085252262534414</v>
          </cell>
          <cell r="CH20">
            <v>18.555263085067214</v>
          </cell>
          <cell r="CI20">
            <v>14.926604548033502</v>
          </cell>
          <cell r="CJ20">
            <v>22.183921622100925</v>
          </cell>
          <cell r="CU20">
            <v>9.3622471470990494</v>
          </cell>
          <cell r="CV20">
            <v>13.67289934744978</v>
          </cell>
          <cell r="CW20">
            <v>11.062153668663059</v>
          </cell>
          <cell r="CX20">
            <v>8.6510321273089765</v>
          </cell>
          <cell r="CY20">
            <v>13.473275210017142</v>
          </cell>
        </row>
        <row r="21">
          <cell r="A21">
            <v>39567</v>
          </cell>
          <cell r="CF21">
            <v>17.837112089529004</v>
          </cell>
          <cell r="CG21">
            <v>22.085252262534414</v>
          </cell>
          <cell r="CH21">
            <v>18.555263085067214</v>
          </cell>
          <cell r="CI21">
            <v>14.926604548033502</v>
          </cell>
          <cell r="CJ21">
            <v>22.183921622100925</v>
          </cell>
          <cell r="CU21">
            <v>9.3333133937286235</v>
          </cell>
          <cell r="CV21">
            <v>13.67289934744978</v>
          </cell>
          <cell r="CW21">
            <v>11.062153668663059</v>
          </cell>
          <cell r="CX21">
            <v>8.6510321273089765</v>
          </cell>
          <cell r="CY21">
            <v>13.473275210017142</v>
          </cell>
        </row>
        <row r="22">
          <cell r="A22">
            <v>39568</v>
          </cell>
          <cell r="CF22">
            <v>17.846781326149561</v>
          </cell>
          <cell r="CG22">
            <v>22.085252262534414</v>
          </cell>
          <cell r="CH22">
            <v>18.555263085067214</v>
          </cell>
          <cell r="CI22">
            <v>14.926604548033502</v>
          </cell>
          <cell r="CJ22">
            <v>22.183921622100925</v>
          </cell>
          <cell r="CU22">
            <v>9.3381357127485831</v>
          </cell>
          <cell r="CV22">
            <v>13.67289934744978</v>
          </cell>
          <cell r="CW22">
            <v>11.062153668663059</v>
          </cell>
          <cell r="CX22">
            <v>8.6510321273089765</v>
          </cell>
          <cell r="CY22">
            <v>13.473275210017142</v>
          </cell>
        </row>
        <row r="23">
          <cell r="A23">
            <v>39569</v>
          </cell>
          <cell r="CF23">
            <v>18.149079639251056</v>
          </cell>
          <cell r="CG23">
            <v>22.085252262534414</v>
          </cell>
          <cell r="CH23">
            <v>18.555263085067214</v>
          </cell>
          <cell r="CI23">
            <v>14.926604548033502</v>
          </cell>
          <cell r="CJ23">
            <v>22.183921622100925</v>
          </cell>
          <cell r="CU23">
            <v>9.5651244891449512</v>
          </cell>
          <cell r="CV23">
            <v>13.67289934744978</v>
          </cell>
          <cell r="CW23">
            <v>11.062153668663059</v>
          </cell>
          <cell r="CX23">
            <v>8.6510321273089765</v>
          </cell>
          <cell r="CY23">
            <v>13.473275210017142</v>
          </cell>
        </row>
        <row r="24">
          <cell r="A24">
            <v>39570</v>
          </cell>
          <cell r="CF24">
            <v>17.94193186526206</v>
          </cell>
          <cell r="CG24">
            <v>22.085252262534414</v>
          </cell>
          <cell r="CH24">
            <v>18.555263085067214</v>
          </cell>
          <cell r="CI24">
            <v>14.926604548033502</v>
          </cell>
          <cell r="CJ24">
            <v>22.183921622100925</v>
          </cell>
          <cell r="CU24">
            <v>9.4608965892525472</v>
          </cell>
          <cell r="CV24">
            <v>13.67289934744978</v>
          </cell>
          <cell r="CW24">
            <v>11.062153668663059</v>
          </cell>
          <cell r="CX24">
            <v>8.6510321273089765</v>
          </cell>
          <cell r="CY24">
            <v>13.473275210017142</v>
          </cell>
        </row>
        <row r="25">
          <cell r="A25">
            <v>39573</v>
          </cell>
          <cell r="CF25">
            <v>18.212815577298802</v>
          </cell>
          <cell r="CG25">
            <v>22.085252262534414</v>
          </cell>
          <cell r="CH25">
            <v>18.555263085067214</v>
          </cell>
          <cell r="CI25">
            <v>14.926604548033502</v>
          </cell>
          <cell r="CJ25">
            <v>22.183921622100925</v>
          </cell>
          <cell r="CU25">
            <v>9.597193687101873</v>
          </cell>
          <cell r="CV25">
            <v>13.67289934744978</v>
          </cell>
          <cell r="CW25">
            <v>11.062153668663059</v>
          </cell>
          <cell r="CX25">
            <v>8.6510321273089765</v>
          </cell>
          <cell r="CY25">
            <v>13.473275210017142</v>
          </cell>
        </row>
        <row r="26">
          <cell r="A26">
            <v>39574</v>
          </cell>
          <cell r="CF26">
            <v>17.82720545587998</v>
          </cell>
          <cell r="CG26">
            <v>22.085252262534414</v>
          </cell>
          <cell r="CH26">
            <v>18.555263085067214</v>
          </cell>
          <cell r="CI26">
            <v>14.926604548033502</v>
          </cell>
          <cell r="CJ26">
            <v>22.183921622100925</v>
          </cell>
          <cell r="CU26">
            <v>9.7991303660740314</v>
          </cell>
          <cell r="CV26">
            <v>13.67289934744978</v>
          </cell>
          <cell r="CW26">
            <v>11.062153668663059</v>
          </cell>
          <cell r="CX26">
            <v>8.6510321273089765</v>
          </cell>
          <cell r="CY26">
            <v>13.473275210017142</v>
          </cell>
        </row>
        <row r="27">
          <cell r="A27">
            <v>39575</v>
          </cell>
          <cell r="CF27">
            <v>17.529913666394322</v>
          </cell>
          <cell r="CG27">
            <v>22.085252262534414</v>
          </cell>
          <cell r="CH27">
            <v>18.555263085067214</v>
          </cell>
          <cell r="CI27">
            <v>14.926604548033502</v>
          </cell>
          <cell r="CJ27">
            <v>22.183921622100925</v>
          </cell>
          <cell r="CU27">
            <v>9.6744541703709803</v>
          </cell>
          <cell r="CV27">
            <v>13.67289934744978</v>
          </cell>
          <cell r="CW27">
            <v>11.062153668663059</v>
          </cell>
          <cell r="CX27">
            <v>8.6510321273089765</v>
          </cell>
          <cell r="CY27">
            <v>13.473275210017142</v>
          </cell>
        </row>
        <row r="28">
          <cell r="A28">
            <v>39576</v>
          </cell>
          <cell r="CF28">
            <v>17.574486322996698</v>
          </cell>
          <cell r="CG28">
            <v>22.085252262534414</v>
          </cell>
          <cell r="CH28">
            <v>18.555263085067214</v>
          </cell>
          <cell r="CI28">
            <v>14.926604548033502</v>
          </cell>
          <cell r="CJ28">
            <v>22.183921622100925</v>
          </cell>
          <cell r="CU28">
            <v>9.7059339490392382</v>
          </cell>
          <cell r="CV28">
            <v>13.67289934744978</v>
          </cell>
          <cell r="CW28">
            <v>11.062153668663059</v>
          </cell>
          <cell r="CX28">
            <v>8.6510321273089765</v>
          </cell>
          <cell r="CY28">
            <v>13.473275210017142</v>
          </cell>
        </row>
        <row r="29">
          <cell r="A29">
            <v>39577</v>
          </cell>
          <cell r="CF29">
            <v>17.564935607971886</v>
          </cell>
          <cell r="CG29">
            <v>22.085252262534414</v>
          </cell>
          <cell r="CH29">
            <v>18.555263085067214</v>
          </cell>
          <cell r="CI29">
            <v>14.926604548033502</v>
          </cell>
          <cell r="CJ29">
            <v>22.183921622100925</v>
          </cell>
          <cell r="CU29">
            <v>9.7009206154820813</v>
          </cell>
          <cell r="CV29">
            <v>13.67289934744978</v>
          </cell>
          <cell r="CW29">
            <v>11.062153668663059</v>
          </cell>
          <cell r="CX29">
            <v>8.6510321273089765</v>
          </cell>
          <cell r="CY29">
            <v>13.473275210017142</v>
          </cell>
        </row>
        <row r="30">
          <cell r="A30">
            <v>39580</v>
          </cell>
          <cell r="CF30">
            <v>17.466234167309651</v>
          </cell>
          <cell r="CG30">
            <v>22.085252262534414</v>
          </cell>
          <cell r="CH30">
            <v>18.555263085067214</v>
          </cell>
          <cell r="CI30">
            <v>14.926604548033502</v>
          </cell>
          <cell r="CJ30">
            <v>22.183921622100925</v>
          </cell>
          <cell r="CU30">
            <v>9.6491105422753645</v>
          </cell>
          <cell r="CV30">
            <v>13.67289934744978</v>
          </cell>
          <cell r="CW30">
            <v>11.062153668663059</v>
          </cell>
          <cell r="CX30">
            <v>8.6510321273089765</v>
          </cell>
          <cell r="CY30">
            <v>13.473275210017142</v>
          </cell>
        </row>
        <row r="31">
          <cell r="A31">
            <v>39581</v>
          </cell>
          <cell r="CF31">
            <v>17.459870101617575</v>
          </cell>
          <cell r="CG31">
            <v>22.085252262534414</v>
          </cell>
          <cell r="CH31">
            <v>18.555263085067214</v>
          </cell>
          <cell r="CI31">
            <v>14.926604548033502</v>
          </cell>
          <cell r="CJ31">
            <v>22.183921622100925</v>
          </cell>
          <cell r="CU31">
            <v>9.6457699354191071</v>
          </cell>
          <cell r="CV31">
            <v>13.67289934744978</v>
          </cell>
          <cell r="CW31">
            <v>11.062153668663059</v>
          </cell>
          <cell r="CX31">
            <v>8.6510321273089765</v>
          </cell>
          <cell r="CY31">
            <v>13.473275210017142</v>
          </cell>
        </row>
        <row r="32">
          <cell r="A32">
            <v>39582</v>
          </cell>
          <cell r="CF32">
            <v>17.679551829351009</v>
          </cell>
          <cell r="CG32">
            <v>22.085252262534414</v>
          </cell>
          <cell r="CH32">
            <v>18.555263085067214</v>
          </cell>
          <cell r="CI32">
            <v>14.926604548033502</v>
          </cell>
          <cell r="CJ32">
            <v>22.183921622100925</v>
          </cell>
          <cell r="CU32">
            <v>9.7610846291022124</v>
          </cell>
          <cell r="CV32">
            <v>13.67289934744978</v>
          </cell>
          <cell r="CW32">
            <v>11.062153668663059</v>
          </cell>
          <cell r="CX32">
            <v>8.6510321273089765</v>
          </cell>
          <cell r="CY32">
            <v>13.473275210017142</v>
          </cell>
        </row>
        <row r="33">
          <cell r="A33">
            <v>39583</v>
          </cell>
          <cell r="CF33">
            <v>17.89604690775171</v>
          </cell>
          <cell r="CG33">
            <v>22.085252262534414</v>
          </cell>
          <cell r="CH33">
            <v>18.555263085067214</v>
          </cell>
          <cell r="CI33">
            <v>14.926604548033502</v>
          </cell>
          <cell r="CJ33">
            <v>22.183921622100925</v>
          </cell>
          <cell r="CU33">
            <v>9.874839341849313</v>
          </cell>
          <cell r="CV33">
            <v>13.67289934744978</v>
          </cell>
          <cell r="CW33">
            <v>11.062153668663059</v>
          </cell>
          <cell r="CX33">
            <v>8.6510321273089765</v>
          </cell>
          <cell r="CY33">
            <v>13.473275210017142</v>
          </cell>
        </row>
        <row r="34">
          <cell r="A34">
            <v>39584</v>
          </cell>
          <cell r="CF34">
            <v>17.854656124806176</v>
          </cell>
          <cell r="CG34">
            <v>22.085252262534414</v>
          </cell>
          <cell r="CH34">
            <v>18.555263085067214</v>
          </cell>
          <cell r="CI34">
            <v>14.926604548033502</v>
          </cell>
          <cell r="CJ34">
            <v>22.183921622100925</v>
          </cell>
          <cell r="CU34">
            <v>9.8531123643634473</v>
          </cell>
          <cell r="CV34">
            <v>13.67289934744978</v>
          </cell>
          <cell r="CW34">
            <v>11.062153668663059</v>
          </cell>
          <cell r="CX34">
            <v>8.6510321273089765</v>
          </cell>
          <cell r="CY34">
            <v>13.473275210017142</v>
          </cell>
        </row>
        <row r="35">
          <cell r="A35">
            <v>39587</v>
          </cell>
          <cell r="CF35">
            <v>17.555384574568688</v>
          </cell>
          <cell r="CG35">
            <v>22.085252262534414</v>
          </cell>
          <cell r="CH35">
            <v>18.555263085067214</v>
          </cell>
          <cell r="CI35">
            <v>14.926604548033502</v>
          </cell>
          <cell r="CJ35">
            <v>22.183921622100925</v>
          </cell>
          <cell r="CU35">
            <v>9.6960178188766815</v>
          </cell>
          <cell r="CV35">
            <v>13.67289934744978</v>
          </cell>
          <cell r="CW35">
            <v>11.062153668663059</v>
          </cell>
          <cell r="CX35">
            <v>8.6510321273089765</v>
          </cell>
          <cell r="CY35">
            <v>13.473275210017142</v>
          </cell>
        </row>
        <row r="36">
          <cell r="A36">
            <v>39588</v>
          </cell>
          <cell r="CF36">
            <v>17.498073916851986</v>
          </cell>
          <cell r="CG36">
            <v>22.085252262534414</v>
          </cell>
          <cell r="CH36">
            <v>18.555263085067214</v>
          </cell>
          <cell r="CI36">
            <v>14.926604548033502</v>
          </cell>
          <cell r="CJ36">
            <v>22.183921622100925</v>
          </cell>
          <cell r="CU36">
            <v>9.6659341316086849</v>
          </cell>
          <cell r="CV36">
            <v>13.67289934744978</v>
          </cell>
          <cell r="CW36">
            <v>11.062153668663059</v>
          </cell>
          <cell r="CX36">
            <v>8.6510321273089765</v>
          </cell>
          <cell r="CY36">
            <v>13.473275210017142</v>
          </cell>
        </row>
        <row r="37">
          <cell r="A37">
            <v>39589</v>
          </cell>
          <cell r="CF37">
            <v>17.415297126636808</v>
          </cell>
          <cell r="CG37">
            <v>22.085252262534414</v>
          </cell>
          <cell r="CH37">
            <v>18.555263085067214</v>
          </cell>
          <cell r="CI37">
            <v>14.926604548033502</v>
          </cell>
          <cell r="CJ37">
            <v>22.183921622100925</v>
          </cell>
          <cell r="CU37">
            <v>9.6224826834994772</v>
          </cell>
          <cell r="CV37">
            <v>13.67289934744978</v>
          </cell>
          <cell r="CW37">
            <v>11.062153668663059</v>
          </cell>
          <cell r="CX37">
            <v>8.6510321273089765</v>
          </cell>
          <cell r="CY37">
            <v>13.473275210017142</v>
          </cell>
        </row>
        <row r="38">
          <cell r="A38">
            <v>39590</v>
          </cell>
          <cell r="CF38">
            <v>17.740039585048663</v>
          </cell>
          <cell r="CG38">
            <v>22.085252262534414</v>
          </cell>
          <cell r="CH38">
            <v>18.555263085067214</v>
          </cell>
          <cell r="CI38">
            <v>14.926604548033502</v>
          </cell>
          <cell r="CJ38">
            <v>22.183921622100925</v>
          </cell>
          <cell r="CU38">
            <v>9.7929474966899779</v>
          </cell>
          <cell r="CV38">
            <v>13.67289934744978</v>
          </cell>
          <cell r="CW38">
            <v>11.062153668663059</v>
          </cell>
          <cell r="CX38">
            <v>8.6510321273089765</v>
          </cell>
          <cell r="CY38">
            <v>13.473275210017142</v>
          </cell>
        </row>
        <row r="39">
          <cell r="A39">
            <v>39591</v>
          </cell>
          <cell r="CF39">
            <v>17.42166119232888</v>
          </cell>
          <cell r="CG39">
            <v>22.085252262534414</v>
          </cell>
          <cell r="CH39">
            <v>18.555263085067214</v>
          </cell>
          <cell r="CI39">
            <v>14.926604548033502</v>
          </cell>
          <cell r="CJ39">
            <v>22.183921622100925</v>
          </cell>
          <cell r="CU39">
            <v>9.6258233284974768</v>
          </cell>
          <cell r="CV39">
            <v>13.67289934744978</v>
          </cell>
          <cell r="CW39">
            <v>11.062153668663059</v>
          </cell>
          <cell r="CX39">
            <v>8.6510321273089765</v>
          </cell>
          <cell r="CY39">
            <v>13.473275210017142</v>
          </cell>
        </row>
        <row r="40">
          <cell r="A40">
            <v>39594</v>
          </cell>
          <cell r="CF40">
            <v>17.42166119232888</v>
          </cell>
          <cell r="CG40">
            <v>22.085252262534414</v>
          </cell>
          <cell r="CH40">
            <v>18.555263085067214</v>
          </cell>
          <cell r="CI40">
            <v>14.926604548033502</v>
          </cell>
          <cell r="CJ40">
            <v>22.183921622100925</v>
          </cell>
          <cell r="CU40">
            <v>9.6258233284974768</v>
          </cell>
          <cell r="CV40">
            <v>13.67289934744978</v>
          </cell>
          <cell r="CW40">
            <v>11.062153668663059</v>
          </cell>
          <cell r="CX40">
            <v>8.6510321273089765</v>
          </cell>
          <cell r="CY40">
            <v>13.473275210017142</v>
          </cell>
        </row>
        <row r="41">
          <cell r="A41">
            <v>39595</v>
          </cell>
          <cell r="CF41">
            <v>17.670000795947807</v>
          </cell>
          <cell r="CG41">
            <v>22.085252262534414</v>
          </cell>
          <cell r="CH41">
            <v>18.555263085067214</v>
          </cell>
          <cell r="CI41">
            <v>14.926604548033502</v>
          </cell>
          <cell r="CJ41">
            <v>22.183921622100925</v>
          </cell>
          <cell r="CU41">
            <v>9.7561825194259839</v>
          </cell>
          <cell r="CV41">
            <v>13.67289934744978</v>
          </cell>
          <cell r="CW41">
            <v>11.062153668663059</v>
          </cell>
          <cell r="CX41">
            <v>8.6510321273089765</v>
          </cell>
          <cell r="CY41">
            <v>13.473275210017142</v>
          </cell>
        </row>
        <row r="42">
          <cell r="A42">
            <v>39596</v>
          </cell>
          <cell r="CF42">
            <v>17.58085038868877</v>
          </cell>
          <cell r="CG42">
            <v>22.085252262534414</v>
          </cell>
          <cell r="CH42">
            <v>18.555263085067214</v>
          </cell>
          <cell r="CI42">
            <v>14.926604548033502</v>
          </cell>
          <cell r="CJ42">
            <v>22.183921622100925</v>
          </cell>
          <cell r="CU42">
            <v>9.730151180988063</v>
          </cell>
          <cell r="CV42">
            <v>13.67289934744978</v>
          </cell>
          <cell r="CW42">
            <v>11.062153668663059</v>
          </cell>
          <cell r="CX42">
            <v>8.6510321273089765</v>
          </cell>
          <cell r="CY42">
            <v>13.473275210017142</v>
          </cell>
        </row>
        <row r="43">
          <cell r="A43">
            <v>39597</v>
          </cell>
          <cell r="CF43">
            <v>17.797845375273308</v>
          </cell>
          <cell r="CG43">
            <v>22.085252262534414</v>
          </cell>
          <cell r="CH43">
            <v>18.555263085067214</v>
          </cell>
          <cell r="CI43">
            <v>14.926604548033502</v>
          </cell>
          <cell r="CJ43">
            <v>22.183921622100925</v>
          </cell>
          <cell r="CU43">
            <v>9.8323151256377272</v>
          </cell>
          <cell r="CV43">
            <v>13.67289934744978</v>
          </cell>
          <cell r="CW43">
            <v>11.062153668663059</v>
          </cell>
          <cell r="CX43">
            <v>8.6510321273089765</v>
          </cell>
          <cell r="CY43">
            <v>13.473275210017142</v>
          </cell>
        </row>
        <row r="44">
          <cell r="A44">
            <v>39598</v>
          </cell>
          <cell r="CF44">
            <v>17.762778543014768</v>
          </cell>
          <cell r="CG44">
            <v>22.085252262534414</v>
          </cell>
          <cell r="CH44">
            <v>18.555263085067214</v>
          </cell>
          <cell r="CI44">
            <v>14.926604548033502</v>
          </cell>
          <cell r="CJ44">
            <v>22.183921622100925</v>
          </cell>
          <cell r="CU44">
            <v>9.8138919819454902</v>
          </cell>
          <cell r="CV44">
            <v>13.67289934744978</v>
          </cell>
          <cell r="CW44">
            <v>11.062153668663059</v>
          </cell>
          <cell r="CX44">
            <v>8.6510321273089765</v>
          </cell>
          <cell r="CY44">
            <v>13.473275210017142</v>
          </cell>
        </row>
        <row r="45">
          <cell r="A45">
            <v>39601</v>
          </cell>
          <cell r="CF45">
            <v>17.180099455438132</v>
          </cell>
          <cell r="CG45">
            <v>22.085252262534414</v>
          </cell>
          <cell r="CH45">
            <v>18.555263085067214</v>
          </cell>
          <cell r="CI45">
            <v>14.926604548033502</v>
          </cell>
          <cell r="CJ45">
            <v>22.183921622100925</v>
          </cell>
          <cell r="CU45">
            <v>9.5146976287035727</v>
          </cell>
          <cell r="CV45">
            <v>13.67289934744978</v>
          </cell>
          <cell r="CW45">
            <v>11.062153668663059</v>
          </cell>
          <cell r="CX45">
            <v>8.6510321273089765</v>
          </cell>
          <cell r="CY45">
            <v>13.473275210017142</v>
          </cell>
        </row>
        <row r="46">
          <cell r="A46">
            <v>39602</v>
          </cell>
          <cell r="CF46">
            <v>17.170638106721515</v>
          </cell>
          <cell r="CG46">
            <v>22.085252262534414</v>
          </cell>
          <cell r="CH46">
            <v>18.555263085067214</v>
          </cell>
          <cell r="CI46">
            <v>14.926604548033502</v>
          </cell>
          <cell r="CJ46">
            <v>22.183921622100925</v>
          </cell>
          <cell r="CU46">
            <v>9.5097204622333269</v>
          </cell>
          <cell r="CV46">
            <v>13.67289934744978</v>
          </cell>
          <cell r="CW46">
            <v>11.062153668663059</v>
          </cell>
          <cell r="CX46">
            <v>8.6510321273089765</v>
          </cell>
          <cell r="CY46">
            <v>13.473275210017142</v>
          </cell>
        </row>
        <row r="47">
          <cell r="A47">
            <v>39603</v>
          </cell>
          <cell r="CF47">
            <v>17.608809450630858</v>
          </cell>
          <cell r="CG47">
            <v>22.085252262534414</v>
          </cell>
          <cell r="CH47">
            <v>18.555263085067214</v>
          </cell>
          <cell r="CI47">
            <v>14.926604548033502</v>
          </cell>
          <cell r="CJ47">
            <v>22.183921622100925</v>
          </cell>
          <cell r="CU47">
            <v>9.7402216081532558</v>
          </cell>
          <cell r="CV47">
            <v>13.67289934744978</v>
          </cell>
          <cell r="CW47">
            <v>11.062153668663059</v>
          </cell>
          <cell r="CX47">
            <v>8.6510321273089765</v>
          </cell>
          <cell r="CY47">
            <v>13.473275210017142</v>
          </cell>
        </row>
        <row r="48">
          <cell r="A48">
            <v>39604</v>
          </cell>
          <cell r="CF48">
            <v>17.722292676391547</v>
          </cell>
          <cell r="CG48">
            <v>22.085252262534414</v>
          </cell>
          <cell r="CH48">
            <v>18.555263085067214</v>
          </cell>
          <cell r="CI48">
            <v>14.926604548033502</v>
          </cell>
          <cell r="CJ48">
            <v>22.183921622100925</v>
          </cell>
          <cell r="CU48">
            <v>9.7999197466648909</v>
          </cell>
          <cell r="CV48">
            <v>13.67289934744978</v>
          </cell>
          <cell r="CW48">
            <v>11.062153668663059</v>
          </cell>
          <cell r="CX48">
            <v>8.6510321273089765</v>
          </cell>
          <cell r="CY48">
            <v>13.473275210017142</v>
          </cell>
        </row>
        <row r="49">
          <cell r="A49">
            <v>39605</v>
          </cell>
          <cell r="CF49">
            <v>17.303039616678884</v>
          </cell>
          <cell r="CG49">
            <v>22.085252262534414</v>
          </cell>
          <cell r="CH49">
            <v>18.555263085067214</v>
          </cell>
          <cell r="CI49">
            <v>14.926604548033502</v>
          </cell>
          <cell r="CJ49">
            <v>22.183921622100925</v>
          </cell>
          <cell r="CU49">
            <v>9.5793706120911768</v>
          </cell>
          <cell r="CV49">
            <v>13.67289934744978</v>
          </cell>
          <cell r="CW49">
            <v>11.062153668663059</v>
          </cell>
          <cell r="CX49">
            <v>8.6510321273089765</v>
          </cell>
          <cell r="CY49">
            <v>13.473275210017142</v>
          </cell>
        </row>
        <row r="50">
          <cell r="A50">
            <v>39608</v>
          </cell>
          <cell r="CF50">
            <v>17.012312174083018</v>
          </cell>
          <cell r="CG50">
            <v>22.085252262534414</v>
          </cell>
          <cell r="CH50">
            <v>18.555263085067214</v>
          </cell>
          <cell r="CI50">
            <v>14.926604548033502</v>
          </cell>
          <cell r="CJ50">
            <v>22.183921622100925</v>
          </cell>
          <cell r="CU50">
            <v>9.4251490943108163</v>
          </cell>
          <cell r="CV50">
            <v>13.67289934744978</v>
          </cell>
          <cell r="CW50">
            <v>11.062153668663059</v>
          </cell>
          <cell r="CX50">
            <v>8.6510321273089765</v>
          </cell>
          <cell r="CY50">
            <v>13.473275210017142</v>
          </cell>
        </row>
        <row r="51">
          <cell r="A51">
            <v>39609</v>
          </cell>
          <cell r="CF51">
            <v>16.876745527804225</v>
          </cell>
          <cell r="CG51">
            <v>22.085252262534414</v>
          </cell>
          <cell r="CH51">
            <v>18.555263085067214</v>
          </cell>
          <cell r="CI51">
            <v>14.926604548033502</v>
          </cell>
          <cell r="CJ51">
            <v>22.183921622100925</v>
          </cell>
          <cell r="CU51">
            <v>9.3538441452190568</v>
          </cell>
          <cell r="CV51">
            <v>13.67289934744978</v>
          </cell>
          <cell r="CW51">
            <v>11.062153668663059</v>
          </cell>
          <cell r="CX51">
            <v>8.6510321273089765</v>
          </cell>
          <cell r="CY51">
            <v>13.473275210017142</v>
          </cell>
        </row>
        <row r="52">
          <cell r="A52">
            <v>39610</v>
          </cell>
          <cell r="CF52">
            <v>16.70018664363047</v>
          </cell>
          <cell r="CG52">
            <v>22.085252262534414</v>
          </cell>
          <cell r="CH52">
            <v>18.555263085067214</v>
          </cell>
          <cell r="CI52">
            <v>14.926604548033502</v>
          </cell>
          <cell r="CJ52">
            <v>22.183921622100925</v>
          </cell>
          <cell r="CU52">
            <v>9.2609782184348433</v>
          </cell>
          <cell r="CV52">
            <v>13.67289934744978</v>
          </cell>
          <cell r="CW52">
            <v>11.062153668663059</v>
          </cell>
          <cell r="CX52">
            <v>8.6510321273089765</v>
          </cell>
          <cell r="CY52">
            <v>13.473275210017142</v>
          </cell>
        </row>
        <row r="53">
          <cell r="A53">
            <v>39611</v>
          </cell>
          <cell r="CF53">
            <v>16.52993959304122</v>
          </cell>
          <cell r="CG53">
            <v>22.085252262534414</v>
          </cell>
          <cell r="CH53">
            <v>18.555263085067214</v>
          </cell>
          <cell r="CI53">
            <v>14.926604548033502</v>
          </cell>
          <cell r="CJ53">
            <v>22.183921622100925</v>
          </cell>
          <cell r="CU53">
            <v>9.1714321714645273</v>
          </cell>
          <cell r="CV53">
            <v>13.67289934744978</v>
          </cell>
          <cell r="CW53">
            <v>11.062153668663059</v>
          </cell>
          <cell r="CX53">
            <v>8.6510321273089765</v>
          </cell>
          <cell r="CY53">
            <v>13.473275210017142</v>
          </cell>
        </row>
        <row r="54">
          <cell r="A54">
            <v>39612</v>
          </cell>
          <cell r="CF54">
            <v>16.75378804597991</v>
          </cell>
          <cell r="CG54">
            <v>22.085252262534414</v>
          </cell>
          <cell r="CH54">
            <v>18.555263085067214</v>
          </cell>
          <cell r="CI54">
            <v>14.926604548033502</v>
          </cell>
          <cell r="CJ54">
            <v>22.183921622100925</v>
          </cell>
          <cell r="CU54">
            <v>9.2891713276596146</v>
          </cell>
          <cell r="CV54">
            <v>13.67289934744978</v>
          </cell>
          <cell r="CW54">
            <v>11.062153668663059</v>
          </cell>
          <cell r="CX54">
            <v>8.6510321273089765</v>
          </cell>
          <cell r="CY54">
            <v>13.473275210017142</v>
          </cell>
        </row>
        <row r="55">
          <cell r="A55">
            <v>39615</v>
          </cell>
          <cell r="CF55">
            <v>16.678119817644127</v>
          </cell>
          <cell r="CG55">
            <v>22.085252262534414</v>
          </cell>
          <cell r="CH55">
            <v>18.555263085067214</v>
          </cell>
          <cell r="CI55">
            <v>14.926604548033502</v>
          </cell>
          <cell r="CJ55">
            <v>22.183921622100925</v>
          </cell>
          <cell r="CU55">
            <v>9.2493715736828825</v>
          </cell>
          <cell r="CV55">
            <v>13.67289934744978</v>
          </cell>
          <cell r="CW55">
            <v>11.062153668663059</v>
          </cell>
          <cell r="CX55">
            <v>8.6510321273089765</v>
          </cell>
          <cell r="CY55">
            <v>13.473275210017142</v>
          </cell>
        </row>
        <row r="56">
          <cell r="A56">
            <v>39616</v>
          </cell>
          <cell r="CF56">
            <v>16.476343235114225</v>
          </cell>
          <cell r="CG56">
            <v>22.085252262534414</v>
          </cell>
          <cell r="CH56">
            <v>18.555263085067214</v>
          </cell>
          <cell r="CI56">
            <v>14.926604548033502</v>
          </cell>
          <cell r="CJ56">
            <v>22.183921622100925</v>
          </cell>
          <cell r="CU56">
            <v>9.1432417154903582</v>
          </cell>
          <cell r="CV56">
            <v>13.67289934744978</v>
          </cell>
          <cell r="CW56">
            <v>11.062153668663059</v>
          </cell>
          <cell r="CX56">
            <v>8.6510321273089765</v>
          </cell>
          <cell r="CY56">
            <v>13.473275210017142</v>
          </cell>
        </row>
        <row r="57">
          <cell r="A57">
            <v>39617</v>
          </cell>
          <cell r="CF57">
            <v>16.23988593299746</v>
          </cell>
          <cell r="CG57">
            <v>22.085252262534414</v>
          </cell>
          <cell r="CH57">
            <v>18.555263085067214</v>
          </cell>
          <cell r="CI57">
            <v>14.926604548033502</v>
          </cell>
          <cell r="CJ57">
            <v>22.183921622100925</v>
          </cell>
          <cell r="CU57">
            <v>9.0188705935911155</v>
          </cell>
          <cell r="CV57">
            <v>13.67289934744978</v>
          </cell>
          <cell r="CW57">
            <v>11.062153668663059</v>
          </cell>
          <cell r="CX57">
            <v>8.6510321273089765</v>
          </cell>
          <cell r="CY57">
            <v>13.473275210017142</v>
          </cell>
        </row>
        <row r="58">
          <cell r="A58">
            <v>39618</v>
          </cell>
          <cell r="CF58">
            <v>16.217814377865071</v>
          </cell>
          <cell r="CG58">
            <v>22.085252262534414</v>
          </cell>
          <cell r="CH58">
            <v>18.555263085067214</v>
          </cell>
          <cell r="CI58">
            <v>14.926604548033502</v>
          </cell>
          <cell r="CJ58">
            <v>22.183921622100925</v>
          </cell>
          <cell r="CU58">
            <v>9.0072614614167161</v>
          </cell>
          <cell r="CV58">
            <v>13.67289934744978</v>
          </cell>
          <cell r="CW58">
            <v>11.062153668663059</v>
          </cell>
          <cell r="CX58">
            <v>8.6510321273089765</v>
          </cell>
          <cell r="CY58">
            <v>13.473275210017142</v>
          </cell>
        </row>
        <row r="59">
          <cell r="A59">
            <v>39619</v>
          </cell>
          <cell r="CF59">
            <v>16.250855117300709</v>
          </cell>
          <cell r="CG59">
            <v>22.085252262534414</v>
          </cell>
          <cell r="CH59">
            <v>18.555263085067214</v>
          </cell>
          <cell r="CI59">
            <v>14.926604548033502</v>
          </cell>
          <cell r="CJ59">
            <v>22.183921622100925</v>
          </cell>
          <cell r="CU59">
            <v>9.0221878201544126</v>
          </cell>
          <cell r="CV59">
            <v>13.67289934744978</v>
          </cell>
          <cell r="CW59">
            <v>11.062153668663059</v>
          </cell>
          <cell r="CX59">
            <v>8.6510321273089765</v>
          </cell>
          <cell r="CY59">
            <v>13.473275210017142</v>
          </cell>
        </row>
        <row r="60">
          <cell r="A60">
            <v>39622</v>
          </cell>
          <cell r="CF60">
            <v>16.22562513600197</v>
          </cell>
          <cell r="CG60">
            <v>22.085252262534414</v>
          </cell>
          <cell r="CH60">
            <v>18.555263085067214</v>
          </cell>
          <cell r="CI60">
            <v>14.926604548033502</v>
          </cell>
          <cell r="CJ60">
            <v>22.183921622100925</v>
          </cell>
          <cell r="CU60">
            <v>9.0089212354955013</v>
          </cell>
          <cell r="CV60">
            <v>13.67289934744978</v>
          </cell>
          <cell r="CW60">
            <v>11.062153668663059</v>
          </cell>
          <cell r="CX60">
            <v>8.6510321273089765</v>
          </cell>
          <cell r="CY60">
            <v>13.473275210017142</v>
          </cell>
        </row>
        <row r="61">
          <cell r="A61">
            <v>39623</v>
          </cell>
          <cell r="CF61">
            <v>16.143626908363846</v>
          </cell>
          <cell r="CG61">
            <v>22.085252262534414</v>
          </cell>
          <cell r="CH61">
            <v>18.555263085067214</v>
          </cell>
          <cell r="CI61">
            <v>14.926604548033502</v>
          </cell>
          <cell r="CJ61">
            <v>22.183921622100925</v>
          </cell>
          <cell r="CU61">
            <v>8.965804420783634</v>
          </cell>
          <cell r="CV61">
            <v>13.67289934744978</v>
          </cell>
          <cell r="CW61">
            <v>11.062153668663059</v>
          </cell>
          <cell r="CX61">
            <v>8.6510321273089765</v>
          </cell>
          <cell r="CY61">
            <v>13.473275210017142</v>
          </cell>
        </row>
        <row r="62">
          <cell r="A62">
            <v>39624</v>
          </cell>
          <cell r="CF62">
            <v>16.528374819846668</v>
          </cell>
          <cell r="CG62">
            <v>22.085252262534414</v>
          </cell>
          <cell r="CH62">
            <v>18.555263085067214</v>
          </cell>
          <cell r="CI62">
            <v>14.926604548033502</v>
          </cell>
          <cell r="CJ62">
            <v>22.183921622100925</v>
          </cell>
          <cell r="CU62">
            <v>9.168114944901232</v>
          </cell>
          <cell r="CV62">
            <v>13.67289934744978</v>
          </cell>
          <cell r="CW62">
            <v>11.062153668663059</v>
          </cell>
          <cell r="CX62">
            <v>8.6510321273089765</v>
          </cell>
          <cell r="CY62">
            <v>13.473275210017142</v>
          </cell>
        </row>
        <row r="63">
          <cell r="A63">
            <v>39625</v>
          </cell>
          <cell r="CF63">
            <v>16.446381007344893</v>
          </cell>
          <cell r="CG63">
            <v>22.085252262534414</v>
          </cell>
          <cell r="CH63">
            <v>18.555263085067214</v>
          </cell>
          <cell r="CI63">
            <v>14.926604548033502</v>
          </cell>
          <cell r="CJ63">
            <v>22.183921622100925</v>
          </cell>
          <cell r="CU63">
            <v>9.1250004517836398</v>
          </cell>
          <cell r="CV63">
            <v>13.67289934744978</v>
          </cell>
          <cell r="CW63">
            <v>11.062153668663059</v>
          </cell>
          <cell r="CX63">
            <v>8.6510321273089765</v>
          </cell>
          <cell r="CY63">
            <v>13.473275210017142</v>
          </cell>
        </row>
        <row r="64">
          <cell r="A64">
            <v>39626</v>
          </cell>
          <cell r="CF64">
            <v>16.213007937784422</v>
          </cell>
          <cell r="CG64">
            <v>22.085252262534414</v>
          </cell>
          <cell r="CH64">
            <v>18.555263085067214</v>
          </cell>
          <cell r="CI64">
            <v>14.926604548033502</v>
          </cell>
          <cell r="CJ64">
            <v>22.183921622100925</v>
          </cell>
          <cell r="CU64">
            <v>9.002286782368909</v>
          </cell>
          <cell r="CV64">
            <v>13.67289934744978</v>
          </cell>
          <cell r="CW64">
            <v>11.062153668663059</v>
          </cell>
          <cell r="CX64">
            <v>8.6510321273089765</v>
          </cell>
          <cell r="CY64">
            <v>13.473275210017142</v>
          </cell>
        </row>
        <row r="65">
          <cell r="A65">
            <v>39629</v>
          </cell>
          <cell r="CF65">
            <v>16.263467900381908</v>
          </cell>
          <cell r="CG65">
            <v>22.085252262534414</v>
          </cell>
          <cell r="CH65">
            <v>18.555263085067214</v>
          </cell>
          <cell r="CI65">
            <v>14.926604548033502</v>
          </cell>
          <cell r="CJ65">
            <v>22.183921622100925</v>
          </cell>
          <cell r="CU65">
            <v>9.0288199516867298</v>
          </cell>
          <cell r="CV65">
            <v>13.67289934744978</v>
          </cell>
          <cell r="CW65">
            <v>11.062153668663059</v>
          </cell>
          <cell r="CX65">
            <v>8.6510321273089765</v>
          </cell>
          <cell r="CY65">
            <v>13.473275210017142</v>
          </cell>
        </row>
        <row r="66">
          <cell r="A66">
            <v>39630</v>
          </cell>
          <cell r="CF66">
            <v>15.769380494541293</v>
          </cell>
          <cell r="CG66">
            <v>22.085252262534414</v>
          </cell>
          <cell r="CH66">
            <v>18.555263085067214</v>
          </cell>
          <cell r="CI66">
            <v>14.926604548033502</v>
          </cell>
          <cell r="CJ66">
            <v>22.183921622100925</v>
          </cell>
          <cell r="CU66">
            <v>8.7747072305340783</v>
          </cell>
          <cell r="CV66">
            <v>13.67289934744978</v>
          </cell>
          <cell r="CW66">
            <v>11.062153668663059</v>
          </cell>
          <cell r="CX66">
            <v>8.6510321273089765</v>
          </cell>
          <cell r="CY66">
            <v>13.473275210017142</v>
          </cell>
        </row>
        <row r="67">
          <cell r="A67">
            <v>39631</v>
          </cell>
          <cell r="CF67">
            <v>15.650859061157769</v>
          </cell>
          <cell r="CG67">
            <v>22.085252262534414</v>
          </cell>
          <cell r="CH67">
            <v>18.555263085067214</v>
          </cell>
          <cell r="CI67">
            <v>14.926604548033502</v>
          </cell>
          <cell r="CJ67">
            <v>22.183921622100925</v>
          </cell>
          <cell r="CU67">
            <v>8.7123077302282219</v>
          </cell>
          <cell r="CV67">
            <v>13.67289934744978</v>
          </cell>
          <cell r="CW67">
            <v>11.062153668663059</v>
          </cell>
          <cell r="CX67">
            <v>8.6510321273089765</v>
          </cell>
          <cell r="CY67">
            <v>13.473275210017142</v>
          </cell>
        </row>
        <row r="68">
          <cell r="A68">
            <v>39632</v>
          </cell>
          <cell r="CF68">
            <v>15.710119933796733</v>
          </cell>
          <cell r="CG68">
            <v>22.085252262534414</v>
          </cell>
          <cell r="CH68">
            <v>18.555263085067214</v>
          </cell>
          <cell r="CI68">
            <v>14.926604548033502</v>
          </cell>
          <cell r="CJ68">
            <v>22.183921622100925</v>
          </cell>
          <cell r="CU68">
            <v>8.7435075624846768</v>
          </cell>
          <cell r="CV68">
            <v>13.67289934744978</v>
          </cell>
          <cell r="CW68">
            <v>11.062153668663059</v>
          </cell>
          <cell r="CX68">
            <v>8.6510321273089765</v>
          </cell>
          <cell r="CY68">
            <v>13.473275210017142</v>
          </cell>
        </row>
        <row r="69">
          <cell r="A69">
            <v>39633</v>
          </cell>
          <cell r="CF69">
            <v>15.710119933796733</v>
          </cell>
          <cell r="CG69">
            <v>22.085252262534414</v>
          </cell>
          <cell r="CH69">
            <v>18.555263085067214</v>
          </cell>
          <cell r="CI69">
            <v>14.926604548033502</v>
          </cell>
          <cell r="CJ69">
            <v>22.183921622100925</v>
          </cell>
          <cell r="CU69">
            <v>8.7435075624846768</v>
          </cell>
          <cell r="CV69">
            <v>13.67289934744978</v>
          </cell>
          <cell r="CW69">
            <v>11.062153668663059</v>
          </cell>
          <cell r="CX69">
            <v>8.6510321273089765</v>
          </cell>
          <cell r="CY69">
            <v>13.473275210017142</v>
          </cell>
        </row>
        <row r="70">
          <cell r="A70">
            <v>39636</v>
          </cell>
          <cell r="CF70">
            <v>15.423177393063296</v>
          </cell>
          <cell r="CG70">
            <v>22.085252262534414</v>
          </cell>
          <cell r="CH70">
            <v>18.555263085067214</v>
          </cell>
          <cell r="CI70">
            <v>14.926604548033502</v>
          </cell>
          <cell r="CJ70">
            <v>22.183921622100925</v>
          </cell>
          <cell r="CU70">
            <v>8.5924372400365812</v>
          </cell>
          <cell r="CV70">
            <v>13.67289934744978</v>
          </cell>
          <cell r="CW70">
            <v>11.062153668663059</v>
          </cell>
          <cell r="CX70">
            <v>8.6510321273089765</v>
          </cell>
          <cell r="CY70">
            <v>13.473275210017142</v>
          </cell>
        </row>
        <row r="71">
          <cell r="A71">
            <v>39637</v>
          </cell>
          <cell r="CF71">
            <v>16.081274899571557</v>
          </cell>
          <cell r="CG71">
            <v>22.085252262534414</v>
          </cell>
          <cell r="CH71">
            <v>18.555263085067214</v>
          </cell>
          <cell r="CI71">
            <v>14.926604548033502</v>
          </cell>
          <cell r="CJ71">
            <v>22.183921622100925</v>
          </cell>
          <cell r="CU71">
            <v>8.9389142812461913</v>
          </cell>
          <cell r="CV71">
            <v>13.67289934744978</v>
          </cell>
          <cell r="CW71">
            <v>11.062153668663059</v>
          </cell>
          <cell r="CX71">
            <v>8.6510321273089765</v>
          </cell>
          <cell r="CY71">
            <v>13.473275210017142</v>
          </cell>
        </row>
        <row r="72">
          <cell r="A72">
            <v>39638</v>
          </cell>
          <cell r="CF72">
            <v>16.02825347450522</v>
          </cell>
          <cell r="CG72">
            <v>22.085252262534414</v>
          </cell>
          <cell r="CH72">
            <v>18.555263085067214</v>
          </cell>
          <cell r="CI72">
            <v>14.926604548033502</v>
          </cell>
          <cell r="CJ72">
            <v>22.183921622100925</v>
          </cell>
          <cell r="CU72">
            <v>8.9109994110392332</v>
          </cell>
          <cell r="CV72">
            <v>13.67289934744978</v>
          </cell>
          <cell r="CW72">
            <v>11.062153668663059</v>
          </cell>
          <cell r="CX72">
            <v>8.6510321273089765</v>
          </cell>
          <cell r="CY72">
            <v>13.473275210017142</v>
          </cell>
        </row>
        <row r="73">
          <cell r="A73">
            <v>39639</v>
          </cell>
          <cell r="CF73">
            <v>16.015774891254367</v>
          </cell>
          <cell r="CG73">
            <v>22.085252262534414</v>
          </cell>
          <cell r="CH73">
            <v>18.555263085067214</v>
          </cell>
          <cell r="CI73">
            <v>14.926604548033502</v>
          </cell>
          <cell r="CJ73">
            <v>22.183921622100925</v>
          </cell>
          <cell r="CU73">
            <v>8.9044296511472947</v>
          </cell>
          <cell r="CV73">
            <v>13.67289934744978</v>
          </cell>
          <cell r="CW73">
            <v>11.062153668663059</v>
          </cell>
          <cell r="CX73">
            <v>8.6510321273089765</v>
          </cell>
          <cell r="CY73">
            <v>13.473275210017142</v>
          </cell>
        </row>
        <row r="74">
          <cell r="A74">
            <v>39640</v>
          </cell>
          <cell r="CF74">
            <v>16.124939804381388</v>
          </cell>
          <cell r="CG74">
            <v>22.085252262534414</v>
          </cell>
          <cell r="CH74">
            <v>18.555263085067214</v>
          </cell>
          <cell r="CI74">
            <v>14.926604548033502</v>
          </cell>
          <cell r="CJ74">
            <v>22.183921622100925</v>
          </cell>
          <cell r="CU74">
            <v>8.9619031041388375</v>
          </cell>
          <cell r="CV74">
            <v>13.67289934744978</v>
          </cell>
          <cell r="CW74">
            <v>11.062153668663059</v>
          </cell>
          <cell r="CX74">
            <v>8.6510321273089765</v>
          </cell>
          <cell r="CY74">
            <v>13.473275210017142</v>
          </cell>
        </row>
        <row r="75">
          <cell r="A75">
            <v>39643</v>
          </cell>
          <cell r="CF75">
            <v>15.925327697056424</v>
          </cell>
          <cell r="CG75">
            <v>22.085252262534414</v>
          </cell>
          <cell r="CH75">
            <v>18.555263085067214</v>
          </cell>
          <cell r="CI75">
            <v>14.926604548033502</v>
          </cell>
          <cell r="CJ75">
            <v>22.183921622100925</v>
          </cell>
          <cell r="CU75">
            <v>8.8568107558901357</v>
          </cell>
          <cell r="CV75">
            <v>13.67289934744978</v>
          </cell>
          <cell r="CW75">
            <v>11.062153668663059</v>
          </cell>
          <cell r="CX75">
            <v>8.6510321273089765</v>
          </cell>
          <cell r="CY75">
            <v>13.473275210017142</v>
          </cell>
        </row>
        <row r="76">
          <cell r="A76">
            <v>39644</v>
          </cell>
          <cell r="CF76">
            <v>16.047763128785633</v>
          </cell>
          <cell r="CG76">
            <v>22.085252262534414</v>
          </cell>
          <cell r="CH76">
            <v>18.555263085067214</v>
          </cell>
          <cell r="CI76">
            <v>14.926604548033502</v>
          </cell>
          <cell r="CJ76">
            <v>22.183921622100925</v>
          </cell>
          <cell r="CU76">
            <v>8.9594310674977145</v>
          </cell>
          <cell r="CV76">
            <v>13.67289934744978</v>
          </cell>
          <cell r="CW76">
            <v>11.062153668663059</v>
          </cell>
          <cell r="CX76">
            <v>8.6510321273089765</v>
          </cell>
          <cell r="CY76">
            <v>13.473275210017142</v>
          </cell>
        </row>
        <row r="77">
          <cell r="A77">
            <v>39645</v>
          </cell>
          <cell r="CF77">
            <v>16.166170692111987</v>
          </cell>
          <cell r="CG77">
            <v>22.085252262534414</v>
          </cell>
          <cell r="CH77">
            <v>18.555263085067214</v>
          </cell>
          <cell r="CI77">
            <v>14.926604548033502</v>
          </cell>
          <cell r="CJ77">
            <v>22.183921622100925</v>
          </cell>
          <cell r="CU77">
            <v>9.0220403249904244</v>
          </cell>
          <cell r="CV77">
            <v>13.67289934744978</v>
          </cell>
          <cell r="CW77">
            <v>11.062153668663059</v>
          </cell>
          <cell r="CX77">
            <v>8.6510321273089765</v>
          </cell>
          <cell r="CY77">
            <v>13.473275210017142</v>
          </cell>
        </row>
        <row r="78">
          <cell r="A78">
            <v>39646</v>
          </cell>
          <cell r="CF78">
            <v>16.823661881422684</v>
          </cell>
          <cell r="CG78">
            <v>22.085252262534414</v>
          </cell>
          <cell r="CH78">
            <v>18.555263085067214</v>
          </cell>
          <cell r="CI78">
            <v>14.926604548033502</v>
          </cell>
          <cell r="CJ78">
            <v>22.183921622100925</v>
          </cell>
          <cell r="CU78">
            <v>9.3696957788678272</v>
          </cell>
          <cell r="CV78">
            <v>13.67289934744978</v>
          </cell>
          <cell r="CW78">
            <v>11.062153668663059</v>
          </cell>
          <cell r="CX78">
            <v>8.6510321273089765</v>
          </cell>
          <cell r="CY78">
            <v>13.473275210017142</v>
          </cell>
        </row>
        <row r="79">
          <cell r="A79">
            <v>39647</v>
          </cell>
          <cell r="CF79">
            <v>16.904682519157678</v>
          </cell>
          <cell r="CG79">
            <v>22.085252262534414</v>
          </cell>
          <cell r="CH79">
            <v>18.555263085067214</v>
          </cell>
          <cell r="CI79">
            <v>14.926604548033502</v>
          </cell>
          <cell r="CJ79">
            <v>22.183921622100925</v>
          </cell>
          <cell r="CU79">
            <v>9.4125363021221791</v>
          </cell>
          <cell r="CV79">
            <v>13.67289934744978</v>
          </cell>
          <cell r="CW79">
            <v>11.062153668663059</v>
          </cell>
          <cell r="CX79">
            <v>8.6510321273089765</v>
          </cell>
          <cell r="CY79">
            <v>13.473275210017142</v>
          </cell>
        </row>
        <row r="80">
          <cell r="A80">
            <v>39650</v>
          </cell>
          <cell r="CF80">
            <v>16.811199469023212</v>
          </cell>
          <cell r="CG80">
            <v>22.085252262534414</v>
          </cell>
          <cell r="CH80">
            <v>18.555263085067214</v>
          </cell>
          <cell r="CI80">
            <v>14.926604548033502</v>
          </cell>
          <cell r="CJ80">
            <v>22.183921622100925</v>
          </cell>
          <cell r="CU80">
            <v>9.3631061458665279</v>
          </cell>
          <cell r="CV80">
            <v>13.67289934744978</v>
          </cell>
          <cell r="CW80">
            <v>11.062153668663059</v>
          </cell>
          <cell r="CX80">
            <v>8.6510321273089765</v>
          </cell>
          <cell r="CY80">
            <v>13.473275210017142</v>
          </cell>
        </row>
        <row r="81">
          <cell r="A81">
            <v>39651</v>
          </cell>
          <cell r="CF81">
            <v>17.032437982408315</v>
          </cell>
          <cell r="CG81">
            <v>22.085252262534414</v>
          </cell>
          <cell r="CH81">
            <v>18.555263085067214</v>
          </cell>
          <cell r="CI81">
            <v>14.926604548033502</v>
          </cell>
          <cell r="CJ81">
            <v>22.183921622100925</v>
          </cell>
          <cell r="CU81">
            <v>9.4800883610452544</v>
          </cell>
          <cell r="CV81">
            <v>13.67289934744978</v>
          </cell>
          <cell r="CW81">
            <v>11.062153668663059</v>
          </cell>
          <cell r="CX81">
            <v>8.6510321273089765</v>
          </cell>
          <cell r="CY81">
            <v>13.473275210017142</v>
          </cell>
        </row>
        <row r="82">
          <cell r="A82">
            <v>39652</v>
          </cell>
          <cell r="CF82">
            <v>17.001280081767337</v>
          </cell>
          <cell r="CG82">
            <v>22.085252262534414</v>
          </cell>
          <cell r="CH82">
            <v>18.555263085067214</v>
          </cell>
          <cell r="CI82">
            <v>14.926604548033502</v>
          </cell>
          <cell r="CJ82">
            <v>22.183921622100925</v>
          </cell>
          <cell r="CU82">
            <v>9.4636132899487677</v>
          </cell>
          <cell r="CV82">
            <v>13.67289934744978</v>
          </cell>
          <cell r="CW82">
            <v>11.062153668663059</v>
          </cell>
          <cell r="CX82">
            <v>8.6510321273089765</v>
          </cell>
          <cell r="CY82">
            <v>13.473275210017142</v>
          </cell>
        </row>
        <row r="83">
          <cell r="A83">
            <v>39653</v>
          </cell>
          <cell r="CF83">
            <v>16.854824456169425</v>
          </cell>
          <cell r="CG83">
            <v>22.085252262534414</v>
          </cell>
          <cell r="CH83">
            <v>18.555263085067214</v>
          </cell>
          <cell r="CI83">
            <v>14.926604548033502</v>
          </cell>
          <cell r="CJ83">
            <v>22.183921622100925</v>
          </cell>
          <cell r="CU83">
            <v>9.3861733214474086</v>
          </cell>
          <cell r="CV83">
            <v>13.67289934744978</v>
          </cell>
          <cell r="CW83">
            <v>11.062153668663059</v>
          </cell>
          <cell r="CX83">
            <v>8.6510321273089765</v>
          </cell>
          <cell r="CY83">
            <v>13.473275210017142</v>
          </cell>
        </row>
        <row r="84">
          <cell r="A84">
            <v>39654</v>
          </cell>
          <cell r="CF84">
            <v>16.636700455259511</v>
          </cell>
          <cell r="CG84">
            <v>22.085252262534414</v>
          </cell>
          <cell r="CH84">
            <v>18.555263085067214</v>
          </cell>
          <cell r="CI84">
            <v>14.926604548033502</v>
          </cell>
          <cell r="CJ84">
            <v>22.183921622100925</v>
          </cell>
          <cell r="CU84">
            <v>9.2708379378396195</v>
          </cell>
          <cell r="CV84">
            <v>13.67289934744978</v>
          </cell>
          <cell r="CW84">
            <v>11.062153668663059</v>
          </cell>
          <cell r="CX84">
            <v>8.6510321273089765</v>
          </cell>
          <cell r="CY84">
            <v>13.473275210017142</v>
          </cell>
        </row>
        <row r="85">
          <cell r="A85">
            <v>39657</v>
          </cell>
          <cell r="CF85">
            <v>16.424805167692924</v>
          </cell>
          <cell r="CG85">
            <v>22.085252262534414</v>
          </cell>
          <cell r="CH85">
            <v>18.555263085067214</v>
          </cell>
          <cell r="CI85">
            <v>14.926604548033502</v>
          </cell>
          <cell r="CJ85">
            <v>22.183921622100925</v>
          </cell>
          <cell r="CU85">
            <v>9.1587960526081602</v>
          </cell>
          <cell r="CV85">
            <v>13.67289934744978</v>
          </cell>
          <cell r="CW85">
            <v>11.062153668663059</v>
          </cell>
          <cell r="CX85">
            <v>8.6510321273089765</v>
          </cell>
          <cell r="CY85">
            <v>13.473275210017142</v>
          </cell>
        </row>
        <row r="86">
          <cell r="A86">
            <v>39658</v>
          </cell>
          <cell r="CF86">
            <v>16.683439643273861</v>
          </cell>
          <cell r="CG86">
            <v>22.085252262534414</v>
          </cell>
          <cell r="CH86">
            <v>18.555263085067214</v>
          </cell>
          <cell r="CI86">
            <v>14.926604548033502</v>
          </cell>
          <cell r="CJ86">
            <v>22.183921622100925</v>
          </cell>
          <cell r="CU86">
            <v>9.2955517802258978</v>
          </cell>
          <cell r="CV86">
            <v>13.67289934744978</v>
          </cell>
          <cell r="CW86">
            <v>11.062153668663059</v>
          </cell>
          <cell r="CX86">
            <v>8.6510321273089765</v>
          </cell>
          <cell r="CY86">
            <v>13.473275210017142</v>
          </cell>
        </row>
        <row r="87">
          <cell r="A87">
            <v>39659</v>
          </cell>
          <cell r="CF87">
            <v>16.624233368754279</v>
          </cell>
          <cell r="CG87">
            <v>22.085252262534414</v>
          </cell>
          <cell r="CH87">
            <v>18.555263085067214</v>
          </cell>
          <cell r="CI87">
            <v>14.926604548033502</v>
          </cell>
          <cell r="CJ87">
            <v>22.183921622100925</v>
          </cell>
          <cell r="CU87">
            <v>9.2642458333552238</v>
          </cell>
          <cell r="CV87">
            <v>13.67289934744978</v>
          </cell>
          <cell r="CW87">
            <v>11.062153668663059</v>
          </cell>
          <cell r="CX87">
            <v>8.6510321273089765</v>
          </cell>
          <cell r="CY87">
            <v>13.473275210017142</v>
          </cell>
        </row>
        <row r="88">
          <cell r="A88">
            <v>39660</v>
          </cell>
          <cell r="CF88">
            <v>16.689673030722954</v>
          </cell>
          <cell r="CG88">
            <v>22.085252262534414</v>
          </cell>
          <cell r="CH88">
            <v>18.555263085067214</v>
          </cell>
          <cell r="CI88">
            <v>14.926604548033502</v>
          </cell>
          <cell r="CJ88">
            <v>22.183921622100925</v>
          </cell>
          <cell r="CU88">
            <v>9.2117373383028927</v>
          </cell>
          <cell r="CV88">
            <v>13.67289934744978</v>
          </cell>
          <cell r="CW88">
            <v>11.062153668663059</v>
          </cell>
          <cell r="CX88">
            <v>8.6510321273089765</v>
          </cell>
          <cell r="CY88">
            <v>13.473275210017142</v>
          </cell>
        </row>
        <row r="89">
          <cell r="A89">
            <v>39661</v>
          </cell>
          <cell r="CF89">
            <v>16.266098878913642</v>
          </cell>
          <cell r="CG89">
            <v>22.085252262534414</v>
          </cell>
          <cell r="CH89">
            <v>18.555263085067214</v>
          </cell>
          <cell r="CI89">
            <v>14.926604548033502</v>
          </cell>
          <cell r="CJ89">
            <v>22.183921622100925</v>
          </cell>
          <cell r="CU89">
            <v>8.9943139264432581</v>
          </cell>
          <cell r="CV89">
            <v>13.67289934744978</v>
          </cell>
          <cell r="CW89">
            <v>11.062153668663059</v>
          </cell>
          <cell r="CX89">
            <v>8.6510321273089765</v>
          </cell>
          <cell r="CY89">
            <v>13.473275210017142</v>
          </cell>
        </row>
        <row r="90">
          <cell r="A90">
            <v>39664</v>
          </cell>
          <cell r="CF90">
            <v>16.481869322509407</v>
          </cell>
          <cell r="CG90">
            <v>22.085252262534414</v>
          </cell>
          <cell r="CH90">
            <v>18.555263085067214</v>
          </cell>
          <cell r="CI90">
            <v>14.926604548033502</v>
          </cell>
          <cell r="CJ90">
            <v>22.183921622100925</v>
          </cell>
          <cell r="CU90">
            <v>9.1073974447667041</v>
          </cell>
          <cell r="CV90">
            <v>13.67289934744978</v>
          </cell>
          <cell r="CW90">
            <v>11.062153668663059</v>
          </cell>
          <cell r="CX90">
            <v>8.6510321273089765</v>
          </cell>
          <cell r="CY90">
            <v>13.473275210017142</v>
          </cell>
        </row>
        <row r="91">
          <cell r="A91">
            <v>39665</v>
          </cell>
          <cell r="CF91">
            <v>18.063107913848036</v>
          </cell>
          <cell r="CG91">
            <v>22.085252262534414</v>
          </cell>
          <cell r="CH91">
            <v>18.555263085067214</v>
          </cell>
          <cell r="CI91">
            <v>14.926604548033502</v>
          </cell>
          <cell r="CJ91">
            <v>22.183921622100925</v>
          </cell>
          <cell r="CU91">
            <v>9.7851939381953894</v>
          </cell>
          <cell r="CV91">
            <v>13.67289934744978</v>
          </cell>
          <cell r="CW91">
            <v>11.062153668663059</v>
          </cell>
          <cell r="CX91">
            <v>8.6510321273089765</v>
          </cell>
          <cell r="CY91">
            <v>13.473275210017142</v>
          </cell>
        </row>
        <row r="92">
          <cell r="A92">
            <v>39666</v>
          </cell>
          <cell r="CF92">
            <v>18.064493943172373</v>
          </cell>
          <cell r="CG92">
            <v>22.085252262534414</v>
          </cell>
          <cell r="CH92">
            <v>18.555263085067214</v>
          </cell>
          <cell r="CI92">
            <v>14.926604548033502</v>
          </cell>
          <cell r="CJ92">
            <v>22.183921622100925</v>
          </cell>
          <cell r="CU92">
            <v>9.7094809222112222</v>
          </cell>
          <cell r="CV92">
            <v>13.67289934744978</v>
          </cell>
          <cell r="CW92">
            <v>11.062153668663059</v>
          </cell>
          <cell r="CX92">
            <v>8.6510321273089765</v>
          </cell>
          <cell r="CY92">
            <v>13.473275210017142</v>
          </cell>
        </row>
        <row r="93">
          <cell r="A93">
            <v>39667</v>
          </cell>
          <cell r="CF93">
            <v>17.907813919291172</v>
          </cell>
          <cell r="CG93">
            <v>22.085252262534414</v>
          </cell>
          <cell r="CH93">
            <v>18.555263085067214</v>
          </cell>
          <cell r="CI93">
            <v>14.926604548033502</v>
          </cell>
          <cell r="CJ93">
            <v>22.183921622100925</v>
          </cell>
          <cell r="CU93">
            <v>9.6286177841480391</v>
          </cell>
          <cell r="CV93">
            <v>13.67289934744978</v>
          </cell>
          <cell r="CW93">
            <v>11.062153668663059</v>
          </cell>
          <cell r="CX93">
            <v>8.6510321273089765</v>
          </cell>
          <cell r="CY93">
            <v>13.473275210017142</v>
          </cell>
        </row>
        <row r="94">
          <cell r="A94">
            <v>39668</v>
          </cell>
          <cell r="CF94">
            <v>18.37478855628596</v>
          </cell>
          <cell r="CG94">
            <v>22.085252262534414</v>
          </cell>
          <cell r="CH94">
            <v>18.555263085067214</v>
          </cell>
          <cell r="CI94">
            <v>14.926604548033502</v>
          </cell>
          <cell r="CJ94">
            <v>22.183921622100925</v>
          </cell>
          <cell r="CU94">
            <v>9.8696251162119246</v>
          </cell>
          <cell r="CV94">
            <v>13.67289934744978</v>
          </cell>
          <cell r="CW94">
            <v>11.062153668663059</v>
          </cell>
          <cell r="CX94">
            <v>8.6510321273089765</v>
          </cell>
          <cell r="CY94">
            <v>13.473275210017142</v>
          </cell>
        </row>
        <row r="95">
          <cell r="A95">
            <v>39671</v>
          </cell>
          <cell r="CF95">
            <v>18.420869615086723</v>
          </cell>
          <cell r="CG95">
            <v>22.085252262534414</v>
          </cell>
          <cell r="CH95">
            <v>18.555263085067214</v>
          </cell>
          <cell r="CI95">
            <v>14.926604548033502</v>
          </cell>
          <cell r="CJ95">
            <v>22.183921622100925</v>
          </cell>
          <cell r="CU95">
            <v>9.8934077205771711</v>
          </cell>
          <cell r="CV95">
            <v>13.67289934744978</v>
          </cell>
          <cell r="CW95">
            <v>11.062153668663059</v>
          </cell>
          <cell r="CX95">
            <v>8.6510321273089765</v>
          </cell>
          <cell r="CY95">
            <v>13.473275210017142</v>
          </cell>
        </row>
        <row r="96">
          <cell r="A96">
            <v>39672</v>
          </cell>
          <cell r="CF96">
            <v>18.228728338609354</v>
          </cell>
          <cell r="CG96">
            <v>22.085252262534414</v>
          </cell>
          <cell r="CH96">
            <v>18.555263085067214</v>
          </cell>
          <cell r="CI96">
            <v>14.926604548033502</v>
          </cell>
          <cell r="CJ96">
            <v>22.183921622100925</v>
          </cell>
          <cell r="CU96">
            <v>9.7998597023559277</v>
          </cell>
          <cell r="CV96">
            <v>13.67289934744978</v>
          </cell>
          <cell r="CW96">
            <v>11.062153668663059</v>
          </cell>
          <cell r="CX96">
            <v>8.6510321273089765</v>
          </cell>
          <cell r="CY96">
            <v>13.473275210017142</v>
          </cell>
        </row>
        <row r="97">
          <cell r="A97">
            <v>39673</v>
          </cell>
          <cell r="CF97">
            <v>18.348472086332183</v>
          </cell>
          <cell r="CG97">
            <v>22.085252262534414</v>
          </cell>
          <cell r="CH97">
            <v>18.555263085067214</v>
          </cell>
          <cell r="CI97">
            <v>14.926604548033502</v>
          </cell>
          <cell r="CJ97">
            <v>22.183921622100925</v>
          </cell>
          <cell r="CU97">
            <v>9.8616967886383193</v>
          </cell>
          <cell r="CV97">
            <v>13.67289934744978</v>
          </cell>
          <cell r="CW97">
            <v>11.062153668663059</v>
          </cell>
          <cell r="CX97">
            <v>8.6510321273089765</v>
          </cell>
          <cell r="CY97">
            <v>13.473275210017142</v>
          </cell>
        </row>
        <row r="98">
          <cell r="A98">
            <v>39674</v>
          </cell>
          <cell r="CF98">
            <v>18.36068666084946</v>
          </cell>
          <cell r="CG98">
            <v>22.085252262534414</v>
          </cell>
          <cell r="CH98">
            <v>18.555263085067214</v>
          </cell>
          <cell r="CI98">
            <v>14.926604548033502</v>
          </cell>
          <cell r="CJ98">
            <v>22.183921622100925</v>
          </cell>
          <cell r="CU98">
            <v>9.8314155996077126</v>
          </cell>
          <cell r="CV98">
            <v>13.67289934744978</v>
          </cell>
          <cell r="CW98">
            <v>11.062153668663059</v>
          </cell>
          <cell r="CX98">
            <v>8.6510321273089765</v>
          </cell>
          <cell r="CY98">
            <v>13.473275210017142</v>
          </cell>
        </row>
        <row r="99">
          <cell r="A99">
            <v>39675</v>
          </cell>
          <cell r="CF99">
            <v>18.43129165383489</v>
          </cell>
          <cell r="CG99">
            <v>22.085252262534414</v>
          </cell>
          <cell r="CH99">
            <v>18.555263085067214</v>
          </cell>
          <cell r="CI99">
            <v>14.926604548033502</v>
          </cell>
          <cell r="CJ99">
            <v>22.183921622100925</v>
          </cell>
          <cell r="CU99">
            <v>9.8677419029879676</v>
          </cell>
          <cell r="CV99">
            <v>13.67289934744978</v>
          </cell>
          <cell r="CW99">
            <v>11.062153668663059</v>
          </cell>
          <cell r="CX99">
            <v>8.6510321273089765</v>
          </cell>
          <cell r="CY99">
            <v>13.473275210017142</v>
          </cell>
        </row>
        <row r="100">
          <cell r="A100">
            <v>39678</v>
          </cell>
          <cell r="CF100">
            <v>18.240963375838735</v>
          </cell>
          <cell r="CG100">
            <v>22.085252262534414</v>
          </cell>
          <cell r="CH100">
            <v>18.555263085067214</v>
          </cell>
          <cell r="CI100">
            <v>14.926604548033502</v>
          </cell>
          <cell r="CJ100">
            <v>22.183921622100925</v>
          </cell>
          <cell r="CU100">
            <v>9.7700653905029018</v>
          </cell>
          <cell r="CV100">
            <v>13.67289934744978</v>
          </cell>
          <cell r="CW100">
            <v>11.062153668663059</v>
          </cell>
          <cell r="CX100">
            <v>8.6510321273089765</v>
          </cell>
          <cell r="CY100">
            <v>13.473275210017142</v>
          </cell>
        </row>
        <row r="101">
          <cell r="A101">
            <v>39679</v>
          </cell>
          <cell r="CF101">
            <v>18.139658184030274</v>
          </cell>
          <cell r="CG101">
            <v>22.085252262534414</v>
          </cell>
          <cell r="CH101">
            <v>18.555263085067214</v>
          </cell>
          <cell r="CI101">
            <v>14.926604548033502</v>
          </cell>
          <cell r="CJ101">
            <v>22.183921622100925</v>
          </cell>
          <cell r="CU101">
            <v>9.7179424995388253</v>
          </cell>
          <cell r="CV101">
            <v>13.67289934744978</v>
          </cell>
          <cell r="CW101">
            <v>11.062153668663059</v>
          </cell>
          <cell r="CX101">
            <v>8.6510321273089765</v>
          </cell>
          <cell r="CY101">
            <v>13.473275210017142</v>
          </cell>
        </row>
        <row r="102">
          <cell r="A102">
            <v>39680</v>
          </cell>
          <cell r="CF102">
            <v>18.148809204808771</v>
          </cell>
          <cell r="CG102">
            <v>22.085252262534414</v>
          </cell>
          <cell r="CH102">
            <v>18.555263085067214</v>
          </cell>
          <cell r="CI102">
            <v>14.926604548033502</v>
          </cell>
          <cell r="CJ102">
            <v>22.183921622100925</v>
          </cell>
          <cell r="CU102">
            <v>9.6894549742500775</v>
          </cell>
          <cell r="CV102">
            <v>13.67289934744978</v>
          </cell>
          <cell r="CW102">
            <v>11.062153668663059</v>
          </cell>
          <cell r="CX102">
            <v>8.6510321273089765</v>
          </cell>
          <cell r="CY102">
            <v>13.473275210017142</v>
          </cell>
        </row>
        <row r="103">
          <cell r="A103">
            <v>39681</v>
          </cell>
          <cell r="CF103">
            <v>17.986191562262089</v>
          </cell>
          <cell r="CG103">
            <v>22.085252262534414</v>
          </cell>
          <cell r="CH103">
            <v>18.555263085067214</v>
          </cell>
          <cell r="CI103">
            <v>14.926604548033502</v>
          </cell>
          <cell r="CJ103">
            <v>22.183921622100925</v>
          </cell>
          <cell r="CU103">
            <v>9.6060699831857743</v>
          </cell>
          <cell r="CV103">
            <v>13.67289934744978</v>
          </cell>
          <cell r="CW103">
            <v>11.062153668663059</v>
          </cell>
          <cell r="CX103">
            <v>8.6510321273089765</v>
          </cell>
          <cell r="CY103">
            <v>13.473275210017142</v>
          </cell>
        </row>
        <row r="104">
          <cell r="A104">
            <v>39682</v>
          </cell>
          <cell r="CF104">
            <v>18.167218205064462</v>
          </cell>
          <cell r="CG104">
            <v>22.085252262534414</v>
          </cell>
          <cell r="CH104">
            <v>18.555263085067214</v>
          </cell>
          <cell r="CI104">
            <v>14.926604548033502</v>
          </cell>
          <cell r="CJ104">
            <v>22.183921622100925</v>
          </cell>
          <cell r="CU104">
            <v>9.6988945055197711</v>
          </cell>
          <cell r="CV104">
            <v>13.67289934744978</v>
          </cell>
          <cell r="CW104">
            <v>11.062153668663059</v>
          </cell>
          <cell r="CX104">
            <v>8.6510321273089765</v>
          </cell>
          <cell r="CY104">
            <v>13.473275210017142</v>
          </cell>
        </row>
        <row r="105">
          <cell r="A105">
            <v>39685</v>
          </cell>
          <cell r="CF105">
            <v>17.786751009973653</v>
          </cell>
          <cell r="CG105">
            <v>22.085252262534414</v>
          </cell>
          <cell r="CH105">
            <v>18.555263085067214</v>
          </cell>
          <cell r="CI105">
            <v>14.926604548033502</v>
          </cell>
          <cell r="CJ105">
            <v>22.183921622100925</v>
          </cell>
          <cell r="CU105">
            <v>9.5038034122898356</v>
          </cell>
          <cell r="CV105">
            <v>13.67289934744978</v>
          </cell>
          <cell r="CW105">
            <v>11.062153668663059</v>
          </cell>
          <cell r="CX105">
            <v>8.6510321273089765</v>
          </cell>
          <cell r="CY105">
            <v>13.473275210017142</v>
          </cell>
        </row>
        <row r="106">
          <cell r="A106">
            <v>39686</v>
          </cell>
          <cell r="CF106">
            <v>17.983120225008189</v>
          </cell>
          <cell r="CG106">
            <v>22.085252262534414</v>
          </cell>
          <cell r="CH106">
            <v>18.555263085067214</v>
          </cell>
          <cell r="CI106">
            <v>14.926604548033502</v>
          </cell>
          <cell r="CJ106">
            <v>22.183921622100925</v>
          </cell>
          <cell r="CU106">
            <v>9.6044951022229164</v>
          </cell>
          <cell r="CV106">
            <v>13.67289934744978</v>
          </cell>
          <cell r="CW106">
            <v>11.062153668663059</v>
          </cell>
          <cell r="CX106">
            <v>8.6510321273089765</v>
          </cell>
          <cell r="CY106">
            <v>13.473275210017142</v>
          </cell>
        </row>
        <row r="107">
          <cell r="A107">
            <v>39687</v>
          </cell>
          <cell r="CF107">
            <v>17.995395755563038</v>
          </cell>
          <cell r="CG107">
            <v>22.085252262534414</v>
          </cell>
          <cell r="CH107">
            <v>18.555263085067214</v>
          </cell>
          <cell r="CI107">
            <v>14.926604548033502</v>
          </cell>
          <cell r="CJ107">
            <v>22.183921622100925</v>
          </cell>
          <cell r="CU107">
            <v>9.6107895914898567</v>
          </cell>
          <cell r="CV107">
            <v>13.67289934744978</v>
          </cell>
          <cell r="CW107">
            <v>11.062153668663059</v>
          </cell>
          <cell r="CX107">
            <v>8.6510321273089765</v>
          </cell>
          <cell r="CY107">
            <v>13.473275210017142</v>
          </cell>
        </row>
        <row r="108">
          <cell r="A108">
            <v>39688</v>
          </cell>
          <cell r="CF108">
            <v>18.204035898748945</v>
          </cell>
          <cell r="CG108">
            <v>22.085252262534414</v>
          </cell>
          <cell r="CH108">
            <v>18.555263085067214</v>
          </cell>
          <cell r="CI108">
            <v>14.926604548033502</v>
          </cell>
          <cell r="CJ108">
            <v>22.183921622100925</v>
          </cell>
          <cell r="CU108">
            <v>9.7177734107283964</v>
          </cell>
          <cell r="CV108">
            <v>13.67289934744978</v>
          </cell>
          <cell r="CW108">
            <v>11.062153668663059</v>
          </cell>
          <cell r="CX108">
            <v>8.6510321273089765</v>
          </cell>
          <cell r="CY108">
            <v>13.473275210017142</v>
          </cell>
        </row>
        <row r="109">
          <cell r="A109">
            <v>39689</v>
          </cell>
          <cell r="CF109">
            <v>17.943235796473285</v>
          </cell>
          <cell r="CG109">
            <v>22.085252262534414</v>
          </cell>
          <cell r="CH109">
            <v>18.555263085067214</v>
          </cell>
          <cell r="CI109">
            <v>14.926604548033502</v>
          </cell>
          <cell r="CJ109">
            <v>22.183921622100925</v>
          </cell>
          <cell r="CU109">
            <v>9.5840436760129144</v>
          </cell>
          <cell r="CV109">
            <v>13.67289934744978</v>
          </cell>
          <cell r="CW109">
            <v>11.062153668663059</v>
          </cell>
          <cell r="CX109">
            <v>8.6510321273089765</v>
          </cell>
          <cell r="CY109">
            <v>13.473275210017142</v>
          </cell>
        </row>
        <row r="110">
          <cell r="A110">
            <v>39692</v>
          </cell>
          <cell r="CF110">
            <v>17.754837495256165</v>
          </cell>
          <cell r="CG110">
            <v>22.085252262534414</v>
          </cell>
          <cell r="CH110">
            <v>18.555263085067214</v>
          </cell>
          <cell r="CI110">
            <v>14.926604548033502</v>
          </cell>
          <cell r="CJ110">
            <v>22.183921622100925</v>
          </cell>
          <cell r="CU110">
            <v>9.4930541876355434</v>
          </cell>
          <cell r="CV110">
            <v>13.67289934744978</v>
          </cell>
          <cell r="CW110">
            <v>11.062153668663059</v>
          </cell>
          <cell r="CX110">
            <v>8.6510321273089765</v>
          </cell>
          <cell r="CY110">
            <v>13.473275210017142</v>
          </cell>
        </row>
        <row r="111">
          <cell r="A111">
            <v>39693</v>
          </cell>
          <cell r="CF111">
            <v>17.888424743833014</v>
          </cell>
          <cell r="CG111">
            <v>22.085252262534414</v>
          </cell>
          <cell r="CH111">
            <v>18.555263085067214</v>
          </cell>
          <cell r="CI111">
            <v>14.926604548033502</v>
          </cell>
          <cell r="CJ111">
            <v>22.183921622100925</v>
          </cell>
          <cell r="CU111">
            <v>9.5616229750022992</v>
          </cell>
          <cell r="CV111">
            <v>13.67289934744978</v>
          </cell>
          <cell r="CW111">
            <v>11.062153668663059</v>
          </cell>
          <cell r="CX111">
            <v>8.6510321273089765</v>
          </cell>
          <cell r="CY111">
            <v>13.473275210017142</v>
          </cell>
        </row>
        <row r="112">
          <cell r="A112">
            <v>39694</v>
          </cell>
          <cell r="CF112">
            <v>17.806449791271348</v>
          </cell>
          <cell r="CG112">
            <v>22.085252262534414</v>
          </cell>
          <cell r="CH112">
            <v>18.555263085067214</v>
          </cell>
          <cell r="CI112">
            <v>14.926604548033502</v>
          </cell>
          <cell r="CJ112">
            <v>22.183921622100925</v>
          </cell>
          <cell r="CU112">
            <v>9.5195461813600719</v>
          </cell>
          <cell r="CV112">
            <v>13.67289934744978</v>
          </cell>
          <cell r="CW112">
            <v>11.062153668663059</v>
          </cell>
          <cell r="CX112">
            <v>8.6510321273089765</v>
          </cell>
          <cell r="CY112">
            <v>13.473275210017142</v>
          </cell>
        </row>
        <row r="113">
          <cell r="A113">
            <v>39695</v>
          </cell>
          <cell r="CF113">
            <v>17.518025654648955</v>
          </cell>
          <cell r="CG113">
            <v>22.085252262534414</v>
          </cell>
          <cell r="CH113">
            <v>18.555263085067214</v>
          </cell>
          <cell r="CI113">
            <v>14.926604548033502</v>
          </cell>
          <cell r="CJ113">
            <v>22.183921622100925</v>
          </cell>
          <cell r="CU113">
            <v>9.3715014128197307</v>
          </cell>
          <cell r="CV113">
            <v>13.67289934744978</v>
          </cell>
          <cell r="CW113">
            <v>11.062153668663059</v>
          </cell>
          <cell r="CX113">
            <v>8.6510321273089765</v>
          </cell>
          <cell r="CY113">
            <v>13.473275210017142</v>
          </cell>
        </row>
        <row r="114">
          <cell r="A114">
            <v>39696</v>
          </cell>
          <cell r="CF114">
            <v>17.393546565464895</v>
          </cell>
          <cell r="CG114">
            <v>22.085252262534414</v>
          </cell>
          <cell r="CH114">
            <v>18.555263085067214</v>
          </cell>
          <cell r="CI114">
            <v>14.926604548033502</v>
          </cell>
          <cell r="CJ114">
            <v>22.183921622100925</v>
          </cell>
          <cell r="CU114">
            <v>9.3076077381703914</v>
          </cell>
          <cell r="CV114">
            <v>13.67289934744978</v>
          </cell>
          <cell r="CW114">
            <v>11.062153668663059</v>
          </cell>
          <cell r="CX114">
            <v>8.6510321273089765</v>
          </cell>
          <cell r="CY114">
            <v>13.473275210017142</v>
          </cell>
        </row>
        <row r="115">
          <cell r="A115">
            <v>39699</v>
          </cell>
          <cell r="CF115">
            <v>17.527133510436432</v>
          </cell>
          <cell r="CG115">
            <v>22.085252262534414</v>
          </cell>
          <cell r="CH115">
            <v>18.555263085067214</v>
          </cell>
          <cell r="CI115">
            <v>14.926604548033502</v>
          </cell>
          <cell r="CJ115">
            <v>22.183921622100925</v>
          </cell>
          <cell r="CU115">
            <v>9.37617636970006</v>
          </cell>
          <cell r="CV115">
            <v>13.67289934744978</v>
          </cell>
          <cell r="CW115">
            <v>11.062153668663059</v>
          </cell>
          <cell r="CX115">
            <v>8.6510321273089765</v>
          </cell>
          <cell r="CY115">
            <v>13.473275210017142</v>
          </cell>
        </row>
        <row r="116">
          <cell r="A116">
            <v>39700</v>
          </cell>
          <cell r="CF116">
            <v>17.612142694497155</v>
          </cell>
          <cell r="CG116">
            <v>22.085252262534414</v>
          </cell>
          <cell r="CH116">
            <v>18.555263085067214</v>
          </cell>
          <cell r="CI116">
            <v>14.926604548033502</v>
          </cell>
          <cell r="CJ116">
            <v>22.183921622100925</v>
          </cell>
          <cell r="CU116">
            <v>9.4198105992255492</v>
          </cell>
          <cell r="CV116">
            <v>13.67289934744978</v>
          </cell>
          <cell r="CW116">
            <v>11.062153668663059</v>
          </cell>
          <cell r="CX116">
            <v>8.6510321273089765</v>
          </cell>
          <cell r="CY116">
            <v>13.473275210017142</v>
          </cell>
        </row>
        <row r="117">
          <cell r="A117">
            <v>39701</v>
          </cell>
          <cell r="CF117">
            <v>17.691078557874761</v>
          </cell>
          <cell r="CG117">
            <v>22.085252262534414</v>
          </cell>
          <cell r="CH117">
            <v>18.555263085067214</v>
          </cell>
          <cell r="CI117">
            <v>14.926604548033502</v>
          </cell>
          <cell r="CJ117">
            <v>22.183921622100925</v>
          </cell>
          <cell r="CU117">
            <v>9.4603274635910655</v>
          </cell>
          <cell r="CV117">
            <v>13.67289934744978</v>
          </cell>
          <cell r="CW117">
            <v>11.062153668663059</v>
          </cell>
          <cell r="CX117">
            <v>8.6510321273089765</v>
          </cell>
          <cell r="CY117">
            <v>13.473275210017142</v>
          </cell>
        </row>
        <row r="118">
          <cell r="A118">
            <v>39702</v>
          </cell>
          <cell r="CF118">
            <v>18.015938368121439</v>
          </cell>
          <cell r="CG118">
            <v>22.085252262534414</v>
          </cell>
          <cell r="CH118">
            <v>18.555263085067214</v>
          </cell>
          <cell r="CI118">
            <v>14.926604548033502</v>
          </cell>
          <cell r="CJ118">
            <v>22.183921622100925</v>
          </cell>
          <cell r="CU118">
            <v>9.6270742413719894</v>
          </cell>
          <cell r="CV118">
            <v>13.67289934744978</v>
          </cell>
          <cell r="CW118">
            <v>11.062153668663059</v>
          </cell>
          <cell r="CX118">
            <v>8.6510321273089765</v>
          </cell>
          <cell r="CY118">
            <v>13.473275210017142</v>
          </cell>
        </row>
        <row r="119">
          <cell r="A119">
            <v>39703</v>
          </cell>
          <cell r="CF119">
            <v>17.827699734345348</v>
          </cell>
          <cell r="CG119">
            <v>22.085252262534414</v>
          </cell>
          <cell r="CH119">
            <v>18.555263085067214</v>
          </cell>
          <cell r="CI119">
            <v>14.926604548033502</v>
          </cell>
          <cell r="CJ119">
            <v>22.183921622100925</v>
          </cell>
          <cell r="CU119">
            <v>9.5304535310039924</v>
          </cell>
          <cell r="CV119">
            <v>13.67289934744978</v>
          </cell>
          <cell r="CW119">
            <v>11.062153668663059</v>
          </cell>
          <cell r="CX119">
            <v>8.6510321273089765</v>
          </cell>
          <cell r="CY119">
            <v>13.473275210017142</v>
          </cell>
        </row>
        <row r="120">
          <cell r="A120">
            <v>39706</v>
          </cell>
          <cell r="CF120">
            <v>17.542314686907019</v>
          </cell>
          <cell r="CG120">
            <v>22.085252262534414</v>
          </cell>
          <cell r="CH120">
            <v>18.555263085067214</v>
          </cell>
          <cell r="CI120">
            <v>14.926604548033502</v>
          </cell>
          <cell r="CJ120">
            <v>22.183921622100925</v>
          </cell>
          <cell r="CU120">
            <v>9.3839686917403604</v>
          </cell>
          <cell r="CV120">
            <v>13.67289934744978</v>
          </cell>
          <cell r="CW120">
            <v>11.062153668663059</v>
          </cell>
          <cell r="CX120">
            <v>8.6510321273089765</v>
          </cell>
          <cell r="CY120">
            <v>13.473275210017142</v>
          </cell>
        </row>
        <row r="121">
          <cell r="A121">
            <v>39707</v>
          </cell>
          <cell r="CF121">
            <v>17.275140493358634</v>
          </cell>
          <cell r="CG121">
            <v>22.085252262534414</v>
          </cell>
          <cell r="CH121">
            <v>18.555263085067214</v>
          </cell>
          <cell r="CI121">
            <v>14.926604548033502</v>
          </cell>
          <cell r="CJ121">
            <v>22.183921622100925</v>
          </cell>
          <cell r="CU121">
            <v>9.2468312728439415</v>
          </cell>
          <cell r="CV121">
            <v>13.67289934744978</v>
          </cell>
          <cell r="CW121">
            <v>11.062153668663059</v>
          </cell>
          <cell r="CX121">
            <v>8.6510321273089765</v>
          </cell>
          <cell r="CY121">
            <v>13.473275210017142</v>
          </cell>
        </row>
        <row r="122">
          <cell r="A122">
            <v>39708</v>
          </cell>
          <cell r="CF122">
            <v>16.373432409867174</v>
          </cell>
          <cell r="CG122">
            <v>22.085252262534414</v>
          </cell>
          <cell r="CH122">
            <v>18.555263085067214</v>
          </cell>
          <cell r="CI122">
            <v>14.926604548033502</v>
          </cell>
          <cell r="CJ122">
            <v>22.183921622100925</v>
          </cell>
          <cell r="CU122">
            <v>8.783994957982328</v>
          </cell>
          <cell r="CV122">
            <v>13.67289934744978</v>
          </cell>
          <cell r="CW122">
            <v>11.062153668663059</v>
          </cell>
          <cell r="CX122">
            <v>8.6510321273089765</v>
          </cell>
          <cell r="CY122">
            <v>13.473275210017142</v>
          </cell>
        </row>
        <row r="123">
          <cell r="A123">
            <v>39709</v>
          </cell>
          <cell r="CF123">
            <v>16.777228083491462</v>
          </cell>
          <cell r="CG123">
            <v>22.085252262534414</v>
          </cell>
          <cell r="CH123">
            <v>18.555263085067214</v>
          </cell>
          <cell r="CI123">
            <v>14.926604548033502</v>
          </cell>
          <cell r="CJ123">
            <v>22.183921622100925</v>
          </cell>
          <cell r="CU123">
            <v>8.99125860012877</v>
          </cell>
          <cell r="CV123">
            <v>13.67289934744978</v>
          </cell>
          <cell r="CW123">
            <v>11.062153668663059</v>
          </cell>
          <cell r="CX123">
            <v>8.6510321273089765</v>
          </cell>
          <cell r="CY123">
            <v>13.473275210017142</v>
          </cell>
        </row>
        <row r="124">
          <cell r="A124">
            <v>39710</v>
          </cell>
          <cell r="CF124">
            <v>16.658822314990513</v>
          </cell>
          <cell r="CG124">
            <v>22.085252262534414</v>
          </cell>
          <cell r="CH124">
            <v>18.555263085067214</v>
          </cell>
          <cell r="CI124">
            <v>14.926604548033502</v>
          </cell>
          <cell r="CJ124">
            <v>22.183921622100925</v>
          </cell>
          <cell r="CU124">
            <v>8.930482290639409</v>
          </cell>
          <cell r="CV124">
            <v>13.67289934744978</v>
          </cell>
          <cell r="CW124">
            <v>11.062153668663059</v>
          </cell>
          <cell r="CX124">
            <v>8.6510321273089765</v>
          </cell>
          <cell r="CY124">
            <v>13.473275210017142</v>
          </cell>
        </row>
        <row r="125">
          <cell r="A125">
            <v>39713</v>
          </cell>
          <cell r="CF125">
            <v>16.24895332068311</v>
          </cell>
          <cell r="CG125">
            <v>22.085252262534414</v>
          </cell>
          <cell r="CH125">
            <v>18.555263085067214</v>
          </cell>
          <cell r="CI125">
            <v>14.926604548033502</v>
          </cell>
          <cell r="CJ125">
            <v>22.183921622100925</v>
          </cell>
          <cell r="CU125">
            <v>8.7201012833329941</v>
          </cell>
          <cell r="CV125">
            <v>13.67289934744978</v>
          </cell>
          <cell r="CW125">
            <v>11.062153668663059</v>
          </cell>
          <cell r="CX125">
            <v>8.6510321273089765</v>
          </cell>
          <cell r="CY125">
            <v>13.473275210017142</v>
          </cell>
        </row>
        <row r="126">
          <cell r="A126">
            <v>39714</v>
          </cell>
          <cell r="CF126">
            <v>16.236810929791272</v>
          </cell>
          <cell r="CG126">
            <v>22.085252262534414</v>
          </cell>
          <cell r="CH126">
            <v>18.555263085067214</v>
          </cell>
          <cell r="CI126">
            <v>14.926604548033502</v>
          </cell>
          <cell r="CJ126">
            <v>22.183921622100925</v>
          </cell>
          <cell r="CU126">
            <v>8.7138687347323103</v>
          </cell>
          <cell r="CV126">
            <v>13.67289934744978</v>
          </cell>
          <cell r="CW126">
            <v>11.062153668663059</v>
          </cell>
          <cell r="CX126">
            <v>8.6510321273089765</v>
          </cell>
          <cell r="CY126">
            <v>13.473275210017142</v>
          </cell>
        </row>
        <row r="127">
          <cell r="A127">
            <v>39715</v>
          </cell>
          <cell r="CF127">
            <v>16.103223984819735</v>
          </cell>
          <cell r="CG127">
            <v>22.085252262534414</v>
          </cell>
          <cell r="CH127">
            <v>18.555263085067214</v>
          </cell>
          <cell r="CI127">
            <v>14.926604548033502</v>
          </cell>
          <cell r="CJ127">
            <v>22.183921622100925</v>
          </cell>
          <cell r="CU127">
            <v>8.6453001032026435</v>
          </cell>
          <cell r="CV127">
            <v>13.67289934744978</v>
          </cell>
          <cell r="CW127">
            <v>11.062153668663059</v>
          </cell>
          <cell r="CX127">
            <v>8.6510321273089765</v>
          </cell>
          <cell r="CY127">
            <v>13.473275210017142</v>
          </cell>
        </row>
        <row r="128">
          <cell r="A128">
            <v>39716</v>
          </cell>
          <cell r="CF128">
            <v>16.444890911992463</v>
          </cell>
          <cell r="CG128">
            <v>22.085252262534414</v>
          </cell>
          <cell r="CH128">
            <v>18.555263085067214</v>
          </cell>
          <cell r="CI128">
            <v>14.926604548033502</v>
          </cell>
          <cell r="CJ128">
            <v>22.183921622100925</v>
          </cell>
          <cell r="CU128">
            <v>8.81048695170686</v>
          </cell>
          <cell r="CV128">
            <v>13.67289934744978</v>
          </cell>
          <cell r="CW128">
            <v>11.062153668663059</v>
          </cell>
          <cell r="CX128">
            <v>8.6510321273089765</v>
          </cell>
          <cell r="CY128">
            <v>13.473275210017142</v>
          </cell>
        </row>
        <row r="129">
          <cell r="A129">
            <v>39717</v>
          </cell>
          <cell r="CF129">
            <v>16.660713270664409</v>
          </cell>
          <cell r="CG129">
            <v>22.085252262534414</v>
          </cell>
          <cell r="CH129">
            <v>18.555263085067214</v>
          </cell>
          <cell r="CI129">
            <v>14.926604548033502</v>
          </cell>
          <cell r="CJ129">
            <v>22.183921622100925</v>
          </cell>
          <cell r="CU129">
            <v>8.9211323768787505</v>
          </cell>
          <cell r="CV129">
            <v>13.67289934744978</v>
          </cell>
          <cell r="CW129">
            <v>11.062153668663059</v>
          </cell>
          <cell r="CX129">
            <v>8.6510321273089765</v>
          </cell>
          <cell r="CY129">
            <v>13.473275210017142</v>
          </cell>
        </row>
        <row r="130">
          <cell r="A130">
            <v>39720</v>
          </cell>
          <cell r="CF130">
            <v>15.656244835454746</v>
          </cell>
          <cell r="CG130">
            <v>22.085252262534414</v>
          </cell>
          <cell r="CH130">
            <v>18.555263085067214</v>
          </cell>
          <cell r="CI130">
            <v>14.926604548033502</v>
          </cell>
          <cell r="CJ130">
            <v>22.183921622100925</v>
          </cell>
          <cell r="CU130">
            <v>8.4255691821355683</v>
          </cell>
          <cell r="CV130">
            <v>13.67289934744978</v>
          </cell>
          <cell r="CW130">
            <v>11.062153668663059</v>
          </cell>
          <cell r="CX130">
            <v>8.6510321273089765</v>
          </cell>
          <cell r="CY130">
            <v>13.473275210017142</v>
          </cell>
        </row>
        <row r="131">
          <cell r="A131">
            <v>39721</v>
          </cell>
          <cell r="CF131">
            <v>16.326405931361773</v>
          </cell>
          <cell r="CG131">
            <v>22.085252262534414</v>
          </cell>
          <cell r="CH131">
            <v>18.555263085067214</v>
          </cell>
          <cell r="CI131">
            <v>14.926604548033502</v>
          </cell>
          <cell r="CJ131">
            <v>22.183921622100925</v>
          </cell>
          <cell r="CU131">
            <v>8.769970243178431</v>
          </cell>
          <cell r="CV131">
            <v>13.67289934744978</v>
          </cell>
          <cell r="CW131">
            <v>11.062153668663059</v>
          </cell>
          <cell r="CX131">
            <v>8.6510321273089765</v>
          </cell>
          <cell r="CY131">
            <v>13.473275210017142</v>
          </cell>
        </row>
        <row r="132">
          <cell r="A132">
            <v>39722</v>
          </cell>
          <cell r="CF132">
            <v>16.363994607343631</v>
          </cell>
          <cell r="CG132">
            <v>22.085252262534414</v>
          </cell>
          <cell r="CH132">
            <v>18.555263085067214</v>
          </cell>
          <cell r="CI132">
            <v>14.926604548033502</v>
          </cell>
          <cell r="CJ132">
            <v>22.183921622100925</v>
          </cell>
          <cell r="CU132">
            <v>8.7955520729642664</v>
          </cell>
          <cell r="CV132">
            <v>13.67289934744978</v>
          </cell>
          <cell r="CW132">
            <v>11.062153668663059</v>
          </cell>
          <cell r="CX132">
            <v>8.6510321273089765</v>
          </cell>
          <cell r="CY132">
            <v>13.473275210017142</v>
          </cell>
        </row>
        <row r="133">
          <cell r="A133">
            <v>39723</v>
          </cell>
          <cell r="CF133">
            <v>16.378997337676733</v>
          </cell>
          <cell r="CG133">
            <v>22.085252262534414</v>
          </cell>
          <cell r="CH133">
            <v>18.555263085067214</v>
          </cell>
          <cell r="CI133">
            <v>14.926604548033502</v>
          </cell>
          <cell r="CJ133">
            <v>22.183921622100925</v>
          </cell>
          <cell r="CU133">
            <v>8.8032711115973044</v>
          </cell>
          <cell r="CV133">
            <v>13.67289934744978</v>
          </cell>
          <cell r="CW133">
            <v>11.062153668663059</v>
          </cell>
          <cell r="CX133">
            <v>8.6510321273089765</v>
          </cell>
          <cell r="CY133">
            <v>13.473275210017142</v>
          </cell>
        </row>
        <row r="134">
          <cell r="A134">
            <v>39724</v>
          </cell>
          <cell r="CF134">
            <v>16.003951582094516</v>
          </cell>
          <cell r="CG134">
            <v>22.085252262534414</v>
          </cell>
          <cell r="CH134">
            <v>18.555263085067214</v>
          </cell>
          <cell r="CI134">
            <v>14.926604548033502</v>
          </cell>
          <cell r="CJ134">
            <v>22.183921622100925</v>
          </cell>
          <cell r="CU134">
            <v>8.6103067236346469</v>
          </cell>
          <cell r="CV134">
            <v>13.67289934744978</v>
          </cell>
          <cell r="CW134">
            <v>11.062153668663059</v>
          </cell>
          <cell r="CX134">
            <v>8.6510321273089765</v>
          </cell>
          <cell r="CY134">
            <v>13.473275210017142</v>
          </cell>
        </row>
        <row r="135">
          <cell r="A135">
            <v>39727</v>
          </cell>
          <cell r="CF135">
            <v>15.541892510887784</v>
          </cell>
          <cell r="CG135">
            <v>22.085252262534414</v>
          </cell>
          <cell r="CH135">
            <v>18.555263085067214</v>
          </cell>
          <cell r="CI135">
            <v>14.926604548033502</v>
          </cell>
          <cell r="CJ135">
            <v>22.183921622100925</v>
          </cell>
          <cell r="CU135">
            <v>8.3725732083210609</v>
          </cell>
          <cell r="CV135">
            <v>13.67289934744978</v>
          </cell>
          <cell r="CW135">
            <v>11.062153668663059</v>
          </cell>
          <cell r="CX135">
            <v>8.6510321273089765</v>
          </cell>
          <cell r="CY135">
            <v>13.473275210017142</v>
          </cell>
        </row>
        <row r="136">
          <cell r="A136">
            <v>39728</v>
          </cell>
          <cell r="CF136">
            <v>15.046833913738887</v>
          </cell>
          <cell r="CG136">
            <v>22.085252262534414</v>
          </cell>
          <cell r="CH136">
            <v>18.555263085067214</v>
          </cell>
          <cell r="CI136">
            <v>14.926604548033502</v>
          </cell>
          <cell r="CJ136">
            <v>22.183921622100925</v>
          </cell>
          <cell r="CU136">
            <v>8.1178611424394163</v>
          </cell>
          <cell r="CV136">
            <v>13.67289934744978</v>
          </cell>
          <cell r="CW136">
            <v>11.062153668663059</v>
          </cell>
          <cell r="CX136">
            <v>8.6510321273089765</v>
          </cell>
          <cell r="CY136">
            <v>13.473275210017142</v>
          </cell>
        </row>
        <row r="137">
          <cell r="A137">
            <v>39729</v>
          </cell>
          <cell r="CF137">
            <v>14.719795215017612</v>
          </cell>
          <cell r="CG137">
            <v>22.085252262534414</v>
          </cell>
          <cell r="CH137">
            <v>18.555263085067214</v>
          </cell>
          <cell r="CI137">
            <v>14.926604548033502</v>
          </cell>
          <cell r="CJ137">
            <v>22.183921622100925</v>
          </cell>
          <cell r="CU137">
            <v>7.9495968136220174</v>
          </cell>
          <cell r="CV137">
            <v>13.67289934744978</v>
          </cell>
          <cell r="CW137">
            <v>11.062153668663059</v>
          </cell>
          <cell r="CX137">
            <v>8.6510321273089765</v>
          </cell>
          <cell r="CY137">
            <v>13.473275210017142</v>
          </cell>
        </row>
        <row r="138">
          <cell r="A138">
            <v>39730</v>
          </cell>
          <cell r="CF138">
            <v>13.579655217937862</v>
          </cell>
          <cell r="CG138">
            <v>22.085252262534414</v>
          </cell>
          <cell r="CH138">
            <v>18.555263085067214</v>
          </cell>
          <cell r="CI138">
            <v>14.926604548033502</v>
          </cell>
          <cell r="CJ138">
            <v>22.183921622100925</v>
          </cell>
          <cell r="CU138">
            <v>7.3629846111010098</v>
          </cell>
          <cell r="CV138">
            <v>13.67289934744978</v>
          </cell>
          <cell r="CW138">
            <v>11.062153668663059</v>
          </cell>
          <cell r="CX138">
            <v>8.6510321273089765</v>
          </cell>
          <cell r="CY138">
            <v>13.473275210017142</v>
          </cell>
        </row>
        <row r="139">
          <cell r="A139">
            <v>39731</v>
          </cell>
          <cell r="CF139">
            <v>13.238187686712434</v>
          </cell>
          <cell r="CG139">
            <v>22.085252262534414</v>
          </cell>
          <cell r="CH139">
            <v>18.555263085067214</v>
          </cell>
          <cell r="CI139">
            <v>14.926604548033502</v>
          </cell>
          <cell r="CJ139">
            <v>22.183921622100925</v>
          </cell>
          <cell r="CU139">
            <v>7.1792822050175387</v>
          </cell>
          <cell r="CV139">
            <v>13.67289934744978</v>
          </cell>
          <cell r="CW139">
            <v>11.062153668663059</v>
          </cell>
          <cell r="CX139">
            <v>8.6510321273089765</v>
          </cell>
          <cell r="CY139">
            <v>13.473275210017142</v>
          </cell>
        </row>
        <row r="140">
          <cell r="A140">
            <v>39734</v>
          </cell>
          <cell r="CF140">
            <v>14.352636598624658</v>
          </cell>
          <cell r="CG140">
            <v>22.085252262534414</v>
          </cell>
          <cell r="CH140">
            <v>18.555263085067214</v>
          </cell>
          <cell r="CI140">
            <v>14.926604548033502</v>
          </cell>
          <cell r="CJ140">
            <v>22.183921622100925</v>
          </cell>
          <cell r="CU140">
            <v>7.7520014347197677</v>
          </cell>
          <cell r="CV140">
            <v>13.67289934744978</v>
          </cell>
          <cell r="CW140">
            <v>11.062153668663059</v>
          </cell>
          <cell r="CX140">
            <v>8.6510321273089765</v>
          </cell>
          <cell r="CY140">
            <v>13.473275210017142</v>
          </cell>
        </row>
        <row r="141">
          <cell r="A141">
            <v>39735</v>
          </cell>
          <cell r="CF141">
            <v>14.070269344745469</v>
          </cell>
          <cell r="CG141">
            <v>22.085252262534414</v>
          </cell>
          <cell r="CH141">
            <v>18.555263085067214</v>
          </cell>
          <cell r="CI141">
            <v>14.926604548033502</v>
          </cell>
          <cell r="CJ141">
            <v>22.183921622100925</v>
          </cell>
          <cell r="CU141">
            <v>7.606891906228828</v>
          </cell>
          <cell r="CV141">
            <v>13.67289934744978</v>
          </cell>
          <cell r="CW141">
            <v>11.062153668663059</v>
          </cell>
          <cell r="CX141">
            <v>8.6510321273089765</v>
          </cell>
          <cell r="CY141">
            <v>13.473275210017142</v>
          </cell>
        </row>
        <row r="142">
          <cell r="A142">
            <v>39736</v>
          </cell>
          <cell r="CF142">
            <v>13.021906245260691</v>
          </cell>
          <cell r="CG142">
            <v>22.085252262534414</v>
          </cell>
          <cell r="CH142">
            <v>18.555263085067214</v>
          </cell>
          <cell r="CI142">
            <v>14.926604548033502</v>
          </cell>
          <cell r="CJ142">
            <v>22.183921622100925</v>
          </cell>
          <cell r="CU142">
            <v>7.068134408808028</v>
          </cell>
          <cell r="CV142">
            <v>13.67289934744978</v>
          </cell>
          <cell r="CW142">
            <v>11.062153668663059</v>
          </cell>
          <cell r="CX142">
            <v>8.6510321273089765</v>
          </cell>
          <cell r="CY142">
            <v>13.473275210017142</v>
          </cell>
        </row>
        <row r="143">
          <cell r="A143">
            <v>39737</v>
          </cell>
          <cell r="CF143">
            <v>14.021915757269449</v>
          </cell>
          <cell r="CG143">
            <v>22.085252262534414</v>
          </cell>
          <cell r="CH143">
            <v>18.555263085067214</v>
          </cell>
          <cell r="CI143">
            <v>14.926604548033502</v>
          </cell>
          <cell r="CJ143">
            <v>22.183921622100925</v>
          </cell>
          <cell r="CU143">
            <v>7.6062421550799977</v>
          </cell>
          <cell r="CV143">
            <v>13.67289934744978</v>
          </cell>
          <cell r="CW143">
            <v>11.062153668663059</v>
          </cell>
          <cell r="CX143">
            <v>8.6510321273089765</v>
          </cell>
          <cell r="CY143">
            <v>13.473275210017142</v>
          </cell>
        </row>
        <row r="144">
          <cell r="A144">
            <v>39738</v>
          </cell>
          <cell r="CF144">
            <v>14.012892305735599</v>
          </cell>
          <cell r="CG144">
            <v>22.085252262534414</v>
          </cell>
          <cell r="CH144">
            <v>18.555263085067214</v>
          </cell>
          <cell r="CI144">
            <v>14.926604548033502</v>
          </cell>
          <cell r="CJ144">
            <v>22.183921622100925</v>
          </cell>
          <cell r="CU144">
            <v>7.6015903642582288</v>
          </cell>
          <cell r="CV144">
            <v>13.67289934744978</v>
          </cell>
          <cell r="CW144">
            <v>11.062153668663059</v>
          </cell>
          <cell r="CX144">
            <v>8.6510321273089765</v>
          </cell>
          <cell r="CY144">
            <v>13.473275210017142</v>
          </cell>
        </row>
        <row r="145">
          <cell r="A145">
            <v>39741</v>
          </cell>
          <cell r="CF145">
            <v>14.400723194934576</v>
          </cell>
          <cell r="CG145">
            <v>22.085252262534414</v>
          </cell>
          <cell r="CH145">
            <v>18.555263085067214</v>
          </cell>
          <cell r="CI145">
            <v>14.926604548033502</v>
          </cell>
          <cell r="CJ145">
            <v>22.183921622100925</v>
          </cell>
          <cell r="CU145">
            <v>7.7968759960745926</v>
          </cell>
          <cell r="CV145">
            <v>13.67289934744978</v>
          </cell>
          <cell r="CW145">
            <v>11.062153668663059</v>
          </cell>
          <cell r="CX145">
            <v>8.6510321273089765</v>
          </cell>
          <cell r="CY145">
            <v>13.473275210017142</v>
          </cell>
        </row>
        <row r="146">
          <cell r="A146">
            <v>39742</v>
          </cell>
          <cell r="CF146">
            <v>14.171661986240874</v>
          </cell>
          <cell r="CG146">
            <v>22.085252262534414</v>
          </cell>
          <cell r="CH146">
            <v>18.555263085067214</v>
          </cell>
          <cell r="CI146">
            <v>14.926604548033502</v>
          </cell>
          <cell r="CJ146">
            <v>22.183921622100925</v>
          </cell>
          <cell r="CU146">
            <v>7.6730063900479912</v>
          </cell>
          <cell r="CV146">
            <v>13.67289934744978</v>
          </cell>
          <cell r="CW146">
            <v>11.062153668663059</v>
          </cell>
          <cell r="CX146">
            <v>8.6510321273089765</v>
          </cell>
          <cell r="CY146">
            <v>13.473275210017142</v>
          </cell>
        </row>
        <row r="147">
          <cell r="A147">
            <v>39743</v>
          </cell>
          <cell r="CF147">
            <v>13.5969714962001</v>
          </cell>
          <cell r="CG147">
            <v>22.085252262534414</v>
          </cell>
          <cell r="CH147">
            <v>18.555263085067214</v>
          </cell>
          <cell r="CI147">
            <v>14.926604548033502</v>
          </cell>
          <cell r="CJ147">
            <v>22.183921622100925</v>
          </cell>
          <cell r="CU147">
            <v>7.3771546646160946</v>
          </cell>
          <cell r="CV147">
            <v>13.67289934744978</v>
          </cell>
          <cell r="CW147">
            <v>11.062153668663059</v>
          </cell>
          <cell r="CX147">
            <v>8.6510321273089765</v>
          </cell>
          <cell r="CY147">
            <v>13.473275210017142</v>
          </cell>
        </row>
        <row r="148">
          <cell r="A148">
            <v>39744</v>
          </cell>
          <cell r="CF148">
            <v>13.365293663371562</v>
          </cell>
          <cell r="CG148">
            <v>22.085252262534414</v>
          </cell>
          <cell r="CH148">
            <v>18.555263085067214</v>
          </cell>
          <cell r="CI148">
            <v>14.926604548033502</v>
          </cell>
          <cell r="CJ148">
            <v>22.183921622100925</v>
          </cell>
          <cell r="CU148">
            <v>7.2578864884856999</v>
          </cell>
          <cell r="CV148">
            <v>13.67289934744978</v>
          </cell>
          <cell r="CW148">
            <v>11.062153668663059</v>
          </cell>
          <cell r="CX148">
            <v>8.6510321273089765</v>
          </cell>
          <cell r="CY148">
            <v>13.473275210017142</v>
          </cell>
        </row>
        <row r="149">
          <cell r="A149">
            <v>39745</v>
          </cell>
          <cell r="CF149">
            <v>13.229891681544979</v>
          </cell>
          <cell r="CG149">
            <v>22.085252262534414</v>
          </cell>
          <cell r="CH149">
            <v>18.555263085067214</v>
          </cell>
          <cell r="CI149">
            <v>14.926604548033502</v>
          </cell>
          <cell r="CJ149">
            <v>22.183921622100925</v>
          </cell>
          <cell r="CU149">
            <v>7.1881812982232853</v>
          </cell>
          <cell r="CV149">
            <v>13.67289934744978</v>
          </cell>
          <cell r="CW149">
            <v>11.062153668663059</v>
          </cell>
          <cell r="CX149">
            <v>8.6510321273089765</v>
          </cell>
          <cell r="CY149">
            <v>13.473275210017142</v>
          </cell>
        </row>
        <row r="150">
          <cell r="A150">
            <v>39748</v>
          </cell>
          <cell r="CF150">
            <v>12.760512607065969</v>
          </cell>
          <cell r="CG150">
            <v>22.085252262534414</v>
          </cell>
          <cell r="CH150">
            <v>18.555263085067214</v>
          </cell>
          <cell r="CI150">
            <v>14.926604548033502</v>
          </cell>
          <cell r="CJ150">
            <v>22.183921622100925</v>
          </cell>
          <cell r="CU150">
            <v>6.9465440839788135</v>
          </cell>
          <cell r="CV150">
            <v>13.67289934744978</v>
          </cell>
          <cell r="CW150">
            <v>11.062153668663059</v>
          </cell>
          <cell r="CX150">
            <v>8.6510321273089765</v>
          </cell>
          <cell r="CY150">
            <v>13.473275210017142</v>
          </cell>
        </row>
        <row r="151">
          <cell r="A151">
            <v>39749</v>
          </cell>
          <cell r="CF151">
            <v>13.2599822478098</v>
          </cell>
          <cell r="CG151">
            <v>22.085252262534414</v>
          </cell>
          <cell r="CH151">
            <v>18.555263085067214</v>
          </cell>
          <cell r="CI151">
            <v>14.926604548033502</v>
          </cell>
          <cell r="CJ151">
            <v>22.183921622100925</v>
          </cell>
          <cell r="CU151">
            <v>7.2036719772982742</v>
          </cell>
          <cell r="CV151">
            <v>13.67289934744978</v>
          </cell>
          <cell r="CW151">
            <v>11.062153668663059</v>
          </cell>
          <cell r="CX151">
            <v>8.6510321273089765</v>
          </cell>
          <cell r="CY151">
            <v>13.473275210017142</v>
          </cell>
        </row>
        <row r="152">
          <cell r="A152">
            <v>39750</v>
          </cell>
          <cell r="CF152">
            <v>13.86082936273214</v>
          </cell>
          <cell r="CG152">
            <v>22.085252262534414</v>
          </cell>
          <cell r="CH152">
            <v>18.555263085067214</v>
          </cell>
          <cell r="CI152">
            <v>14.926604548033502</v>
          </cell>
          <cell r="CJ152">
            <v>22.183921622100925</v>
          </cell>
          <cell r="CU152">
            <v>7.4606168948140681</v>
          </cell>
          <cell r="CV152">
            <v>13.67289934744978</v>
          </cell>
          <cell r="CW152">
            <v>11.062153668663059</v>
          </cell>
          <cell r="CX152">
            <v>8.6510321273089765</v>
          </cell>
          <cell r="CY152">
            <v>13.473275210017142</v>
          </cell>
        </row>
        <row r="153">
          <cell r="A153">
            <v>39751</v>
          </cell>
          <cell r="CF153">
            <v>13.978191712392602</v>
          </cell>
          <cell r="CG153">
            <v>22.085252262534414</v>
          </cell>
          <cell r="CH153">
            <v>18.555263085067214</v>
          </cell>
          <cell r="CI153">
            <v>14.926604548033502</v>
          </cell>
          <cell r="CJ153">
            <v>22.183921622100925</v>
          </cell>
          <cell r="CU153">
            <v>7.5190944880468207</v>
          </cell>
          <cell r="CV153">
            <v>13.67289934744978</v>
          </cell>
          <cell r="CW153">
            <v>11.062153668663059</v>
          </cell>
          <cell r="CX153">
            <v>8.6510321273089765</v>
          </cell>
          <cell r="CY153">
            <v>13.473275210017142</v>
          </cell>
        </row>
        <row r="154">
          <cell r="A154">
            <v>39752</v>
          </cell>
          <cell r="CF154">
            <v>14.086526767713554</v>
          </cell>
          <cell r="CG154">
            <v>22.085252262534414</v>
          </cell>
          <cell r="CH154">
            <v>18.555263085067214</v>
          </cell>
          <cell r="CI154">
            <v>14.926604548033502</v>
          </cell>
          <cell r="CJ154">
            <v>22.183921622100925</v>
          </cell>
          <cell r="CU154">
            <v>7.5744646076097988</v>
          </cell>
          <cell r="CV154">
            <v>13.67289934744978</v>
          </cell>
          <cell r="CW154">
            <v>11.062153668663059</v>
          </cell>
          <cell r="CX154">
            <v>8.6510321273089765</v>
          </cell>
          <cell r="CY154">
            <v>13.473275210017142</v>
          </cell>
        </row>
        <row r="155">
          <cell r="A155">
            <v>39755</v>
          </cell>
          <cell r="CF155">
            <v>13.943312376008247</v>
          </cell>
          <cell r="CG155">
            <v>22.085252262534414</v>
          </cell>
          <cell r="CH155">
            <v>18.555263085067214</v>
          </cell>
          <cell r="CI155">
            <v>14.926604548033502</v>
          </cell>
          <cell r="CJ155">
            <v>22.183921622100925</v>
          </cell>
          <cell r="CU155">
            <v>7.5069651596387281</v>
          </cell>
          <cell r="CV155">
            <v>13.67289934744978</v>
          </cell>
          <cell r="CW155">
            <v>11.062153668663059</v>
          </cell>
          <cell r="CX155">
            <v>8.6510321273089765</v>
          </cell>
          <cell r="CY155">
            <v>13.473275210017142</v>
          </cell>
        </row>
        <row r="156">
          <cell r="A156">
            <v>39756</v>
          </cell>
          <cell r="CF156">
            <v>13.773564583625237</v>
          </cell>
          <cell r="CG156">
            <v>22.085252262534414</v>
          </cell>
          <cell r="CH156">
            <v>18.555263085067214</v>
          </cell>
          <cell r="CI156">
            <v>14.926604548033502</v>
          </cell>
          <cell r="CJ156">
            <v>22.183921622100925</v>
          </cell>
          <cell r="CU156">
            <v>7.4200960036211816</v>
          </cell>
          <cell r="CV156">
            <v>13.67289934744978</v>
          </cell>
          <cell r="CW156">
            <v>11.062153668663059</v>
          </cell>
          <cell r="CX156">
            <v>8.6510321273089765</v>
          </cell>
          <cell r="CY156">
            <v>13.473275210017142</v>
          </cell>
        </row>
        <row r="157">
          <cell r="A157">
            <v>39757</v>
          </cell>
          <cell r="CF157">
            <v>12.397694181203736</v>
          </cell>
          <cell r="CG157">
            <v>22.085252262534414</v>
          </cell>
          <cell r="CH157">
            <v>18.555263085067214</v>
          </cell>
          <cell r="CI157">
            <v>14.926604548033502</v>
          </cell>
          <cell r="CJ157">
            <v>22.183921622100925</v>
          </cell>
          <cell r="CU157">
            <v>6.6709669379252059</v>
          </cell>
          <cell r="CV157">
            <v>13.67289934744978</v>
          </cell>
          <cell r="CW157">
            <v>11.062153668663059</v>
          </cell>
          <cell r="CX157">
            <v>8.6510321273089765</v>
          </cell>
          <cell r="CY157">
            <v>13.473275210017142</v>
          </cell>
        </row>
        <row r="158">
          <cell r="A158">
            <v>39758</v>
          </cell>
          <cell r="CF158">
            <v>12.470287492915816</v>
          </cell>
          <cell r="CG158">
            <v>22.085252262534414</v>
          </cell>
          <cell r="CH158">
            <v>18.555263085067214</v>
          </cell>
          <cell r="CI158">
            <v>14.926604548033502</v>
          </cell>
          <cell r="CJ158">
            <v>22.183921622100925</v>
          </cell>
          <cell r="CU158">
            <v>6.8887197082517266</v>
          </cell>
          <cell r="CV158">
            <v>13.67289934744978</v>
          </cell>
          <cell r="CW158">
            <v>11.062153668663059</v>
          </cell>
          <cell r="CX158">
            <v>8.6510321273089765</v>
          </cell>
          <cell r="CY158">
            <v>13.473275210017142</v>
          </cell>
        </row>
        <row r="159">
          <cell r="A159">
            <v>39759</v>
          </cell>
          <cell r="CF159">
            <v>13.022792133647272</v>
          </cell>
          <cell r="CG159">
            <v>22.085252262534414</v>
          </cell>
          <cell r="CH159">
            <v>18.555263085067214</v>
          </cell>
          <cell r="CI159">
            <v>14.926604548033502</v>
          </cell>
          <cell r="CJ159">
            <v>22.183921622100925</v>
          </cell>
          <cell r="CU159">
            <v>7.1567971500762724</v>
          </cell>
          <cell r="CV159">
            <v>13.67289934744978</v>
          </cell>
          <cell r="CW159">
            <v>11.062153668663059</v>
          </cell>
          <cell r="CX159">
            <v>8.6510321273089765</v>
          </cell>
          <cell r="CY159">
            <v>13.473275210017142</v>
          </cell>
        </row>
        <row r="160">
          <cell r="A160">
            <v>39762</v>
          </cell>
          <cell r="CF160">
            <v>13.224700034026103</v>
          </cell>
          <cell r="CG160">
            <v>22.085252262534414</v>
          </cell>
          <cell r="CH160">
            <v>18.555263085067214</v>
          </cell>
          <cell r="CI160">
            <v>14.926604548033502</v>
          </cell>
          <cell r="CJ160">
            <v>22.183921622100925</v>
          </cell>
          <cell r="CU160">
            <v>7.2463324869851604</v>
          </cell>
          <cell r="CV160">
            <v>13.67289934744978</v>
          </cell>
          <cell r="CW160">
            <v>11.062153668663059</v>
          </cell>
          <cell r="CX160">
            <v>8.6510321273089765</v>
          </cell>
          <cell r="CY160">
            <v>13.473275210017142</v>
          </cell>
        </row>
        <row r="161">
          <cell r="A161">
            <v>39763</v>
          </cell>
          <cell r="CF161">
            <v>13.124073382812469</v>
          </cell>
          <cell r="CG161">
            <v>22.085252262534414</v>
          </cell>
          <cell r="CH161">
            <v>18.555263085067214</v>
          </cell>
          <cell r="CI161">
            <v>14.926604548033502</v>
          </cell>
          <cell r="CJ161">
            <v>22.183921622100925</v>
          </cell>
          <cell r="CU161">
            <v>7.193789786201954</v>
          </cell>
          <cell r="CV161">
            <v>13.67289934744978</v>
          </cell>
          <cell r="CW161">
            <v>11.062153668663059</v>
          </cell>
          <cell r="CX161">
            <v>8.6510321273089765</v>
          </cell>
          <cell r="CY161">
            <v>13.473275210017142</v>
          </cell>
        </row>
        <row r="162">
          <cell r="A162">
            <v>39764</v>
          </cell>
          <cell r="CF162">
            <v>12.599597953226887</v>
          </cell>
          <cell r="CG162">
            <v>22.085252262534414</v>
          </cell>
          <cell r="CH162">
            <v>18.555263085067214</v>
          </cell>
          <cell r="CI162">
            <v>14.926604548033502</v>
          </cell>
          <cell r="CJ162">
            <v>22.183921622100925</v>
          </cell>
          <cell r="CU162">
            <v>6.9199323614293267</v>
          </cell>
          <cell r="CV162">
            <v>13.67289934744978</v>
          </cell>
          <cell r="CW162">
            <v>11.062153668663059</v>
          </cell>
          <cell r="CX162">
            <v>8.6510321273089765</v>
          </cell>
          <cell r="CY162">
            <v>13.473275210017142</v>
          </cell>
        </row>
        <row r="163">
          <cell r="A163">
            <v>39765</v>
          </cell>
          <cell r="CF163">
            <v>13.200305232326739</v>
          </cell>
          <cell r="CG163">
            <v>22.085252262534414</v>
          </cell>
          <cell r="CH163">
            <v>18.555263085067214</v>
          </cell>
          <cell r="CI163">
            <v>14.926604548033502</v>
          </cell>
          <cell r="CJ163">
            <v>22.183921622100925</v>
          </cell>
          <cell r="CU163">
            <v>7.2335946213114433</v>
          </cell>
          <cell r="CV163">
            <v>13.67289934744978</v>
          </cell>
          <cell r="CW163">
            <v>11.062153668663059</v>
          </cell>
          <cell r="CX163">
            <v>8.6510321273089765</v>
          </cell>
          <cell r="CY163">
            <v>13.473275210017142</v>
          </cell>
        </row>
        <row r="164">
          <cell r="A164">
            <v>39766</v>
          </cell>
          <cell r="CF164">
            <v>12.453234021869079</v>
          </cell>
          <cell r="CG164">
            <v>22.085252262534414</v>
          </cell>
          <cell r="CH164">
            <v>18.555263085067214</v>
          </cell>
          <cell r="CI164">
            <v>14.926604548033502</v>
          </cell>
          <cell r="CJ164">
            <v>22.183921622100925</v>
          </cell>
          <cell r="CU164">
            <v>6.8435077148964689</v>
          </cell>
          <cell r="CV164">
            <v>13.67289934744978</v>
          </cell>
          <cell r="CW164">
            <v>11.062153668663059</v>
          </cell>
          <cell r="CX164">
            <v>8.6510321273089765</v>
          </cell>
          <cell r="CY164">
            <v>13.473275210017142</v>
          </cell>
        </row>
        <row r="165">
          <cell r="A165">
            <v>39769</v>
          </cell>
          <cell r="CF165">
            <v>12.236733434756765</v>
          </cell>
          <cell r="CG165">
            <v>22.085252262534414</v>
          </cell>
          <cell r="CH165">
            <v>18.555263085067214</v>
          </cell>
          <cell r="CI165">
            <v>14.926604548033502</v>
          </cell>
          <cell r="CJ165">
            <v>22.183921622100925</v>
          </cell>
          <cell r="CU165">
            <v>6.7304608686501366</v>
          </cell>
          <cell r="CV165">
            <v>13.67289934744978</v>
          </cell>
          <cell r="CW165">
            <v>11.062153668663059</v>
          </cell>
          <cell r="CX165">
            <v>8.6510321273089765</v>
          </cell>
          <cell r="CY165">
            <v>13.473275210017142</v>
          </cell>
        </row>
        <row r="166">
          <cell r="A166">
            <v>39770</v>
          </cell>
          <cell r="CF166">
            <v>12.178796619271123</v>
          </cell>
          <cell r="CG166">
            <v>22.085252262534414</v>
          </cell>
          <cell r="CH166">
            <v>18.555263085067214</v>
          </cell>
          <cell r="CI166">
            <v>14.926604548033502</v>
          </cell>
          <cell r="CJ166">
            <v>22.183921622100925</v>
          </cell>
          <cell r="CU166">
            <v>6.7002088755282436</v>
          </cell>
          <cell r="CV166">
            <v>13.67289934744978</v>
          </cell>
          <cell r="CW166">
            <v>11.062153668663059</v>
          </cell>
          <cell r="CX166">
            <v>8.6510321273089765</v>
          </cell>
          <cell r="CY166">
            <v>13.473275210017142</v>
          </cell>
        </row>
        <row r="167">
          <cell r="A167">
            <v>39771</v>
          </cell>
          <cell r="CF167">
            <v>11.245719391071244</v>
          </cell>
          <cell r="CG167">
            <v>22.085252262534414</v>
          </cell>
          <cell r="CH167">
            <v>18.555263085067214</v>
          </cell>
          <cell r="CI167">
            <v>14.926604548033502</v>
          </cell>
          <cell r="CJ167">
            <v>22.183921622100925</v>
          </cell>
          <cell r="CU167">
            <v>6.2129980122267749</v>
          </cell>
          <cell r="CV167">
            <v>13.67289934744978</v>
          </cell>
          <cell r="CW167">
            <v>11.062153668663059</v>
          </cell>
          <cell r="CX167">
            <v>8.6510321273089765</v>
          </cell>
          <cell r="CY167">
            <v>13.473275210017142</v>
          </cell>
        </row>
        <row r="168">
          <cell r="A168">
            <v>39772</v>
          </cell>
          <cell r="CF168">
            <v>10.106386591784021</v>
          </cell>
          <cell r="CG168">
            <v>22.085252262534414</v>
          </cell>
          <cell r="CH168">
            <v>18.555263085067214</v>
          </cell>
          <cell r="CI168">
            <v>14.926604548033502</v>
          </cell>
          <cell r="CJ168">
            <v>22.183921622100925</v>
          </cell>
          <cell r="CU168">
            <v>5.6222835839365022</v>
          </cell>
          <cell r="CV168">
            <v>13.67289934744978</v>
          </cell>
          <cell r="CW168">
            <v>11.062153668663059</v>
          </cell>
          <cell r="CX168">
            <v>8.6510321273089765</v>
          </cell>
          <cell r="CY168">
            <v>13.473275210017142</v>
          </cell>
        </row>
        <row r="169">
          <cell r="A169">
            <v>39773</v>
          </cell>
          <cell r="CF169">
            <v>10.474150535619176</v>
          </cell>
          <cell r="CG169">
            <v>22.085252262534414</v>
          </cell>
          <cell r="CH169">
            <v>18.555263085067214</v>
          </cell>
          <cell r="CI169">
            <v>14.926604548033502</v>
          </cell>
          <cell r="CJ169">
            <v>22.183921622100925</v>
          </cell>
          <cell r="CU169">
            <v>5.8073451565626693</v>
          </cell>
          <cell r="CV169">
            <v>13.67289934744978</v>
          </cell>
          <cell r="CW169">
            <v>11.062153668663059</v>
          </cell>
          <cell r="CX169">
            <v>8.6510321273089765</v>
          </cell>
          <cell r="CY169">
            <v>13.473275210017142</v>
          </cell>
        </row>
        <row r="170">
          <cell r="A170">
            <v>39776</v>
          </cell>
          <cell r="CF170">
            <v>10.899108530223671</v>
          </cell>
          <cell r="CG170">
            <v>22.085252262534414</v>
          </cell>
          <cell r="CH170">
            <v>18.555263085067214</v>
          </cell>
          <cell r="CI170">
            <v>14.926604548033502</v>
          </cell>
          <cell r="CJ170">
            <v>22.183921622100925</v>
          </cell>
          <cell r="CU170">
            <v>6.0290990478326973</v>
          </cell>
          <cell r="CV170">
            <v>13.67289934744978</v>
          </cell>
          <cell r="CW170">
            <v>11.062153668663059</v>
          </cell>
          <cell r="CX170">
            <v>8.6510321273089765</v>
          </cell>
          <cell r="CY170">
            <v>13.473275210017142</v>
          </cell>
        </row>
        <row r="171">
          <cell r="A171">
            <v>39777</v>
          </cell>
          <cell r="CF171">
            <v>10.755417288415508</v>
          </cell>
          <cell r="CG171">
            <v>22.085252262534414</v>
          </cell>
          <cell r="CH171">
            <v>18.555263085067214</v>
          </cell>
          <cell r="CI171">
            <v>14.926604548033502</v>
          </cell>
          <cell r="CJ171">
            <v>22.183921622100925</v>
          </cell>
          <cell r="CU171">
            <v>5.9541173027733096</v>
          </cell>
          <cell r="CV171">
            <v>13.67289934744978</v>
          </cell>
          <cell r="CW171">
            <v>11.062153668663059</v>
          </cell>
          <cell r="CX171">
            <v>8.6510321273089765</v>
          </cell>
          <cell r="CY171">
            <v>13.473275210017142</v>
          </cell>
        </row>
        <row r="172">
          <cell r="A172">
            <v>39778</v>
          </cell>
          <cell r="CF172">
            <v>11.003054247660552</v>
          </cell>
          <cell r="CG172">
            <v>22.085252262534414</v>
          </cell>
          <cell r="CH172">
            <v>18.555263085067214</v>
          </cell>
          <cell r="CI172">
            <v>14.926604548033502</v>
          </cell>
          <cell r="CJ172">
            <v>22.183921622100925</v>
          </cell>
          <cell r="CU172">
            <v>6.0833405672655436</v>
          </cell>
          <cell r="CV172">
            <v>13.67289934744978</v>
          </cell>
          <cell r="CW172">
            <v>11.062153668663059</v>
          </cell>
          <cell r="CX172">
            <v>8.6510321273089765</v>
          </cell>
          <cell r="CY172">
            <v>13.473275210017142</v>
          </cell>
        </row>
        <row r="173">
          <cell r="A173">
            <v>39779</v>
          </cell>
          <cell r="CF173">
            <v>11.003054247660552</v>
          </cell>
          <cell r="CG173">
            <v>22.085252262534414</v>
          </cell>
          <cell r="CH173">
            <v>18.555263085067214</v>
          </cell>
          <cell r="CI173">
            <v>14.926604548033502</v>
          </cell>
          <cell r="CJ173">
            <v>22.183921622100925</v>
          </cell>
          <cell r="CU173">
            <v>6.0833405672655436</v>
          </cell>
          <cell r="CV173">
            <v>13.67289934744978</v>
          </cell>
          <cell r="CW173">
            <v>11.062153668663059</v>
          </cell>
          <cell r="CX173">
            <v>8.6510321273089765</v>
          </cell>
          <cell r="CY173">
            <v>13.473275210017142</v>
          </cell>
        </row>
        <row r="174">
          <cell r="A174">
            <v>39780</v>
          </cell>
          <cell r="CF174">
            <v>10.923567173348127</v>
          </cell>
          <cell r="CG174">
            <v>22.085252262534414</v>
          </cell>
          <cell r="CH174">
            <v>18.555263085067214</v>
          </cell>
          <cell r="CI174">
            <v>14.926604548033502</v>
          </cell>
          <cell r="CJ174">
            <v>22.183921622100925</v>
          </cell>
          <cell r="CU174">
            <v>6.0418621899712068</v>
          </cell>
          <cell r="CV174">
            <v>13.67289934744978</v>
          </cell>
          <cell r="CW174">
            <v>11.062153668663059</v>
          </cell>
          <cell r="CX174">
            <v>8.6510321273089765</v>
          </cell>
          <cell r="CY174">
            <v>13.473275210017142</v>
          </cell>
        </row>
        <row r="175">
          <cell r="A175">
            <v>39783</v>
          </cell>
          <cell r="CF175">
            <v>10.090905454545455</v>
          </cell>
          <cell r="CG175">
            <v>22.085252262534414</v>
          </cell>
          <cell r="CH175">
            <v>18.555263085067214</v>
          </cell>
          <cell r="CI175">
            <v>14.926604548033502</v>
          </cell>
          <cell r="CJ175">
            <v>22.183921622100925</v>
          </cell>
          <cell r="CU175">
            <v>5.6115715579922139</v>
          </cell>
          <cell r="CV175">
            <v>13.67289934744978</v>
          </cell>
          <cell r="CW175">
            <v>11.062153668663059</v>
          </cell>
          <cell r="CX175">
            <v>8.6510321273089765</v>
          </cell>
          <cell r="CY175">
            <v>13.473275210017142</v>
          </cell>
        </row>
        <row r="176">
          <cell r="A176">
            <v>39784</v>
          </cell>
          <cell r="CF176">
            <v>10.590908181818184</v>
          </cell>
          <cell r="CG176">
            <v>22.085252262534414</v>
          </cell>
          <cell r="CH176">
            <v>18.555263085067214</v>
          </cell>
          <cell r="CI176">
            <v>14.926604548033502</v>
          </cell>
          <cell r="CJ176">
            <v>22.183921622100925</v>
          </cell>
          <cell r="CU176">
            <v>5.8728220814965377</v>
          </cell>
          <cell r="CV176">
            <v>13.67289934744978</v>
          </cell>
          <cell r="CW176">
            <v>11.062153668663059</v>
          </cell>
          <cell r="CX176">
            <v>8.6510321273089765</v>
          </cell>
          <cell r="CY176">
            <v>13.473275210017142</v>
          </cell>
        </row>
        <row r="177">
          <cell r="A177">
            <v>39785</v>
          </cell>
          <cell r="CF177">
            <v>10.641623819748354</v>
          </cell>
          <cell r="CG177">
            <v>22.085252262534414</v>
          </cell>
          <cell r="CH177">
            <v>18.555263085067214</v>
          </cell>
          <cell r="CI177">
            <v>14.926604548033502</v>
          </cell>
          <cell r="CJ177">
            <v>22.183921622100925</v>
          </cell>
          <cell r="CU177">
            <v>5.8898059389981228</v>
          </cell>
          <cell r="CV177">
            <v>13.67289934744978</v>
          </cell>
          <cell r="CW177">
            <v>11.062153668663059</v>
          </cell>
          <cell r="CX177">
            <v>8.6510321273089765</v>
          </cell>
          <cell r="CY177">
            <v>13.473275210017142</v>
          </cell>
        </row>
        <row r="178">
          <cell r="A178">
            <v>39786</v>
          </cell>
          <cell r="CF178">
            <v>10.085853380022048</v>
          </cell>
          <cell r="CG178">
            <v>22.085252262534414</v>
          </cell>
          <cell r="CH178">
            <v>18.555263085067214</v>
          </cell>
          <cell r="CI178">
            <v>14.926604548033502</v>
          </cell>
          <cell r="CJ178">
            <v>22.183921622100925</v>
          </cell>
          <cell r="CU178">
            <v>5.5999220416358639</v>
          </cell>
          <cell r="CV178">
            <v>13.67289934744978</v>
          </cell>
          <cell r="CW178">
            <v>11.062153668663059</v>
          </cell>
          <cell r="CX178">
            <v>8.6510321273089765</v>
          </cell>
          <cell r="CY178">
            <v>13.473275210017142</v>
          </cell>
        </row>
        <row r="179">
          <cell r="A179">
            <v>39787</v>
          </cell>
          <cell r="CF179">
            <v>10.407774096266623</v>
          </cell>
          <cell r="CG179">
            <v>22.085252262534414</v>
          </cell>
          <cell r="CH179">
            <v>18.555263085067214</v>
          </cell>
          <cell r="CI179">
            <v>14.926604548033502</v>
          </cell>
          <cell r="CJ179">
            <v>22.183921622100925</v>
          </cell>
          <cell r="CU179">
            <v>5.7678324326825399</v>
          </cell>
          <cell r="CV179">
            <v>13.67289934744978</v>
          </cell>
          <cell r="CW179">
            <v>11.062153668663059</v>
          </cell>
          <cell r="CX179">
            <v>8.6510321273089765</v>
          </cell>
          <cell r="CY179">
            <v>13.473275210017142</v>
          </cell>
        </row>
        <row r="180">
          <cell r="A180">
            <v>39790</v>
          </cell>
          <cell r="CF180">
            <v>10.407455688548152</v>
          </cell>
          <cell r="CG180">
            <v>22.085252262534414</v>
          </cell>
          <cell r="CH180">
            <v>18.555263085067214</v>
          </cell>
          <cell r="CI180">
            <v>14.926604548033502</v>
          </cell>
          <cell r="CJ180">
            <v>22.183921622100925</v>
          </cell>
          <cell r="CU180">
            <v>5.7646658901824379</v>
          </cell>
          <cell r="CV180">
            <v>13.67289934744978</v>
          </cell>
          <cell r="CW180">
            <v>11.062153668663059</v>
          </cell>
          <cell r="CX180">
            <v>8.6510321273089765</v>
          </cell>
          <cell r="CY180">
            <v>13.473275210017142</v>
          </cell>
        </row>
        <row r="181">
          <cell r="A181">
            <v>39791</v>
          </cell>
          <cell r="CF181">
            <v>10.048890124615987</v>
          </cell>
          <cell r="CG181">
            <v>22.085252262534414</v>
          </cell>
          <cell r="CH181">
            <v>18.555263085067214</v>
          </cell>
          <cell r="CI181">
            <v>14.926604548033502</v>
          </cell>
          <cell r="CJ181">
            <v>22.183921622100925</v>
          </cell>
          <cell r="CU181">
            <v>5.5777453140985065</v>
          </cell>
          <cell r="CV181">
            <v>13.67289934744978</v>
          </cell>
          <cell r="CW181">
            <v>11.062153668663059</v>
          </cell>
          <cell r="CX181">
            <v>8.6510321273089765</v>
          </cell>
          <cell r="CY181">
            <v>13.473275210017142</v>
          </cell>
        </row>
        <row r="182">
          <cell r="A182">
            <v>39792</v>
          </cell>
          <cell r="CF182">
            <v>10.124856954459405</v>
          </cell>
          <cell r="CG182">
            <v>22.085252262534414</v>
          </cell>
          <cell r="CH182">
            <v>18.555263085067214</v>
          </cell>
          <cell r="CI182">
            <v>14.926604548033502</v>
          </cell>
          <cell r="CJ182">
            <v>22.183921622100925</v>
          </cell>
          <cell r="CU182">
            <v>5.617346896140802</v>
          </cell>
          <cell r="CV182">
            <v>13.67289934744978</v>
          </cell>
          <cell r="CW182">
            <v>11.062153668663059</v>
          </cell>
          <cell r="CX182">
            <v>8.6510321273089765</v>
          </cell>
          <cell r="CY182">
            <v>13.473275210017142</v>
          </cell>
        </row>
        <row r="183">
          <cell r="A183">
            <v>39793</v>
          </cell>
          <cell r="CF183">
            <v>10.091431245460983</v>
          </cell>
          <cell r="CG183">
            <v>22.085252262534414</v>
          </cell>
          <cell r="CH183">
            <v>18.555263085067214</v>
          </cell>
          <cell r="CI183">
            <v>14.926604548033502</v>
          </cell>
          <cell r="CJ183">
            <v>22.183921622100925</v>
          </cell>
          <cell r="CU183">
            <v>5.5999220416358639</v>
          </cell>
          <cell r="CV183">
            <v>13.67289934744978</v>
          </cell>
          <cell r="CW183">
            <v>11.062153668663059</v>
          </cell>
          <cell r="CX183">
            <v>8.6510321273089765</v>
          </cell>
          <cell r="CY183">
            <v>13.473275210017142</v>
          </cell>
        </row>
        <row r="184">
          <cell r="A184">
            <v>39794</v>
          </cell>
          <cell r="CF184">
            <v>10.316294581134095</v>
          </cell>
          <cell r="CG184">
            <v>22.085252262534414</v>
          </cell>
          <cell r="CH184">
            <v>18.555263085067214</v>
          </cell>
          <cell r="CI184">
            <v>14.926604548033502</v>
          </cell>
          <cell r="CJ184">
            <v>22.183921622100925</v>
          </cell>
          <cell r="CU184">
            <v>5.7171435165127003</v>
          </cell>
          <cell r="CV184">
            <v>13.67289934744978</v>
          </cell>
          <cell r="CW184">
            <v>11.062153668663059</v>
          </cell>
          <cell r="CX184">
            <v>8.6510321273089765</v>
          </cell>
          <cell r="CY184">
            <v>13.473275210017142</v>
          </cell>
        </row>
        <row r="185">
          <cell r="A185">
            <v>39797</v>
          </cell>
          <cell r="CF185">
            <v>10.364910009693368</v>
          </cell>
          <cell r="CG185">
            <v>22.085252262534414</v>
          </cell>
          <cell r="CH185">
            <v>18.555263085067214</v>
          </cell>
          <cell r="CI185">
            <v>14.926604548033502</v>
          </cell>
          <cell r="CJ185">
            <v>22.183921622100925</v>
          </cell>
          <cell r="CU185">
            <v>5.7424867865501588</v>
          </cell>
          <cell r="CV185">
            <v>13.67289934744978</v>
          </cell>
          <cell r="CW185">
            <v>11.062153668663059</v>
          </cell>
          <cell r="CX185">
            <v>8.6510321273089765</v>
          </cell>
          <cell r="CY185">
            <v>13.473275210017142</v>
          </cell>
        </row>
        <row r="186">
          <cell r="A186">
            <v>39798</v>
          </cell>
          <cell r="CF186">
            <v>10.68397160663768</v>
          </cell>
          <cell r="CG186">
            <v>22.085252262534414</v>
          </cell>
          <cell r="CH186">
            <v>18.555263085067214</v>
          </cell>
          <cell r="CI186">
            <v>14.926604548033502</v>
          </cell>
          <cell r="CJ186">
            <v>22.183921622100925</v>
          </cell>
          <cell r="CU186">
            <v>5.9088139063467837</v>
          </cell>
          <cell r="CV186">
            <v>13.67289934744978</v>
          </cell>
          <cell r="CW186">
            <v>11.062153668663059</v>
          </cell>
          <cell r="CX186">
            <v>8.6510321273089765</v>
          </cell>
          <cell r="CY186">
            <v>13.473275210017142</v>
          </cell>
        </row>
        <row r="187">
          <cell r="A187">
            <v>39799</v>
          </cell>
          <cell r="CF187">
            <v>10.428724273833073</v>
          </cell>
          <cell r="CG187">
            <v>22.085252262534414</v>
          </cell>
          <cell r="CH187">
            <v>18.555263085067214</v>
          </cell>
          <cell r="CI187">
            <v>14.926604548033502</v>
          </cell>
          <cell r="CJ187">
            <v>22.183921622100925</v>
          </cell>
          <cell r="CU187">
            <v>5.7757532243099829</v>
          </cell>
          <cell r="CV187">
            <v>13.67289934744978</v>
          </cell>
          <cell r="CW187">
            <v>11.062153668663059</v>
          </cell>
          <cell r="CX187">
            <v>8.6510321273089765</v>
          </cell>
          <cell r="CY187">
            <v>13.473275210017142</v>
          </cell>
        </row>
        <row r="188">
          <cell r="A188">
            <v>39800</v>
          </cell>
          <cell r="CF188">
            <v>10.69916588420832</v>
          </cell>
          <cell r="CG188">
            <v>22.085252262534414</v>
          </cell>
          <cell r="CH188">
            <v>18.555263085067214</v>
          </cell>
          <cell r="CI188">
            <v>14.926604548033502</v>
          </cell>
          <cell r="CJ188">
            <v>22.183921622100925</v>
          </cell>
          <cell r="CU188">
            <v>5.9167346979742259</v>
          </cell>
          <cell r="CV188">
            <v>13.67289934744978</v>
          </cell>
          <cell r="CW188">
            <v>11.062153668663059</v>
          </cell>
          <cell r="CX188">
            <v>8.6510321273089765</v>
          </cell>
          <cell r="CY188">
            <v>13.473275210017142</v>
          </cell>
        </row>
        <row r="189">
          <cell r="A189">
            <v>39801</v>
          </cell>
          <cell r="CF189">
            <v>10.577620779662769</v>
          </cell>
          <cell r="CG189">
            <v>22.085252262534414</v>
          </cell>
          <cell r="CH189">
            <v>18.555263085067214</v>
          </cell>
          <cell r="CI189">
            <v>14.926604548033502</v>
          </cell>
          <cell r="CJ189">
            <v>22.183921622100925</v>
          </cell>
          <cell r="CU189">
            <v>5.8533731171445229</v>
          </cell>
          <cell r="CV189">
            <v>13.67289934744978</v>
          </cell>
          <cell r="CW189">
            <v>11.062153668663059</v>
          </cell>
          <cell r="CX189">
            <v>8.6510321273089765</v>
          </cell>
          <cell r="CY189">
            <v>13.473275210017142</v>
          </cell>
        </row>
        <row r="190">
          <cell r="A190">
            <v>39804</v>
          </cell>
          <cell r="CF190">
            <v>10.726512727482673</v>
          </cell>
          <cell r="CG190">
            <v>22.085252262534414</v>
          </cell>
          <cell r="CH190">
            <v>18.555263085067214</v>
          </cell>
          <cell r="CI190">
            <v>14.926604548033502</v>
          </cell>
          <cell r="CJ190">
            <v>22.183921622100925</v>
          </cell>
          <cell r="CU190">
            <v>5.9309906338841403</v>
          </cell>
          <cell r="CV190">
            <v>13.67289934744978</v>
          </cell>
          <cell r="CW190">
            <v>11.062153668663059</v>
          </cell>
          <cell r="CX190">
            <v>8.6510321273089765</v>
          </cell>
          <cell r="CY190">
            <v>13.473275210017142</v>
          </cell>
        </row>
        <row r="191">
          <cell r="A191">
            <v>39805</v>
          </cell>
          <cell r="CF191">
            <v>10.790326991622379</v>
          </cell>
          <cell r="CG191">
            <v>22.085252262534414</v>
          </cell>
          <cell r="CH191">
            <v>18.555263085067214</v>
          </cell>
          <cell r="CI191">
            <v>14.926604548033502</v>
          </cell>
          <cell r="CJ191">
            <v>22.183921622100925</v>
          </cell>
          <cell r="CU191">
            <v>5.9642570716439671</v>
          </cell>
          <cell r="CV191">
            <v>13.67289934744978</v>
          </cell>
          <cell r="CW191">
            <v>11.062153668663059</v>
          </cell>
          <cell r="CX191">
            <v>8.6510321273089765</v>
          </cell>
          <cell r="CY191">
            <v>13.473275210017142</v>
          </cell>
        </row>
        <row r="192">
          <cell r="A192">
            <v>39806</v>
          </cell>
          <cell r="CF192">
            <v>10.796405553479129</v>
          </cell>
          <cell r="CG192">
            <v>22.085252262534414</v>
          </cell>
          <cell r="CH192">
            <v>18.555263085067214</v>
          </cell>
          <cell r="CI192">
            <v>14.926604548033502</v>
          </cell>
          <cell r="CJ192">
            <v>22.183921622100925</v>
          </cell>
          <cell r="CU192">
            <v>5.9674258318326627</v>
          </cell>
          <cell r="CV192">
            <v>13.67289934744978</v>
          </cell>
          <cell r="CW192">
            <v>11.062153668663059</v>
          </cell>
          <cell r="CX192">
            <v>8.6510321273089765</v>
          </cell>
          <cell r="CY192">
            <v>13.473275210017142</v>
          </cell>
        </row>
        <row r="193">
          <cell r="A193">
            <v>39807</v>
          </cell>
          <cell r="CF193">
            <v>10.796405553479129</v>
          </cell>
          <cell r="CG193">
            <v>22.085252262534414</v>
          </cell>
          <cell r="CH193">
            <v>18.555263085067214</v>
          </cell>
          <cell r="CI193">
            <v>14.926604548033502</v>
          </cell>
          <cell r="CJ193">
            <v>22.183921622100925</v>
          </cell>
          <cell r="CU193">
            <v>5.9674258318326627</v>
          </cell>
          <cell r="CV193">
            <v>13.67289934744978</v>
          </cell>
          <cell r="CW193">
            <v>11.062153668663059</v>
          </cell>
          <cell r="CX193">
            <v>8.6510321273089765</v>
          </cell>
          <cell r="CY193">
            <v>13.473275210017142</v>
          </cell>
        </row>
        <row r="194">
          <cell r="A194">
            <v>39808</v>
          </cell>
          <cell r="CF194">
            <v>10.750822720767205</v>
          </cell>
          <cell r="CG194">
            <v>22.085252262534414</v>
          </cell>
          <cell r="CH194">
            <v>18.555263085067214</v>
          </cell>
          <cell r="CI194">
            <v>14.926604548033502</v>
          </cell>
          <cell r="CJ194">
            <v>22.183921622100925</v>
          </cell>
          <cell r="CU194">
            <v>5.9436634569503317</v>
          </cell>
          <cell r="CV194">
            <v>13.67289934744978</v>
          </cell>
          <cell r="CW194">
            <v>11.062153668663059</v>
          </cell>
          <cell r="CX194">
            <v>8.6510321273089765</v>
          </cell>
          <cell r="CY194">
            <v>13.473275210017142</v>
          </cell>
        </row>
        <row r="195">
          <cell r="A195">
            <v>39811</v>
          </cell>
          <cell r="CF195">
            <v>10.659661613353148</v>
          </cell>
          <cell r="CG195">
            <v>22.085252262534414</v>
          </cell>
          <cell r="CH195">
            <v>18.555263085067214</v>
          </cell>
          <cell r="CI195">
            <v>14.926604548033502</v>
          </cell>
          <cell r="CJ195">
            <v>22.183921622100925</v>
          </cell>
          <cell r="CU195">
            <v>5.8961410832805932</v>
          </cell>
          <cell r="CV195">
            <v>13.67289934744978</v>
          </cell>
          <cell r="CW195">
            <v>11.062153668663059</v>
          </cell>
          <cell r="CX195">
            <v>8.6510321273089765</v>
          </cell>
          <cell r="CY195">
            <v>13.473275210017142</v>
          </cell>
        </row>
        <row r="196">
          <cell r="A196">
            <v>39812</v>
          </cell>
          <cell r="CF196">
            <v>11.003033203581989</v>
          </cell>
          <cell r="CG196">
            <v>22.085252262534414</v>
          </cell>
          <cell r="CH196">
            <v>18.555263085067214</v>
          </cell>
          <cell r="CI196">
            <v>14.926604548033502</v>
          </cell>
          <cell r="CJ196">
            <v>22.183921622100925</v>
          </cell>
          <cell r="CU196">
            <v>6.0751410261434078</v>
          </cell>
          <cell r="CV196">
            <v>13.67289934744978</v>
          </cell>
          <cell r="CW196">
            <v>11.062153668663059</v>
          </cell>
          <cell r="CX196">
            <v>8.6510321273089765</v>
          </cell>
          <cell r="CY196">
            <v>13.473275210017142</v>
          </cell>
        </row>
        <row r="197">
          <cell r="A197">
            <v>39813</v>
          </cell>
          <cell r="CF197">
            <v>11.135049468892261</v>
          </cell>
          <cell r="CG197">
            <v>22.085252262534414</v>
          </cell>
          <cell r="CH197">
            <v>18.555263085067214</v>
          </cell>
          <cell r="CI197">
            <v>14.926604548033502</v>
          </cell>
          <cell r="CJ197">
            <v>22.183921622100925</v>
          </cell>
          <cell r="CU197">
            <v>6.1599553820802191</v>
          </cell>
          <cell r="CV197">
            <v>13.67289934744978</v>
          </cell>
          <cell r="CW197">
            <v>11.062153668663059</v>
          </cell>
          <cell r="CX197">
            <v>8.6510321273089765</v>
          </cell>
          <cell r="CY197">
            <v>13.473275210017142</v>
          </cell>
        </row>
        <row r="198">
          <cell r="A198">
            <v>39814</v>
          </cell>
          <cell r="CF198">
            <v>11.013880075048041</v>
          </cell>
          <cell r="CG198">
            <v>22.085252262534414</v>
          </cell>
          <cell r="CH198">
            <v>18.555263085067214</v>
          </cell>
          <cell r="CI198">
            <v>14.926604548033502</v>
          </cell>
          <cell r="CJ198">
            <v>22.183921622100925</v>
          </cell>
          <cell r="CU198">
            <v>6.0882313659410929</v>
          </cell>
          <cell r="CV198">
            <v>13.67289934744978</v>
          </cell>
          <cell r="CW198">
            <v>11.062153668663059</v>
          </cell>
          <cell r="CX198">
            <v>8.6510321273089765</v>
          </cell>
          <cell r="CY198">
            <v>13.473275210017142</v>
          </cell>
        </row>
        <row r="199">
          <cell r="A199">
            <v>39815</v>
          </cell>
          <cell r="CF199">
            <v>11.404124878049959</v>
          </cell>
          <cell r="CG199">
            <v>22.085252262534414</v>
          </cell>
          <cell r="CH199">
            <v>18.555263085067214</v>
          </cell>
          <cell r="CI199">
            <v>14.926604548033502</v>
          </cell>
          <cell r="CJ199">
            <v>22.183921622100925</v>
          </cell>
          <cell r="CU199">
            <v>6.2920528299755265</v>
          </cell>
          <cell r="CV199">
            <v>13.67289934744978</v>
          </cell>
          <cell r="CW199">
            <v>11.062153668663059</v>
          </cell>
          <cell r="CX199">
            <v>8.6510321273089765</v>
          </cell>
          <cell r="CY199">
            <v>13.473275210017142</v>
          </cell>
        </row>
        <row r="200">
          <cell r="A200">
            <v>39818</v>
          </cell>
          <cell r="CF200">
            <v>11.45368916797606</v>
          </cell>
          <cell r="CG200">
            <v>22.085252262534414</v>
          </cell>
          <cell r="CH200">
            <v>18.555263085067214</v>
          </cell>
          <cell r="CI200">
            <v>14.926604548033502</v>
          </cell>
          <cell r="CJ200">
            <v>22.183921622100925</v>
          </cell>
          <cell r="CU200">
            <v>6.3333160194594864</v>
          </cell>
          <cell r="CV200">
            <v>13.67289934744978</v>
          </cell>
          <cell r="CW200">
            <v>11.062153668663059</v>
          </cell>
          <cell r="CX200">
            <v>8.6510321273089765</v>
          </cell>
          <cell r="CY200">
            <v>13.473275210017142</v>
          </cell>
        </row>
        <row r="201">
          <cell r="A201">
            <v>39819</v>
          </cell>
          <cell r="CF201">
            <v>11.376272427241481</v>
          </cell>
          <cell r="CG201">
            <v>22.085252262534414</v>
          </cell>
          <cell r="CH201">
            <v>18.555263085067214</v>
          </cell>
          <cell r="CI201">
            <v>14.926604548033502</v>
          </cell>
          <cell r="CJ201">
            <v>22.183921622100925</v>
          </cell>
          <cell r="CU201">
            <v>6.2875602316126145</v>
          </cell>
          <cell r="CV201">
            <v>13.67289934744978</v>
          </cell>
          <cell r="CW201">
            <v>11.062153668663059</v>
          </cell>
          <cell r="CX201">
            <v>8.6510321273089765</v>
          </cell>
          <cell r="CY201">
            <v>13.473275210017142</v>
          </cell>
        </row>
        <row r="202">
          <cell r="A202">
            <v>39820</v>
          </cell>
          <cell r="CF202">
            <v>11.156048743110322</v>
          </cell>
          <cell r="CG202">
            <v>22.085252262534414</v>
          </cell>
          <cell r="CH202">
            <v>18.555263085067214</v>
          </cell>
          <cell r="CI202">
            <v>14.926604548033502</v>
          </cell>
          <cell r="CJ202">
            <v>22.183921622100925</v>
          </cell>
          <cell r="CU202">
            <v>6.1723856774449208</v>
          </cell>
          <cell r="CV202">
            <v>13.67289934744978</v>
          </cell>
          <cell r="CW202">
            <v>11.062153668663059</v>
          </cell>
          <cell r="CX202">
            <v>8.6510321273089765</v>
          </cell>
          <cell r="CY202">
            <v>13.473275210017142</v>
          </cell>
        </row>
        <row r="203">
          <cell r="A203">
            <v>39821</v>
          </cell>
          <cell r="CF203">
            <v>11.150013977745362</v>
          </cell>
          <cell r="CG203">
            <v>22.085252262534414</v>
          </cell>
          <cell r="CH203">
            <v>18.555263085067214</v>
          </cell>
          <cell r="CI203">
            <v>14.926604548033502</v>
          </cell>
          <cell r="CJ203">
            <v>22.183921622100925</v>
          </cell>
          <cell r="CU203">
            <v>6.1692295618202175</v>
          </cell>
          <cell r="CV203">
            <v>13.67289934744978</v>
          </cell>
          <cell r="CW203">
            <v>11.062153668663059</v>
          </cell>
          <cell r="CX203">
            <v>8.6510321273089765</v>
          </cell>
          <cell r="CY203">
            <v>13.473275210017142</v>
          </cell>
        </row>
        <row r="204">
          <cell r="A204">
            <v>39822</v>
          </cell>
          <cell r="CF204">
            <v>11.086664025309908</v>
          </cell>
          <cell r="CG204">
            <v>22.085252262534414</v>
          </cell>
          <cell r="CH204">
            <v>18.555263085067214</v>
          </cell>
          <cell r="CI204">
            <v>14.926604548033502</v>
          </cell>
          <cell r="CJ204">
            <v>22.183921622100925</v>
          </cell>
          <cell r="CU204">
            <v>6.1360982364721579</v>
          </cell>
          <cell r="CV204">
            <v>13.67289934744978</v>
          </cell>
          <cell r="CW204">
            <v>11.062153668663059</v>
          </cell>
          <cell r="CX204">
            <v>8.6510321273089765</v>
          </cell>
          <cell r="CY204">
            <v>13.473275210017142</v>
          </cell>
        </row>
        <row r="205">
          <cell r="A205">
            <v>39825</v>
          </cell>
          <cell r="CF205">
            <v>10.97202520418681</v>
          </cell>
          <cell r="CG205">
            <v>22.085252262534414</v>
          </cell>
          <cell r="CH205">
            <v>18.555263085067214</v>
          </cell>
          <cell r="CI205">
            <v>14.926604548033502</v>
          </cell>
          <cell r="CJ205">
            <v>22.183921622100925</v>
          </cell>
          <cell r="CU205">
            <v>6.0761433993471048</v>
          </cell>
          <cell r="CV205">
            <v>13.67289934744978</v>
          </cell>
          <cell r="CW205">
            <v>11.062153668663059</v>
          </cell>
          <cell r="CX205">
            <v>8.6510321273089765</v>
          </cell>
          <cell r="CY205">
            <v>13.473275210017142</v>
          </cell>
        </row>
        <row r="206">
          <cell r="A206">
            <v>39826</v>
          </cell>
          <cell r="CF206">
            <v>11.189233617381017</v>
          </cell>
          <cell r="CG206">
            <v>22.085252262534414</v>
          </cell>
          <cell r="CH206">
            <v>18.555263085067214</v>
          </cell>
          <cell r="CI206">
            <v>14.926604548033502</v>
          </cell>
          <cell r="CJ206">
            <v>22.183921622100925</v>
          </cell>
          <cell r="CU206">
            <v>6.1897410001220319</v>
          </cell>
          <cell r="CV206">
            <v>13.67289934744978</v>
          </cell>
          <cell r="CW206">
            <v>11.062153668663059</v>
          </cell>
          <cell r="CX206">
            <v>8.6510321273089765</v>
          </cell>
          <cell r="CY206">
            <v>13.473275210017142</v>
          </cell>
        </row>
        <row r="207">
          <cell r="A207">
            <v>39827</v>
          </cell>
          <cell r="CF207">
            <v>10.941855600853065</v>
          </cell>
          <cell r="CG207">
            <v>22.085252262534414</v>
          </cell>
          <cell r="CH207">
            <v>18.555263085067214</v>
          </cell>
          <cell r="CI207">
            <v>14.926604548033502</v>
          </cell>
          <cell r="CJ207">
            <v>22.183921622100925</v>
          </cell>
          <cell r="CU207">
            <v>6.0603650300627594</v>
          </cell>
          <cell r="CV207">
            <v>13.67289934744978</v>
          </cell>
          <cell r="CW207">
            <v>11.062153668663059</v>
          </cell>
          <cell r="CX207">
            <v>8.6510321273089765</v>
          </cell>
          <cell r="CY207">
            <v>13.473275210017142</v>
          </cell>
        </row>
        <row r="208">
          <cell r="A208">
            <v>39828</v>
          </cell>
          <cell r="CF208">
            <v>11.074594494579987</v>
          </cell>
          <cell r="CG208">
            <v>22.085252262534414</v>
          </cell>
          <cell r="CH208">
            <v>18.555263085067214</v>
          </cell>
          <cell r="CI208">
            <v>14.926604548033502</v>
          </cell>
          <cell r="CJ208">
            <v>22.183921622100925</v>
          </cell>
          <cell r="CU208">
            <v>6.1297860052227522</v>
          </cell>
          <cell r="CV208">
            <v>13.67289934744978</v>
          </cell>
          <cell r="CW208">
            <v>11.062153668663059</v>
          </cell>
          <cell r="CX208">
            <v>8.6510321273089765</v>
          </cell>
          <cell r="CY208">
            <v>13.473275210017142</v>
          </cell>
        </row>
        <row r="209">
          <cell r="A209">
            <v>39829</v>
          </cell>
          <cell r="CF209">
            <v>11.063639859389337</v>
          </cell>
          <cell r="CG209">
            <v>22.085252262534414</v>
          </cell>
          <cell r="CH209">
            <v>18.555263085067214</v>
          </cell>
          <cell r="CI209">
            <v>14.926604548033502</v>
          </cell>
          <cell r="CJ209">
            <v>22.183921622100925</v>
          </cell>
          <cell r="CU209">
            <v>6.1413230587575134</v>
          </cell>
          <cell r="CV209">
            <v>13.67289934744978</v>
          </cell>
          <cell r="CW209">
            <v>11.062153668663059</v>
          </cell>
          <cell r="CX209">
            <v>8.6510321273089765</v>
          </cell>
          <cell r="CY209">
            <v>13.473275210017142</v>
          </cell>
        </row>
        <row r="210">
          <cell r="A210">
            <v>39832</v>
          </cell>
          <cell r="CF210">
            <v>11.063639859389337</v>
          </cell>
          <cell r="CG210">
            <v>22.085252262534414</v>
          </cell>
          <cell r="CH210">
            <v>18.555263085067214</v>
          </cell>
          <cell r="CI210">
            <v>14.926604548033502</v>
          </cell>
          <cell r="CJ210">
            <v>22.183921622100925</v>
          </cell>
          <cell r="CU210">
            <v>6.1401093366279325</v>
          </cell>
          <cell r="CV210">
            <v>13.67289934744978</v>
          </cell>
          <cell r="CW210">
            <v>11.062153668663059</v>
          </cell>
          <cell r="CX210">
            <v>8.6510321273089765</v>
          </cell>
          <cell r="CY210">
            <v>13.473275210017142</v>
          </cell>
        </row>
        <row r="211">
          <cell r="A211">
            <v>39833</v>
          </cell>
          <cell r="CF211">
            <v>10.666996496817347</v>
          </cell>
          <cell r="CG211">
            <v>22.085252262534414</v>
          </cell>
          <cell r="CH211">
            <v>18.555263085067214</v>
          </cell>
          <cell r="CI211">
            <v>14.926604548033502</v>
          </cell>
          <cell r="CJ211">
            <v>22.183921622100925</v>
          </cell>
          <cell r="CU211">
            <v>5.932167469829233</v>
          </cell>
          <cell r="CV211">
            <v>13.67289934744978</v>
          </cell>
          <cell r="CW211">
            <v>11.062153668663059</v>
          </cell>
          <cell r="CX211">
            <v>8.6510321273089765</v>
          </cell>
          <cell r="CY211">
            <v>13.473275210017142</v>
          </cell>
        </row>
        <row r="212">
          <cell r="A212">
            <v>39834</v>
          </cell>
          <cell r="CF212">
            <v>11.181724402083077</v>
          </cell>
          <cell r="CG212">
            <v>22.085252262534414</v>
          </cell>
          <cell r="CH212">
            <v>18.555263085067214</v>
          </cell>
          <cell r="CI212">
            <v>14.926604548033502</v>
          </cell>
          <cell r="CJ212">
            <v>22.183921622100925</v>
          </cell>
          <cell r="CU212">
            <v>6.202015629698324</v>
          </cell>
          <cell r="CV212">
            <v>13.67289934744978</v>
          </cell>
          <cell r="CW212">
            <v>11.062153668663059</v>
          </cell>
          <cell r="CX212">
            <v>8.6510321273089765</v>
          </cell>
          <cell r="CY212">
            <v>13.473275210017142</v>
          </cell>
        </row>
        <row r="213">
          <cell r="A213">
            <v>39835</v>
          </cell>
          <cell r="CF213">
            <v>11.133278428927692</v>
          </cell>
          <cell r="CG213">
            <v>22.085252262534414</v>
          </cell>
          <cell r="CH213">
            <v>18.555263085067214</v>
          </cell>
          <cell r="CI213">
            <v>14.926604548033502</v>
          </cell>
          <cell r="CJ213">
            <v>22.183921622100925</v>
          </cell>
          <cell r="CU213">
            <v>6.1766176348056652</v>
          </cell>
          <cell r="CV213">
            <v>13.67289934744978</v>
          </cell>
          <cell r="CW213">
            <v>11.062153668663059</v>
          </cell>
          <cell r="CX213">
            <v>8.6510321273089765</v>
          </cell>
          <cell r="CY213">
            <v>13.473275210017142</v>
          </cell>
        </row>
        <row r="214">
          <cell r="A214">
            <v>39836</v>
          </cell>
          <cell r="CF214">
            <v>11.024276730322597</v>
          </cell>
          <cell r="CG214">
            <v>22.085252262534414</v>
          </cell>
          <cell r="CH214">
            <v>18.555263085067214</v>
          </cell>
          <cell r="CI214">
            <v>14.926604548033502</v>
          </cell>
          <cell r="CJ214">
            <v>22.183921622100925</v>
          </cell>
          <cell r="CU214">
            <v>6.1194730590205131</v>
          </cell>
          <cell r="CV214">
            <v>13.67289934744978</v>
          </cell>
          <cell r="CW214">
            <v>11.062153668663059</v>
          </cell>
          <cell r="CX214">
            <v>8.6510321273089765</v>
          </cell>
          <cell r="CY214">
            <v>13.473275210017142</v>
          </cell>
        </row>
        <row r="215">
          <cell r="A215">
            <v>39839</v>
          </cell>
          <cell r="CF215">
            <v>11.348255220713854</v>
          </cell>
          <cell r="CG215">
            <v>22.085252262534414</v>
          </cell>
          <cell r="CH215">
            <v>18.555263085067214</v>
          </cell>
          <cell r="CI215">
            <v>14.926604548033502</v>
          </cell>
          <cell r="CJ215">
            <v>22.183921622100925</v>
          </cell>
          <cell r="CU215">
            <v>6.2893200763958639</v>
          </cell>
          <cell r="CV215">
            <v>13.67289934744978</v>
          </cell>
          <cell r="CW215">
            <v>11.062153668663059</v>
          </cell>
          <cell r="CX215">
            <v>8.6510321273089765</v>
          </cell>
          <cell r="CY215">
            <v>13.473275210017142</v>
          </cell>
        </row>
        <row r="216">
          <cell r="A216">
            <v>39840</v>
          </cell>
          <cell r="CF216">
            <v>11.411836946024287</v>
          </cell>
          <cell r="CG216">
            <v>22.085252262534414</v>
          </cell>
          <cell r="CH216">
            <v>18.555263085067214</v>
          </cell>
          <cell r="CI216">
            <v>14.926604548033502</v>
          </cell>
          <cell r="CJ216">
            <v>22.183921622100925</v>
          </cell>
          <cell r="CU216">
            <v>6.3226530497994808</v>
          </cell>
          <cell r="CV216">
            <v>13.67289934744978</v>
          </cell>
          <cell r="CW216">
            <v>11.062153668663059</v>
          </cell>
          <cell r="CX216">
            <v>8.6510321273089765</v>
          </cell>
          <cell r="CY216">
            <v>13.473275210017142</v>
          </cell>
        </row>
        <row r="217">
          <cell r="A217">
            <v>39841</v>
          </cell>
          <cell r="CF217">
            <v>11.862983125979584</v>
          </cell>
          <cell r="CG217">
            <v>22.085252262534414</v>
          </cell>
          <cell r="CH217">
            <v>18.555263085067214</v>
          </cell>
          <cell r="CI217">
            <v>14.926604548033502</v>
          </cell>
          <cell r="CJ217">
            <v>22.183921622100925</v>
          </cell>
          <cell r="CU217">
            <v>6.5591682362649557</v>
          </cell>
          <cell r="CV217">
            <v>13.67289934744978</v>
          </cell>
          <cell r="CW217">
            <v>11.062153668663059</v>
          </cell>
          <cell r="CX217">
            <v>8.6510321273089765</v>
          </cell>
          <cell r="CY217">
            <v>13.473275210017142</v>
          </cell>
        </row>
        <row r="218">
          <cell r="A218">
            <v>39842</v>
          </cell>
          <cell r="CF218">
            <v>11.581398306240612</v>
          </cell>
          <cell r="CG218">
            <v>22.085252262534414</v>
          </cell>
          <cell r="CH218">
            <v>18.555263085067214</v>
          </cell>
          <cell r="CI218">
            <v>14.926604548033502</v>
          </cell>
          <cell r="CJ218">
            <v>22.183921622100925</v>
          </cell>
          <cell r="CU218">
            <v>6.4115462700255232</v>
          </cell>
          <cell r="CV218">
            <v>13.67289934744978</v>
          </cell>
          <cell r="CW218">
            <v>11.062153668663059</v>
          </cell>
          <cell r="CX218">
            <v>8.6510321273089765</v>
          </cell>
          <cell r="CY218">
            <v>13.473275210017142</v>
          </cell>
        </row>
        <row r="219">
          <cell r="A219">
            <v>39843</v>
          </cell>
          <cell r="CF219">
            <v>11.333115229615634</v>
          </cell>
          <cell r="CG219">
            <v>22.085252262534414</v>
          </cell>
          <cell r="CH219">
            <v>18.555263085067214</v>
          </cell>
          <cell r="CI219">
            <v>14.926604548033502</v>
          </cell>
          <cell r="CJ219">
            <v>22.183921622100925</v>
          </cell>
          <cell r="CU219">
            <v>6.28138287560202</v>
          </cell>
          <cell r="CV219">
            <v>13.67289934744978</v>
          </cell>
          <cell r="CW219">
            <v>11.062153668663059</v>
          </cell>
          <cell r="CX219">
            <v>8.6510321273089765</v>
          </cell>
          <cell r="CY219">
            <v>13.473275210017142</v>
          </cell>
        </row>
        <row r="220">
          <cell r="A220">
            <v>39846</v>
          </cell>
          <cell r="CF220">
            <v>11.358670272595319</v>
          </cell>
          <cell r="CG220">
            <v>22.085252262534414</v>
          </cell>
          <cell r="CH220">
            <v>18.555263085067214</v>
          </cell>
          <cell r="CI220">
            <v>14.926604548033502</v>
          </cell>
          <cell r="CJ220">
            <v>22.183921622100925</v>
          </cell>
          <cell r="CU220">
            <v>6.2843875922079926</v>
          </cell>
          <cell r="CV220">
            <v>13.67289934744978</v>
          </cell>
          <cell r="CW220">
            <v>11.062153668663059</v>
          </cell>
          <cell r="CX220">
            <v>8.6510321273089765</v>
          </cell>
          <cell r="CY220">
            <v>13.473275210017142</v>
          </cell>
        </row>
        <row r="221">
          <cell r="A221">
            <v>39847</v>
          </cell>
          <cell r="CF221">
            <v>11.466648137133101</v>
          </cell>
          <cell r="CG221">
            <v>22.085252262534414</v>
          </cell>
          <cell r="CH221">
            <v>18.555263085067214</v>
          </cell>
          <cell r="CI221">
            <v>14.926604548033502</v>
          </cell>
          <cell r="CJ221">
            <v>22.183921622100925</v>
          </cell>
          <cell r="CU221">
            <v>6.3409306337579316</v>
          </cell>
          <cell r="CV221">
            <v>13.67289934744978</v>
          </cell>
          <cell r="CW221">
            <v>11.062153668663059</v>
          </cell>
          <cell r="CX221">
            <v>8.6510321273089765</v>
          </cell>
          <cell r="CY221">
            <v>13.473275210017142</v>
          </cell>
        </row>
        <row r="222">
          <cell r="A222">
            <v>39848</v>
          </cell>
          <cell r="CF222">
            <v>11.354837809453562</v>
          </cell>
          <cell r="CG222">
            <v>22.085252262534414</v>
          </cell>
          <cell r="CH222">
            <v>18.555263085067214</v>
          </cell>
          <cell r="CI222">
            <v>14.926604548033502</v>
          </cell>
          <cell r="CJ222">
            <v>22.183921622100925</v>
          </cell>
          <cell r="CU222">
            <v>6.2796758291428345</v>
          </cell>
          <cell r="CV222">
            <v>13.67289934744978</v>
          </cell>
          <cell r="CW222">
            <v>11.062153668663059</v>
          </cell>
          <cell r="CX222">
            <v>8.6510321273089765</v>
          </cell>
          <cell r="CY222">
            <v>13.473275210017142</v>
          </cell>
        </row>
        <row r="223">
          <cell r="A223">
            <v>39849</v>
          </cell>
          <cell r="CF223">
            <v>11.373460031018823</v>
          </cell>
          <cell r="CG223">
            <v>22.085252262534414</v>
          </cell>
          <cell r="CH223">
            <v>18.555263085067214</v>
          </cell>
          <cell r="CI223">
            <v>14.926604548033502</v>
          </cell>
          <cell r="CJ223">
            <v>22.183921622100925</v>
          </cell>
          <cell r="CU223">
            <v>6.3614394581421054</v>
          </cell>
          <cell r="CV223">
            <v>13.67289934744978</v>
          </cell>
          <cell r="CW223">
            <v>11.062153668663059</v>
          </cell>
          <cell r="CX223">
            <v>8.6510321273089765</v>
          </cell>
          <cell r="CY223">
            <v>13.473275210017142</v>
          </cell>
        </row>
        <row r="224">
          <cell r="A224">
            <v>39850</v>
          </cell>
          <cell r="CF224">
            <v>11.735612548120205</v>
          </cell>
          <cell r="CG224">
            <v>22.085252262534414</v>
          </cell>
          <cell r="CH224">
            <v>18.555263085067214</v>
          </cell>
          <cell r="CI224">
            <v>14.926604548033502</v>
          </cell>
          <cell r="CJ224">
            <v>22.183921622100925</v>
          </cell>
          <cell r="CU224">
            <v>6.5531927364993816</v>
          </cell>
          <cell r="CV224">
            <v>13.67289934744978</v>
          </cell>
          <cell r="CW224">
            <v>11.062153668663059</v>
          </cell>
          <cell r="CX224">
            <v>8.6510321273089765</v>
          </cell>
          <cell r="CY224">
            <v>13.473275210017142</v>
          </cell>
        </row>
        <row r="225">
          <cell r="A225">
            <v>39853</v>
          </cell>
          <cell r="CF225">
            <v>11.771527241183945</v>
          </cell>
          <cell r="CG225">
            <v>22.085252262534414</v>
          </cell>
          <cell r="CH225">
            <v>18.555263085067214</v>
          </cell>
          <cell r="CI225">
            <v>14.926604548033502</v>
          </cell>
          <cell r="CJ225">
            <v>22.183921622100925</v>
          </cell>
          <cell r="CU225">
            <v>6.572208923909284</v>
          </cell>
          <cell r="CV225">
            <v>13.67289934744978</v>
          </cell>
          <cell r="CW225">
            <v>11.062153668663059</v>
          </cell>
          <cell r="CX225">
            <v>8.6510321273089765</v>
          </cell>
          <cell r="CY225">
            <v>13.473275210017142</v>
          </cell>
        </row>
        <row r="226">
          <cell r="A226">
            <v>39854</v>
          </cell>
          <cell r="CF226">
            <v>11.292647407276318</v>
          </cell>
          <cell r="CG226">
            <v>22.085252262534414</v>
          </cell>
          <cell r="CH226">
            <v>18.555263085067214</v>
          </cell>
          <cell r="CI226">
            <v>14.926604548033502</v>
          </cell>
          <cell r="CJ226">
            <v>22.183921622100925</v>
          </cell>
          <cell r="CU226">
            <v>6.3186506197286478</v>
          </cell>
          <cell r="CV226">
            <v>13.67289934744978</v>
          </cell>
          <cell r="CW226">
            <v>11.062153668663059</v>
          </cell>
          <cell r="CX226">
            <v>8.6510321273089765</v>
          </cell>
          <cell r="CY226">
            <v>13.473275210017142</v>
          </cell>
        </row>
        <row r="227">
          <cell r="A227">
            <v>39855</v>
          </cell>
          <cell r="CF227">
            <v>11.310604903458977</v>
          </cell>
          <cell r="CG227">
            <v>22.085252262534414</v>
          </cell>
          <cell r="CH227">
            <v>18.555263085067214</v>
          </cell>
          <cell r="CI227">
            <v>14.926604548033502</v>
          </cell>
          <cell r="CJ227">
            <v>22.183921622100925</v>
          </cell>
          <cell r="CU227">
            <v>6.3281587926710134</v>
          </cell>
          <cell r="CV227">
            <v>13.67289934744978</v>
          </cell>
          <cell r="CW227">
            <v>11.062153668663059</v>
          </cell>
          <cell r="CX227">
            <v>8.6510321273089765</v>
          </cell>
          <cell r="CY227">
            <v>13.473275210017142</v>
          </cell>
        </row>
        <row r="228">
          <cell r="A228">
            <v>39856</v>
          </cell>
          <cell r="CF228">
            <v>11.430323739554959</v>
          </cell>
          <cell r="CG228">
            <v>22.085252262534414</v>
          </cell>
          <cell r="CH228">
            <v>18.555263085067214</v>
          </cell>
          <cell r="CI228">
            <v>14.926604548033502</v>
          </cell>
          <cell r="CJ228">
            <v>22.183921622100925</v>
          </cell>
          <cell r="CU228">
            <v>6.391547774435554</v>
          </cell>
          <cell r="CV228">
            <v>13.67289934744978</v>
          </cell>
          <cell r="CW228">
            <v>11.062153668663059</v>
          </cell>
          <cell r="CX228">
            <v>8.6510321273089765</v>
          </cell>
          <cell r="CY228">
            <v>13.473275210017142</v>
          </cell>
        </row>
        <row r="229">
          <cell r="A229">
            <v>39857</v>
          </cell>
          <cell r="CF229">
            <v>11.349515605336149</v>
          </cell>
          <cell r="CG229">
            <v>22.085252262534414</v>
          </cell>
          <cell r="CH229">
            <v>18.555263085067214</v>
          </cell>
          <cell r="CI229">
            <v>14.926604548033502</v>
          </cell>
          <cell r="CJ229">
            <v>22.183921622100925</v>
          </cell>
          <cell r="CU229">
            <v>6.3540090852489604</v>
          </cell>
          <cell r="CV229">
            <v>13.67289934744978</v>
          </cell>
          <cell r="CW229">
            <v>11.062153668663059</v>
          </cell>
          <cell r="CX229">
            <v>8.6510321273089765</v>
          </cell>
          <cell r="CY229">
            <v>13.473275210017142</v>
          </cell>
        </row>
        <row r="230">
          <cell r="A230">
            <v>39860</v>
          </cell>
          <cell r="CF230">
            <v>11.349515605336149</v>
          </cell>
          <cell r="CG230">
            <v>22.085252262534414</v>
          </cell>
          <cell r="CH230">
            <v>18.555263085067214</v>
          </cell>
          <cell r="CI230">
            <v>14.926604548033502</v>
          </cell>
          <cell r="CJ230">
            <v>22.183921622100925</v>
          </cell>
          <cell r="CU230">
            <v>6.3540090852489604</v>
          </cell>
          <cell r="CV230">
            <v>13.67289934744978</v>
          </cell>
          <cell r="CW230">
            <v>11.062153668663059</v>
          </cell>
          <cell r="CX230">
            <v>8.6510321273089765</v>
          </cell>
          <cell r="CY230">
            <v>13.473275210017142</v>
          </cell>
        </row>
        <row r="231">
          <cell r="A231">
            <v>39861</v>
          </cell>
          <cell r="CF231">
            <v>11.068171222453577</v>
          </cell>
          <cell r="CG231">
            <v>22.085252262534414</v>
          </cell>
          <cell r="CH231">
            <v>18.555263085067214</v>
          </cell>
          <cell r="CI231">
            <v>14.926604548033502</v>
          </cell>
          <cell r="CJ231">
            <v>22.183921622100925</v>
          </cell>
          <cell r="CU231">
            <v>6.2049186889234136</v>
          </cell>
          <cell r="CV231">
            <v>13.67289934744978</v>
          </cell>
          <cell r="CW231">
            <v>11.062153668663059</v>
          </cell>
          <cell r="CX231">
            <v>8.6510321273089765</v>
          </cell>
          <cell r="CY231">
            <v>13.473275210017142</v>
          </cell>
        </row>
        <row r="232">
          <cell r="A232">
            <v>39862</v>
          </cell>
          <cell r="CF232">
            <v>11.035004368399608</v>
          </cell>
          <cell r="CG232">
            <v>22.085252262534414</v>
          </cell>
          <cell r="CH232">
            <v>18.555263085067214</v>
          </cell>
          <cell r="CI232">
            <v>14.926604548033502</v>
          </cell>
          <cell r="CJ232">
            <v>22.183921622100925</v>
          </cell>
          <cell r="CU232">
            <v>6.1858843470510694</v>
          </cell>
          <cell r="CV232">
            <v>13.67289934744978</v>
          </cell>
          <cell r="CW232">
            <v>11.062153668663059</v>
          </cell>
          <cell r="CX232">
            <v>8.6510321273089765</v>
          </cell>
          <cell r="CY232">
            <v>13.473275210017142</v>
          </cell>
        </row>
        <row r="233">
          <cell r="A233">
            <v>39863</v>
          </cell>
          <cell r="CF233">
            <v>11.448145089706809</v>
          </cell>
          <cell r="CG233">
            <v>22.085252262534414</v>
          </cell>
          <cell r="CH233">
            <v>18.555263085067214</v>
          </cell>
          <cell r="CI233">
            <v>14.926604548033502</v>
          </cell>
          <cell r="CJ233">
            <v>22.183921622100925</v>
          </cell>
          <cell r="CU233">
            <v>6.4047618318902018</v>
          </cell>
          <cell r="CV233">
            <v>13.67289934744978</v>
          </cell>
          <cell r="CW233">
            <v>11.062153668663059</v>
          </cell>
          <cell r="CX233">
            <v>8.6510321273089765</v>
          </cell>
          <cell r="CY233">
            <v>13.473275210017142</v>
          </cell>
        </row>
        <row r="234">
          <cell r="A234">
            <v>39864</v>
          </cell>
          <cell r="CF234">
            <v>11.002077172212859</v>
          </cell>
          <cell r="CG234">
            <v>22.085252262534414</v>
          </cell>
          <cell r="CH234">
            <v>18.555263085067214</v>
          </cell>
          <cell r="CI234">
            <v>14.926604548033502</v>
          </cell>
          <cell r="CJ234">
            <v>22.183921622100925</v>
          </cell>
          <cell r="CU234">
            <v>6.2654781940077964</v>
          </cell>
          <cell r="CV234">
            <v>13.67289934744978</v>
          </cell>
          <cell r="CW234">
            <v>11.062153668663059</v>
          </cell>
          <cell r="CX234">
            <v>8.6510321273089765</v>
          </cell>
          <cell r="CY234">
            <v>13.473275210017142</v>
          </cell>
        </row>
        <row r="235">
          <cell r="A235">
            <v>39867</v>
          </cell>
          <cell r="CF235">
            <v>10.846055247755102</v>
          </cell>
          <cell r="CG235">
            <v>22.085252262534414</v>
          </cell>
          <cell r="CH235">
            <v>18.555263085067214</v>
          </cell>
          <cell r="CI235">
            <v>14.926604548033502</v>
          </cell>
          <cell r="CJ235">
            <v>22.183921622100925</v>
          </cell>
          <cell r="CU235">
            <v>5.9319509427987658</v>
          </cell>
          <cell r="CV235">
            <v>13.67289934744978</v>
          </cell>
          <cell r="CW235">
            <v>11.062153668663059</v>
          </cell>
          <cell r="CX235">
            <v>8.6510321273089765</v>
          </cell>
          <cell r="CY235">
            <v>13.473275210017142</v>
          </cell>
        </row>
        <row r="236">
          <cell r="A236">
            <v>39868</v>
          </cell>
          <cell r="CF236">
            <v>11.610665739500231</v>
          </cell>
          <cell r="CG236">
            <v>22.085252262534414</v>
          </cell>
          <cell r="CH236">
            <v>18.555263085067214</v>
          </cell>
          <cell r="CI236">
            <v>14.926604548033502</v>
          </cell>
          <cell r="CJ236">
            <v>22.183921622100925</v>
          </cell>
          <cell r="CU236">
            <v>6.2133417737479437</v>
          </cell>
          <cell r="CV236">
            <v>13.67289934744978</v>
          </cell>
          <cell r="CW236">
            <v>11.062153668663059</v>
          </cell>
          <cell r="CX236">
            <v>8.6510321273089765</v>
          </cell>
          <cell r="CY236">
            <v>13.473275210017142</v>
          </cell>
        </row>
        <row r="237">
          <cell r="A237">
            <v>39869</v>
          </cell>
          <cell r="CF237">
            <v>11.488495395802762</v>
          </cell>
          <cell r="CG237">
            <v>22.085252262534414</v>
          </cell>
          <cell r="CH237">
            <v>18.555263085067214</v>
          </cell>
          <cell r="CI237">
            <v>14.926604548033502</v>
          </cell>
          <cell r="CJ237">
            <v>22.183921622100925</v>
          </cell>
          <cell r="CU237">
            <v>6.4520220731533016</v>
          </cell>
          <cell r="CV237">
            <v>13.67289934744978</v>
          </cell>
          <cell r="CW237">
            <v>11.062153668663059</v>
          </cell>
          <cell r="CX237">
            <v>8.6510321273089765</v>
          </cell>
          <cell r="CY237">
            <v>13.473275210017142</v>
          </cell>
        </row>
        <row r="238">
          <cell r="A238">
            <v>39870</v>
          </cell>
          <cell r="CF238">
            <v>11.201362297289092</v>
          </cell>
          <cell r="CG238">
            <v>22.085252262534414</v>
          </cell>
          <cell r="CH238">
            <v>18.555263085067214</v>
          </cell>
          <cell r="CI238">
            <v>14.926604548033502</v>
          </cell>
          <cell r="CJ238">
            <v>22.183921622100925</v>
          </cell>
          <cell r="CU238">
            <v>6.2966624802374804</v>
          </cell>
          <cell r="CV238">
            <v>13.67289934744978</v>
          </cell>
          <cell r="CW238">
            <v>11.062153668663059</v>
          </cell>
          <cell r="CX238">
            <v>8.6510321273089765</v>
          </cell>
          <cell r="CY238">
            <v>13.473275210017142</v>
          </cell>
        </row>
        <row r="239">
          <cell r="A239">
            <v>39871</v>
          </cell>
          <cell r="CF239">
            <v>11.324859481253787</v>
          </cell>
          <cell r="CG239">
            <v>22.085252262534414</v>
          </cell>
          <cell r="CH239">
            <v>18.555263085067214</v>
          </cell>
          <cell r="CI239">
            <v>14.926604548033502</v>
          </cell>
          <cell r="CJ239">
            <v>22.183921622100925</v>
          </cell>
          <cell r="CU239">
            <v>6.3634833111563935</v>
          </cell>
          <cell r="CV239">
            <v>13.67289934744978</v>
          </cell>
          <cell r="CW239">
            <v>11.062153668663059</v>
          </cell>
          <cell r="CX239">
            <v>8.6510321273089765</v>
          </cell>
          <cell r="CY239">
            <v>13.473275210017142</v>
          </cell>
        </row>
        <row r="240">
          <cell r="A240">
            <v>39874</v>
          </cell>
          <cell r="CF240">
            <v>10.72476030217102</v>
          </cell>
          <cell r="CG240">
            <v>22.085252262534414</v>
          </cell>
          <cell r="CH240">
            <v>18.555263085067214</v>
          </cell>
          <cell r="CI240">
            <v>14.926604548033502</v>
          </cell>
          <cell r="CJ240">
            <v>22.183921622100925</v>
          </cell>
          <cell r="CU240">
            <v>6.0537940095356042</v>
          </cell>
          <cell r="CV240">
            <v>13.67289934744978</v>
          </cell>
          <cell r="CW240">
            <v>11.062153668663059</v>
          </cell>
          <cell r="CX240">
            <v>8.6510321273089765</v>
          </cell>
          <cell r="CY240">
            <v>13.473275210017142</v>
          </cell>
        </row>
        <row r="241">
          <cell r="A241">
            <v>39875</v>
          </cell>
          <cell r="CF241">
            <v>10.706412303966129</v>
          </cell>
          <cell r="CG241">
            <v>22.085252262534414</v>
          </cell>
          <cell r="CH241">
            <v>18.555263085067214</v>
          </cell>
          <cell r="CI241">
            <v>14.926604548033502</v>
          </cell>
          <cell r="CJ241">
            <v>22.183921622100925</v>
          </cell>
          <cell r="CU241">
            <v>6.043838054782845</v>
          </cell>
          <cell r="CV241">
            <v>13.67289934744978</v>
          </cell>
          <cell r="CW241">
            <v>11.062153668663059</v>
          </cell>
          <cell r="CX241">
            <v>8.6510321273089765</v>
          </cell>
          <cell r="CY241">
            <v>13.473275210017142</v>
          </cell>
        </row>
        <row r="242">
          <cell r="A242">
            <v>39876</v>
          </cell>
          <cell r="CF242">
            <v>10.845334184788811</v>
          </cell>
          <cell r="CG242">
            <v>22.085252262534414</v>
          </cell>
          <cell r="CH242">
            <v>18.555263085067214</v>
          </cell>
          <cell r="CI242">
            <v>14.926604548033502</v>
          </cell>
          <cell r="CJ242">
            <v>22.183921622100925</v>
          </cell>
          <cell r="CU242">
            <v>6.1102123033473967</v>
          </cell>
          <cell r="CV242">
            <v>13.67289934744978</v>
          </cell>
          <cell r="CW242">
            <v>11.062153668663059</v>
          </cell>
          <cell r="CX242">
            <v>8.6510321273089765</v>
          </cell>
          <cell r="CY242">
            <v>13.473275210017142</v>
          </cell>
        </row>
        <row r="243">
          <cell r="A243">
            <v>39877</v>
          </cell>
          <cell r="CF243">
            <v>10.486988428015643</v>
          </cell>
          <cell r="CG243">
            <v>22.085252262534414</v>
          </cell>
          <cell r="CH243">
            <v>18.555263085067214</v>
          </cell>
          <cell r="CI243">
            <v>14.926604548033502</v>
          </cell>
          <cell r="CJ243">
            <v>22.183921622100925</v>
          </cell>
          <cell r="CU243">
            <v>5.9160650459584634</v>
          </cell>
          <cell r="CV243">
            <v>13.67289934744978</v>
          </cell>
          <cell r="CW243">
            <v>11.062153668663059</v>
          </cell>
          <cell r="CX243">
            <v>8.6510321273089765</v>
          </cell>
          <cell r="CY243">
            <v>13.473275210017142</v>
          </cell>
        </row>
        <row r="244">
          <cell r="A244">
            <v>39878</v>
          </cell>
          <cell r="CF244">
            <v>10.486988428015643</v>
          </cell>
          <cell r="CG244">
            <v>22.085252262534414</v>
          </cell>
          <cell r="CH244">
            <v>18.555263085067214</v>
          </cell>
          <cell r="CI244">
            <v>14.926604548033502</v>
          </cell>
          <cell r="CJ244">
            <v>22.183921622100925</v>
          </cell>
          <cell r="CU244">
            <v>5.9160650459584634</v>
          </cell>
          <cell r="CV244">
            <v>13.67289934744978</v>
          </cell>
          <cell r="CW244">
            <v>11.062153668663059</v>
          </cell>
          <cell r="CX244">
            <v>8.6510321273089765</v>
          </cell>
          <cell r="CY244">
            <v>13.473275210017142</v>
          </cell>
        </row>
        <row r="245">
          <cell r="A245">
            <v>39881</v>
          </cell>
          <cell r="CF245">
            <v>10.545182040721318</v>
          </cell>
          <cell r="CG245">
            <v>22.085252262534414</v>
          </cell>
          <cell r="CH245">
            <v>18.555263085067214</v>
          </cell>
          <cell r="CI245">
            <v>14.926604548033502</v>
          </cell>
          <cell r="CJ245">
            <v>22.183921622100925</v>
          </cell>
          <cell r="CU245">
            <v>5.9475936188264615</v>
          </cell>
          <cell r="CV245">
            <v>13.67289934744978</v>
          </cell>
          <cell r="CW245">
            <v>11.062153668663059</v>
          </cell>
          <cell r="CX245">
            <v>8.6510321273089765</v>
          </cell>
          <cell r="CY245">
            <v>13.473275210017142</v>
          </cell>
        </row>
        <row r="246">
          <cell r="A246">
            <v>39882</v>
          </cell>
          <cell r="CF246">
            <v>10.882090721355835</v>
          </cell>
          <cell r="CG246">
            <v>22.085252262534414</v>
          </cell>
          <cell r="CH246">
            <v>18.555263085067214</v>
          </cell>
          <cell r="CI246">
            <v>14.926604548033502</v>
          </cell>
          <cell r="CJ246">
            <v>22.183921622100925</v>
          </cell>
          <cell r="CU246">
            <v>6.1301265359864656</v>
          </cell>
          <cell r="CV246">
            <v>13.67289934744978</v>
          </cell>
          <cell r="CW246">
            <v>11.062153668663059</v>
          </cell>
          <cell r="CX246">
            <v>8.6510321273089765</v>
          </cell>
          <cell r="CY246">
            <v>13.473275210017142</v>
          </cell>
        </row>
        <row r="247">
          <cell r="A247">
            <v>39883</v>
          </cell>
          <cell r="CF247">
            <v>10.79536864535862</v>
          </cell>
          <cell r="CG247">
            <v>22.085252262534414</v>
          </cell>
          <cell r="CH247">
            <v>18.555263085067214</v>
          </cell>
          <cell r="CI247">
            <v>14.926604548033502</v>
          </cell>
          <cell r="CJ247">
            <v>22.183921622100925</v>
          </cell>
          <cell r="CU247">
            <v>6.085322582403605</v>
          </cell>
          <cell r="CV247">
            <v>13.67289934744978</v>
          </cell>
          <cell r="CW247">
            <v>11.062153668663059</v>
          </cell>
          <cell r="CX247">
            <v>8.6510321273089765</v>
          </cell>
          <cell r="CY247">
            <v>13.473275210017142</v>
          </cell>
        </row>
        <row r="248">
          <cell r="A248">
            <v>39884</v>
          </cell>
          <cell r="CF248">
            <v>11.395448860531227</v>
          </cell>
          <cell r="CG248">
            <v>22.085252262534414</v>
          </cell>
          <cell r="CH248">
            <v>18.555263085067214</v>
          </cell>
          <cell r="CI248">
            <v>14.926604548033502</v>
          </cell>
          <cell r="CJ248">
            <v>22.183921622100925</v>
          </cell>
          <cell r="CU248">
            <v>6.4105597855073642</v>
          </cell>
          <cell r="CV248">
            <v>13.67289934744978</v>
          </cell>
          <cell r="CW248">
            <v>11.062153668663059</v>
          </cell>
          <cell r="CX248">
            <v>8.6510321273089765</v>
          </cell>
          <cell r="CY248">
            <v>13.473275210017142</v>
          </cell>
        </row>
        <row r="249">
          <cell r="A249">
            <v>39885</v>
          </cell>
          <cell r="CF249">
            <v>11.508733197294115</v>
          </cell>
          <cell r="CG249">
            <v>22.085252262534414</v>
          </cell>
          <cell r="CH249">
            <v>18.555263085067214</v>
          </cell>
          <cell r="CI249">
            <v>14.926604548033502</v>
          </cell>
          <cell r="CJ249">
            <v>22.183921622100925</v>
          </cell>
          <cell r="CU249">
            <v>6.4719587117053035</v>
          </cell>
          <cell r="CV249">
            <v>13.67289934744978</v>
          </cell>
          <cell r="CW249">
            <v>11.062153668663059</v>
          </cell>
          <cell r="CX249">
            <v>8.6510321273089765</v>
          </cell>
          <cell r="CY249">
            <v>13.473275210017142</v>
          </cell>
        </row>
        <row r="250">
          <cell r="A250">
            <v>39888</v>
          </cell>
          <cell r="CF250">
            <v>11.32503249173738</v>
          </cell>
          <cell r="CG250">
            <v>22.085252262534414</v>
          </cell>
          <cell r="CH250">
            <v>18.555263085067214</v>
          </cell>
          <cell r="CI250">
            <v>14.926604548033502</v>
          </cell>
          <cell r="CJ250">
            <v>22.183921622100925</v>
          </cell>
          <cell r="CU250">
            <v>6.3723948497868195</v>
          </cell>
          <cell r="CV250">
            <v>13.67289934744978</v>
          </cell>
          <cell r="CW250">
            <v>11.062153668663059</v>
          </cell>
          <cell r="CX250">
            <v>8.6510321273089765</v>
          </cell>
          <cell r="CY250">
            <v>13.473275210017142</v>
          </cell>
        </row>
        <row r="251">
          <cell r="A251">
            <v>39889</v>
          </cell>
          <cell r="CF251">
            <v>11.646506430225813</v>
          </cell>
          <cell r="CG251">
            <v>22.085252262534414</v>
          </cell>
          <cell r="CH251">
            <v>18.555263085067214</v>
          </cell>
          <cell r="CI251">
            <v>14.926604548033502</v>
          </cell>
          <cell r="CJ251">
            <v>22.183921622100925</v>
          </cell>
          <cell r="CU251">
            <v>6.5466303636083403</v>
          </cell>
          <cell r="CV251">
            <v>13.67289934744978</v>
          </cell>
          <cell r="CW251">
            <v>11.062153668663059</v>
          </cell>
          <cell r="CX251">
            <v>8.6510321273089765</v>
          </cell>
          <cell r="CY251">
            <v>13.473275210017142</v>
          </cell>
        </row>
        <row r="252">
          <cell r="A252">
            <v>39890</v>
          </cell>
          <cell r="CF252">
            <v>11.723047625462501</v>
          </cell>
          <cell r="CG252">
            <v>22.085252262534414</v>
          </cell>
          <cell r="CH252">
            <v>18.555263085067214</v>
          </cell>
          <cell r="CI252">
            <v>14.926604548033502</v>
          </cell>
          <cell r="CJ252">
            <v>22.183921622100925</v>
          </cell>
          <cell r="CU252">
            <v>6.5881148912290994</v>
          </cell>
          <cell r="CV252">
            <v>13.67289934744978</v>
          </cell>
          <cell r="CW252">
            <v>11.062153668663059</v>
          </cell>
          <cell r="CX252">
            <v>8.6510321273089765</v>
          </cell>
          <cell r="CY252">
            <v>13.473275210017142</v>
          </cell>
        </row>
        <row r="253">
          <cell r="A253">
            <v>39891</v>
          </cell>
          <cell r="CF253">
            <v>11.441376639321049</v>
          </cell>
          <cell r="CG253">
            <v>22.085252262534414</v>
          </cell>
          <cell r="CH253">
            <v>18.555263085067214</v>
          </cell>
          <cell r="CI253">
            <v>14.926604548033502</v>
          </cell>
          <cell r="CJ253">
            <v>22.183921622100925</v>
          </cell>
          <cell r="CU253">
            <v>6.4354521614609252</v>
          </cell>
          <cell r="CV253">
            <v>13.67289934744978</v>
          </cell>
          <cell r="CW253">
            <v>11.062153668663059</v>
          </cell>
          <cell r="CX253">
            <v>8.6510321273089765</v>
          </cell>
          <cell r="CY253">
            <v>13.473275210017142</v>
          </cell>
        </row>
        <row r="254">
          <cell r="A254">
            <v>39892</v>
          </cell>
          <cell r="CF254">
            <v>11.410758324237689</v>
          </cell>
          <cell r="CG254">
            <v>22.085252262534414</v>
          </cell>
          <cell r="CH254">
            <v>18.555263085067214</v>
          </cell>
          <cell r="CI254">
            <v>14.926604548033502</v>
          </cell>
          <cell r="CJ254">
            <v>22.183921622100925</v>
          </cell>
          <cell r="CU254">
            <v>6.4188573547839578</v>
          </cell>
          <cell r="CV254">
            <v>13.67289934744978</v>
          </cell>
          <cell r="CW254">
            <v>11.062153668663059</v>
          </cell>
          <cell r="CX254">
            <v>8.6510321273089765</v>
          </cell>
          <cell r="CY254">
            <v>13.473275210017142</v>
          </cell>
        </row>
        <row r="255">
          <cell r="A255">
            <v>39895</v>
          </cell>
          <cell r="CF255">
            <v>11.997371055415094</v>
          </cell>
          <cell r="CG255">
            <v>22.085252262534414</v>
          </cell>
          <cell r="CH255">
            <v>18.555263085067214</v>
          </cell>
          <cell r="CI255">
            <v>14.926604548033502</v>
          </cell>
          <cell r="CJ255">
            <v>22.183921622100925</v>
          </cell>
          <cell r="CU255">
            <v>6.7324802176587903</v>
          </cell>
          <cell r="CV255">
            <v>13.67289934744978</v>
          </cell>
          <cell r="CW255">
            <v>11.062153668663059</v>
          </cell>
          <cell r="CX255">
            <v>8.6510321273089765</v>
          </cell>
          <cell r="CY255">
            <v>13.473275210017142</v>
          </cell>
        </row>
        <row r="256">
          <cell r="A256">
            <v>39896</v>
          </cell>
          <cell r="CF256">
            <v>11.822203271117953</v>
          </cell>
          <cell r="CG256">
            <v>22.085252262534414</v>
          </cell>
          <cell r="CH256">
            <v>18.555263085067214</v>
          </cell>
          <cell r="CI256">
            <v>14.926604548033502</v>
          </cell>
          <cell r="CJ256">
            <v>22.183921622100925</v>
          </cell>
          <cell r="CU256">
            <v>6.6063680833822334</v>
          </cell>
          <cell r="CV256">
            <v>13.67289934744978</v>
          </cell>
          <cell r="CW256">
            <v>11.062153668663059</v>
          </cell>
          <cell r="CX256">
            <v>8.6510321273089765</v>
          </cell>
          <cell r="CY256">
            <v>13.473275210017142</v>
          </cell>
        </row>
        <row r="257">
          <cell r="A257">
            <v>39897</v>
          </cell>
          <cell r="CF257">
            <v>12.170097825668654</v>
          </cell>
          <cell r="CG257">
            <v>22.085252262534414</v>
          </cell>
          <cell r="CH257">
            <v>18.555263085067214</v>
          </cell>
          <cell r="CI257">
            <v>14.926604548033502</v>
          </cell>
          <cell r="CJ257">
            <v>22.183921622100925</v>
          </cell>
          <cell r="CU257">
            <v>6.7938789779186184</v>
          </cell>
          <cell r="CV257">
            <v>13.67289934744978</v>
          </cell>
          <cell r="CW257">
            <v>11.062153668663059</v>
          </cell>
          <cell r="CX257">
            <v>8.6510321273089765</v>
          </cell>
          <cell r="CY257">
            <v>13.473275210017142</v>
          </cell>
        </row>
        <row r="258">
          <cell r="A258">
            <v>39898</v>
          </cell>
          <cell r="CF258">
            <v>12.459491552818934</v>
          </cell>
          <cell r="CG258">
            <v>22.085252262534414</v>
          </cell>
          <cell r="CH258">
            <v>18.555263085067214</v>
          </cell>
          <cell r="CI258">
            <v>14.926604548033502</v>
          </cell>
          <cell r="CJ258">
            <v>22.183921622100925</v>
          </cell>
          <cell r="CU258">
            <v>6.9498586445772395</v>
          </cell>
          <cell r="CV258">
            <v>13.67289934744978</v>
          </cell>
          <cell r="CW258">
            <v>11.062153668663059</v>
          </cell>
          <cell r="CX258">
            <v>8.6510321273089765</v>
          </cell>
          <cell r="CY258">
            <v>13.473275210017142</v>
          </cell>
        </row>
        <row r="259">
          <cell r="A259">
            <v>39899</v>
          </cell>
          <cell r="CF259">
            <v>12.317874158168175</v>
          </cell>
          <cell r="CG259">
            <v>22.085252262534414</v>
          </cell>
          <cell r="CH259">
            <v>18.555263085067214</v>
          </cell>
          <cell r="CI259">
            <v>14.926604548033502</v>
          </cell>
          <cell r="CJ259">
            <v>22.183921622100925</v>
          </cell>
          <cell r="CU259">
            <v>6.873528607198037</v>
          </cell>
          <cell r="CV259">
            <v>13.67289934744978</v>
          </cell>
          <cell r="CW259">
            <v>11.062153668663059</v>
          </cell>
          <cell r="CX259">
            <v>8.6510321273089765</v>
          </cell>
          <cell r="CY259">
            <v>13.473275210017142</v>
          </cell>
        </row>
        <row r="260">
          <cell r="A260">
            <v>39902</v>
          </cell>
          <cell r="CF260">
            <v>12.160862035789879</v>
          </cell>
          <cell r="CG260">
            <v>22.085252262534414</v>
          </cell>
          <cell r="CH260">
            <v>18.555263085067214</v>
          </cell>
          <cell r="CI260">
            <v>14.926604548033502</v>
          </cell>
          <cell r="CJ260">
            <v>22.183921622100925</v>
          </cell>
          <cell r="CU260">
            <v>6.7889010005422383</v>
          </cell>
          <cell r="CV260">
            <v>13.67289934744978</v>
          </cell>
          <cell r="CW260">
            <v>11.062153668663059</v>
          </cell>
          <cell r="CX260">
            <v>8.6510321273089765</v>
          </cell>
          <cell r="CY260">
            <v>13.473275210017142</v>
          </cell>
        </row>
        <row r="261">
          <cell r="A261">
            <v>39903</v>
          </cell>
          <cell r="CF261">
            <v>12.311715528189341</v>
          </cell>
          <cell r="CG261">
            <v>22.085252262534414</v>
          </cell>
          <cell r="CH261">
            <v>18.555263085067214</v>
          </cell>
          <cell r="CI261">
            <v>14.926604548033502</v>
          </cell>
          <cell r="CJ261">
            <v>22.183921622100925</v>
          </cell>
          <cell r="CU261">
            <v>6.8702091812359338</v>
          </cell>
          <cell r="CV261">
            <v>13.67289934744978</v>
          </cell>
          <cell r="CW261">
            <v>11.062153668663059</v>
          </cell>
          <cell r="CX261">
            <v>8.6510321273089765</v>
          </cell>
          <cell r="CY261">
            <v>13.473275210017142</v>
          </cell>
        </row>
        <row r="262">
          <cell r="A262">
            <v>39904</v>
          </cell>
          <cell r="CF262">
            <v>12.150931063398497</v>
          </cell>
          <cell r="CG262">
            <v>22.085252262534414</v>
          </cell>
          <cell r="CH262">
            <v>18.555263085067214</v>
          </cell>
          <cell r="CI262">
            <v>14.926604548033502</v>
          </cell>
          <cell r="CJ262">
            <v>22.183921622100925</v>
          </cell>
          <cell r="CU262">
            <v>6.8015213708167739</v>
          </cell>
          <cell r="CV262">
            <v>13.67289934744978</v>
          </cell>
          <cell r="CW262">
            <v>11.062153668663059</v>
          </cell>
          <cell r="CX262">
            <v>8.6510321273089765</v>
          </cell>
          <cell r="CY262">
            <v>13.473275210017142</v>
          </cell>
        </row>
        <row r="263">
          <cell r="A263">
            <v>39905</v>
          </cell>
          <cell r="CF263">
            <v>12.544276457884624</v>
          </cell>
          <cell r="CG263">
            <v>22.085252262534414</v>
          </cell>
          <cell r="CH263">
            <v>18.555263085067214</v>
          </cell>
          <cell r="CI263">
            <v>14.926604548033502</v>
          </cell>
          <cell r="CJ263">
            <v>22.183921622100925</v>
          </cell>
          <cell r="CU263">
            <v>7.0141618905499854</v>
          </cell>
          <cell r="CV263">
            <v>13.67289934744978</v>
          </cell>
          <cell r="CW263">
            <v>11.062153668663059</v>
          </cell>
          <cell r="CX263">
            <v>8.6510321273089765</v>
          </cell>
          <cell r="CY263">
            <v>13.473275210017142</v>
          </cell>
        </row>
        <row r="264">
          <cell r="A264">
            <v>39906</v>
          </cell>
          <cell r="CF264">
            <v>12.330831050693648</v>
          </cell>
          <cell r="CG264">
            <v>22.085252262534414</v>
          </cell>
          <cell r="CH264">
            <v>18.555263085067214</v>
          </cell>
          <cell r="CI264">
            <v>14.926604548033502</v>
          </cell>
          <cell r="CJ264">
            <v>22.183921622100925</v>
          </cell>
          <cell r="CU264">
            <v>6.8987743889903177</v>
          </cell>
          <cell r="CV264">
            <v>13.67289934744978</v>
          </cell>
          <cell r="CW264">
            <v>11.062153668663059</v>
          </cell>
          <cell r="CX264">
            <v>8.6510321273089765</v>
          </cell>
          <cell r="CY264">
            <v>13.473275210017142</v>
          </cell>
        </row>
        <row r="265">
          <cell r="A265">
            <v>39909</v>
          </cell>
          <cell r="CF265">
            <v>12.282047719477786</v>
          </cell>
          <cell r="CG265">
            <v>22.085252262534414</v>
          </cell>
          <cell r="CH265">
            <v>18.555263085067214</v>
          </cell>
          <cell r="CI265">
            <v>14.926604548033502</v>
          </cell>
          <cell r="CJ265">
            <v>22.183921622100925</v>
          </cell>
          <cell r="CU265">
            <v>6.8724023682434883</v>
          </cell>
          <cell r="CV265">
            <v>13.67289934744978</v>
          </cell>
          <cell r="CW265">
            <v>11.062153668663059</v>
          </cell>
          <cell r="CX265">
            <v>8.6510321273089765</v>
          </cell>
          <cell r="CY265">
            <v>13.473275210017142</v>
          </cell>
        </row>
        <row r="266">
          <cell r="A266">
            <v>39910</v>
          </cell>
          <cell r="CF266">
            <v>12.04726057680212</v>
          </cell>
          <cell r="CG266">
            <v>22.085252262534414</v>
          </cell>
          <cell r="CH266">
            <v>18.555263085067214</v>
          </cell>
          <cell r="CI266">
            <v>14.926604548033502</v>
          </cell>
          <cell r="CJ266">
            <v>22.183921622100925</v>
          </cell>
          <cell r="CU266">
            <v>6.7454776330233077</v>
          </cell>
          <cell r="CV266">
            <v>13.67289934744978</v>
          </cell>
          <cell r="CW266">
            <v>11.062153668663059</v>
          </cell>
          <cell r="CX266">
            <v>8.6510321273089765</v>
          </cell>
          <cell r="CY266">
            <v>13.473275210017142</v>
          </cell>
        </row>
        <row r="267">
          <cell r="A267">
            <v>39911</v>
          </cell>
          <cell r="CF267">
            <v>12.059455113709756</v>
          </cell>
          <cell r="CG267">
            <v>22.085252262534414</v>
          </cell>
          <cell r="CH267">
            <v>18.555263085067214</v>
          </cell>
          <cell r="CI267">
            <v>14.926604548033502</v>
          </cell>
          <cell r="CJ267">
            <v>22.183921622100925</v>
          </cell>
          <cell r="CU267">
            <v>6.7520699376550501</v>
          </cell>
          <cell r="CV267">
            <v>13.67289934744978</v>
          </cell>
          <cell r="CW267">
            <v>11.062153668663059</v>
          </cell>
          <cell r="CX267">
            <v>8.6510321273089765</v>
          </cell>
          <cell r="CY267">
            <v>13.473275210017142</v>
          </cell>
        </row>
        <row r="268">
          <cell r="A268">
            <v>39912</v>
          </cell>
          <cell r="CF268">
            <v>12.352177359930089</v>
          </cell>
          <cell r="CG268">
            <v>22.085252262534414</v>
          </cell>
          <cell r="CH268">
            <v>18.555263085067214</v>
          </cell>
          <cell r="CI268">
            <v>14.926604548033502</v>
          </cell>
          <cell r="CJ268">
            <v>22.183921622100925</v>
          </cell>
          <cell r="CU268">
            <v>6.9103140951977657</v>
          </cell>
          <cell r="CV268">
            <v>13.67289934744978</v>
          </cell>
          <cell r="CW268">
            <v>11.062153668663059</v>
          </cell>
          <cell r="CX268">
            <v>8.6510321273089765</v>
          </cell>
          <cell r="CY268">
            <v>13.473275210017142</v>
          </cell>
        </row>
        <row r="269">
          <cell r="A269">
            <v>39913</v>
          </cell>
          <cell r="CF269">
            <v>12.352177359930089</v>
          </cell>
          <cell r="CG269">
            <v>22.085252262534414</v>
          </cell>
          <cell r="CH269">
            <v>18.555263085067214</v>
          </cell>
          <cell r="CI269">
            <v>14.926604548033502</v>
          </cell>
          <cell r="CJ269">
            <v>22.183921622100925</v>
          </cell>
          <cell r="CU269">
            <v>6.9103140951977657</v>
          </cell>
          <cell r="CV269">
            <v>13.67289934744978</v>
          </cell>
          <cell r="CW269">
            <v>11.062153668663059</v>
          </cell>
          <cell r="CX269">
            <v>8.6510321273089765</v>
          </cell>
          <cell r="CY269">
            <v>13.473275210017142</v>
          </cell>
        </row>
        <row r="270">
          <cell r="A270">
            <v>39916</v>
          </cell>
          <cell r="CF270">
            <v>12.458895489773829</v>
          </cell>
          <cell r="CG270">
            <v>22.085252262534414</v>
          </cell>
          <cell r="CH270">
            <v>18.555263085067214</v>
          </cell>
          <cell r="CI270">
            <v>14.926604548033502</v>
          </cell>
          <cell r="CJ270">
            <v>22.183921622100925</v>
          </cell>
          <cell r="CU270">
            <v>6.9680053734306657</v>
          </cell>
          <cell r="CV270">
            <v>13.67289934744978</v>
          </cell>
          <cell r="CW270">
            <v>11.062153668663059</v>
          </cell>
          <cell r="CX270">
            <v>8.6510321273089765</v>
          </cell>
          <cell r="CY270">
            <v>13.473275210017142</v>
          </cell>
        </row>
        <row r="271">
          <cell r="A271">
            <v>39917</v>
          </cell>
          <cell r="CF271">
            <v>12.397913047898586</v>
          </cell>
          <cell r="CG271">
            <v>22.085252262534414</v>
          </cell>
          <cell r="CH271">
            <v>18.555263085067214</v>
          </cell>
          <cell r="CI271">
            <v>14.926604548033502</v>
          </cell>
          <cell r="CJ271">
            <v>22.183921622100925</v>
          </cell>
          <cell r="CU271">
            <v>6.9350385755051613</v>
          </cell>
          <cell r="CV271">
            <v>13.67289934744978</v>
          </cell>
          <cell r="CW271">
            <v>11.062153668663059</v>
          </cell>
          <cell r="CX271">
            <v>8.6510321273089765</v>
          </cell>
          <cell r="CY271">
            <v>13.473275210017142</v>
          </cell>
        </row>
        <row r="272">
          <cell r="A272">
            <v>39918</v>
          </cell>
          <cell r="CF272">
            <v>12.58530398427753</v>
          </cell>
          <cell r="CG272">
            <v>22.085252262534414</v>
          </cell>
          <cell r="CH272">
            <v>18.555263085067214</v>
          </cell>
          <cell r="CI272">
            <v>14.926604548033502</v>
          </cell>
          <cell r="CJ272">
            <v>22.183921622100925</v>
          </cell>
          <cell r="CU272">
            <v>7.0125118775636182</v>
          </cell>
          <cell r="CV272">
            <v>13.67289934744978</v>
          </cell>
          <cell r="CW272">
            <v>11.062153668663059</v>
          </cell>
          <cell r="CX272">
            <v>8.6510321273089765</v>
          </cell>
          <cell r="CY272">
            <v>13.473275210017142</v>
          </cell>
        </row>
        <row r="273">
          <cell r="A273">
            <v>39919</v>
          </cell>
          <cell r="CF273">
            <v>12.836216696977813</v>
          </cell>
          <cell r="CG273">
            <v>22.085252262534414</v>
          </cell>
          <cell r="CH273">
            <v>18.555263085067214</v>
          </cell>
          <cell r="CI273">
            <v>14.926604548033502</v>
          </cell>
          <cell r="CJ273">
            <v>22.183921622100925</v>
          </cell>
          <cell r="CU273">
            <v>7.1476789304019102</v>
          </cell>
          <cell r="CV273">
            <v>13.67289934744978</v>
          </cell>
          <cell r="CW273">
            <v>11.062153668663059</v>
          </cell>
          <cell r="CX273">
            <v>8.6510321273089765</v>
          </cell>
          <cell r="CY273">
            <v>13.473275210017142</v>
          </cell>
        </row>
        <row r="274">
          <cell r="A274">
            <v>39920</v>
          </cell>
          <cell r="CF274">
            <v>12.747477583793676</v>
          </cell>
          <cell r="CG274">
            <v>22.085252262534414</v>
          </cell>
          <cell r="CH274">
            <v>18.555263085067214</v>
          </cell>
          <cell r="CI274">
            <v>14.926604548033502</v>
          </cell>
          <cell r="CJ274">
            <v>22.183921622100925</v>
          </cell>
          <cell r="CU274">
            <v>7.0998750376796194</v>
          </cell>
          <cell r="CV274">
            <v>13.67289934744978</v>
          </cell>
          <cell r="CW274">
            <v>11.062153668663059</v>
          </cell>
          <cell r="CX274">
            <v>8.6510321273089765</v>
          </cell>
          <cell r="CY274">
            <v>13.473275210017142</v>
          </cell>
        </row>
        <row r="275">
          <cell r="A275">
            <v>39923</v>
          </cell>
          <cell r="CF275">
            <v>12.523867245342075</v>
          </cell>
          <cell r="CG275">
            <v>22.085252262534414</v>
          </cell>
          <cell r="CH275">
            <v>18.555263085067214</v>
          </cell>
          <cell r="CI275">
            <v>14.926604548033502</v>
          </cell>
          <cell r="CJ275">
            <v>22.183921622100925</v>
          </cell>
          <cell r="CU275">
            <v>6.9713027620200041</v>
          </cell>
          <cell r="CV275">
            <v>13.67289934744978</v>
          </cell>
          <cell r="CW275">
            <v>11.062153668663059</v>
          </cell>
          <cell r="CX275">
            <v>8.6510321273089765</v>
          </cell>
          <cell r="CY275">
            <v>13.473275210017142</v>
          </cell>
        </row>
        <row r="276">
          <cell r="A276">
            <v>39924</v>
          </cell>
          <cell r="CF276">
            <v>12.300227929539142</v>
          </cell>
          <cell r="CG276">
            <v>22.085252262534414</v>
          </cell>
          <cell r="CH276">
            <v>18.555263085067214</v>
          </cell>
          <cell r="CI276">
            <v>14.926604548033502</v>
          </cell>
          <cell r="CJ276">
            <v>22.183921622100925</v>
          </cell>
          <cell r="CU276">
            <v>6.8509728039784985</v>
          </cell>
          <cell r="CV276">
            <v>13.67289934744978</v>
          </cell>
          <cell r="CW276">
            <v>11.062153668663059</v>
          </cell>
          <cell r="CX276">
            <v>8.6510321273089765</v>
          </cell>
          <cell r="CY276">
            <v>13.473275210017142</v>
          </cell>
        </row>
        <row r="277">
          <cell r="A277">
            <v>39925</v>
          </cell>
          <cell r="CF277">
            <v>12.33392749553353</v>
          </cell>
          <cell r="CG277">
            <v>22.085252262534414</v>
          </cell>
          <cell r="CH277">
            <v>18.555263085067214</v>
          </cell>
          <cell r="CI277">
            <v>14.926604548033502</v>
          </cell>
          <cell r="CJ277">
            <v>22.183921622100925</v>
          </cell>
          <cell r="CU277">
            <v>6.8691049796541508</v>
          </cell>
          <cell r="CV277">
            <v>13.67289934744978</v>
          </cell>
          <cell r="CW277">
            <v>11.062153668663059</v>
          </cell>
          <cell r="CX277">
            <v>8.6510321273089765</v>
          </cell>
          <cell r="CY277">
            <v>13.473275210017142</v>
          </cell>
        </row>
        <row r="278">
          <cell r="A278">
            <v>39926</v>
          </cell>
          <cell r="CF278">
            <v>12.098031452643539</v>
          </cell>
          <cell r="CG278">
            <v>22.085252262534414</v>
          </cell>
          <cell r="CH278">
            <v>18.555263085067214</v>
          </cell>
          <cell r="CI278">
            <v>14.926604548033502</v>
          </cell>
          <cell r="CJ278">
            <v>22.183921622100925</v>
          </cell>
          <cell r="CU278">
            <v>6.7421802444339702</v>
          </cell>
          <cell r="CV278">
            <v>13.67289934744978</v>
          </cell>
          <cell r="CW278">
            <v>11.062153668663059</v>
          </cell>
          <cell r="CX278">
            <v>8.6510321273089765</v>
          </cell>
          <cell r="CY278">
            <v>13.473275210017142</v>
          </cell>
        </row>
        <row r="279">
          <cell r="A279">
            <v>39927</v>
          </cell>
          <cell r="CF279">
            <v>12.20831993872984</v>
          </cell>
          <cell r="CG279">
            <v>22.085252262534414</v>
          </cell>
          <cell r="CH279">
            <v>18.555263085067214</v>
          </cell>
          <cell r="CI279">
            <v>14.926604548033502</v>
          </cell>
          <cell r="CJ279">
            <v>22.183921622100925</v>
          </cell>
          <cell r="CU279">
            <v>6.8015213708167739</v>
          </cell>
          <cell r="CV279">
            <v>13.67289934744978</v>
          </cell>
          <cell r="CW279">
            <v>11.062153668663059</v>
          </cell>
          <cell r="CX279">
            <v>8.6510321273089765</v>
          </cell>
          <cell r="CY279">
            <v>13.473275210017142</v>
          </cell>
        </row>
        <row r="280">
          <cell r="A280">
            <v>39930</v>
          </cell>
          <cell r="CF280">
            <v>12.557566811336462</v>
          </cell>
          <cell r="CG280">
            <v>22.085252262534414</v>
          </cell>
          <cell r="CH280">
            <v>18.555263085067214</v>
          </cell>
          <cell r="CI280">
            <v>14.926604548033502</v>
          </cell>
          <cell r="CJ280">
            <v>22.183921622100925</v>
          </cell>
          <cell r="CU280">
            <v>6.9894349376956573</v>
          </cell>
          <cell r="CV280">
            <v>13.67289934744978</v>
          </cell>
          <cell r="CW280">
            <v>11.062153668663059</v>
          </cell>
          <cell r="CX280">
            <v>8.6510321273089765</v>
          </cell>
          <cell r="CY280">
            <v>13.473275210017142</v>
          </cell>
        </row>
        <row r="281">
          <cell r="A281">
            <v>39931</v>
          </cell>
          <cell r="CF281">
            <v>12.624965636968328</v>
          </cell>
          <cell r="CG281">
            <v>22.085252262534414</v>
          </cell>
          <cell r="CH281">
            <v>18.555263085067214</v>
          </cell>
          <cell r="CI281">
            <v>14.926604548033502</v>
          </cell>
          <cell r="CJ281">
            <v>22.183921622100925</v>
          </cell>
          <cell r="CU281">
            <v>7.0256991242104991</v>
          </cell>
          <cell r="CV281">
            <v>13.67289934744978</v>
          </cell>
          <cell r="CW281">
            <v>11.062153668663059</v>
          </cell>
          <cell r="CX281">
            <v>8.6510321273089765</v>
          </cell>
          <cell r="CY281">
            <v>13.473275210017142</v>
          </cell>
        </row>
        <row r="282">
          <cell r="A282">
            <v>39932</v>
          </cell>
          <cell r="CF282">
            <v>12.710745264234104</v>
          </cell>
          <cell r="CG282">
            <v>22.085252262534414</v>
          </cell>
          <cell r="CH282">
            <v>18.555263085067214</v>
          </cell>
          <cell r="CI282">
            <v>14.926604548033502</v>
          </cell>
          <cell r="CJ282">
            <v>22.183921622100925</v>
          </cell>
          <cell r="CU282">
            <v>7.1342289408444968</v>
          </cell>
          <cell r="CV282">
            <v>13.67289934744978</v>
          </cell>
          <cell r="CW282">
            <v>11.062153668663059</v>
          </cell>
          <cell r="CX282">
            <v>8.6510321273089765</v>
          </cell>
          <cell r="CY282">
            <v>13.473275210017142</v>
          </cell>
        </row>
        <row r="283">
          <cell r="A283">
            <v>39933</v>
          </cell>
          <cell r="CF283">
            <v>12.572885575696942</v>
          </cell>
          <cell r="CG283">
            <v>22.085252262534414</v>
          </cell>
          <cell r="CH283">
            <v>18.555263085067214</v>
          </cell>
          <cell r="CI283">
            <v>14.926604548033502</v>
          </cell>
          <cell r="CJ283">
            <v>22.183921622100925</v>
          </cell>
          <cell r="CU283">
            <v>7.0593765049268553</v>
          </cell>
          <cell r="CV283">
            <v>13.67289934744978</v>
          </cell>
          <cell r="CW283">
            <v>11.062153668663059</v>
          </cell>
          <cell r="CX283">
            <v>8.6510321273089765</v>
          </cell>
          <cell r="CY283">
            <v>13.473275210017142</v>
          </cell>
        </row>
        <row r="284">
          <cell r="A284">
            <v>39934</v>
          </cell>
          <cell r="CF284">
            <v>12.648667029147157</v>
          </cell>
          <cell r="CG284">
            <v>22.085252262534414</v>
          </cell>
          <cell r="CH284">
            <v>18.555263085067214</v>
          </cell>
          <cell r="CI284">
            <v>14.926604548033502</v>
          </cell>
          <cell r="CJ284">
            <v>22.183921622100925</v>
          </cell>
          <cell r="CU284">
            <v>7.1185742666974461</v>
          </cell>
          <cell r="CV284">
            <v>13.67289934744978</v>
          </cell>
          <cell r="CW284">
            <v>11.062153668663059</v>
          </cell>
          <cell r="CX284">
            <v>8.6510321273089765</v>
          </cell>
          <cell r="CY284">
            <v>13.473275210017142</v>
          </cell>
        </row>
        <row r="285">
          <cell r="A285">
            <v>39937</v>
          </cell>
          <cell r="CF285">
            <v>13.824141995712283</v>
          </cell>
          <cell r="CG285">
            <v>22.085252262534414</v>
          </cell>
          <cell r="CH285">
            <v>18.555263085067214</v>
          </cell>
          <cell r="CI285">
            <v>14.926604548033502</v>
          </cell>
          <cell r="CJ285">
            <v>22.183921622100925</v>
          </cell>
          <cell r="CU285">
            <v>7.8668181183392498</v>
          </cell>
          <cell r="CV285">
            <v>13.67289934744978</v>
          </cell>
          <cell r="CW285">
            <v>11.062153668663059</v>
          </cell>
          <cell r="CX285">
            <v>8.6510321273089765</v>
          </cell>
          <cell r="CY285">
            <v>13.473275210017142</v>
          </cell>
        </row>
        <row r="286">
          <cell r="A286">
            <v>39938</v>
          </cell>
          <cell r="CF286">
            <v>13.378421132269255</v>
          </cell>
          <cell r="CG286">
            <v>22.085252262534414</v>
          </cell>
          <cell r="CH286">
            <v>18.555263085067214</v>
          </cell>
          <cell r="CI286">
            <v>14.926604548033502</v>
          </cell>
          <cell r="CJ286">
            <v>22.183921622100925</v>
          </cell>
          <cell r="CU286">
            <v>7.6886739077774635</v>
          </cell>
          <cell r="CV286">
            <v>13.67289934744978</v>
          </cell>
          <cell r="CW286">
            <v>11.062153668663059</v>
          </cell>
          <cell r="CX286">
            <v>8.6510321273089765</v>
          </cell>
          <cell r="CY286">
            <v>13.473275210017142</v>
          </cell>
        </row>
        <row r="287">
          <cell r="A287">
            <v>39939</v>
          </cell>
          <cell r="CF287">
            <v>13.297119584024644</v>
          </cell>
          <cell r="CG287">
            <v>22.085252262534414</v>
          </cell>
          <cell r="CH287">
            <v>18.555263085067214</v>
          </cell>
          <cell r="CI287">
            <v>14.926604548033502</v>
          </cell>
          <cell r="CJ287">
            <v>22.183921622100925</v>
          </cell>
          <cell r="CU287">
            <v>7.6439115337961567</v>
          </cell>
          <cell r="CV287">
            <v>13.67289934744978</v>
          </cell>
          <cell r="CW287">
            <v>11.062153668663059</v>
          </cell>
          <cell r="CX287">
            <v>8.6510321273089765</v>
          </cell>
          <cell r="CY287">
            <v>13.473275210017142</v>
          </cell>
        </row>
        <row r="288">
          <cell r="A288">
            <v>39940</v>
          </cell>
          <cell r="CF288">
            <v>13.49585496219547</v>
          </cell>
          <cell r="CG288">
            <v>22.085252262534414</v>
          </cell>
          <cell r="CH288">
            <v>18.555263085067214</v>
          </cell>
          <cell r="CI288">
            <v>14.926604548033502</v>
          </cell>
          <cell r="CJ288">
            <v>22.183921622100925</v>
          </cell>
          <cell r="CU288">
            <v>7.753329712331138</v>
          </cell>
          <cell r="CV288">
            <v>13.67289934744978</v>
          </cell>
          <cell r="CW288">
            <v>11.062153668663059</v>
          </cell>
          <cell r="CX288">
            <v>8.6510321273089765</v>
          </cell>
          <cell r="CY288">
            <v>13.473275210017142</v>
          </cell>
        </row>
        <row r="289">
          <cell r="A289">
            <v>39941</v>
          </cell>
          <cell r="CF289">
            <v>14.031834404249334</v>
          </cell>
          <cell r="CG289">
            <v>22.085252262534414</v>
          </cell>
          <cell r="CH289">
            <v>18.555263085067214</v>
          </cell>
          <cell r="CI289">
            <v>14.926604548033502</v>
          </cell>
          <cell r="CJ289">
            <v>22.183921622100925</v>
          </cell>
          <cell r="CU289">
            <v>8.0484251041104464</v>
          </cell>
          <cell r="CV289">
            <v>13.67289934744978</v>
          </cell>
          <cell r="CW289">
            <v>11.062153668663059</v>
          </cell>
          <cell r="CX289">
            <v>8.6510321273089765</v>
          </cell>
          <cell r="CY289">
            <v>13.473275210017142</v>
          </cell>
        </row>
        <row r="290">
          <cell r="A290">
            <v>39944</v>
          </cell>
          <cell r="CF290">
            <v>13.920424327573562</v>
          </cell>
          <cell r="CG290">
            <v>22.085252262534414</v>
          </cell>
          <cell r="CH290">
            <v>18.555263085067214</v>
          </cell>
          <cell r="CI290">
            <v>14.926604548033502</v>
          </cell>
          <cell r="CJ290">
            <v>22.183921622100925</v>
          </cell>
          <cell r="CU290">
            <v>7.9870858107621467</v>
          </cell>
          <cell r="CV290">
            <v>13.67289934744978</v>
          </cell>
          <cell r="CW290">
            <v>11.062153668663059</v>
          </cell>
          <cell r="CX290">
            <v>8.6510321273089765</v>
          </cell>
          <cell r="CY290">
            <v>13.473275210017142</v>
          </cell>
        </row>
        <row r="291">
          <cell r="A291">
            <v>39945</v>
          </cell>
          <cell r="CF291">
            <v>13.869235824445877</v>
          </cell>
          <cell r="CG291">
            <v>22.085252262534414</v>
          </cell>
          <cell r="CH291">
            <v>18.555263085067214</v>
          </cell>
          <cell r="CI291">
            <v>14.926604548033502</v>
          </cell>
          <cell r="CJ291">
            <v>22.183921622100925</v>
          </cell>
          <cell r="CU291">
            <v>7.958902842909545</v>
          </cell>
          <cell r="CV291">
            <v>13.67289934744978</v>
          </cell>
          <cell r="CW291">
            <v>11.062153668663059</v>
          </cell>
          <cell r="CX291">
            <v>8.6510321273089765</v>
          </cell>
          <cell r="CY291">
            <v>13.473275210017142</v>
          </cell>
        </row>
        <row r="292">
          <cell r="A292">
            <v>39946</v>
          </cell>
          <cell r="CF292">
            <v>13.550057299178878</v>
          </cell>
          <cell r="CG292">
            <v>22.085252262534414</v>
          </cell>
          <cell r="CH292">
            <v>18.555263085067214</v>
          </cell>
          <cell r="CI292">
            <v>14.926604548033502</v>
          </cell>
          <cell r="CJ292">
            <v>22.183921622100925</v>
          </cell>
          <cell r="CU292">
            <v>7.7831720133831714</v>
          </cell>
          <cell r="CV292">
            <v>13.67289934744978</v>
          </cell>
          <cell r="CW292">
            <v>11.062153668663059</v>
          </cell>
          <cell r="CX292">
            <v>8.6510321273089765</v>
          </cell>
          <cell r="CY292">
            <v>13.473275210017142</v>
          </cell>
        </row>
        <row r="293">
          <cell r="A293">
            <v>39947</v>
          </cell>
          <cell r="CF293">
            <v>13.492845343913132</v>
          </cell>
          <cell r="CG293">
            <v>22.085252262534414</v>
          </cell>
          <cell r="CH293">
            <v>18.555263085067214</v>
          </cell>
          <cell r="CI293">
            <v>14.926604548033502</v>
          </cell>
          <cell r="CJ293">
            <v>22.183921622100925</v>
          </cell>
          <cell r="CU293">
            <v>7.7516727001093075</v>
          </cell>
          <cell r="CV293">
            <v>13.67289934744978</v>
          </cell>
          <cell r="CW293">
            <v>11.062153668663059</v>
          </cell>
          <cell r="CX293">
            <v>8.6510321273089765</v>
          </cell>
          <cell r="CY293">
            <v>13.473275210017142</v>
          </cell>
        </row>
        <row r="294">
          <cell r="A294">
            <v>39948</v>
          </cell>
          <cell r="CF294">
            <v>13.318199558721167</v>
          </cell>
          <cell r="CG294">
            <v>22.085252262534414</v>
          </cell>
          <cell r="CH294">
            <v>18.555263085067214</v>
          </cell>
          <cell r="CI294">
            <v>14.926604548033502</v>
          </cell>
          <cell r="CJ294">
            <v>22.183921622100925</v>
          </cell>
          <cell r="CU294">
            <v>7.6555175822817683</v>
          </cell>
          <cell r="CV294">
            <v>13.67289934744978</v>
          </cell>
          <cell r="CW294">
            <v>11.062153668663059</v>
          </cell>
          <cell r="CX294">
            <v>8.6510321273089765</v>
          </cell>
          <cell r="CY294">
            <v>13.473275210017142</v>
          </cell>
        </row>
        <row r="295">
          <cell r="A295">
            <v>39951</v>
          </cell>
          <cell r="CF295">
            <v>13.489831208945024</v>
          </cell>
          <cell r="CG295">
            <v>22.085252262534414</v>
          </cell>
          <cell r="CH295">
            <v>18.555263085067214</v>
          </cell>
          <cell r="CI295">
            <v>14.926604548033502</v>
          </cell>
          <cell r="CJ295">
            <v>22.183921622100925</v>
          </cell>
          <cell r="CU295">
            <v>7.7500132011257632</v>
          </cell>
          <cell r="CV295">
            <v>13.67289934744978</v>
          </cell>
          <cell r="CW295">
            <v>11.062153668663059</v>
          </cell>
          <cell r="CX295">
            <v>8.6510321273089765</v>
          </cell>
          <cell r="CY295">
            <v>13.473275210017142</v>
          </cell>
        </row>
        <row r="296">
          <cell r="A296">
            <v>39952</v>
          </cell>
          <cell r="CF296">
            <v>13.604255420588903</v>
          </cell>
          <cell r="CG296">
            <v>22.085252262534414</v>
          </cell>
          <cell r="CH296">
            <v>18.555263085067214</v>
          </cell>
          <cell r="CI296">
            <v>14.926604548033502</v>
          </cell>
          <cell r="CJ296">
            <v>22.183921622100925</v>
          </cell>
          <cell r="CU296">
            <v>7.8130119934576054</v>
          </cell>
          <cell r="CV296">
            <v>13.67289934744978</v>
          </cell>
          <cell r="CW296">
            <v>11.062153668663059</v>
          </cell>
          <cell r="CX296">
            <v>8.6510321273089765</v>
          </cell>
          <cell r="CY296">
            <v>13.473275210017142</v>
          </cell>
        </row>
        <row r="297">
          <cell r="A297">
            <v>39953</v>
          </cell>
          <cell r="CF297">
            <v>13.475436667754723</v>
          </cell>
          <cell r="CG297">
            <v>22.085252262534414</v>
          </cell>
          <cell r="CH297">
            <v>18.555263085067214</v>
          </cell>
          <cell r="CI297">
            <v>14.926604548033502</v>
          </cell>
          <cell r="CJ297">
            <v>22.183921622100925</v>
          </cell>
          <cell r="CU297">
            <v>7.7466993424662167</v>
          </cell>
          <cell r="CV297">
            <v>13.67289934744978</v>
          </cell>
          <cell r="CW297">
            <v>11.062153668663059</v>
          </cell>
          <cell r="CX297">
            <v>8.6510321273089765</v>
          </cell>
          <cell r="CY297">
            <v>13.473275210017142</v>
          </cell>
        </row>
        <row r="298">
          <cell r="A298">
            <v>39954</v>
          </cell>
          <cell r="CF298">
            <v>13.09025252652039</v>
          </cell>
          <cell r="CG298">
            <v>22.085252262534414</v>
          </cell>
          <cell r="CH298">
            <v>18.555263085067214</v>
          </cell>
          <cell r="CI298">
            <v>14.926604548033502</v>
          </cell>
          <cell r="CJ298">
            <v>22.183921622100925</v>
          </cell>
          <cell r="CU298">
            <v>7.5344958420228876</v>
          </cell>
          <cell r="CV298">
            <v>13.67289934744978</v>
          </cell>
          <cell r="CW298">
            <v>11.062153668663059</v>
          </cell>
          <cell r="CX298">
            <v>8.6510321273089765</v>
          </cell>
          <cell r="CY298">
            <v>13.473275210017142</v>
          </cell>
        </row>
        <row r="299">
          <cell r="A299">
            <v>39955</v>
          </cell>
          <cell r="CF299">
            <v>13.105295182688106</v>
          </cell>
          <cell r="CG299">
            <v>22.085252262534414</v>
          </cell>
          <cell r="CH299">
            <v>18.555263085067214</v>
          </cell>
          <cell r="CI299">
            <v>14.926604548033502</v>
          </cell>
          <cell r="CJ299">
            <v>22.183921622100925</v>
          </cell>
          <cell r="CU299">
            <v>7.5427830583255258</v>
          </cell>
          <cell r="CV299">
            <v>13.67289934744978</v>
          </cell>
          <cell r="CW299">
            <v>11.062153668663059</v>
          </cell>
          <cell r="CX299">
            <v>8.6510321273089765</v>
          </cell>
          <cell r="CY299">
            <v>13.473275210017142</v>
          </cell>
        </row>
        <row r="300">
          <cell r="A300">
            <v>39958</v>
          </cell>
          <cell r="CF300">
            <v>13.105295182688106</v>
          </cell>
          <cell r="CG300">
            <v>22.085252262534414</v>
          </cell>
          <cell r="CH300">
            <v>18.555263085067214</v>
          </cell>
          <cell r="CI300">
            <v>14.926604548033502</v>
          </cell>
          <cell r="CJ300">
            <v>22.183921622100925</v>
          </cell>
          <cell r="CU300">
            <v>7.5427830583255258</v>
          </cell>
          <cell r="CV300">
            <v>13.67289934744978</v>
          </cell>
          <cell r="CW300">
            <v>11.062153668663059</v>
          </cell>
          <cell r="CX300">
            <v>8.6510321273089765</v>
          </cell>
          <cell r="CY300">
            <v>13.473275210017142</v>
          </cell>
        </row>
        <row r="301">
          <cell r="A301">
            <v>39959</v>
          </cell>
          <cell r="CF301">
            <v>13.646961707251194</v>
          </cell>
          <cell r="CG301">
            <v>22.085252262534414</v>
          </cell>
          <cell r="CH301">
            <v>18.555263085067214</v>
          </cell>
          <cell r="CI301">
            <v>14.926604548033502</v>
          </cell>
          <cell r="CJ301">
            <v>22.183921622100925</v>
          </cell>
          <cell r="CU301">
            <v>7.8411949613102099</v>
          </cell>
          <cell r="CV301">
            <v>13.67289934744978</v>
          </cell>
          <cell r="CW301">
            <v>11.062153668663059</v>
          </cell>
          <cell r="CX301">
            <v>8.6510321273089765</v>
          </cell>
          <cell r="CY301">
            <v>13.473275210017142</v>
          </cell>
        </row>
        <row r="302">
          <cell r="A302">
            <v>39960</v>
          </cell>
          <cell r="CF302">
            <v>13.406220528125356</v>
          </cell>
          <cell r="CG302">
            <v>22.085252262534414</v>
          </cell>
          <cell r="CH302">
            <v>18.555263085067214</v>
          </cell>
          <cell r="CI302">
            <v>14.926604548033502</v>
          </cell>
          <cell r="CJ302">
            <v>22.183921622100925</v>
          </cell>
          <cell r="CU302">
            <v>7.7085671725657141</v>
          </cell>
          <cell r="CV302">
            <v>13.67289934744978</v>
          </cell>
          <cell r="CW302">
            <v>11.062153668663059</v>
          </cell>
          <cell r="CX302">
            <v>8.6510321273089765</v>
          </cell>
          <cell r="CY302">
            <v>13.473275210017142</v>
          </cell>
        </row>
        <row r="303">
          <cell r="A303">
            <v>39961</v>
          </cell>
          <cell r="CF303">
            <v>13.484464127192496</v>
          </cell>
          <cell r="CG303">
            <v>22.085252262534414</v>
          </cell>
          <cell r="CH303">
            <v>18.555263085067214</v>
          </cell>
          <cell r="CI303">
            <v>14.926604548033502</v>
          </cell>
          <cell r="CJ303">
            <v>22.183921622100925</v>
          </cell>
          <cell r="CU303">
            <v>7.7516727001093075</v>
          </cell>
          <cell r="CV303">
            <v>13.67289934744978</v>
          </cell>
          <cell r="CW303">
            <v>11.062153668663059</v>
          </cell>
          <cell r="CX303">
            <v>8.6510321273089765</v>
          </cell>
          <cell r="CY303">
            <v>13.473275210017142</v>
          </cell>
        </row>
        <row r="304">
          <cell r="A304">
            <v>39962</v>
          </cell>
          <cell r="CF304">
            <v>13.704138425660307</v>
          </cell>
          <cell r="CG304">
            <v>22.085252262534414</v>
          </cell>
          <cell r="CH304">
            <v>18.555263085067214</v>
          </cell>
          <cell r="CI304">
            <v>14.926604548033502</v>
          </cell>
          <cell r="CJ304">
            <v>22.183921622100925</v>
          </cell>
          <cell r="CU304">
            <v>7.8726944403681864</v>
          </cell>
          <cell r="CV304">
            <v>13.67289934744978</v>
          </cell>
          <cell r="CW304">
            <v>11.062153668663059</v>
          </cell>
          <cell r="CX304">
            <v>8.6510321273089765</v>
          </cell>
          <cell r="CY304">
            <v>13.473275210017142</v>
          </cell>
        </row>
        <row r="305">
          <cell r="A305">
            <v>39965</v>
          </cell>
          <cell r="CF305">
            <v>13.904219304788903</v>
          </cell>
          <cell r="CG305">
            <v>22.085252262534414</v>
          </cell>
          <cell r="CH305">
            <v>18.555263085067214</v>
          </cell>
          <cell r="CI305">
            <v>14.926604548033502</v>
          </cell>
          <cell r="CJ305">
            <v>22.183921622100925</v>
          </cell>
          <cell r="CU305">
            <v>7.9988335179084826</v>
          </cell>
          <cell r="CV305">
            <v>13.67289934744978</v>
          </cell>
          <cell r="CW305">
            <v>11.062153668663059</v>
          </cell>
          <cell r="CX305">
            <v>8.6510321273089765</v>
          </cell>
          <cell r="CY305">
            <v>13.473275210017142</v>
          </cell>
        </row>
        <row r="306">
          <cell r="A306">
            <v>39966</v>
          </cell>
          <cell r="CF306">
            <v>14.017602864389081</v>
          </cell>
          <cell r="CG306">
            <v>22.085252262534414</v>
          </cell>
          <cell r="CH306">
            <v>18.555263085067214</v>
          </cell>
          <cell r="CI306">
            <v>14.926604548033502</v>
          </cell>
          <cell r="CJ306">
            <v>22.183921622100925</v>
          </cell>
          <cell r="CU306">
            <v>8.0614441336716016</v>
          </cell>
          <cell r="CV306">
            <v>13.67289934744978</v>
          </cell>
          <cell r="CW306">
            <v>11.062153668663059</v>
          </cell>
          <cell r="CX306">
            <v>8.6510321273089765</v>
          </cell>
          <cell r="CY306">
            <v>13.473275210017142</v>
          </cell>
        </row>
        <row r="307">
          <cell r="A307">
            <v>39967</v>
          </cell>
          <cell r="CF307">
            <v>13.903311548791404</v>
          </cell>
          <cell r="CG307">
            <v>22.085252262534414</v>
          </cell>
          <cell r="CH307">
            <v>18.555263085067214</v>
          </cell>
          <cell r="CI307">
            <v>14.926604548033502</v>
          </cell>
          <cell r="CJ307">
            <v>22.183921622100925</v>
          </cell>
          <cell r="CU307">
            <v>7.9971868803801947</v>
          </cell>
          <cell r="CV307">
            <v>13.67289934744978</v>
          </cell>
          <cell r="CW307">
            <v>11.062153668663059</v>
          </cell>
          <cell r="CX307">
            <v>8.6510321273089765</v>
          </cell>
          <cell r="CY307">
            <v>13.473275210017142</v>
          </cell>
        </row>
        <row r="308">
          <cell r="A308">
            <v>39968</v>
          </cell>
          <cell r="CF308">
            <v>13.667558340793793</v>
          </cell>
          <cell r="CG308">
            <v>22.085252262534414</v>
          </cell>
          <cell r="CH308">
            <v>18.555263085067214</v>
          </cell>
          <cell r="CI308">
            <v>14.926604548033502</v>
          </cell>
          <cell r="CJ308">
            <v>22.183921622100925</v>
          </cell>
          <cell r="CU308">
            <v>7.8670229353047203</v>
          </cell>
          <cell r="CV308">
            <v>13.67289934744978</v>
          </cell>
          <cell r="CW308">
            <v>11.062153668663059</v>
          </cell>
          <cell r="CX308">
            <v>8.6510321273089765</v>
          </cell>
          <cell r="CY308">
            <v>13.473275210017142</v>
          </cell>
        </row>
        <row r="309">
          <cell r="A309">
            <v>39969</v>
          </cell>
          <cell r="CF309">
            <v>13.518349149507609</v>
          </cell>
          <cell r="CG309">
            <v>22.085252262534414</v>
          </cell>
          <cell r="CH309">
            <v>18.555263085067214</v>
          </cell>
          <cell r="CI309">
            <v>14.926604548033502</v>
          </cell>
          <cell r="CJ309">
            <v>22.183921622100925</v>
          </cell>
          <cell r="CU309">
            <v>7.7846416301072621</v>
          </cell>
          <cell r="CV309">
            <v>13.67289934744978</v>
          </cell>
          <cell r="CW309">
            <v>11.062153668663059</v>
          </cell>
          <cell r="CX309">
            <v>8.6510321273089765</v>
          </cell>
          <cell r="CY309">
            <v>13.473275210017142</v>
          </cell>
        </row>
        <row r="310">
          <cell r="A310">
            <v>39972</v>
          </cell>
          <cell r="CF310">
            <v>13.410203948131345</v>
          </cell>
          <cell r="CG310">
            <v>22.085252262534414</v>
          </cell>
          <cell r="CH310">
            <v>18.555263085067214</v>
          </cell>
          <cell r="CI310">
            <v>14.926604548033502</v>
          </cell>
          <cell r="CJ310">
            <v>22.183921622100925</v>
          </cell>
          <cell r="CU310">
            <v>7.7516896023161106</v>
          </cell>
          <cell r="CV310">
            <v>13.67289934744978</v>
          </cell>
          <cell r="CW310">
            <v>11.062153668663059</v>
          </cell>
          <cell r="CX310">
            <v>8.6510321273089765</v>
          </cell>
          <cell r="CY310">
            <v>13.473275210017142</v>
          </cell>
        </row>
        <row r="311">
          <cell r="A311">
            <v>39973</v>
          </cell>
          <cell r="CF311">
            <v>13.448860132436941</v>
          </cell>
          <cell r="CG311">
            <v>22.085252262534414</v>
          </cell>
          <cell r="CH311">
            <v>18.555263085067214</v>
          </cell>
          <cell r="CI311">
            <v>14.926604548033502</v>
          </cell>
          <cell r="CJ311">
            <v>22.183921622100925</v>
          </cell>
          <cell r="CU311">
            <v>7.7731095654805014</v>
          </cell>
          <cell r="CV311">
            <v>13.67289934744978</v>
          </cell>
          <cell r="CW311">
            <v>11.062153668663059</v>
          </cell>
          <cell r="CX311">
            <v>8.6510321273089765</v>
          </cell>
          <cell r="CY311">
            <v>13.473275210017142</v>
          </cell>
        </row>
        <row r="312">
          <cell r="A312">
            <v>39974</v>
          </cell>
          <cell r="CF312">
            <v>13.362628043685756</v>
          </cell>
          <cell r="CG312">
            <v>22.085252262534414</v>
          </cell>
          <cell r="CH312">
            <v>18.555263085067214</v>
          </cell>
          <cell r="CI312">
            <v>14.926604548033502</v>
          </cell>
          <cell r="CJ312">
            <v>22.183921622100925</v>
          </cell>
          <cell r="CU312">
            <v>7.725327090365095</v>
          </cell>
          <cell r="CV312">
            <v>13.67289934744978</v>
          </cell>
          <cell r="CW312">
            <v>11.062153668663059</v>
          </cell>
          <cell r="CX312">
            <v>8.6510321273089765</v>
          </cell>
          <cell r="CY312">
            <v>13.473275210017142</v>
          </cell>
        </row>
        <row r="313">
          <cell r="A313">
            <v>39975</v>
          </cell>
          <cell r="CF313">
            <v>13.356684437916096</v>
          </cell>
          <cell r="CG313">
            <v>22.085252262534414</v>
          </cell>
          <cell r="CH313">
            <v>18.555263085067214</v>
          </cell>
          <cell r="CI313">
            <v>14.926604548033502</v>
          </cell>
          <cell r="CJ313">
            <v>22.183921622100925</v>
          </cell>
          <cell r="CU313">
            <v>7.7220336505459111</v>
          </cell>
          <cell r="CV313">
            <v>13.67289934744978</v>
          </cell>
          <cell r="CW313">
            <v>11.062153668663059</v>
          </cell>
          <cell r="CX313">
            <v>8.6510321273089765</v>
          </cell>
          <cell r="CY313">
            <v>13.473275210017142</v>
          </cell>
        </row>
        <row r="314">
          <cell r="A314">
            <v>39976</v>
          </cell>
          <cell r="CF314">
            <v>13.314514336651316</v>
          </cell>
          <cell r="CG314">
            <v>22.085252262534414</v>
          </cell>
          <cell r="CH314">
            <v>18.555263085067214</v>
          </cell>
          <cell r="CI314">
            <v>14.926604548033502</v>
          </cell>
          <cell r="CJ314">
            <v>22.183921622100925</v>
          </cell>
          <cell r="CU314">
            <v>7.7039095986398589</v>
          </cell>
          <cell r="CV314">
            <v>13.67289934744978</v>
          </cell>
          <cell r="CW314">
            <v>11.062153668663059</v>
          </cell>
          <cell r="CX314">
            <v>8.6510321273089765</v>
          </cell>
          <cell r="CY314">
            <v>13.473275210017142</v>
          </cell>
        </row>
        <row r="315">
          <cell r="A315">
            <v>39979</v>
          </cell>
          <cell r="CF315">
            <v>13.073837468429653</v>
          </cell>
          <cell r="CG315">
            <v>22.085252262534414</v>
          </cell>
          <cell r="CH315">
            <v>18.555263085067214</v>
          </cell>
          <cell r="CI315">
            <v>14.926604548033502</v>
          </cell>
          <cell r="CJ315">
            <v>22.183921622100925</v>
          </cell>
          <cell r="CU315">
            <v>7.5704522137451997</v>
          </cell>
          <cell r="CV315">
            <v>13.67289934744978</v>
          </cell>
          <cell r="CW315">
            <v>11.062153668663059</v>
          </cell>
          <cell r="CX315">
            <v>8.6510321273089765</v>
          </cell>
          <cell r="CY315">
            <v>13.473275210017142</v>
          </cell>
        </row>
        <row r="316">
          <cell r="A316">
            <v>39980</v>
          </cell>
          <cell r="CF316">
            <v>13.064919328480165</v>
          </cell>
          <cell r="CG316">
            <v>22.085252262534414</v>
          </cell>
          <cell r="CH316">
            <v>18.555263085067214</v>
          </cell>
          <cell r="CI316">
            <v>14.926604548033502</v>
          </cell>
          <cell r="CJ316">
            <v>22.183921622100925</v>
          </cell>
          <cell r="CU316">
            <v>7.5655070287568043</v>
          </cell>
          <cell r="CV316">
            <v>13.67289934744978</v>
          </cell>
          <cell r="CW316">
            <v>11.062153668663059</v>
          </cell>
          <cell r="CX316">
            <v>8.6510321273089765</v>
          </cell>
          <cell r="CY316">
            <v>13.473275210017142</v>
          </cell>
        </row>
        <row r="317">
          <cell r="A317">
            <v>39981</v>
          </cell>
          <cell r="CF317">
            <v>13.142176793938495</v>
          </cell>
          <cell r="CG317">
            <v>22.085252262534414</v>
          </cell>
          <cell r="CH317">
            <v>18.555263085067214</v>
          </cell>
          <cell r="CI317">
            <v>14.926604548033502</v>
          </cell>
          <cell r="CJ317">
            <v>22.183921622100925</v>
          </cell>
          <cell r="CU317">
            <v>7.6083469550855876</v>
          </cell>
          <cell r="CV317">
            <v>13.67289934744978</v>
          </cell>
          <cell r="CW317">
            <v>11.062153668663059</v>
          </cell>
          <cell r="CX317">
            <v>8.6510321273089765</v>
          </cell>
          <cell r="CY317">
            <v>13.473275210017142</v>
          </cell>
        </row>
        <row r="318">
          <cell r="A318">
            <v>39982</v>
          </cell>
          <cell r="CF318">
            <v>13.471994354479275</v>
          </cell>
          <cell r="CG318">
            <v>22.085252262534414</v>
          </cell>
          <cell r="CH318">
            <v>18.555263085067214</v>
          </cell>
          <cell r="CI318">
            <v>14.926604548033502</v>
          </cell>
          <cell r="CJ318">
            <v>22.183921622100925</v>
          </cell>
          <cell r="CU318">
            <v>7.7912336173865526</v>
          </cell>
          <cell r="CV318">
            <v>13.67289934744978</v>
          </cell>
          <cell r="CW318">
            <v>11.062153668663059</v>
          </cell>
          <cell r="CX318">
            <v>8.6510321273089765</v>
          </cell>
          <cell r="CY318">
            <v>13.473275210017142</v>
          </cell>
        </row>
        <row r="319">
          <cell r="A319">
            <v>39983</v>
          </cell>
          <cell r="CF319">
            <v>13.516562472143814</v>
          </cell>
          <cell r="CG319">
            <v>22.085252262534414</v>
          </cell>
          <cell r="CH319">
            <v>18.555263085067214</v>
          </cell>
          <cell r="CI319">
            <v>14.926604548033502</v>
          </cell>
          <cell r="CJ319">
            <v>22.183921622100925</v>
          </cell>
          <cell r="CU319">
            <v>7.8159470203701282</v>
          </cell>
          <cell r="CV319">
            <v>13.67289934744978</v>
          </cell>
          <cell r="CW319">
            <v>11.062153668663059</v>
          </cell>
          <cell r="CX319">
            <v>8.6510321273089765</v>
          </cell>
          <cell r="CY319">
            <v>13.473275210017142</v>
          </cell>
        </row>
        <row r="320">
          <cell r="A320">
            <v>39986</v>
          </cell>
          <cell r="CF320">
            <v>13.32639756351211</v>
          </cell>
          <cell r="CG320">
            <v>22.085252262534414</v>
          </cell>
          <cell r="CH320">
            <v>18.555263085067214</v>
          </cell>
          <cell r="CI320">
            <v>14.926604548033502</v>
          </cell>
          <cell r="CJ320">
            <v>22.183921622100925</v>
          </cell>
          <cell r="CU320">
            <v>7.7104989497173824</v>
          </cell>
          <cell r="CV320">
            <v>13.67289934744978</v>
          </cell>
          <cell r="CW320">
            <v>11.062153668663059</v>
          </cell>
          <cell r="CX320">
            <v>8.6510321273089765</v>
          </cell>
          <cell r="CY320">
            <v>13.473275210017142</v>
          </cell>
        </row>
        <row r="321">
          <cell r="A321">
            <v>39987</v>
          </cell>
          <cell r="CF321">
            <v>13.213485663348685</v>
          </cell>
          <cell r="CG321">
            <v>22.085252262534414</v>
          </cell>
          <cell r="CH321">
            <v>18.555263085067214</v>
          </cell>
          <cell r="CI321">
            <v>14.926604548033502</v>
          </cell>
          <cell r="CJ321">
            <v>22.183921622100925</v>
          </cell>
          <cell r="CU321">
            <v>7.6478883339542625</v>
          </cell>
          <cell r="CV321">
            <v>13.67289934744978</v>
          </cell>
          <cell r="CW321">
            <v>11.062153668663059</v>
          </cell>
          <cell r="CX321">
            <v>8.6510321273089765</v>
          </cell>
          <cell r="CY321">
            <v>13.473275210017142</v>
          </cell>
        </row>
        <row r="322">
          <cell r="A322">
            <v>39988</v>
          </cell>
          <cell r="CF322">
            <v>13.258058535135939</v>
          </cell>
          <cell r="CG322">
            <v>22.085252262534414</v>
          </cell>
          <cell r="CH322">
            <v>18.555263085067214</v>
          </cell>
          <cell r="CI322">
            <v>14.926604548033502</v>
          </cell>
          <cell r="CJ322">
            <v>22.183921622100925</v>
          </cell>
          <cell r="CU322">
            <v>7.6726043731396052</v>
          </cell>
          <cell r="CV322">
            <v>13.67289934744978</v>
          </cell>
          <cell r="CW322">
            <v>11.062153668663059</v>
          </cell>
          <cell r="CX322">
            <v>8.6510321273089765</v>
          </cell>
          <cell r="CY322">
            <v>13.473275210017142</v>
          </cell>
        </row>
        <row r="323">
          <cell r="A323">
            <v>39989</v>
          </cell>
          <cell r="CF323">
            <v>13.917693359084831</v>
          </cell>
          <cell r="CG323">
            <v>22.085252262534414</v>
          </cell>
          <cell r="CH323">
            <v>18.555263085067214</v>
          </cell>
          <cell r="CI323">
            <v>14.926604548033502</v>
          </cell>
          <cell r="CJ323">
            <v>22.183921622100925</v>
          </cell>
          <cell r="CU323">
            <v>8.0383775329789238</v>
          </cell>
          <cell r="CV323">
            <v>13.67289934744978</v>
          </cell>
          <cell r="CW323">
            <v>11.062153668663059</v>
          </cell>
          <cell r="CX323">
            <v>8.6510321273089765</v>
          </cell>
          <cell r="CY323">
            <v>13.473275210017142</v>
          </cell>
        </row>
        <row r="324">
          <cell r="A324">
            <v>39990</v>
          </cell>
          <cell r="CF324">
            <v>14.116771653543308</v>
          </cell>
          <cell r="CG324">
            <v>22.085252262534414</v>
          </cell>
          <cell r="CH324">
            <v>18.555263085067214</v>
          </cell>
          <cell r="CI324">
            <v>14.926604548033502</v>
          </cell>
          <cell r="CJ324">
            <v>22.183921622100925</v>
          </cell>
          <cell r="CU324">
            <v>8.1487681524182971</v>
          </cell>
          <cell r="CV324">
            <v>13.67289934744978</v>
          </cell>
          <cell r="CW324">
            <v>11.062153668663059</v>
          </cell>
          <cell r="CX324">
            <v>8.6510321273089765</v>
          </cell>
          <cell r="CY324">
            <v>13.473275210017142</v>
          </cell>
        </row>
        <row r="325">
          <cell r="A325">
            <v>39993</v>
          </cell>
          <cell r="CF325">
            <v>14.167283613133264</v>
          </cell>
          <cell r="CG325">
            <v>22.085252262534414</v>
          </cell>
          <cell r="CH325">
            <v>18.555263085067214</v>
          </cell>
          <cell r="CI325">
            <v>14.926604548033502</v>
          </cell>
          <cell r="CJ325">
            <v>22.183921622100925</v>
          </cell>
          <cell r="CU325">
            <v>8.1767774666602104</v>
          </cell>
          <cell r="CV325">
            <v>13.67289934744978</v>
          </cell>
          <cell r="CW325">
            <v>11.062153668663059</v>
          </cell>
          <cell r="CX325">
            <v>8.6510321273089765</v>
          </cell>
          <cell r="CY325">
            <v>13.473275210017142</v>
          </cell>
        </row>
        <row r="326">
          <cell r="A326">
            <v>39994</v>
          </cell>
          <cell r="CF326">
            <v>14.247510622492944</v>
          </cell>
          <cell r="CG326">
            <v>22.085252262534414</v>
          </cell>
          <cell r="CH326">
            <v>18.555263085067214</v>
          </cell>
          <cell r="CI326">
            <v>14.926604548033502</v>
          </cell>
          <cell r="CJ326">
            <v>22.183921622100925</v>
          </cell>
          <cell r="CU326">
            <v>8.2212640305172791</v>
          </cell>
          <cell r="CV326">
            <v>13.67289934744978</v>
          </cell>
          <cell r="CW326">
            <v>11.062153668663059</v>
          </cell>
          <cell r="CX326">
            <v>8.6510321273089765</v>
          </cell>
          <cell r="CY326">
            <v>13.473275210017142</v>
          </cell>
        </row>
        <row r="327">
          <cell r="A327">
            <v>39995</v>
          </cell>
          <cell r="CF327">
            <v>13.882077253641802</v>
          </cell>
          <cell r="CG327">
            <v>22.085252262534414</v>
          </cell>
          <cell r="CH327">
            <v>18.555263085067214</v>
          </cell>
          <cell r="CI327">
            <v>14.926604548033502</v>
          </cell>
          <cell r="CJ327">
            <v>22.183921622100925</v>
          </cell>
          <cell r="CU327">
            <v>8.0333628475638665</v>
          </cell>
          <cell r="CV327">
            <v>13.67289934744978</v>
          </cell>
          <cell r="CW327">
            <v>11.062153668663059</v>
          </cell>
          <cell r="CX327">
            <v>8.6510321273089765</v>
          </cell>
          <cell r="CY327">
            <v>13.473275210017142</v>
          </cell>
        </row>
        <row r="328">
          <cell r="A328">
            <v>39996</v>
          </cell>
          <cell r="CF328">
            <v>13.669916263537909</v>
          </cell>
          <cell r="CG328">
            <v>22.085252262534414</v>
          </cell>
          <cell r="CH328">
            <v>18.555263085067214</v>
          </cell>
          <cell r="CI328">
            <v>14.926604548033502</v>
          </cell>
          <cell r="CJ328">
            <v>22.183921622100925</v>
          </cell>
          <cell r="CU328">
            <v>7.9154625353271415</v>
          </cell>
          <cell r="CV328">
            <v>13.67289934744978</v>
          </cell>
          <cell r="CW328">
            <v>11.062153668663059</v>
          </cell>
          <cell r="CX328">
            <v>8.6510321273089765</v>
          </cell>
          <cell r="CY328">
            <v>13.473275210017142</v>
          </cell>
        </row>
        <row r="329">
          <cell r="A329">
            <v>39997</v>
          </cell>
          <cell r="CF329">
            <v>13.669916263537909</v>
          </cell>
          <cell r="CG329">
            <v>22.085252262534414</v>
          </cell>
          <cell r="CH329">
            <v>18.555263085067214</v>
          </cell>
          <cell r="CI329">
            <v>14.926604548033502</v>
          </cell>
          <cell r="CJ329">
            <v>22.183921622100925</v>
          </cell>
          <cell r="CU329">
            <v>7.9154625353271415</v>
          </cell>
          <cell r="CV329">
            <v>13.67289934744978</v>
          </cell>
          <cell r="CW329">
            <v>11.062153668663059</v>
          </cell>
          <cell r="CX329">
            <v>8.6510321273089765</v>
          </cell>
          <cell r="CY329">
            <v>13.473275210017142</v>
          </cell>
        </row>
        <row r="330">
          <cell r="A330">
            <v>40000</v>
          </cell>
          <cell r="CF330">
            <v>13.504895120694783</v>
          </cell>
          <cell r="CG330">
            <v>22.085252262534414</v>
          </cell>
          <cell r="CH330">
            <v>18.555263085067214</v>
          </cell>
          <cell r="CI330">
            <v>14.926604548033502</v>
          </cell>
          <cell r="CJ330">
            <v>22.183921622100925</v>
          </cell>
          <cell r="CU330">
            <v>7.8237583805843789</v>
          </cell>
          <cell r="CV330">
            <v>13.67289934744978</v>
          </cell>
          <cell r="CW330">
            <v>11.062153668663059</v>
          </cell>
          <cell r="CX330">
            <v>8.6510321273089765</v>
          </cell>
          <cell r="CY330">
            <v>13.473275210017142</v>
          </cell>
        </row>
        <row r="331">
          <cell r="A331">
            <v>40001</v>
          </cell>
          <cell r="CF331">
            <v>13.295679394937819</v>
          </cell>
          <cell r="CG331">
            <v>22.085252262534414</v>
          </cell>
          <cell r="CH331">
            <v>18.555263085067214</v>
          </cell>
          <cell r="CI331">
            <v>14.926604548033502</v>
          </cell>
          <cell r="CJ331">
            <v>22.183921622100925</v>
          </cell>
          <cell r="CU331">
            <v>7.7074947857571656</v>
          </cell>
          <cell r="CV331">
            <v>13.67289934744978</v>
          </cell>
          <cell r="CW331">
            <v>11.062153668663059</v>
          </cell>
          <cell r="CX331">
            <v>8.6510321273089765</v>
          </cell>
          <cell r="CY331">
            <v>13.473275210017142</v>
          </cell>
        </row>
        <row r="332">
          <cell r="A332">
            <v>40002</v>
          </cell>
          <cell r="CF332">
            <v>13.133607936548193</v>
          </cell>
          <cell r="CG332">
            <v>22.085252262534414</v>
          </cell>
          <cell r="CH332">
            <v>18.555263085067214</v>
          </cell>
          <cell r="CI332">
            <v>14.926604548033502</v>
          </cell>
          <cell r="CJ332">
            <v>22.183921622100925</v>
          </cell>
          <cell r="CU332">
            <v>7.6174298047281805</v>
          </cell>
          <cell r="CV332">
            <v>13.67289934744978</v>
          </cell>
          <cell r="CW332">
            <v>11.062153668663059</v>
          </cell>
          <cell r="CX332">
            <v>8.6510321273089765</v>
          </cell>
          <cell r="CY332">
            <v>13.473275210017142</v>
          </cell>
        </row>
        <row r="333">
          <cell r="A333">
            <v>40003</v>
          </cell>
          <cell r="CF333">
            <v>13.030470053779233</v>
          </cell>
          <cell r="CG333">
            <v>22.085252262534414</v>
          </cell>
          <cell r="CH333">
            <v>18.555263085067214</v>
          </cell>
          <cell r="CI333">
            <v>14.926604548033502</v>
          </cell>
          <cell r="CJ333">
            <v>22.183921622100925</v>
          </cell>
          <cell r="CU333">
            <v>7.56038948161493</v>
          </cell>
          <cell r="CV333">
            <v>13.67289934744978</v>
          </cell>
          <cell r="CW333">
            <v>11.062153668663059</v>
          </cell>
          <cell r="CX333">
            <v>8.6510321273089765</v>
          </cell>
          <cell r="CY333">
            <v>13.473275210017142</v>
          </cell>
        </row>
        <row r="334">
          <cell r="A334">
            <v>40004</v>
          </cell>
          <cell r="CF334">
            <v>13.056994229306579</v>
          </cell>
          <cell r="CG334">
            <v>22.085252262534414</v>
          </cell>
          <cell r="CH334">
            <v>18.555263085067214</v>
          </cell>
          <cell r="CI334">
            <v>14.926604548033502</v>
          </cell>
          <cell r="CJ334">
            <v>22.183921622100925</v>
          </cell>
          <cell r="CU334">
            <v>7.575129807617671</v>
          </cell>
          <cell r="CV334">
            <v>13.67289934744978</v>
          </cell>
          <cell r="CW334">
            <v>11.062153668663059</v>
          </cell>
          <cell r="CX334">
            <v>8.6510321273089765</v>
          </cell>
          <cell r="CY334">
            <v>13.473275210017142</v>
          </cell>
        </row>
        <row r="335">
          <cell r="A335">
            <v>40007</v>
          </cell>
          <cell r="CF335">
            <v>13.21022134911604</v>
          </cell>
          <cell r="CG335">
            <v>22.085252262534414</v>
          </cell>
          <cell r="CH335">
            <v>18.555263085067214</v>
          </cell>
          <cell r="CI335">
            <v>14.926604548033502</v>
          </cell>
          <cell r="CJ335">
            <v>22.183921622100925</v>
          </cell>
          <cell r="CU335">
            <v>7.6602829802817425</v>
          </cell>
          <cell r="CV335">
            <v>13.67289934744978</v>
          </cell>
          <cell r="CW335">
            <v>11.062153668663059</v>
          </cell>
          <cell r="CX335">
            <v>8.6510321273089765</v>
          </cell>
          <cell r="CY335">
            <v>13.473275210017142</v>
          </cell>
        </row>
        <row r="336">
          <cell r="A336">
            <v>40008</v>
          </cell>
          <cell r="CF336">
            <v>13.499004886674694</v>
          </cell>
          <cell r="CG336">
            <v>22.085252262534414</v>
          </cell>
          <cell r="CH336">
            <v>18.555263085067214</v>
          </cell>
          <cell r="CI336">
            <v>14.926604548033502</v>
          </cell>
          <cell r="CJ336">
            <v>22.183921622100925</v>
          </cell>
          <cell r="CU336">
            <v>7.8207691557502379</v>
          </cell>
          <cell r="CV336">
            <v>13.67289934744978</v>
          </cell>
          <cell r="CW336">
            <v>11.062153668663059</v>
          </cell>
          <cell r="CX336">
            <v>8.6510321273089765</v>
          </cell>
          <cell r="CY336">
            <v>13.473275210017142</v>
          </cell>
        </row>
        <row r="337">
          <cell r="A337">
            <v>40009</v>
          </cell>
          <cell r="CF337">
            <v>14.024058237172985</v>
          </cell>
          <cell r="CG337">
            <v>22.085252262534414</v>
          </cell>
          <cell r="CH337">
            <v>18.555263085067214</v>
          </cell>
          <cell r="CI337">
            <v>14.926604548033502</v>
          </cell>
          <cell r="CJ337">
            <v>22.183921622100925</v>
          </cell>
          <cell r="CU337">
            <v>8.1138976315381441</v>
          </cell>
          <cell r="CV337">
            <v>13.67289934744978</v>
          </cell>
          <cell r="CW337">
            <v>11.062153668663059</v>
          </cell>
          <cell r="CX337">
            <v>8.6510321273089765</v>
          </cell>
          <cell r="CY337">
            <v>13.473275210017142</v>
          </cell>
        </row>
        <row r="338">
          <cell r="A338">
            <v>40010</v>
          </cell>
          <cell r="CF338">
            <v>14.024058237172985</v>
          </cell>
          <cell r="CG338">
            <v>22.085252262534414</v>
          </cell>
          <cell r="CH338">
            <v>18.555263085067214</v>
          </cell>
          <cell r="CI338">
            <v>14.926604548033502</v>
          </cell>
          <cell r="CJ338">
            <v>22.183921622100925</v>
          </cell>
          <cell r="CU338">
            <v>8.1138976315381441</v>
          </cell>
          <cell r="CV338">
            <v>13.67289934744978</v>
          </cell>
          <cell r="CW338">
            <v>11.062153668663059</v>
          </cell>
          <cell r="CX338">
            <v>8.6510321273089765</v>
          </cell>
          <cell r="CY338">
            <v>13.473275210017142</v>
          </cell>
        </row>
        <row r="339">
          <cell r="A339">
            <v>40011</v>
          </cell>
          <cell r="CF339">
            <v>14.03584581389776</v>
          </cell>
          <cell r="CG339">
            <v>22.085252262534414</v>
          </cell>
          <cell r="CH339">
            <v>18.555263085067214</v>
          </cell>
          <cell r="CI339">
            <v>14.926604548033502</v>
          </cell>
          <cell r="CJ339">
            <v>22.183921622100925</v>
          </cell>
          <cell r="CU339">
            <v>8.1204494879911024</v>
          </cell>
          <cell r="CV339">
            <v>13.67289934744978</v>
          </cell>
          <cell r="CW339">
            <v>11.062153668663059</v>
          </cell>
          <cell r="CX339">
            <v>8.6510321273089765</v>
          </cell>
          <cell r="CY339">
            <v>13.473275210017142</v>
          </cell>
        </row>
        <row r="340">
          <cell r="A340">
            <v>40014</v>
          </cell>
          <cell r="CF340">
            <v>14.100658777315394</v>
          </cell>
          <cell r="CG340">
            <v>22.085252262534414</v>
          </cell>
          <cell r="CH340">
            <v>18.555263085067214</v>
          </cell>
          <cell r="CI340">
            <v>14.926604548033502</v>
          </cell>
          <cell r="CJ340">
            <v>22.183921622100925</v>
          </cell>
          <cell r="CU340">
            <v>8.1564742997499629</v>
          </cell>
          <cell r="CV340">
            <v>13.67289934744978</v>
          </cell>
          <cell r="CW340">
            <v>11.062153668663059</v>
          </cell>
          <cell r="CX340">
            <v>8.6510321273089765</v>
          </cell>
          <cell r="CY340">
            <v>13.473275210017142</v>
          </cell>
        </row>
        <row r="341">
          <cell r="A341">
            <v>40015</v>
          </cell>
          <cell r="CF341">
            <v>14.342251804568058</v>
          </cell>
          <cell r="CG341">
            <v>22.085252262534414</v>
          </cell>
          <cell r="CH341">
            <v>18.555263085067214</v>
          </cell>
          <cell r="CI341">
            <v>14.926604548033502</v>
          </cell>
          <cell r="CJ341">
            <v>22.183921622100925</v>
          </cell>
          <cell r="CU341">
            <v>8.2907582897127252</v>
          </cell>
          <cell r="CV341">
            <v>13.67289934744978</v>
          </cell>
          <cell r="CW341">
            <v>11.062153668663059</v>
          </cell>
          <cell r="CX341">
            <v>8.6510321273089765</v>
          </cell>
          <cell r="CY341">
            <v>13.473275210017142</v>
          </cell>
        </row>
        <row r="342">
          <cell r="A342">
            <v>40016</v>
          </cell>
          <cell r="CF342">
            <v>14.37171588509838</v>
          </cell>
          <cell r="CG342">
            <v>22.085252262534414</v>
          </cell>
          <cell r="CH342">
            <v>18.555263085067214</v>
          </cell>
          <cell r="CI342">
            <v>14.926604548033502</v>
          </cell>
          <cell r="CJ342">
            <v>22.183921622100925</v>
          </cell>
          <cell r="CU342">
            <v>8.3071352288122871</v>
          </cell>
          <cell r="CV342">
            <v>13.67289934744978</v>
          </cell>
          <cell r="CW342">
            <v>11.062153668663059</v>
          </cell>
          <cell r="CX342">
            <v>8.6510321273089765</v>
          </cell>
          <cell r="CY342">
            <v>13.473275210017142</v>
          </cell>
        </row>
        <row r="343">
          <cell r="A343">
            <v>40017</v>
          </cell>
          <cell r="CF343">
            <v>14.545542646699184</v>
          </cell>
          <cell r="CG343">
            <v>22.085252262534414</v>
          </cell>
          <cell r="CH343">
            <v>18.555263085067214</v>
          </cell>
          <cell r="CI343">
            <v>14.926604548033502</v>
          </cell>
          <cell r="CJ343">
            <v>22.183921622100925</v>
          </cell>
          <cell r="CU343">
            <v>8.4037528811324016</v>
          </cell>
          <cell r="CV343">
            <v>13.67289934744978</v>
          </cell>
          <cell r="CW343">
            <v>11.062153668663059</v>
          </cell>
          <cell r="CX343">
            <v>8.6510321273089765</v>
          </cell>
          <cell r="CY343">
            <v>13.473275210017142</v>
          </cell>
        </row>
        <row r="344">
          <cell r="A344">
            <v>40018</v>
          </cell>
          <cell r="CF344">
            <v>14.766509992635863</v>
          </cell>
          <cell r="CG344">
            <v>22.085252262534414</v>
          </cell>
          <cell r="CH344">
            <v>18.555263085067214</v>
          </cell>
          <cell r="CI344">
            <v>14.926604548033502</v>
          </cell>
          <cell r="CJ344">
            <v>22.183921622100925</v>
          </cell>
          <cell r="CU344">
            <v>8.5265725551986851</v>
          </cell>
          <cell r="CV344">
            <v>13.67289934744978</v>
          </cell>
          <cell r="CW344">
            <v>11.062153668663059</v>
          </cell>
          <cell r="CX344">
            <v>8.6510321273089765</v>
          </cell>
          <cell r="CY344">
            <v>13.473275210017142</v>
          </cell>
        </row>
        <row r="345">
          <cell r="A345">
            <v>40021</v>
          </cell>
          <cell r="CF345">
            <v>14.854897814879916</v>
          </cell>
          <cell r="CG345">
            <v>22.085252262534414</v>
          </cell>
          <cell r="CH345">
            <v>18.555263085067214</v>
          </cell>
          <cell r="CI345">
            <v>14.926604548033502</v>
          </cell>
          <cell r="CJ345">
            <v>22.183921622100925</v>
          </cell>
          <cell r="CU345">
            <v>8.5757009161038944</v>
          </cell>
          <cell r="CV345">
            <v>13.67289934744978</v>
          </cell>
          <cell r="CW345">
            <v>11.062153668663059</v>
          </cell>
          <cell r="CX345">
            <v>8.6510321273089765</v>
          </cell>
          <cell r="CY345">
            <v>13.473275210017142</v>
          </cell>
        </row>
        <row r="346">
          <cell r="A346">
            <v>40022</v>
          </cell>
          <cell r="CF346">
            <v>14.801863294870092</v>
          </cell>
          <cell r="CG346">
            <v>22.085252262534414</v>
          </cell>
          <cell r="CH346">
            <v>18.555263085067214</v>
          </cell>
          <cell r="CI346">
            <v>14.926604548033502</v>
          </cell>
          <cell r="CJ346">
            <v>22.183921622100925</v>
          </cell>
          <cell r="CU346">
            <v>8.5475914515368725</v>
          </cell>
          <cell r="CV346">
            <v>13.67289934744978</v>
          </cell>
          <cell r="CW346">
            <v>11.062153668663059</v>
          </cell>
          <cell r="CX346">
            <v>8.6510321273089765</v>
          </cell>
          <cell r="CY346">
            <v>13.473275210017142</v>
          </cell>
        </row>
        <row r="347">
          <cell r="A347">
            <v>40023</v>
          </cell>
          <cell r="CF347">
            <v>14.722313577217246</v>
          </cell>
          <cell r="CG347">
            <v>22.085252262534414</v>
          </cell>
          <cell r="CH347">
            <v>18.555263085067214</v>
          </cell>
          <cell r="CI347">
            <v>14.926604548033502</v>
          </cell>
          <cell r="CJ347">
            <v>22.183921622100925</v>
          </cell>
          <cell r="CU347">
            <v>8.5033681949781261</v>
          </cell>
          <cell r="CV347">
            <v>13.67289934744978</v>
          </cell>
          <cell r="CW347">
            <v>11.062153668663059</v>
          </cell>
          <cell r="CX347">
            <v>8.6510321273089765</v>
          </cell>
          <cell r="CY347">
            <v>13.473275210017142</v>
          </cell>
        </row>
        <row r="348">
          <cell r="A348">
            <v>40024</v>
          </cell>
          <cell r="CF348">
            <v>15.09059248711171</v>
          </cell>
          <cell r="CG348">
            <v>22.085252262534414</v>
          </cell>
          <cell r="CH348">
            <v>18.555263085067214</v>
          </cell>
          <cell r="CI348">
            <v>14.926604548033502</v>
          </cell>
          <cell r="CJ348">
            <v>22.183921622100925</v>
          </cell>
          <cell r="CU348">
            <v>8.7081017024999543</v>
          </cell>
          <cell r="CV348">
            <v>13.67289934744978</v>
          </cell>
          <cell r="CW348">
            <v>11.062153668663059</v>
          </cell>
          <cell r="CX348">
            <v>8.6510321273089765</v>
          </cell>
          <cell r="CY348">
            <v>13.473275210017142</v>
          </cell>
        </row>
        <row r="349">
          <cell r="A349">
            <v>40025</v>
          </cell>
          <cell r="CF349">
            <v>15.137733366070712</v>
          </cell>
          <cell r="CG349">
            <v>22.085252262534414</v>
          </cell>
          <cell r="CH349">
            <v>18.555263085067214</v>
          </cell>
          <cell r="CI349">
            <v>14.926604548033502</v>
          </cell>
          <cell r="CJ349">
            <v>22.183921622100925</v>
          </cell>
          <cell r="CU349">
            <v>8.734308246609972</v>
          </cell>
          <cell r="CV349">
            <v>13.67289934744978</v>
          </cell>
          <cell r="CW349">
            <v>11.062153668663059</v>
          </cell>
          <cell r="CX349">
            <v>8.6510321273089765</v>
          </cell>
          <cell r="CY349">
            <v>13.473275210017142</v>
          </cell>
        </row>
        <row r="350">
          <cell r="A350">
            <v>40028</v>
          </cell>
          <cell r="CF350">
            <v>15.322875620922929</v>
          </cell>
          <cell r="CG350">
            <v>22.085252262534414</v>
          </cell>
          <cell r="CH350">
            <v>18.555263085067214</v>
          </cell>
          <cell r="CI350">
            <v>14.926604548033502</v>
          </cell>
          <cell r="CJ350">
            <v>22.183921622100925</v>
          </cell>
          <cell r="CU350">
            <v>8.8539403503436631</v>
          </cell>
          <cell r="CV350">
            <v>13.67289934744978</v>
          </cell>
          <cell r="CW350">
            <v>11.062153668663059</v>
          </cell>
          <cell r="CX350">
            <v>8.6510321273089765</v>
          </cell>
          <cell r="CY350">
            <v>13.473275210017142</v>
          </cell>
        </row>
        <row r="351">
          <cell r="A351">
            <v>40029</v>
          </cell>
          <cell r="CF351">
            <v>14.808608064674704</v>
          </cell>
          <cell r="CG351">
            <v>22.085252262534414</v>
          </cell>
          <cell r="CH351">
            <v>18.555263085067214</v>
          </cell>
          <cell r="CI351">
            <v>14.926604548033502</v>
          </cell>
          <cell r="CJ351">
            <v>22.183921622100925</v>
          </cell>
          <cell r="CU351">
            <v>8.4287532782631711</v>
          </cell>
          <cell r="CV351">
            <v>13.67289934744978</v>
          </cell>
          <cell r="CW351">
            <v>11.062153668663059</v>
          </cell>
          <cell r="CX351">
            <v>8.6510321273089765</v>
          </cell>
          <cell r="CY351">
            <v>13.473275210017142</v>
          </cell>
        </row>
        <row r="352">
          <cell r="A352">
            <v>40030</v>
          </cell>
          <cell r="CF352">
            <v>14.431223447476778</v>
          </cell>
          <cell r="CG352">
            <v>22.085252262534414</v>
          </cell>
          <cell r="CH352">
            <v>18.555263085067214</v>
          </cell>
          <cell r="CI352">
            <v>14.926604548033502</v>
          </cell>
          <cell r="CJ352">
            <v>22.183921622100925</v>
          </cell>
          <cell r="CU352">
            <v>8.1401506172035898</v>
          </cell>
          <cell r="CV352">
            <v>13.67289934744978</v>
          </cell>
          <cell r="CW352">
            <v>11.062153668663059</v>
          </cell>
          <cell r="CX352">
            <v>8.6510321273089765</v>
          </cell>
          <cell r="CY352">
            <v>13.473275210017142</v>
          </cell>
        </row>
        <row r="353">
          <cell r="A353">
            <v>40031</v>
          </cell>
          <cell r="CF353">
            <v>14.573414393501167</v>
          </cell>
          <cell r="CG353">
            <v>22.085252262534414</v>
          </cell>
          <cell r="CH353">
            <v>18.555263085067214</v>
          </cell>
          <cell r="CI353">
            <v>14.926604548033502</v>
          </cell>
          <cell r="CJ353">
            <v>22.183921622100925</v>
          </cell>
          <cell r="CU353">
            <v>8.218626830086885</v>
          </cell>
          <cell r="CV353">
            <v>13.67289934744978</v>
          </cell>
          <cell r="CW353">
            <v>11.062153668663059</v>
          </cell>
          <cell r="CX353">
            <v>8.6510321273089765</v>
          </cell>
          <cell r="CY353">
            <v>13.473275210017142</v>
          </cell>
        </row>
        <row r="354">
          <cell r="A354">
            <v>40032</v>
          </cell>
          <cell r="CF354">
            <v>14.81717875798175</v>
          </cell>
          <cell r="CG354">
            <v>22.085252262534414</v>
          </cell>
          <cell r="CH354">
            <v>18.555263085067214</v>
          </cell>
          <cell r="CI354">
            <v>14.926604548033502</v>
          </cell>
          <cell r="CJ354">
            <v>22.183921622100925</v>
          </cell>
          <cell r="CU354">
            <v>8.3531621482291367</v>
          </cell>
          <cell r="CV354">
            <v>13.67289934744978</v>
          </cell>
          <cell r="CW354">
            <v>11.062153668663059</v>
          </cell>
          <cell r="CX354">
            <v>8.6510321273089765</v>
          </cell>
          <cell r="CY354">
            <v>13.473275210017142</v>
          </cell>
        </row>
        <row r="355">
          <cell r="A355">
            <v>40035</v>
          </cell>
          <cell r="CF355">
            <v>14.831684852003805</v>
          </cell>
          <cell r="CG355">
            <v>22.085252262534414</v>
          </cell>
          <cell r="CH355">
            <v>18.555263085067214</v>
          </cell>
          <cell r="CI355">
            <v>14.926604548033502</v>
          </cell>
          <cell r="CJ355">
            <v>22.183921622100925</v>
          </cell>
          <cell r="CU355">
            <v>8.3611681665756539</v>
          </cell>
          <cell r="CV355">
            <v>13.67289934744978</v>
          </cell>
          <cell r="CW355">
            <v>11.062153668663059</v>
          </cell>
          <cell r="CX355">
            <v>8.6510321273089765</v>
          </cell>
          <cell r="CY355">
            <v>13.473275210017142</v>
          </cell>
        </row>
        <row r="356">
          <cell r="A356">
            <v>40036</v>
          </cell>
          <cell r="CF356">
            <v>14.706904526989284</v>
          </cell>
          <cell r="CG356">
            <v>22.085252262534414</v>
          </cell>
          <cell r="CH356">
            <v>18.555263085067214</v>
          </cell>
          <cell r="CI356">
            <v>14.926604548033502</v>
          </cell>
          <cell r="CJ356">
            <v>22.183921622100925</v>
          </cell>
          <cell r="CU356">
            <v>8.2923010015185579</v>
          </cell>
          <cell r="CV356">
            <v>13.67289934744978</v>
          </cell>
          <cell r="CW356">
            <v>11.062153668663059</v>
          </cell>
          <cell r="CX356">
            <v>8.6510321273089765</v>
          </cell>
          <cell r="CY356">
            <v>13.473275210017142</v>
          </cell>
        </row>
        <row r="357">
          <cell r="A357">
            <v>40037</v>
          </cell>
          <cell r="CF357">
            <v>15.031917585608005</v>
          </cell>
          <cell r="CG357">
            <v>22.085252262534414</v>
          </cell>
          <cell r="CH357">
            <v>18.555263085067214</v>
          </cell>
          <cell r="CI357">
            <v>14.926604548033502</v>
          </cell>
          <cell r="CJ357">
            <v>22.183921622100925</v>
          </cell>
          <cell r="CU357">
            <v>8.4716780623733232</v>
          </cell>
          <cell r="CV357">
            <v>13.67289934744978</v>
          </cell>
          <cell r="CW357">
            <v>11.062153668663059</v>
          </cell>
          <cell r="CX357">
            <v>8.6510321273089765</v>
          </cell>
          <cell r="CY357">
            <v>13.473275210017142</v>
          </cell>
        </row>
        <row r="358">
          <cell r="A358">
            <v>40038</v>
          </cell>
          <cell r="CF358">
            <v>15.066743760883689</v>
          </cell>
          <cell r="CG358">
            <v>22.085252262534414</v>
          </cell>
          <cell r="CH358">
            <v>18.555263085067214</v>
          </cell>
          <cell r="CI358">
            <v>14.926604548033502</v>
          </cell>
          <cell r="CJ358">
            <v>22.183921622100925</v>
          </cell>
          <cell r="CU358">
            <v>8.4908988807254051</v>
          </cell>
          <cell r="CV358">
            <v>13.67289934744978</v>
          </cell>
          <cell r="CW358">
            <v>11.062153668663059</v>
          </cell>
          <cell r="CX358">
            <v>8.6510321273089765</v>
          </cell>
          <cell r="CY358">
            <v>13.473275210017142</v>
          </cell>
        </row>
        <row r="359">
          <cell r="A359">
            <v>40039</v>
          </cell>
          <cell r="CF359">
            <v>14.912942542079264</v>
          </cell>
          <cell r="CG359">
            <v>22.085252262534414</v>
          </cell>
          <cell r="CH359">
            <v>18.555263085067214</v>
          </cell>
          <cell r="CI359">
            <v>14.926604548033502</v>
          </cell>
          <cell r="CJ359">
            <v>22.183921622100925</v>
          </cell>
          <cell r="CU359">
            <v>8.406014874211122</v>
          </cell>
          <cell r="CV359">
            <v>13.67289934744978</v>
          </cell>
          <cell r="CW359">
            <v>11.062153668663059</v>
          </cell>
          <cell r="CX359">
            <v>8.6510321273089765</v>
          </cell>
          <cell r="CY359">
            <v>13.473275210017142</v>
          </cell>
        </row>
        <row r="360">
          <cell r="A360">
            <v>40042</v>
          </cell>
          <cell r="CF360">
            <v>14.683688624493636</v>
          </cell>
          <cell r="CG360">
            <v>22.085252262534414</v>
          </cell>
          <cell r="CH360">
            <v>18.555263085067214</v>
          </cell>
          <cell r="CI360">
            <v>14.926604548033502</v>
          </cell>
          <cell r="CJ360">
            <v>22.183921622100925</v>
          </cell>
          <cell r="CU360">
            <v>8.2794879767974621</v>
          </cell>
          <cell r="CV360">
            <v>13.67289934744978</v>
          </cell>
          <cell r="CW360">
            <v>11.062153668663059</v>
          </cell>
          <cell r="CX360">
            <v>8.6510321273089765</v>
          </cell>
          <cell r="CY360">
            <v>13.473275210017142</v>
          </cell>
        </row>
        <row r="361">
          <cell r="A361">
            <v>40043</v>
          </cell>
          <cell r="CF361">
            <v>14.645962275103033</v>
          </cell>
          <cell r="CG361">
            <v>22.085252262534414</v>
          </cell>
          <cell r="CH361">
            <v>18.555263085067214</v>
          </cell>
          <cell r="CI361">
            <v>14.926604548033502</v>
          </cell>
          <cell r="CJ361">
            <v>22.183921622100925</v>
          </cell>
          <cell r="CU361">
            <v>8.2586665313477745</v>
          </cell>
          <cell r="CV361">
            <v>13.67289934744978</v>
          </cell>
          <cell r="CW361">
            <v>11.062153668663059</v>
          </cell>
          <cell r="CX361">
            <v>8.6510321273089765</v>
          </cell>
          <cell r="CY361">
            <v>13.473275210017142</v>
          </cell>
        </row>
        <row r="362">
          <cell r="A362">
            <v>40044</v>
          </cell>
          <cell r="CF362">
            <v>14.799767846780355</v>
          </cell>
          <cell r="CG362">
            <v>22.085252262534414</v>
          </cell>
          <cell r="CH362">
            <v>18.555263085067214</v>
          </cell>
          <cell r="CI362">
            <v>14.926604548033502</v>
          </cell>
          <cell r="CJ362">
            <v>22.183921622100925</v>
          </cell>
          <cell r="CU362">
            <v>8.3435529402441322</v>
          </cell>
          <cell r="CV362">
            <v>13.67289934744978</v>
          </cell>
          <cell r="CW362">
            <v>11.062153668663059</v>
          </cell>
          <cell r="CX362">
            <v>8.6510321273089765</v>
          </cell>
          <cell r="CY362">
            <v>13.473275210017142</v>
          </cell>
        </row>
        <row r="363">
          <cell r="A363">
            <v>40045</v>
          </cell>
          <cell r="CF363">
            <v>15.177013348811734</v>
          </cell>
          <cell r="CG363">
            <v>22.085252262534414</v>
          </cell>
          <cell r="CH363">
            <v>18.555263085067214</v>
          </cell>
          <cell r="CI363">
            <v>14.926604548033502</v>
          </cell>
          <cell r="CJ363">
            <v>22.183921622100925</v>
          </cell>
          <cell r="CU363">
            <v>8.551757464895104</v>
          </cell>
          <cell r="CV363">
            <v>13.67289934744978</v>
          </cell>
          <cell r="CW363">
            <v>11.062153668663059</v>
          </cell>
          <cell r="CX363">
            <v>8.6510321273089765</v>
          </cell>
          <cell r="CY363">
            <v>13.473275210017142</v>
          </cell>
        </row>
        <row r="364">
          <cell r="A364">
            <v>40046</v>
          </cell>
          <cell r="CF364">
            <v>15.156702263495422</v>
          </cell>
          <cell r="CG364">
            <v>22.085252262534414</v>
          </cell>
          <cell r="CH364">
            <v>18.555263085067214</v>
          </cell>
          <cell r="CI364">
            <v>14.926604548033502</v>
          </cell>
          <cell r="CJ364">
            <v>22.183921622100925</v>
          </cell>
          <cell r="CU364">
            <v>8.5405476298124956</v>
          </cell>
          <cell r="CV364">
            <v>13.67289934744978</v>
          </cell>
          <cell r="CW364">
            <v>11.062153668663059</v>
          </cell>
          <cell r="CX364">
            <v>8.6510321273089765</v>
          </cell>
          <cell r="CY364">
            <v>13.473275210017142</v>
          </cell>
        </row>
        <row r="365">
          <cell r="A365">
            <v>40049</v>
          </cell>
          <cell r="CF365">
            <v>15.229250145097287</v>
          </cell>
          <cell r="CG365">
            <v>22.085252262534414</v>
          </cell>
          <cell r="CH365">
            <v>18.555263085067214</v>
          </cell>
          <cell r="CI365">
            <v>14.926604548033502</v>
          </cell>
          <cell r="CJ365">
            <v>22.183921622100925</v>
          </cell>
          <cell r="CU365">
            <v>8.5805873310733869</v>
          </cell>
          <cell r="CV365">
            <v>13.67289934744978</v>
          </cell>
          <cell r="CW365">
            <v>11.062153668663059</v>
          </cell>
          <cell r="CX365">
            <v>8.6510321273089765</v>
          </cell>
          <cell r="CY365">
            <v>13.473275210017142</v>
          </cell>
        </row>
        <row r="366">
          <cell r="A366">
            <v>40050</v>
          </cell>
          <cell r="CF366">
            <v>15.34930824234379</v>
          </cell>
          <cell r="CG366">
            <v>22.085252262534414</v>
          </cell>
          <cell r="CH366">
            <v>18.555263085067214</v>
          </cell>
          <cell r="CI366">
            <v>14.926604548033502</v>
          </cell>
          <cell r="CJ366">
            <v>22.183921622100925</v>
          </cell>
          <cell r="CU366">
            <v>8.6558621296026654</v>
          </cell>
          <cell r="CV366">
            <v>13.67289934744978</v>
          </cell>
          <cell r="CW366">
            <v>11.062153668663059</v>
          </cell>
          <cell r="CX366">
            <v>8.6510321273089765</v>
          </cell>
          <cell r="CY366">
            <v>13.473275210017142</v>
          </cell>
        </row>
        <row r="367">
          <cell r="A367">
            <v>40051</v>
          </cell>
          <cell r="CF367">
            <v>15.22465648855114</v>
          </cell>
          <cell r="CG367">
            <v>22.085252262534414</v>
          </cell>
          <cell r="CH367">
            <v>18.555263085067214</v>
          </cell>
          <cell r="CI367">
            <v>14.926604548033502</v>
          </cell>
          <cell r="CJ367">
            <v>22.183921622100925</v>
          </cell>
          <cell r="CU367">
            <v>8.5869927223222966</v>
          </cell>
          <cell r="CV367">
            <v>13.67289934744978</v>
          </cell>
          <cell r="CW367">
            <v>11.062153668663059</v>
          </cell>
          <cell r="CX367">
            <v>8.6510321273089765</v>
          </cell>
          <cell r="CY367">
            <v>13.473275210017142</v>
          </cell>
        </row>
        <row r="368">
          <cell r="A368">
            <v>40052</v>
          </cell>
          <cell r="CF368">
            <v>15.329198314359955</v>
          </cell>
          <cell r="CG368">
            <v>22.085252262534414</v>
          </cell>
          <cell r="CH368">
            <v>18.555263085067214</v>
          </cell>
          <cell r="CI368">
            <v>14.926604548033502</v>
          </cell>
          <cell r="CJ368">
            <v>22.183921622100925</v>
          </cell>
          <cell r="CU368">
            <v>8.588305256496481</v>
          </cell>
          <cell r="CV368">
            <v>13.67289934744978</v>
          </cell>
          <cell r="CW368">
            <v>11.062153668663059</v>
          </cell>
          <cell r="CX368">
            <v>8.6510321273089765</v>
          </cell>
          <cell r="CY368">
            <v>13.473275210017142</v>
          </cell>
        </row>
        <row r="369">
          <cell r="A369">
            <v>40053</v>
          </cell>
          <cell r="CF369">
            <v>15.262462460430831</v>
          </cell>
          <cell r="CG369">
            <v>22.085252262534414</v>
          </cell>
          <cell r="CH369">
            <v>18.555263085067214</v>
          </cell>
          <cell r="CI369">
            <v>14.926604548033502</v>
          </cell>
          <cell r="CJ369">
            <v>22.183921622100925</v>
          </cell>
          <cell r="CU369">
            <v>8.5516755293346787</v>
          </cell>
          <cell r="CV369">
            <v>13.67289934744978</v>
          </cell>
          <cell r="CW369">
            <v>11.062153668663059</v>
          </cell>
          <cell r="CX369">
            <v>8.6510321273089765</v>
          </cell>
          <cell r="CY369">
            <v>13.473275210017142</v>
          </cell>
        </row>
        <row r="370">
          <cell r="A370">
            <v>40056</v>
          </cell>
          <cell r="CF370">
            <v>15.372725065747169</v>
          </cell>
          <cell r="CG370">
            <v>22.085252262534414</v>
          </cell>
          <cell r="CH370">
            <v>18.555263085067214</v>
          </cell>
          <cell r="CI370">
            <v>14.926604548033502</v>
          </cell>
          <cell r="CJ370">
            <v>22.183921622100925</v>
          </cell>
          <cell r="CU370">
            <v>8.612196057822656</v>
          </cell>
          <cell r="CV370">
            <v>13.67289934744978</v>
          </cell>
          <cell r="CW370">
            <v>11.062153668663059</v>
          </cell>
          <cell r="CX370">
            <v>8.6510321273089765</v>
          </cell>
          <cell r="CY370">
            <v>13.473275210017142</v>
          </cell>
        </row>
        <row r="371">
          <cell r="A371">
            <v>40057</v>
          </cell>
          <cell r="CF371">
            <v>14.973702465969504</v>
          </cell>
          <cell r="CG371">
            <v>22.085252262534414</v>
          </cell>
          <cell r="CH371">
            <v>18.555263085067214</v>
          </cell>
          <cell r="CI371">
            <v>14.926604548033502</v>
          </cell>
          <cell r="CJ371">
            <v>22.183921622100925</v>
          </cell>
          <cell r="CU371">
            <v>8.4097086985835112</v>
          </cell>
          <cell r="CV371">
            <v>13.67289934744978</v>
          </cell>
          <cell r="CW371">
            <v>11.062153668663059</v>
          </cell>
          <cell r="CX371">
            <v>8.6510321273089765</v>
          </cell>
          <cell r="CY371">
            <v>13.473275210017142</v>
          </cell>
        </row>
        <row r="372">
          <cell r="A372">
            <v>40058</v>
          </cell>
          <cell r="CF372">
            <v>15.060056878204074</v>
          </cell>
          <cell r="CG372">
            <v>22.085252262534414</v>
          </cell>
          <cell r="CH372">
            <v>18.555263085067214</v>
          </cell>
          <cell r="CI372">
            <v>14.926604548033502</v>
          </cell>
          <cell r="CJ372">
            <v>22.183921622100925</v>
          </cell>
          <cell r="CU372">
            <v>8.4572077965824377</v>
          </cell>
          <cell r="CV372">
            <v>13.67289934744978</v>
          </cell>
          <cell r="CW372">
            <v>11.062153668663059</v>
          </cell>
          <cell r="CX372">
            <v>8.6510321273089765</v>
          </cell>
          <cell r="CY372">
            <v>13.473275210017142</v>
          </cell>
        </row>
        <row r="373">
          <cell r="A373">
            <v>40059</v>
          </cell>
          <cell r="CF373">
            <v>15.301845663180861</v>
          </cell>
          <cell r="CG373">
            <v>22.085252262534414</v>
          </cell>
          <cell r="CH373">
            <v>18.555263085067214</v>
          </cell>
          <cell r="CI373">
            <v>14.926604548033502</v>
          </cell>
          <cell r="CJ373">
            <v>22.183921622100925</v>
          </cell>
          <cell r="CU373">
            <v>8.5902033077030104</v>
          </cell>
          <cell r="CV373">
            <v>13.67289934744978</v>
          </cell>
          <cell r="CW373">
            <v>11.062153668663059</v>
          </cell>
          <cell r="CX373">
            <v>8.6510321273089765</v>
          </cell>
          <cell r="CY373">
            <v>13.473275210017142</v>
          </cell>
        </row>
        <row r="374">
          <cell r="A374">
            <v>40060</v>
          </cell>
          <cell r="CF374">
            <v>15.627112135839887</v>
          </cell>
          <cell r="CG374">
            <v>22.085252262534414</v>
          </cell>
          <cell r="CH374">
            <v>18.555263085067214</v>
          </cell>
          <cell r="CI374">
            <v>14.926604548033502</v>
          </cell>
          <cell r="CJ374">
            <v>22.183921622100925</v>
          </cell>
          <cell r="CU374">
            <v>8.769115579361209</v>
          </cell>
          <cell r="CV374">
            <v>13.67289934744978</v>
          </cell>
          <cell r="CW374">
            <v>11.062153668663059</v>
          </cell>
          <cell r="CX374">
            <v>8.6510321273089765</v>
          </cell>
          <cell r="CY374">
            <v>13.473275210017142</v>
          </cell>
        </row>
        <row r="375">
          <cell r="A375">
            <v>40063</v>
          </cell>
          <cell r="CF375">
            <v>15.627112135839887</v>
          </cell>
          <cell r="CG375">
            <v>22.085252262534414</v>
          </cell>
          <cell r="CH375">
            <v>18.555263085067214</v>
          </cell>
          <cell r="CI375">
            <v>14.926604548033502</v>
          </cell>
          <cell r="CJ375">
            <v>22.183921622100925</v>
          </cell>
          <cell r="CU375">
            <v>8.769115579361209</v>
          </cell>
          <cell r="CV375">
            <v>13.67289934744978</v>
          </cell>
          <cell r="CW375">
            <v>11.062153668663059</v>
          </cell>
          <cell r="CX375">
            <v>8.6510321273089765</v>
          </cell>
          <cell r="CY375">
            <v>13.473275210017142</v>
          </cell>
        </row>
        <row r="376">
          <cell r="A376">
            <v>40064</v>
          </cell>
          <cell r="CF376">
            <v>15.480312542277256</v>
          </cell>
          <cell r="CG376">
            <v>22.085252262534414</v>
          </cell>
          <cell r="CH376">
            <v>18.555263085067214</v>
          </cell>
          <cell r="CI376">
            <v>14.926604548033502</v>
          </cell>
          <cell r="CJ376">
            <v>22.183921622100925</v>
          </cell>
          <cell r="CU376">
            <v>8.6883687118833439</v>
          </cell>
          <cell r="CV376">
            <v>13.67289934744978</v>
          </cell>
          <cell r="CW376">
            <v>11.062153668663059</v>
          </cell>
          <cell r="CX376">
            <v>8.6510321273089765</v>
          </cell>
          <cell r="CY376">
            <v>13.473275210017142</v>
          </cell>
        </row>
        <row r="377">
          <cell r="A377">
            <v>40065</v>
          </cell>
          <cell r="CF377">
            <v>15.808456027333774</v>
          </cell>
          <cell r="CG377">
            <v>22.085252262534414</v>
          </cell>
          <cell r="CH377">
            <v>18.555263085067214</v>
          </cell>
          <cell r="CI377">
            <v>14.926604548033502</v>
          </cell>
          <cell r="CJ377">
            <v>22.183921622100925</v>
          </cell>
          <cell r="CU377">
            <v>8.8688634793315835</v>
          </cell>
          <cell r="CV377">
            <v>13.67289934744978</v>
          </cell>
          <cell r="CW377">
            <v>11.062153668663059</v>
          </cell>
          <cell r="CX377">
            <v>8.6510321273089765</v>
          </cell>
          <cell r="CY377">
            <v>13.473275210017142</v>
          </cell>
        </row>
        <row r="378">
          <cell r="A378">
            <v>40066</v>
          </cell>
          <cell r="CF378">
            <v>15.952378608498913</v>
          </cell>
          <cell r="CG378">
            <v>22.085252262534414</v>
          </cell>
          <cell r="CH378">
            <v>18.555263085067214</v>
          </cell>
          <cell r="CI378">
            <v>14.926604548033502</v>
          </cell>
          <cell r="CJ378">
            <v>22.183921622100925</v>
          </cell>
          <cell r="CU378">
            <v>8.9480278510194093</v>
          </cell>
          <cell r="CV378">
            <v>13.67289934744978</v>
          </cell>
          <cell r="CW378">
            <v>11.062153668663059</v>
          </cell>
          <cell r="CX378">
            <v>8.6510321273089765</v>
          </cell>
          <cell r="CY378">
            <v>13.473275210017142</v>
          </cell>
        </row>
        <row r="379">
          <cell r="A379">
            <v>40067</v>
          </cell>
          <cell r="CF379">
            <v>15.854507799164672</v>
          </cell>
          <cell r="CG379">
            <v>22.085252262534414</v>
          </cell>
          <cell r="CH379">
            <v>18.555263085067214</v>
          </cell>
          <cell r="CI379">
            <v>14.926604548033502</v>
          </cell>
          <cell r="CJ379">
            <v>22.183921622100925</v>
          </cell>
          <cell r="CU379">
            <v>8.8941941783267691</v>
          </cell>
          <cell r="CV379">
            <v>13.67289934744978</v>
          </cell>
          <cell r="CW379">
            <v>11.062153668663059</v>
          </cell>
          <cell r="CX379">
            <v>8.6510321273089765</v>
          </cell>
          <cell r="CY379">
            <v>13.473275210017142</v>
          </cell>
        </row>
        <row r="380">
          <cell r="A380">
            <v>40070</v>
          </cell>
          <cell r="CF380">
            <v>15.932227144374497</v>
          </cell>
          <cell r="CG380">
            <v>22.085252262534414</v>
          </cell>
          <cell r="CH380">
            <v>18.555263085067214</v>
          </cell>
          <cell r="CI380">
            <v>14.926604548033502</v>
          </cell>
          <cell r="CJ380">
            <v>22.183921622100925</v>
          </cell>
          <cell r="CU380">
            <v>8.9369435723531652</v>
          </cell>
          <cell r="CV380">
            <v>13.67289934744978</v>
          </cell>
          <cell r="CW380">
            <v>11.062153668663059</v>
          </cell>
          <cell r="CX380">
            <v>8.6510321273089765</v>
          </cell>
          <cell r="CY380">
            <v>13.473275210017142</v>
          </cell>
        </row>
        <row r="381">
          <cell r="A381">
            <v>40071</v>
          </cell>
          <cell r="CF381">
            <v>16.064637933962562</v>
          </cell>
          <cell r="CG381">
            <v>22.085252262534414</v>
          </cell>
          <cell r="CH381">
            <v>18.555263085067214</v>
          </cell>
          <cell r="CI381">
            <v>14.926604548033502</v>
          </cell>
          <cell r="CJ381">
            <v>22.183921622100925</v>
          </cell>
          <cell r="CU381">
            <v>9.0097759026071689</v>
          </cell>
          <cell r="CV381">
            <v>13.67289934744978</v>
          </cell>
          <cell r="CW381">
            <v>11.062153668663059</v>
          </cell>
          <cell r="CX381">
            <v>8.6510321273089765</v>
          </cell>
          <cell r="CY381">
            <v>13.473275210017142</v>
          </cell>
        </row>
        <row r="382">
          <cell r="A382">
            <v>40072</v>
          </cell>
          <cell r="CF382">
            <v>16.263251671660779</v>
          </cell>
          <cell r="CG382">
            <v>22.085252262534414</v>
          </cell>
          <cell r="CH382">
            <v>18.555263085067214</v>
          </cell>
          <cell r="CI382">
            <v>14.926604548033502</v>
          </cell>
          <cell r="CJ382">
            <v>22.183921622100925</v>
          </cell>
          <cell r="CU382">
            <v>9.1190230521938531</v>
          </cell>
          <cell r="CV382">
            <v>13.67289934744978</v>
          </cell>
          <cell r="CW382">
            <v>11.062153668663059</v>
          </cell>
          <cell r="CX382">
            <v>8.6510321273089765</v>
          </cell>
          <cell r="CY382">
            <v>13.473275210017142</v>
          </cell>
        </row>
        <row r="383">
          <cell r="A383">
            <v>40073</v>
          </cell>
          <cell r="CF383">
            <v>16.127964157520385</v>
          </cell>
          <cell r="CG383">
            <v>22.085252262534414</v>
          </cell>
          <cell r="CH383">
            <v>18.555263085067214</v>
          </cell>
          <cell r="CI383">
            <v>14.926604548033502</v>
          </cell>
          <cell r="CJ383">
            <v>22.183921622100925</v>
          </cell>
          <cell r="CU383">
            <v>9.0446083844785541</v>
          </cell>
          <cell r="CV383">
            <v>13.67289934744978</v>
          </cell>
          <cell r="CW383">
            <v>11.062153668663059</v>
          </cell>
          <cell r="CX383">
            <v>8.6510321273089765</v>
          </cell>
          <cell r="CY383">
            <v>13.473275210017142</v>
          </cell>
        </row>
        <row r="384">
          <cell r="A384">
            <v>40074</v>
          </cell>
          <cell r="CF384">
            <v>15.949497278423989</v>
          </cell>
          <cell r="CG384">
            <v>22.085252262534414</v>
          </cell>
          <cell r="CH384">
            <v>18.555263085067214</v>
          </cell>
          <cell r="CI384">
            <v>14.926604548033502</v>
          </cell>
          <cell r="CJ384">
            <v>22.183921622100925</v>
          </cell>
          <cell r="CU384">
            <v>8.9464429802982206</v>
          </cell>
          <cell r="CV384">
            <v>13.67289934744978</v>
          </cell>
          <cell r="CW384">
            <v>11.062153668663059</v>
          </cell>
          <cell r="CX384">
            <v>8.6510321273089765</v>
          </cell>
          <cell r="CY384">
            <v>13.473275210017142</v>
          </cell>
        </row>
        <row r="385">
          <cell r="A385">
            <v>40077</v>
          </cell>
          <cell r="CF385">
            <v>16.044486757683305</v>
          </cell>
          <cell r="CG385">
            <v>22.085252262534414</v>
          </cell>
          <cell r="CH385">
            <v>18.555263085067214</v>
          </cell>
          <cell r="CI385">
            <v>14.926604548033502</v>
          </cell>
          <cell r="CJ385">
            <v>22.183921622100925</v>
          </cell>
          <cell r="CU385">
            <v>8.9986917822696704</v>
          </cell>
          <cell r="CV385">
            <v>13.67289934744978</v>
          </cell>
          <cell r="CW385">
            <v>11.062153668663059</v>
          </cell>
          <cell r="CX385">
            <v>8.6510321273089765</v>
          </cell>
          <cell r="CY385">
            <v>13.473275210017142</v>
          </cell>
        </row>
        <row r="386">
          <cell r="A386">
            <v>40078</v>
          </cell>
          <cell r="CF386">
            <v>15.820311856597799</v>
          </cell>
          <cell r="CG386">
            <v>22.085252262534414</v>
          </cell>
          <cell r="CH386">
            <v>18.555263085067214</v>
          </cell>
          <cell r="CI386">
            <v>14.926604548033502</v>
          </cell>
          <cell r="CJ386">
            <v>22.183921622100925</v>
          </cell>
          <cell r="CU386">
            <v>8.8720283125829216</v>
          </cell>
          <cell r="CV386">
            <v>13.67289934744978</v>
          </cell>
          <cell r="CW386">
            <v>11.062153668663059</v>
          </cell>
          <cell r="CX386">
            <v>8.6510321273089765</v>
          </cell>
          <cell r="CY386">
            <v>13.473275210017142</v>
          </cell>
        </row>
        <row r="387">
          <cell r="A387">
            <v>40079</v>
          </cell>
          <cell r="CF387">
            <v>15.84047080843712</v>
          </cell>
          <cell r="CG387">
            <v>22.085252262534414</v>
          </cell>
          <cell r="CH387">
            <v>18.555263085067214</v>
          </cell>
          <cell r="CI387">
            <v>14.926604548033502</v>
          </cell>
          <cell r="CJ387">
            <v>22.183921622100925</v>
          </cell>
          <cell r="CU387">
            <v>8.8831124329204201</v>
          </cell>
          <cell r="CV387">
            <v>13.67289934744978</v>
          </cell>
          <cell r="CW387">
            <v>11.062153668663059</v>
          </cell>
          <cell r="CX387">
            <v>8.6510321273089765</v>
          </cell>
          <cell r="CY387">
            <v>13.473275210017142</v>
          </cell>
        </row>
        <row r="388">
          <cell r="A388">
            <v>40080</v>
          </cell>
          <cell r="CF388">
            <v>15.84047080843712</v>
          </cell>
          <cell r="CG388">
            <v>22.085252262534414</v>
          </cell>
          <cell r="CH388">
            <v>18.555263085067214</v>
          </cell>
          <cell r="CI388">
            <v>14.926604548033502</v>
          </cell>
          <cell r="CJ388">
            <v>22.183921622100925</v>
          </cell>
          <cell r="CU388">
            <v>8.8831124329204201</v>
          </cell>
          <cell r="CV388">
            <v>13.67289934744978</v>
          </cell>
          <cell r="CW388">
            <v>11.062153668663059</v>
          </cell>
          <cell r="CX388">
            <v>8.6510321273089765</v>
          </cell>
          <cell r="CY388">
            <v>13.473275210017142</v>
          </cell>
        </row>
        <row r="389">
          <cell r="A389">
            <v>40081</v>
          </cell>
          <cell r="CF389">
            <v>15.768481750773885</v>
          </cell>
          <cell r="CG389">
            <v>22.085252262534414</v>
          </cell>
          <cell r="CH389">
            <v>18.555263085067214</v>
          </cell>
          <cell r="CI389">
            <v>14.926604548033502</v>
          </cell>
          <cell r="CJ389">
            <v>22.183921622100925</v>
          </cell>
          <cell r="CU389">
            <v>8.843530247076508</v>
          </cell>
          <cell r="CV389">
            <v>13.67289934744978</v>
          </cell>
          <cell r="CW389">
            <v>11.062153668663059</v>
          </cell>
          <cell r="CX389">
            <v>8.6510321273089765</v>
          </cell>
          <cell r="CY389">
            <v>13.473275210017142</v>
          </cell>
        </row>
        <row r="390">
          <cell r="A390">
            <v>40084</v>
          </cell>
          <cell r="CF390">
            <v>15.944135339428408</v>
          </cell>
          <cell r="CG390">
            <v>22.085252262534414</v>
          </cell>
          <cell r="CH390">
            <v>18.555263085067214</v>
          </cell>
          <cell r="CI390">
            <v>14.926604548033502</v>
          </cell>
          <cell r="CJ390">
            <v>22.183921622100925</v>
          </cell>
          <cell r="CU390">
            <v>8.9401109388643984</v>
          </cell>
          <cell r="CV390">
            <v>13.67289934744978</v>
          </cell>
          <cell r="CW390">
            <v>11.062153668663059</v>
          </cell>
          <cell r="CX390">
            <v>8.6510321273089765</v>
          </cell>
          <cell r="CY390">
            <v>13.473275210017142</v>
          </cell>
        </row>
        <row r="391">
          <cell r="A391">
            <v>40085</v>
          </cell>
          <cell r="CF391">
            <v>15.857747606363834</v>
          </cell>
          <cell r="CG391">
            <v>22.085252262534414</v>
          </cell>
          <cell r="CH391">
            <v>18.555263085067214</v>
          </cell>
          <cell r="CI391">
            <v>14.926604548033502</v>
          </cell>
          <cell r="CJ391">
            <v>22.183921622100925</v>
          </cell>
          <cell r="CU391">
            <v>8.892611840865472</v>
          </cell>
          <cell r="CV391">
            <v>13.67289934744978</v>
          </cell>
          <cell r="CW391">
            <v>11.062153668663059</v>
          </cell>
          <cell r="CX391">
            <v>8.6510321273089765</v>
          </cell>
          <cell r="CY391">
            <v>13.473275210017142</v>
          </cell>
        </row>
        <row r="392">
          <cell r="A392">
            <v>40086</v>
          </cell>
          <cell r="CF392">
            <v>15.811673457634443</v>
          </cell>
          <cell r="CG392">
            <v>22.085252262534414</v>
          </cell>
          <cell r="CH392">
            <v>18.555263085067214</v>
          </cell>
          <cell r="CI392">
            <v>14.926604548033502</v>
          </cell>
          <cell r="CJ392">
            <v>22.183921622100925</v>
          </cell>
          <cell r="CU392">
            <v>8.8672786086103947</v>
          </cell>
          <cell r="CV392">
            <v>13.67289934744978</v>
          </cell>
          <cell r="CW392">
            <v>11.062153668663059</v>
          </cell>
          <cell r="CX392">
            <v>8.6510321273089765</v>
          </cell>
          <cell r="CY392">
            <v>13.473275210017142</v>
          </cell>
        </row>
        <row r="393">
          <cell r="A393">
            <v>40087</v>
          </cell>
          <cell r="CF393">
            <v>15.505679520709005</v>
          </cell>
          <cell r="CG393">
            <v>22.085252262534414</v>
          </cell>
          <cell r="CH393">
            <v>18.555263085067214</v>
          </cell>
          <cell r="CI393">
            <v>14.926604548033502</v>
          </cell>
          <cell r="CJ393">
            <v>22.183921622100925</v>
          </cell>
          <cell r="CU393">
            <v>8.7024988767223235</v>
          </cell>
          <cell r="CV393">
            <v>13.67289934744978</v>
          </cell>
          <cell r="CW393">
            <v>11.062153668663059</v>
          </cell>
          <cell r="CX393">
            <v>8.6510321273089765</v>
          </cell>
          <cell r="CY393">
            <v>13.473275210017142</v>
          </cell>
        </row>
        <row r="394">
          <cell r="A394">
            <v>40088</v>
          </cell>
          <cell r="CF394">
            <v>15.434356236033993</v>
          </cell>
          <cell r="CG394">
            <v>22.085252262534414</v>
          </cell>
          <cell r="CH394">
            <v>18.555263085067214</v>
          </cell>
          <cell r="CI394">
            <v>14.926604548033502</v>
          </cell>
          <cell r="CJ394">
            <v>22.183921622100925</v>
          </cell>
          <cell r="CU394">
            <v>8.6632598926051685</v>
          </cell>
          <cell r="CV394">
            <v>13.67289934744978</v>
          </cell>
          <cell r="CW394">
            <v>11.062153668663059</v>
          </cell>
          <cell r="CX394">
            <v>8.6510321273089765</v>
          </cell>
          <cell r="CY394">
            <v>13.473275210017142</v>
          </cell>
        </row>
        <row r="395">
          <cell r="A395">
            <v>40091</v>
          </cell>
          <cell r="CF395">
            <v>15.728207883601897</v>
          </cell>
          <cell r="CG395">
            <v>22.085252262534414</v>
          </cell>
          <cell r="CH395">
            <v>18.555263085067214</v>
          </cell>
          <cell r="CI395">
            <v>14.926604548033502</v>
          </cell>
          <cell r="CJ395">
            <v>22.183921622100925</v>
          </cell>
          <cell r="CU395">
            <v>8.824924350211905</v>
          </cell>
          <cell r="CV395">
            <v>13.67289934744978</v>
          </cell>
          <cell r="CW395">
            <v>11.062153668663059</v>
          </cell>
          <cell r="CX395">
            <v>8.6510321273089765</v>
          </cell>
          <cell r="CY395">
            <v>13.473275210017142</v>
          </cell>
        </row>
        <row r="396">
          <cell r="A396">
            <v>40092</v>
          </cell>
          <cell r="CF396">
            <v>15.828584789129879</v>
          </cell>
          <cell r="CG396">
            <v>22.085252262534414</v>
          </cell>
          <cell r="CH396">
            <v>18.555263085067214</v>
          </cell>
          <cell r="CI396">
            <v>14.926604548033502</v>
          </cell>
          <cell r="CJ396">
            <v>22.183921622100925</v>
          </cell>
          <cell r="CU396">
            <v>8.8380563538962438</v>
          </cell>
          <cell r="CV396">
            <v>13.67289934744978</v>
          </cell>
          <cell r="CW396">
            <v>11.062153668663059</v>
          </cell>
          <cell r="CX396">
            <v>8.6510321273089765</v>
          </cell>
          <cell r="CY396">
            <v>13.473275210017142</v>
          </cell>
        </row>
        <row r="397">
          <cell r="A397">
            <v>40093</v>
          </cell>
          <cell r="CF397">
            <v>15.794658391598249</v>
          </cell>
          <cell r="CG397">
            <v>22.085252262534414</v>
          </cell>
          <cell r="CH397">
            <v>18.555263085067214</v>
          </cell>
          <cell r="CI397">
            <v>14.926604548033502</v>
          </cell>
          <cell r="CJ397">
            <v>22.183921622100925</v>
          </cell>
          <cell r="CU397">
            <v>8.8122129399288109</v>
          </cell>
          <cell r="CV397">
            <v>13.67289934744978</v>
          </cell>
          <cell r="CW397">
            <v>11.062153668663059</v>
          </cell>
          <cell r="CX397">
            <v>8.6510321273089765</v>
          </cell>
          <cell r="CY397">
            <v>13.473275210017142</v>
          </cell>
        </row>
        <row r="398">
          <cell r="A398">
            <v>40094</v>
          </cell>
          <cell r="CF398">
            <v>15.991699546427428</v>
          </cell>
          <cell r="CG398">
            <v>22.085252262534414</v>
          </cell>
          <cell r="CH398">
            <v>18.555263085067214</v>
          </cell>
          <cell r="CI398">
            <v>14.926604548033502</v>
          </cell>
          <cell r="CJ398">
            <v>22.183921622100925</v>
          </cell>
          <cell r="CU398">
            <v>8.9200117330915258</v>
          </cell>
          <cell r="CV398">
            <v>13.67289934744978</v>
          </cell>
          <cell r="CW398">
            <v>11.062153668663059</v>
          </cell>
          <cell r="CX398">
            <v>8.6510321273089765</v>
          </cell>
          <cell r="CY398">
            <v>13.473275210017142</v>
          </cell>
        </row>
        <row r="399">
          <cell r="A399">
            <v>40095</v>
          </cell>
          <cell r="CF399">
            <v>16.056690811831075</v>
          </cell>
          <cell r="CG399">
            <v>22.085252262534414</v>
          </cell>
          <cell r="CH399">
            <v>18.555263085067214</v>
          </cell>
          <cell r="CI399">
            <v>14.926604548033502</v>
          </cell>
          <cell r="CJ399">
            <v>22.183921622100925</v>
          </cell>
          <cell r="CU399">
            <v>8.9559439350739147</v>
          </cell>
          <cell r="CV399">
            <v>13.67289934744978</v>
          </cell>
          <cell r="CW399">
            <v>11.062153668663059</v>
          </cell>
          <cell r="CX399">
            <v>8.6510321273089765</v>
          </cell>
          <cell r="CY399">
            <v>13.473275210017142</v>
          </cell>
        </row>
        <row r="400">
          <cell r="A400">
            <v>40098</v>
          </cell>
          <cell r="CF400">
            <v>15.959603651283183</v>
          </cell>
          <cell r="CG400">
            <v>22.085252262534414</v>
          </cell>
          <cell r="CH400">
            <v>18.555263085067214</v>
          </cell>
          <cell r="CI400">
            <v>14.926604548033502</v>
          </cell>
          <cell r="CJ400">
            <v>22.183921622100925</v>
          </cell>
          <cell r="CU400">
            <v>8.902705664806831</v>
          </cell>
          <cell r="CV400">
            <v>13.67289934744978</v>
          </cell>
          <cell r="CW400">
            <v>11.062153668663059</v>
          </cell>
          <cell r="CX400">
            <v>8.6510321273089765</v>
          </cell>
          <cell r="CY400">
            <v>13.473275210017142</v>
          </cell>
        </row>
        <row r="401">
          <cell r="A401">
            <v>40099</v>
          </cell>
          <cell r="CF401">
            <v>15.860991226532734</v>
          </cell>
          <cell r="CG401">
            <v>22.085252262534414</v>
          </cell>
          <cell r="CH401">
            <v>18.555263085067214</v>
          </cell>
          <cell r="CI401">
            <v>14.926604548033502</v>
          </cell>
          <cell r="CJ401">
            <v>22.183921622100925</v>
          </cell>
          <cell r="CU401">
            <v>8.8405224951127543</v>
          </cell>
          <cell r="CV401">
            <v>13.67289934744978</v>
          </cell>
          <cell r="CW401">
            <v>11.062153668663059</v>
          </cell>
          <cell r="CX401">
            <v>8.6510321273089765</v>
          </cell>
          <cell r="CY401">
            <v>13.473275210017142</v>
          </cell>
        </row>
        <row r="402">
          <cell r="A402">
            <v>40100</v>
          </cell>
          <cell r="CF402">
            <v>15.957982059391815</v>
          </cell>
          <cell r="CG402">
            <v>22.085252262534414</v>
          </cell>
          <cell r="CH402">
            <v>18.555263085067214</v>
          </cell>
          <cell r="CI402">
            <v>14.926604548033502</v>
          </cell>
          <cell r="CJ402">
            <v>22.183921622100925</v>
          </cell>
          <cell r="CU402">
            <v>8.8935381953536847</v>
          </cell>
          <cell r="CV402">
            <v>13.67289934744978</v>
          </cell>
          <cell r="CW402">
            <v>11.062153668663059</v>
          </cell>
          <cell r="CX402">
            <v>8.6510321273089765</v>
          </cell>
          <cell r="CY402">
            <v>13.473275210017142</v>
          </cell>
        </row>
        <row r="403">
          <cell r="A403">
            <v>40101</v>
          </cell>
          <cell r="CF403">
            <v>16.060679141510978</v>
          </cell>
          <cell r="CG403">
            <v>22.085252262534414</v>
          </cell>
          <cell r="CH403">
            <v>18.555263085067214</v>
          </cell>
          <cell r="CI403">
            <v>14.926604548033502</v>
          </cell>
          <cell r="CJ403">
            <v>22.183921622100925</v>
          </cell>
          <cell r="CU403">
            <v>8.9496729615037829</v>
          </cell>
          <cell r="CV403">
            <v>13.67289934744978</v>
          </cell>
          <cell r="CW403">
            <v>11.062153668663059</v>
          </cell>
          <cell r="CX403">
            <v>8.6510321273089765</v>
          </cell>
          <cell r="CY403">
            <v>13.473275210017142</v>
          </cell>
        </row>
        <row r="404">
          <cell r="A404">
            <v>40102</v>
          </cell>
          <cell r="CF404">
            <v>15.995068543172097</v>
          </cell>
          <cell r="CG404">
            <v>22.085252262534414</v>
          </cell>
          <cell r="CH404">
            <v>18.555263085067214</v>
          </cell>
          <cell r="CI404">
            <v>14.926604548033502</v>
          </cell>
          <cell r="CJ404">
            <v>22.183921622100925</v>
          </cell>
          <cell r="CU404">
            <v>8.9138098627796385</v>
          </cell>
          <cell r="CV404">
            <v>13.67289934744978</v>
          </cell>
          <cell r="CW404">
            <v>11.062153668663059</v>
          </cell>
          <cell r="CX404">
            <v>8.6510321273089765</v>
          </cell>
          <cell r="CY404">
            <v>13.473275210017142</v>
          </cell>
        </row>
        <row r="405">
          <cell r="A405">
            <v>40105</v>
          </cell>
          <cell r="CF405">
            <v>16.106323430198188</v>
          </cell>
          <cell r="CG405">
            <v>22.085252262534414</v>
          </cell>
          <cell r="CH405">
            <v>18.555263085067214</v>
          </cell>
          <cell r="CI405">
            <v>14.926604548033502</v>
          </cell>
          <cell r="CJ405">
            <v>22.183921622100925</v>
          </cell>
          <cell r="CU405">
            <v>8.9746223701790058</v>
          </cell>
          <cell r="CV405">
            <v>13.67289934744978</v>
          </cell>
          <cell r="CW405">
            <v>11.062153668663059</v>
          </cell>
          <cell r="CX405">
            <v>8.6510321273089765</v>
          </cell>
          <cell r="CY405">
            <v>13.473275210017142</v>
          </cell>
        </row>
        <row r="406">
          <cell r="A406">
            <v>40106</v>
          </cell>
          <cell r="CF406">
            <v>15.946572984107721</v>
          </cell>
          <cell r="CG406">
            <v>22.085252262534414</v>
          </cell>
          <cell r="CH406">
            <v>18.555263085067214</v>
          </cell>
          <cell r="CI406">
            <v>14.926604548033502</v>
          </cell>
          <cell r="CJ406">
            <v>22.183921622100925</v>
          </cell>
          <cell r="CU406">
            <v>8.8873019346942215</v>
          </cell>
          <cell r="CV406">
            <v>13.67289934744978</v>
          </cell>
          <cell r="CW406">
            <v>11.062153668663059</v>
          </cell>
          <cell r="CX406">
            <v>8.6510321273089765</v>
          </cell>
          <cell r="CY406">
            <v>13.473275210017142</v>
          </cell>
        </row>
        <row r="407">
          <cell r="A407">
            <v>40107</v>
          </cell>
          <cell r="CF407">
            <v>15.912342049749695</v>
          </cell>
          <cell r="CG407">
            <v>22.085252262534414</v>
          </cell>
          <cell r="CH407">
            <v>18.555263085067214</v>
          </cell>
          <cell r="CI407">
            <v>14.926604548033502</v>
          </cell>
          <cell r="CJ407">
            <v>22.183921622100925</v>
          </cell>
          <cell r="CU407">
            <v>8.8685911256270504</v>
          </cell>
          <cell r="CV407">
            <v>13.67289934744978</v>
          </cell>
          <cell r="CW407">
            <v>11.062153668663059</v>
          </cell>
          <cell r="CX407">
            <v>8.6510321273089765</v>
          </cell>
          <cell r="CY407">
            <v>13.473275210017142</v>
          </cell>
        </row>
        <row r="408">
          <cell r="A408">
            <v>40108</v>
          </cell>
          <cell r="CF408">
            <v>15.866698046332161</v>
          </cell>
          <cell r="CG408">
            <v>22.085252262534414</v>
          </cell>
          <cell r="CH408">
            <v>18.555263085067214</v>
          </cell>
          <cell r="CI408">
            <v>14.926604548033502</v>
          </cell>
          <cell r="CJ408">
            <v>22.183921622100925</v>
          </cell>
          <cell r="CU408">
            <v>8.843641872881733</v>
          </cell>
          <cell r="CV408">
            <v>13.67289934744978</v>
          </cell>
          <cell r="CW408">
            <v>11.062153668663059</v>
          </cell>
          <cell r="CX408">
            <v>8.6510321273089765</v>
          </cell>
          <cell r="CY408">
            <v>13.473275210017142</v>
          </cell>
        </row>
        <row r="409">
          <cell r="A409">
            <v>40109</v>
          </cell>
          <cell r="CF409">
            <v>15.752587324614142</v>
          </cell>
          <cell r="CG409">
            <v>22.085252262534414</v>
          </cell>
          <cell r="CH409">
            <v>18.555263085067214</v>
          </cell>
          <cell r="CI409">
            <v>14.926604548033502</v>
          </cell>
          <cell r="CJ409">
            <v>22.183921622100925</v>
          </cell>
          <cell r="CU409">
            <v>8.7812683511936758</v>
          </cell>
          <cell r="CV409">
            <v>13.67289934744978</v>
          </cell>
          <cell r="CW409">
            <v>11.062153668663059</v>
          </cell>
          <cell r="CX409">
            <v>8.6510321273089765</v>
          </cell>
          <cell r="CY409">
            <v>13.473275210017142</v>
          </cell>
        </row>
        <row r="410">
          <cell r="A410">
            <v>40112</v>
          </cell>
          <cell r="CF410">
            <v>15.724063210055544</v>
          </cell>
          <cell r="CG410">
            <v>22.085252262534414</v>
          </cell>
          <cell r="CH410">
            <v>18.555263085067214</v>
          </cell>
          <cell r="CI410">
            <v>14.926604548033502</v>
          </cell>
          <cell r="CJ410">
            <v>22.183921622100925</v>
          </cell>
          <cell r="CU410">
            <v>8.7656769198954851</v>
          </cell>
          <cell r="CV410">
            <v>13.67289934744978</v>
          </cell>
          <cell r="CW410">
            <v>11.062153668663059</v>
          </cell>
          <cell r="CX410">
            <v>8.6510321273089765</v>
          </cell>
          <cell r="CY410">
            <v>13.473275210017142</v>
          </cell>
        </row>
        <row r="411">
          <cell r="A411">
            <v>40113</v>
          </cell>
          <cell r="CF411">
            <v>15.709798870618863</v>
          </cell>
          <cell r="CG411">
            <v>22.085252262534414</v>
          </cell>
          <cell r="CH411">
            <v>18.555263085067214</v>
          </cell>
          <cell r="CI411">
            <v>14.926604548033502</v>
          </cell>
          <cell r="CJ411">
            <v>22.183921622100925</v>
          </cell>
          <cell r="CU411">
            <v>8.7578799568071428</v>
          </cell>
          <cell r="CV411">
            <v>13.67289934744978</v>
          </cell>
          <cell r="CW411">
            <v>11.062153668663059</v>
          </cell>
          <cell r="CX411">
            <v>8.6510321273089765</v>
          </cell>
          <cell r="CY411">
            <v>13.473275210017142</v>
          </cell>
        </row>
        <row r="412">
          <cell r="A412">
            <v>40114</v>
          </cell>
          <cell r="CF412">
            <v>15.410264858628953</v>
          </cell>
          <cell r="CG412">
            <v>22.085252262534414</v>
          </cell>
          <cell r="CH412">
            <v>18.555263085067214</v>
          </cell>
          <cell r="CI412">
            <v>14.926604548033502</v>
          </cell>
          <cell r="CJ412">
            <v>22.183921622100925</v>
          </cell>
          <cell r="CU412">
            <v>8.5941530877463048</v>
          </cell>
          <cell r="CV412">
            <v>13.67289934744978</v>
          </cell>
          <cell r="CW412">
            <v>11.062153668663059</v>
          </cell>
          <cell r="CX412">
            <v>8.6510321273089765</v>
          </cell>
          <cell r="CY412">
            <v>13.473275210017142</v>
          </cell>
        </row>
        <row r="413">
          <cell r="A413">
            <v>40115</v>
          </cell>
          <cell r="CF413">
            <v>15.182047979507674</v>
          </cell>
          <cell r="CG413">
            <v>22.085252262534414</v>
          </cell>
          <cell r="CH413">
            <v>18.555263085067214</v>
          </cell>
          <cell r="CI413">
            <v>14.926604548033502</v>
          </cell>
          <cell r="CJ413">
            <v>22.183921622100925</v>
          </cell>
          <cell r="CU413">
            <v>8.4965230181631295</v>
          </cell>
          <cell r="CV413">
            <v>13.67289934744978</v>
          </cell>
          <cell r="CW413">
            <v>11.062153668663059</v>
          </cell>
          <cell r="CX413">
            <v>8.6510321273089765</v>
          </cell>
          <cell r="CY413">
            <v>13.473275210017142</v>
          </cell>
        </row>
        <row r="414">
          <cell r="A414">
            <v>40116</v>
          </cell>
          <cell r="CF414">
            <v>15.070793092481587</v>
          </cell>
          <cell r="CG414">
            <v>22.085252262534414</v>
          </cell>
          <cell r="CH414">
            <v>18.555263085067214</v>
          </cell>
          <cell r="CI414">
            <v>14.926604548033502</v>
          </cell>
          <cell r="CJ414">
            <v>22.183921622100925</v>
          </cell>
          <cell r="CU414">
            <v>8.4355118143630889</v>
          </cell>
          <cell r="CV414">
            <v>13.67289934744978</v>
          </cell>
          <cell r="CW414">
            <v>11.062153668663059</v>
          </cell>
          <cell r="CX414">
            <v>8.6510321273089765</v>
          </cell>
          <cell r="CY414">
            <v>13.473275210017142</v>
          </cell>
        </row>
        <row r="415">
          <cell r="A415">
            <v>40119</v>
          </cell>
          <cell r="CF415">
            <v>15.16196601789045</v>
          </cell>
          <cell r="CG415">
            <v>22.085252262534414</v>
          </cell>
          <cell r="CH415">
            <v>18.555263085067214</v>
          </cell>
          <cell r="CI415">
            <v>14.926604548033502</v>
          </cell>
          <cell r="CJ415">
            <v>22.183921622100925</v>
          </cell>
          <cell r="CU415">
            <v>8.5008331160688755</v>
          </cell>
          <cell r="CV415">
            <v>13.67289934744978</v>
          </cell>
          <cell r="CW415">
            <v>11.062153668663059</v>
          </cell>
          <cell r="CX415">
            <v>8.6510321273089765</v>
          </cell>
          <cell r="CY415">
            <v>13.473275210017142</v>
          </cell>
        </row>
        <row r="416">
          <cell r="A416">
            <v>40120</v>
          </cell>
          <cell r="CF416">
            <v>15.300652598614784</v>
          </cell>
          <cell r="CG416">
            <v>22.085252262534414</v>
          </cell>
          <cell r="CH416">
            <v>18.555263085067214</v>
          </cell>
          <cell r="CI416">
            <v>14.926604548033502</v>
          </cell>
          <cell r="CJ416">
            <v>22.183921622100925</v>
          </cell>
          <cell r="CU416">
            <v>8.5770369956918113</v>
          </cell>
          <cell r="CV416">
            <v>13.67289934744978</v>
          </cell>
          <cell r="CW416">
            <v>11.062153668663059</v>
          </cell>
          <cell r="CX416">
            <v>8.6510321273089765</v>
          </cell>
          <cell r="CY416">
            <v>13.473275210017142</v>
          </cell>
        </row>
        <row r="417">
          <cell r="A417">
            <v>40121</v>
          </cell>
          <cell r="CF417">
            <v>14.437810628057163</v>
          </cell>
          <cell r="CG417">
            <v>22.085252262534414</v>
          </cell>
          <cell r="CH417">
            <v>18.555263085067214</v>
          </cell>
          <cell r="CI417">
            <v>14.926604548033502</v>
          </cell>
          <cell r="CJ417">
            <v>22.183921622100925</v>
          </cell>
          <cell r="CU417">
            <v>8.1916588942661992</v>
          </cell>
          <cell r="CV417">
            <v>13.67289934744978</v>
          </cell>
          <cell r="CW417">
            <v>11.062153668663059</v>
          </cell>
          <cell r="CX417">
            <v>8.6510321273089765</v>
          </cell>
          <cell r="CY417">
            <v>13.473275210017142</v>
          </cell>
        </row>
        <row r="418">
          <cell r="A418">
            <v>40122</v>
          </cell>
          <cell r="CF418">
            <v>14.638255378684947</v>
          </cell>
          <cell r="CG418">
            <v>22.085252262534414</v>
          </cell>
          <cell r="CH418">
            <v>18.555263085067214</v>
          </cell>
          <cell r="CI418">
            <v>14.926604548033502</v>
          </cell>
          <cell r="CJ418">
            <v>22.183921622100925</v>
          </cell>
          <cell r="CU418">
            <v>8.3008439798616802</v>
          </cell>
          <cell r="CV418">
            <v>13.67289934744978</v>
          </cell>
          <cell r="CW418">
            <v>11.062153668663059</v>
          </cell>
          <cell r="CX418">
            <v>8.6510321273089765</v>
          </cell>
          <cell r="CY418">
            <v>13.473275210017142</v>
          </cell>
        </row>
        <row r="419">
          <cell r="A419">
            <v>40123</v>
          </cell>
          <cell r="CF419">
            <v>14.497941733803444</v>
          </cell>
          <cell r="CG419">
            <v>22.085252262534414</v>
          </cell>
          <cell r="CH419">
            <v>18.555263085067214</v>
          </cell>
          <cell r="CI419">
            <v>14.926604548033502</v>
          </cell>
          <cell r="CJ419">
            <v>22.183921622100925</v>
          </cell>
          <cell r="CU419">
            <v>8.2244131565120089</v>
          </cell>
          <cell r="CV419">
            <v>13.67289934744978</v>
          </cell>
          <cell r="CW419">
            <v>11.062153668663059</v>
          </cell>
          <cell r="CX419">
            <v>8.6510321273089765</v>
          </cell>
          <cell r="CY419">
            <v>13.473275210017142</v>
          </cell>
        </row>
        <row r="420">
          <cell r="A420">
            <v>40126</v>
          </cell>
          <cell r="CF420">
            <v>14.846033695641834</v>
          </cell>
          <cell r="CG420">
            <v>22.085252262534414</v>
          </cell>
          <cell r="CH420">
            <v>18.555263085067214</v>
          </cell>
          <cell r="CI420">
            <v>14.926604548033502</v>
          </cell>
          <cell r="CJ420">
            <v>22.183921622100925</v>
          </cell>
          <cell r="CU420">
            <v>8.4222959231446275</v>
          </cell>
          <cell r="CV420">
            <v>13.67289934744978</v>
          </cell>
          <cell r="CW420">
            <v>11.062153668663059</v>
          </cell>
          <cell r="CX420">
            <v>8.6510321273089765</v>
          </cell>
          <cell r="CY420">
            <v>13.473275210017142</v>
          </cell>
        </row>
        <row r="421">
          <cell r="A421">
            <v>40127</v>
          </cell>
          <cell r="CF421">
            <v>15.117854930184771</v>
          </cell>
          <cell r="CG421">
            <v>22.085252262534414</v>
          </cell>
          <cell r="CH421">
            <v>18.555263085067214</v>
          </cell>
          <cell r="CI421">
            <v>14.926604548033502</v>
          </cell>
          <cell r="CJ421">
            <v>22.183921622100925</v>
          </cell>
          <cell r="CU421">
            <v>8.5704496205939069</v>
          </cell>
          <cell r="CV421">
            <v>13.67289934744978</v>
          </cell>
          <cell r="CW421">
            <v>11.062153668663059</v>
          </cell>
          <cell r="CX421">
            <v>8.6510321273089765</v>
          </cell>
          <cell r="CY421">
            <v>13.473275210017142</v>
          </cell>
        </row>
        <row r="422">
          <cell r="A422">
            <v>40128</v>
          </cell>
          <cell r="CF422">
            <v>14.993509125151018</v>
          </cell>
          <cell r="CG422">
            <v>22.085252262534414</v>
          </cell>
          <cell r="CH422">
            <v>18.555263085067214</v>
          </cell>
          <cell r="CI422">
            <v>14.926604548033502</v>
          </cell>
          <cell r="CJ422">
            <v>22.183921622100925</v>
          </cell>
          <cell r="CU422">
            <v>8.5026760678432005</v>
          </cell>
          <cell r="CV422">
            <v>13.67289934744978</v>
          </cell>
          <cell r="CW422">
            <v>11.062153668663059</v>
          </cell>
          <cell r="CX422">
            <v>8.6510321273089765</v>
          </cell>
          <cell r="CY422">
            <v>13.473275210017142</v>
          </cell>
        </row>
        <row r="423">
          <cell r="A423">
            <v>40129</v>
          </cell>
          <cell r="CF423">
            <v>15.002183963305674</v>
          </cell>
          <cell r="CG423">
            <v>22.085252262534414</v>
          </cell>
          <cell r="CH423">
            <v>18.555263085067214</v>
          </cell>
          <cell r="CI423">
            <v>14.926604548033502</v>
          </cell>
          <cell r="CJ423">
            <v>22.183921622100925</v>
          </cell>
          <cell r="CU423">
            <v>8.4985949709104673</v>
          </cell>
          <cell r="CV423">
            <v>13.67289934744978</v>
          </cell>
          <cell r="CW423">
            <v>11.062153668663059</v>
          </cell>
          <cell r="CX423">
            <v>8.6510321273089765</v>
          </cell>
          <cell r="CY423">
            <v>13.473275210017142</v>
          </cell>
        </row>
        <row r="424">
          <cell r="A424">
            <v>40130</v>
          </cell>
          <cell r="CF424">
            <v>15.039777627571022</v>
          </cell>
          <cell r="CG424">
            <v>22.085252262534414</v>
          </cell>
          <cell r="CH424">
            <v>18.555263085067214</v>
          </cell>
          <cell r="CI424">
            <v>14.926604548033502</v>
          </cell>
          <cell r="CJ424">
            <v>22.183921622100925</v>
          </cell>
          <cell r="CU424">
            <v>8.5190638394485401</v>
          </cell>
          <cell r="CV424">
            <v>13.67289934744978</v>
          </cell>
          <cell r="CW424">
            <v>11.062153668663059</v>
          </cell>
          <cell r="CX424">
            <v>8.6510321273089765</v>
          </cell>
          <cell r="CY424">
            <v>13.473275210017142</v>
          </cell>
        </row>
        <row r="425">
          <cell r="A425">
            <v>40133</v>
          </cell>
          <cell r="CF425">
            <v>15.233521559500209</v>
          </cell>
          <cell r="CG425">
            <v>22.085252262534414</v>
          </cell>
          <cell r="CH425">
            <v>18.555263085067214</v>
          </cell>
          <cell r="CI425">
            <v>14.926604548033502</v>
          </cell>
          <cell r="CJ425">
            <v>22.183921622100925</v>
          </cell>
          <cell r="CU425">
            <v>8.624552866661114</v>
          </cell>
          <cell r="CV425">
            <v>13.67289934744978</v>
          </cell>
          <cell r="CW425">
            <v>11.062153668663059</v>
          </cell>
          <cell r="CX425">
            <v>8.6510321273089765</v>
          </cell>
          <cell r="CY425">
            <v>13.473275210017142</v>
          </cell>
        </row>
        <row r="426">
          <cell r="A426">
            <v>40134</v>
          </cell>
          <cell r="CF426">
            <v>15.242196397654865</v>
          </cell>
          <cell r="CG426">
            <v>22.085252262534414</v>
          </cell>
          <cell r="CH426">
            <v>18.555263085067214</v>
          </cell>
          <cell r="CI426">
            <v>14.926604548033502</v>
          </cell>
          <cell r="CJ426">
            <v>22.183921622100925</v>
          </cell>
          <cell r="CU426">
            <v>8.6292761125922208</v>
          </cell>
          <cell r="CV426">
            <v>13.67289934744978</v>
          </cell>
          <cell r="CW426">
            <v>11.062153668663059</v>
          </cell>
          <cell r="CX426">
            <v>8.6510321273089765</v>
          </cell>
          <cell r="CY426">
            <v>13.473275210017142</v>
          </cell>
        </row>
        <row r="427">
          <cell r="A427">
            <v>40135</v>
          </cell>
          <cell r="CF427">
            <v>15.09182636732805</v>
          </cell>
          <cell r="CG427">
            <v>22.085252262534414</v>
          </cell>
          <cell r="CH427">
            <v>18.555263085067214</v>
          </cell>
          <cell r="CI427">
            <v>14.926604548033502</v>
          </cell>
          <cell r="CJ427">
            <v>22.183921622100925</v>
          </cell>
          <cell r="CU427">
            <v>8.5474031575884037</v>
          </cell>
          <cell r="CV427">
            <v>13.67289934744978</v>
          </cell>
          <cell r="CW427">
            <v>11.062153668663059</v>
          </cell>
          <cell r="CX427">
            <v>8.6510321273089765</v>
          </cell>
          <cell r="CY427">
            <v>13.473275210017142</v>
          </cell>
        </row>
        <row r="428">
          <cell r="A428">
            <v>40136</v>
          </cell>
          <cell r="CF428">
            <v>14.837358857487178</v>
          </cell>
          <cell r="CG428">
            <v>22.085252262534414</v>
          </cell>
          <cell r="CH428">
            <v>18.555263085067214</v>
          </cell>
          <cell r="CI428">
            <v>14.926604548033502</v>
          </cell>
          <cell r="CJ428">
            <v>22.183921622100925</v>
          </cell>
          <cell r="CU428">
            <v>8.4088515663048575</v>
          </cell>
          <cell r="CV428">
            <v>13.67289934744978</v>
          </cell>
          <cell r="CW428">
            <v>11.062153668663059</v>
          </cell>
          <cell r="CX428">
            <v>8.6510321273089765</v>
          </cell>
          <cell r="CY428">
            <v>13.473275210017142</v>
          </cell>
        </row>
        <row r="429">
          <cell r="A429">
            <v>40137</v>
          </cell>
          <cell r="CF429">
            <v>14.611805836193332</v>
          </cell>
          <cell r="CG429">
            <v>22.085252262534414</v>
          </cell>
          <cell r="CH429">
            <v>18.555263085067214</v>
          </cell>
          <cell r="CI429">
            <v>14.926604548033502</v>
          </cell>
          <cell r="CJ429">
            <v>22.183921622100925</v>
          </cell>
          <cell r="CU429">
            <v>8.2860432359265879</v>
          </cell>
          <cell r="CV429">
            <v>13.67289934744978</v>
          </cell>
          <cell r="CW429">
            <v>11.062153668663059</v>
          </cell>
          <cell r="CX429">
            <v>8.6510321273089765</v>
          </cell>
          <cell r="CY429">
            <v>13.473275210017142</v>
          </cell>
        </row>
        <row r="430">
          <cell r="A430">
            <v>40140</v>
          </cell>
          <cell r="CF430">
            <v>14.927001261509554</v>
          </cell>
          <cell r="CG430">
            <v>22.085252262534414</v>
          </cell>
          <cell r="CH430">
            <v>18.555263085067214</v>
          </cell>
          <cell r="CI430">
            <v>14.926604548033502</v>
          </cell>
          <cell r="CJ430">
            <v>22.183921622100925</v>
          </cell>
          <cell r="CU430">
            <v>8.4576597529827957</v>
          </cell>
          <cell r="CV430">
            <v>13.67289934744978</v>
          </cell>
          <cell r="CW430">
            <v>11.062153668663059</v>
          </cell>
          <cell r="CX430">
            <v>8.6510321273089765</v>
          </cell>
          <cell r="CY430">
            <v>13.473275210017142</v>
          </cell>
        </row>
        <row r="431">
          <cell r="A431">
            <v>40141</v>
          </cell>
          <cell r="CF431">
            <v>14.796875219138773</v>
          </cell>
          <cell r="CG431">
            <v>22.085252262534414</v>
          </cell>
          <cell r="CH431">
            <v>18.555263085067214</v>
          </cell>
          <cell r="CI431">
            <v>14.926604548033502</v>
          </cell>
          <cell r="CJ431">
            <v>22.183921622100925</v>
          </cell>
          <cell r="CU431">
            <v>8.3868091746548341</v>
          </cell>
          <cell r="CV431">
            <v>13.67289934744978</v>
          </cell>
          <cell r="CW431">
            <v>11.062153668663059</v>
          </cell>
          <cell r="CX431">
            <v>8.6510321273089765</v>
          </cell>
          <cell r="CY431">
            <v>13.473275210017142</v>
          </cell>
        </row>
        <row r="432">
          <cell r="A432">
            <v>40142</v>
          </cell>
          <cell r="CF432">
            <v>14.707228477552734</v>
          </cell>
          <cell r="CG432">
            <v>22.085252262534414</v>
          </cell>
          <cell r="CH432">
            <v>18.555263085067214</v>
          </cell>
          <cell r="CI432">
            <v>14.926604548033502</v>
          </cell>
          <cell r="CJ432">
            <v>22.183921622100925</v>
          </cell>
          <cell r="CU432">
            <v>8.3379986262752102</v>
          </cell>
          <cell r="CV432">
            <v>13.67289934744978</v>
          </cell>
          <cell r="CW432">
            <v>11.062153668663059</v>
          </cell>
          <cell r="CX432">
            <v>8.6510321273089765</v>
          </cell>
          <cell r="CY432">
            <v>13.473275210017142</v>
          </cell>
        </row>
        <row r="433">
          <cell r="A433">
            <v>40143</v>
          </cell>
          <cell r="CF433">
            <v>14.707228477552734</v>
          </cell>
          <cell r="CG433">
            <v>22.085252262534414</v>
          </cell>
          <cell r="CH433">
            <v>18.555263085067214</v>
          </cell>
          <cell r="CI433">
            <v>14.926604548033502</v>
          </cell>
          <cell r="CJ433">
            <v>22.183921622100925</v>
          </cell>
          <cell r="CU433">
            <v>8.3379986262752102</v>
          </cell>
          <cell r="CV433">
            <v>13.67289934744978</v>
          </cell>
          <cell r="CW433">
            <v>11.062153668663059</v>
          </cell>
          <cell r="CX433">
            <v>8.6510321273089765</v>
          </cell>
          <cell r="CY433">
            <v>13.473275210017142</v>
          </cell>
        </row>
        <row r="434">
          <cell r="A434">
            <v>40144</v>
          </cell>
          <cell r="CF434">
            <v>14.565537622944241</v>
          </cell>
          <cell r="CG434">
            <v>22.085252262534414</v>
          </cell>
          <cell r="CH434">
            <v>18.555263085067214</v>
          </cell>
          <cell r="CI434">
            <v>14.926604548033502</v>
          </cell>
          <cell r="CJ434">
            <v>22.183921622100925</v>
          </cell>
          <cell r="CU434">
            <v>8.2828750495041508</v>
          </cell>
          <cell r="CV434">
            <v>13.67289934744978</v>
          </cell>
          <cell r="CW434">
            <v>11.062153668663059</v>
          </cell>
          <cell r="CX434">
            <v>8.6510321273089765</v>
          </cell>
          <cell r="CY434">
            <v>13.473275210017142</v>
          </cell>
        </row>
        <row r="435">
          <cell r="A435">
            <v>40147</v>
          </cell>
          <cell r="CF435">
            <v>14.377526641208064</v>
          </cell>
          <cell r="CG435">
            <v>22.085252262534414</v>
          </cell>
          <cell r="CH435">
            <v>18.555263085067214</v>
          </cell>
          <cell r="CI435">
            <v>14.926604548033502</v>
          </cell>
          <cell r="CJ435">
            <v>22.183921622100925</v>
          </cell>
          <cell r="CU435">
            <v>8.170788701835443</v>
          </cell>
          <cell r="CV435">
            <v>13.67289934744978</v>
          </cell>
          <cell r="CW435">
            <v>11.062153668663059</v>
          </cell>
          <cell r="CX435">
            <v>8.6510321273089765</v>
          </cell>
          <cell r="CY435">
            <v>13.473275210017142</v>
          </cell>
        </row>
        <row r="436">
          <cell r="A436">
            <v>40148</v>
          </cell>
          <cell r="CF436">
            <v>14.29511104854765</v>
          </cell>
          <cell r="CG436">
            <v>22.085252262534414</v>
          </cell>
          <cell r="CH436">
            <v>18.555263085067214</v>
          </cell>
          <cell r="CI436">
            <v>14.926604548033502</v>
          </cell>
          <cell r="CJ436">
            <v>22.183921622100925</v>
          </cell>
          <cell r="CU436">
            <v>8.1331749043324226</v>
          </cell>
          <cell r="CV436">
            <v>13.67289934744978</v>
          </cell>
          <cell r="CW436">
            <v>11.062153668663059</v>
          </cell>
          <cell r="CX436">
            <v>8.6510321273089765</v>
          </cell>
          <cell r="CY436">
            <v>13.473275210017142</v>
          </cell>
        </row>
        <row r="437">
          <cell r="A437">
            <v>40149</v>
          </cell>
          <cell r="CF437">
            <v>14.528503119397634</v>
          </cell>
          <cell r="CG437">
            <v>22.085252262534414</v>
          </cell>
          <cell r="CH437">
            <v>18.555263085067214</v>
          </cell>
          <cell r="CI437">
            <v>14.926604548033502</v>
          </cell>
          <cell r="CJ437">
            <v>22.183921622100925</v>
          </cell>
          <cell r="CU437">
            <v>8.2815731832381942</v>
          </cell>
          <cell r="CV437">
            <v>13.67289934744978</v>
          </cell>
          <cell r="CW437">
            <v>11.062153668663059</v>
          </cell>
          <cell r="CX437">
            <v>8.6510321273089765</v>
          </cell>
          <cell r="CY437">
            <v>13.473275210017142</v>
          </cell>
        </row>
        <row r="438">
          <cell r="A438">
            <v>40150</v>
          </cell>
          <cell r="CF438">
            <v>14.615935104091887</v>
          </cell>
          <cell r="CG438">
            <v>22.085252262534414</v>
          </cell>
          <cell r="CH438">
            <v>18.555263085067214</v>
          </cell>
          <cell r="CI438">
            <v>14.926604548033502</v>
          </cell>
          <cell r="CJ438">
            <v>22.183921622100925</v>
          </cell>
          <cell r="CU438">
            <v>8.1935242924158285</v>
          </cell>
          <cell r="CV438">
            <v>13.67289934744978</v>
          </cell>
          <cell r="CW438">
            <v>11.062153668663059</v>
          </cell>
          <cell r="CX438">
            <v>8.6510321273089765</v>
          </cell>
          <cell r="CY438">
            <v>13.473275210017142</v>
          </cell>
        </row>
        <row r="439">
          <cell r="A439">
            <v>40151</v>
          </cell>
          <cell r="CF439">
            <v>14.670494472361808</v>
          </cell>
          <cell r="CG439">
            <v>22.085252262534414</v>
          </cell>
          <cell r="CH439">
            <v>18.555263085067214</v>
          </cell>
          <cell r="CI439">
            <v>14.926604548033502</v>
          </cell>
          <cell r="CJ439">
            <v>22.183921622100925</v>
          </cell>
          <cell r="CU439">
            <v>8.222899110919867</v>
          </cell>
          <cell r="CV439">
            <v>13.67289934744978</v>
          </cell>
          <cell r="CW439">
            <v>11.062153668663059</v>
          </cell>
          <cell r="CX439">
            <v>8.6510321273089765</v>
          </cell>
          <cell r="CY439">
            <v>13.473275210017142</v>
          </cell>
        </row>
        <row r="440">
          <cell r="A440">
            <v>40154</v>
          </cell>
          <cell r="CF440">
            <v>14.679108686288586</v>
          </cell>
          <cell r="CG440">
            <v>22.085252262534414</v>
          </cell>
          <cell r="CH440">
            <v>18.555263085067214</v>
          </cell>
          <cell r="CI440">
            <v>14.926604548033502</v>
          </cell>
          <cell r="CJ440">
            <v>22.183921622100925</v>
          </cell>
          <cell r="CU440">
            <v>8.2275370123230189</v>
          </cell>
          <cell r="CV440">
            <v>13.67289934744978</v>
          </cell>
          <cell r="CW440">
            <v>11.062153668663059</v>
          </cell>
          <cell r="CX440">
            <v>8.6510321273089765</v>
          </cell>
          <cell r="CY440">
            <v>13.473275210017142</v>
          </cell>
        </row>
        <row r="441">
          <cell r="A441">
            <v>40155</v>
          </cell>
          <cell r="CF441">
            <v>14.532659296482413</v>
          </cell>
          <cell r="CG441">
            <v>22.085252262534414</v>
          </cell>
          <cell r="CH441">
            <v>18.555263085067214</v>
          </cell>
          <cell r="CI441">
            <v>14.926604548033502</v>
          </cell>
          <cell r="CJ441">
            <v>22.183921622100925</v>
          </cell>
          <cell r="CU441">
            <v>8.1486885142190673</v>
          </cell>
          <cell r="CV441">
            <v>13.67289934744978</v>
          </cell>
          <cell r="CW441">
            <v>11.062153668663059</v>
          </cell>
          <cell r="CX441">
            <v>8.6510321273089765</v>
          </cell>
          <cell r="CY441">
            <v>13.473275210017142</v>
          </cell>
        </row>
        <row r="442">
          <cell r="A442">
            <v>40156</v>
          </cell>
          <cell r="CF442">
            <v>14.455131945441492</v>
          </cell>
          <cell r="CG442">
            <v>22.085252262534414</v>
          </cell>
          <cell r="CH442">
            <v>18.555263085067214</v>
          </cell>
          <cell r="CI442">
            <v>14.926604548033502</v>
          </cell>
          <cell r="CJ442">
            <v>22.183921622100925</v>
          </cell>
          <cell r="CU442">
            <v>8.1069477107944543</v>
          </cell>
          <cell r="CV442">
            <v>13.67289934744978</v>
          </cell>
          <cell r="CW442">
            <v>11.062153668663059</v>
          </cell>
          <cell r="CX442">
            <v>8.6510321273089765</v>
          </cell>
          <cell r="CY442">
            <v>13.473275210017142</v>
          </cell>
        </row>
        <row r="443">
          <cell r="A443">
            <v>40157</v>
          </cell>
          <cell r="CF443">
            <v>14.595832591529074</v>
          </cell>
          <cell r="CG443">
            <v>22.085252262534414</v>
          </cell>
          <cell r="CH443">
            <v>18.555263085067214</v>
          </cell>
          <cell r="CI443">
            <v>14.926604548033502</v>
          </cell>
          <cell r="CJ443">
            <v>22.183921622100925</v>
          </cell>
          <cell r="CU443">
            <v>8.1827010795243904</v>
          </cell>
          <cell r="CV443">
            <v>13.67289934744978</v>
          </cell>
          <cell r="CW443">
            <v>11.062153668663059</v>
          </cell>
          <cell r="CX443">
            <v>8.6510321273089765</v>
          </cell>
          <cell r="CY443">
            <v>13.473275210017142</v>
          </cell>
        </row>
        <row r="444">
          <cell r="A444">
            <v>40158</v>
          </cell>
          <cell r="CF444">
            <v>14.478104522613064</v>
          </cell>
          <cell r="CG444">
            <v>22.085252262534414</v>
          </cell>
          <cell r="CH444">
            <v>18.555263085067214</v>
          </cell>
          <cell r="CI444">
            <v>14.926604548033502</v>
          </cell>
          <cell r="CJ444">
            <v>22.183921622100925</v>
          </cell>
          <cell r="CU444">
            <v>8.1193161693448985</v>
          </cell>
          <cell r="CV444">
            <v>13.67289934744978</v>
          </cell>
          <cell r="CW444">
            <v>11.062153668663059</v>
          </cell>
          <cell r="CX444">
            <v>8.6510321273089765</v>
          </cell>
          <cell r="CY444">
            <v>13.473275210017142</v>
          </cell>
        </row>
        <row r="445">
          <cell r="A445">
            <v>40161</v>
          </cell>
          <cell r="CF445">
            <v>14.707820818377602</v>
          </cell>
          <cell r="CG445">
            <v>22.085252262534414</v>
          </cell>
          <cell r="CH445">
            <v>18.555263085067214</v>
          </cell>
          <cell r="CI445">
            <v>14.926604548033502</v>
          </cell>
          <cell r="CJ445">
            <v>22.183921622100925</v>
          </cell>
          <cell r="CU445">
            <v>8.2429956529877373</v>
          </cell>
          <cell r="CV445">
            <v>13.67289934744978</v>
          </cell>
          <cell r="CW445">
            <v>11.062153668663059</v>
          </cell>
          <cell r="CX445">
            <v>8.6510321273089765</v>
          </cell>
          <cell r="CY445">
            <v>13.473275210017142</v>
          </cell>
        </row>
        <row r="446">
          <cell r="A446">
            <v>40162</v>
          </cell>
          <cell r="CF446">
            <v>14.691022947733352</v>
          </cell>
          <cell r="CG446">
            <v>22.085252262534414</v>
          </cell>
          <cell r="CH446">
            <v>18.555263085067214</v>
          </cell>
          <cell r="CI446">
            <v>14.926604548033502</v>
          </cell>
          <cell r="CJ446">
            <v>22.183921622100925</v>
          </cell>
          <cell r="CU446">
            <v>8.2383579061864545</v>
          </cell>
          <cell r="CV446">
            <v>13.67289934744978</v>
          </cell>
          <cell r="CW446">
            <v>11.062153668663059</v>
          </cell>
          <cell r="CX446">
            <v>8.6510321273089765</v>
          </cell>
          <cell r="CY446">
            <v>13.473275210017142</v>
          </cell>
        </row>
        <row r="447">
          <cell r="A447">
            <v>40163</v>
          </cell>
          <cell r="CF447">
            <v>14.802948823914317</v>
          </cell>
          <cell r="CG447">
            <v>22.085252262534414</v>
          </cell>
          <cell r="CH447">
            <v>18.555263085067214</v>
          </cell>
          <cell r="CI447">
            <v>14.926604548033502</v>
          </cell>
          <cell r="CJ447">
            <v>22.183921622100925</v>
          </cell>
          <cell r="CU447">
            <v>8.2986524796498031</v>
          </cell>
          <cell r="CV447">
            <v>13.67289934744978</v>
          </cell>
          <cell r="CW447">
            <v>11.062153668663059</v>
          </cell>
          <cell r="CX447">
            <v>8.6510321273089765</v>
          </cell>
          <cell r="CY447">
            <v>13.473275210017142</v>
          </cell>
        </row>
        <row r="448">
          <cell r="A448">
            <v>40164</v>
          </cell>
          <cell r="CF448">
            <v>14.713982734671854</v>
          </cell>
          <cell r="CG448">
            <v>22.085252262534414</v>
          </cell>
          <cell r="CH448">
            <v>18.555263085067214</v>
          </cell>
          <cell r="CI448">
            <v>14.926604548033502</v>
          </cell>
          <cell r="CJ448">
            <v>22.183921622100925</v>
          </cell>
          <cell r="CU448">
            <v>8.2507263647368987</v>
          </cell>
          <cell r="CV448">
            <v>13.67289934744978</v>
          </cell>
          <cell r="CW448">
            <v>11.062153668663059</v>
          </cell>
          <cell r="CX448">
            <v>8.6510321273089765</v>
          </cell>
          <cell r="CY448">
            <v>13.473275210017142</v>
          </cell>
        </row>
        <row r="449">
          <cell r="A449">
            <v>40165</v>
          </cell>
          <cell r="CF449">
            <v>14.808689775114509</v>
          </cell>
          <cell r="CG449">
            <v>22.085252262534414</v>
          </cell>
          <cell r="CH449">
            <v>18.555263085067214</v>
          </cell>
          <cell r="CI449">
            <v>14.926604548033502</v>
          </cell>
          <cell r="CJ449">
            <v>22.183921622100925</v>
          </cell>
          <cell r="CU449">
            <v>8.3017451353939471</v>
          </cell>
          <cell r="CV449">
            <v>13.67289934744978</v>
          </cell>
          <cell r="CW449">
            <v>11.062153668663059</v>
          </cell>
          <cell r="CX449">
            <v>8.6510321273089765</v>
          </cell>
          <cell r="CY449">
            <v>13.473275210017142</v>
          </cell>
        </row>
        <row r="450">
          <cell r="A450">
            <v>40168</v>
          </cell>
          <cell r="CF450">
            <v>14.923488422816865</v>
          </cell>
          <cell r="CG450">
            <v>22.085252262534414</v>
          </cell>
          <cell r="CH450">
            <v>18.555263085067214</v>
          </cell>
          <cell r="CI450">
            <v>14.926604548033502</v>
          </cell>
          <cell r="CJ450">
            <v>22.183921622100925</v>
          </cell>
          <cell r="CU450">
            <v>8.3635872735443026</v>
          </cell>
          <cell r="CV450">
            <v>13.67289934744978</v>
          </cell>
          <cell r="CW450">
            <v>11.062153668663059</v>
          </cell>
          <cell r="CX450">
            <v>8.6510321273089765</v>
          </cell>
          <cell r="CY450">
            <v>13.473275210017142</v>
          </cell>
        </row>
        <row r="451">
          <cell r="A451">
            <v>40169</v>
          </cell>
          <cell r="CF451">
            <v>15.087070806212761</v>
          </cell>
          <cell r="CG451">
            <v>22.085252262534414</v>
          </cell>
          <cell r="CH451">
            <v>18.555263085067214</v>
          </cell>
          <cell r="CI451">
            <v>14.926604548033502</v>
          </cell>
          <cell r="CJ451">
            <v>22.183921622100925</v>
          </cell>
          <cell r="CU451">
            <v>8.4517092554265467</v>
          </cell>
          <cell r="CV451">
            <v>13.67289934744978</v>
          </cell>
          <cell r="CW451">
            <v>11.062153668663059</v>
          </cell>
          <cell r="CX451">
            <v>8.6510321273089765</v>
          </cell>
          <cell r="CY451">
            <v>13.473275210017142</v>
          </cell>
        </row>
        <row r="452">
          <cell r="A452">
            <v>40170</v>
          </cell>
          <cell r="CF452">
            <v>15.193255731193533</v>
          </cell>
          <cell r="CG452">
            <v>22.085252262534414</v>
          </cell>
          <cell r="CH452">
            <v>18.555263085067214</v>
          </cell>
          <cell r="CI452">
            <v>14.926604548033502</v>
          </cell>
          <cell r="CJ452">
            <v>22.183921622100925</v>
          </cell>
          <cell r="CU452">
            <v>8.5089111731457496</v>
          </cell>
          <cell r="CV452">
            <v>13.67289934744978</v>
          </cell>
          <cell r="CW452">
            <v>11.062153668663059</v>
          </cell>
          <cell r="CX452">
            <v>8.6510321273089765</v>
          </cell>
          <cell r="CY452">
            <v>13.473275210017142</v>
          </cell>
        </row>
        <row r="453">
          <cell r="A453">
            <v>40171</v>
          </cell>
          <cell r="CF453">
            <v>15.213347051463076</v>
          </cell>
          <cell r="CG453">
            <v>22.085252262534414</v>
          </cell>
          <cell r="CH453">
            <v>18.555263085067214</v>
          </cell>
          <cell r="CI453">
            <v>14.926604548033502</v>
          </cell>
          <cell r="CJ453">
            <v>22.183921622100925</v>
          </cell>
          <cell r="CU453">
            <v>8.5197343860371912</v>
          </cell>
          <cell r="CV453">
            <v>13.67289934744978</v>
          </cell>
          <cell r="CW453">
            <v>11.062153668663059</v>
          </cell>
          <cell r="CX453">
            <v>8.6510321273089765</v>
          </cell>
          <cell r="CY453">
            <v>13.473275210017142</v>
          </cell>
        </row>
        <row r="454">
          <cell r="A454">
            <v>40172</v>
          </cell>
          <cell r="CF454">
            <v>15.213347051463076</v>
          </cell>
          <cell r="CG454">
            <v>22.085252262534414</v>
          </cell>
          <cell r="CH454">
            <v>18.555263085067214</v>
          </cell>
          <cell r="CI454">
            <v>14.926604548033502</v>
          </cell>
          <cell r="CJ454">
            <v>22.183921622100925</v>
          </cell>
          <cell r="CU454">
            <v>8.5197343860371912</v>
          </cell>
          <cell r="CV454">
            <v>13.67289934744978</v>
          </cell>
          <cell r="CW454">
            <v>11.062153668663059</v>
          </cell>
          <cell r="CX454">
            <v>8.6510321273089765</v>
          </cell>
          <cell r="CY454">
            <v>13.473275210017142</v>
          </cell>
        </row>
        <row r="455">
          <cell r="A455">
            <v>40175</v>
          </cell>
          <cell r="CF455">
            <v>15.242043484749342</v>
          </cell>
          <cell r="CG455">
            <v>22.085252262534414</v>
          </cell>
          <cell r="CH455">
            <v>18.555263085067214</v>
          </cell>
          <cell r="CI455">
            <v>14.926604548033502</v>
          </cell>
          <cell r="CJ455">
            <v>22.183921622100925</v>
          </cell>
          <cell r="CU455">
            <v>8.5351931813037769</v>
          </cell>
          <cell r="CV455">
            <v>13.67289934744978</v>
          </cell>
          <cell r="CW455">
            <v>11.062153668663059</v>
          </cell>
          <cell r="CX455">
            <v>8.6510321273089765</v>
          </cell>
          <cell r="CY455">
            <v>13.473275210017142</v>
          </cell>
        </row>
        <row r="456">
          <cell r="A456">
            <v>40176</v>
          </cell>
          <cell r="CF456">
            <v>15.267875756219077</v>
          </cell>
          <cell r="CG456">
            <v>22.085252262534414</v>
          </cell>
          <cell r="CH456">
            <v>18.555263085067214</v>
          </cell>
          <cell r="CI456">
            <v>14.926604548033502</v>
          </cell>
          <cell r="CJ456">
            <v>22.183921622100925</v>
          </cell>
          <cell r="CU456">
            <v>8.5491090499393625</v>
          </cell>
          <cell r="CV456">
            <v>13.67289934744978</v>
          </cell>
          <cell r="CW456">
            <v>11.062153668663059</v>
          </cell>
          <cell r="CX456">
            <v>8.6510321273089765</v>
          </cell>
          <cell r="CY456">
            <v>13.473275210017142</v>
          </cell>
        </row>
        <row r="457">
          <cell r="A457">
            <v>40177</v>
          </cell>
          <cell r="CF457">
            <v>15.282226125288425</v>
          </cell>
          <cell r="CG457">
            <v>22.085252262534414</v>
          </cell>
          <cell r="CH457">
            <v>18.555263085067214</v>
          </cell>
          <cell r="CI457">
            <v>14.926604548033502</v>
          </cell>
          <cell r="CJ457">
            <v>22.183921622100925</v>
          </cell>
          <cell r="CU457">
            <v>8.5568396070866566</v>
          </cell>
          <cell r="CV457">
            <v>13.67289934744978</v>
          </cell>
          <cell r="CW457">
            <v>11.062153668663059</v>
          </cell>
          <cell r="CX457">
            <v>8.6510321273089765</v>
          </cell>
          <cell r="CY457">
            <v>13.473275210017142</v>
          </cell>
        </row>
        <row r="458">
          <cell r="A458">
            <v>40178</v>
          </cell>
          <cell r="CF458">
            <v>15.095679937091756</v>
          </cell>
          <cell r="CG458">
            <v>22.085252262534414</v>
          </cell>
          <cell r="CH458">
            <v>18.555263085067214</v>
          </cell>
          <cell r="CI458">
            <v>14.926604548033502</v>
          </cell>
          <cell r="CJ458">
            <v>22.183921622100925</v>
          </cell>
          <cell r="CU458">
            <v>8.4563470022278313</v>
          </cell>
          <cell r="CV458">
            <v>13.67289934744978</v>
          </cell>
          <cell r="CW458">
            <v>11.062153668663059</v>
          </cell>
          <cell r="CX458">
            <v>8.6510321273089765</v>
          </cell>
          <cell r="CY458">
            <v>13.473275210017142</v>
          </cell>
        </row>
        <row r="459">
          <cell r="A459">
            <v>40179</v>
          </cell>
          <cell r="CF459">
            <v>14.950668753572218</v>
          </cell>
          <cell r="CG459">
            <v>22.085252262534414</v>
          </cell>
          <cell r="CH459">
            <v>18.555263085067214</v>
          </cell>
          <cell r="CI459">
            <v>14.926604548033502</v>
          </cell>
          <cell r="CJ459">
            <v>22.183921622100925</v>
          </cell>
          <cell r="CU459">
            <v>8.3962885295634653</v>
          </cell>
          <cell r="CV459">
            <v>13.67289934744978</v>
          </cell>
          <cell r="CW459">
            <v>11.062153668663059</v>
          </cell>
          <cell r="CX459">
            <v>8.6510321273089765</v>
          </cell>
          <cell r="CY459">
            <v>13.473275210017142</v>
          </cell>
        </row>
        <row r="460">
          <cell r="A460">
            <v>40182</v>
          </cell>
          <cell r="CF460">
            <v>15.190976299222799</v>
          </cell>
          <cell r="CG460">
            <v>22.085252262534414</v>
          </cell>
          <cell r="CH460">
            <v>18.555263085067214</v>
          </cell>
          <cell r="CI460">
            <v>14.926604548033502</v>
          </cell>
          <cell r="CJ460">
            <v>22.183921622100925</v>
          </cell>
          <cell r="CU460">
            <v>8.5265309918885563</v>
          </cell>
          <cell r="CV460">
            <v>13.67289934744978</v>
          </cell>
          <cell r="CW460">
            <v>11.062153668663059</v>
          </cell>
          <cell r="CX460">
            <v>8.6510321273089765</v>
          </cell>
          <cell r="CY460">
            <v>13.473275210017142</v>
          </cell>
        </row>
        <row r="461">
          <cell r="A461">
            <v>40183</v>
          </cell>
          <cell r="CF461">
            <v>15.148330676959182</v>
          </cell>
          <cell r="CG461">
            <v>22.085252262534414</v>
          </cell>
          <cell r="CH461">
            <v>18.555263085067214</v>
          </cell>
          <cell r="CI461">
            <v>14.926604548033502</v>
          </cell>
          <cell r="CJ461">
            <v>22.183921622100925</v>
          </cell>
          <cell r="CU461">
            <v>8.5034986791334415</v>
          </cell>
          <cell r="CV461">
            <v>13.67289934744978</v>
          </cell>
          <cell r="CW461">
            <v>11.062153668663059</v>
          </cell>
          <cell r="CX461">
            <v>8.6510321273089765</v>
          </cell>
          <cell r="CY461">
            <v>13.473275210017142</v>
          </cell>
        </row>
        <row r="462">
          <cell r="A462">
            <v>40184</v>
          </cell>
          <cell r="CF462">
            <v>15.196663746905783</v>
          </cell>
          <cell r="CG462">
            <v>22.085252262534414</v>
          </cell>
          <cell r="CH462">
            <v>18.555263085067214</v>
          </cell>
          <cell r="CI462">
            <v>14.926604548033502</v>
          </cell>
          <cell r="CJ462">
            <v>22.183921622100925</v>
          </cell>
          <cell r="CU462">
            <v>8.5296027039860611</v>
          </cell>
          <cell r="CV462">
            <v>13.67289934744978</v>
          </cell>
          <cell r="CW462">
            <v>11.062153668663059</v>
          </cell>
          <cell r="CX462">
            <v>8.6510321273089765</v>
          </cell>
          <cell r="CY462">
            <v>13.473275210017142</v>
          </cell>
        </row>
        <row r="463">
          <cell r="A463">
            <v>40185</v>
          </cell>
          <cell r="CF463">
            <v>15.2702686673404</v>
          </cell>
          <cell r="CG463">
            <v>22.085252262534414</v>
          </cell>
          <cell r="CH463">
            <v>18.555263085067214</v>
          </cell>
          <cell r="CI463">
            <v>14.926604548033502</v>
          </cell>
          <cell r="CJ463">
            <v>22.183921622100925</v>
          </cell>
          <cell r="CU463">
            <v>8.4134312093865216</v>
          </cell>
          <cell r="CV463">
            <v>13.67289934744978</v>
          </cell>
          <cell r="CW463">
            <v>11.062153668663059</v>
          </cell>
          <cell r="CX463">
            <v>8.6510321273089765</v>
          </cell>
          <cell r="CY463">
            <v>13.473275210017142</v>
          </cell>
        </row>
        <row r="464">
          <cell r="A464">
            <v>40186</v>
          </cell>
          <cell r="CF464">
            <v>15.361364189551427</v>
          </cell>
          <cell r="CG464">
            <v>22.085252262534414</v>
          </cell>
          <cell r="CH464">
            <v>18.555263085067214</v>
          </cell>
          <cell r="CI464">
            <v>14.926604548033502</v>
          </cell>
          <cell r="CJ464">
            <v>22.183921622100925</v>
          </cell>
          <cell r="CU464">
            <v>8.4617331010384369</v>
          </cell>
          <cell r="CV464">
            <v>13.67289934744978</v>
          </cell>
          <cell r="CW464">
            <v>11.062153668663059</v>
          </cell>
          <cell r="CX464">
            <v>8.6510321273089765</v>
          </cell>
          <cell r="CY464">
            <v>13.473275210017142</v>
          </cell>
        </row>
        <row r="465">
          <cell r="A465">
            <v>40189</v>
          </cell>
          <cell r="CF465">
            <v>15.868095415457418</v>
          </cell>
          <cell r="CG465">
            <v>22.085252262534414</v>
          </cell>
          <cell r="CH465">
            <v>18.555263085067214</v>
          </cell>
          <cell r="CI465">
            <v>14.926604548033502</v>
          </cell>
          <cell r="CJ465">
            <v>22.183921622100925</v>
          </cell>
          <cell r="CU465">
            <v>8.7304189395547684</v>
          </cell>
          <cell r="CV465">
            <v>13.67289934744978</v>
          </cell>
          <cell r="CW465">
            <v>11.062153668663059</v>
          </cell>
          <cell r="CX465">
            <v>8.6510321273089765</v>
          </cell>
          <cell r="CY465">
            <v>13.473275210017142</v>
          </cell>
        </row>
        <row r="466">
          <cell r="A466">
            <v>40190</v>
          </cell>
          <cell r="CF466">
            <v>15.646044813476491</v>
          </cell>
          <cell r="CG466">
            <v>22.085252262534414</v>
          </cell>
          <cell r="CH466">
            <v>18.555263085067214</v>
          </cell>
          <cell r="CI466">
            <v>14.926604548033502</v>
          </cell>
          <cell r="CJ466">
            <v>22.183921622100925</v>
          </cell>
          <cell r="CU466">
            <v>8.6126802861302991</v>
          </cell>
          <cell r="CV466">
            <v>13.67289934744978</v>
          </cell>
          <cell r="CW466">
            <v>11.062153668663059</v>
          </cell>
          <cell r="CX466">
            <v>8.6510321273089765</v>
          </cell>
          <cell r="CY466">
            <v>13.473275210017142</v>
          </cell>
        </row>
        <row r="467">
          <cell r="A467">
            <v>40191</v>
          </cell>
          <cell r="CF467">
            <v>16.058830864125962</v>
          </cell>
          <cell r="CG467">
            <v>22.085252262534414</v>
          </cell>
          <cell r="CH467">
            <v>18.555263085067214</v>
          </cell>
          <cell r="CI467">
            <v>14.926604548033502</v>
          </cell>
          <cell r="CJ467">
            <v>22.183921622100925</v>
          </cell>
          <cell r="CU467">
            <v>8.831553251671945</v>
          </cell>
          <cell r="CV467">
            <v>13.67289934744978</v>
          </cell>
          <cell r="CW467">
            <v>11.062153668663059</v>
          </cell>
          <cell r="CX467">
            <v>8.6510321273089765</v>
          </cell>
          <cell r="CY467">
            <v>13.473275210017142</v>
          </cell>
        </row>
        <row r="468">
          <cell r="A468">
            <v>40192</v>
          </cell>
          <cell r="CF468">
            <v>15.981970227153058</v>
          </cell>
          <cell r="CG468">
            <v>22.085252262534414</v>
          </cell>
          <cell r="CH468">
            <v>18.555263085067214</v>
          </cell>
          <cell r="CI468">
            <v>14.926604548033502</v>
          </cell>
          <cell r="CJ468">
            <v>22.183921622100925</v>
          </cell>
          <cell r="CU468">
            <v>8.7907991721161771</v>
          </cell>
          <cell r="CV468">
            <v>13.67289934744978</v>
          </cell>
          <cell r="CW468">
            <v>11.062153668663059</v>
          </cell>
          <cell r="CX468">
            <v>8.6510321273089765</v>
          </cell>
          <cell r="CY468">
            <v>13.473275210017142</v>
          </cell>
        </row>
        <row r="469">
          <cell r="A469">
            <v>40193</v>
          </cell>
          <cell r="CF469">
            <v>15.828240128107909</v>
          </cell>
          <cell r="CG469">
            <v>22.085252262534414</v>
          </cell>
          <cell r="CH469">
            <v>18.555263085067214</v>
          </cell>
          <cell r="CI469">
            <v>14.926604548033502</v>
          </cell>
          <cell r="CJ469">
            <v>22.183921622100925</v>
          </cell>
          <cell r="CU469">
            <v>8.7092863336419075</v>
          </cell>
          <cell r="CV469">
            <v>13.67289934744978</v>
          </cell>
          <cell r="CW469">
            <v>11.062153668663059</v>
          </cell>
          <cell r="CX469">
            <v>8.6510321273089765</v>
          </cell>
          <cell r="CY469">
            <v>13.473275210017142</v>
          </cell>
        </row>
        <row r="470">
          <cell r="A470">
            <v>40196</v>
          </cell>
          <cell r="CF470">
            <v>15.828240128107909</v>
          </cell>
          <cell r="CG470">
            <v>22.085252262534414</v>
          </cell>
          <cell r="CH470">
            <v>18.555263085067214</v>
          </cell>
          <cell r="CI470">
            <v>14.926604548033502</v>
          </cell>
          <cell r="CJ470">
            <v>22.183921622100925</v>
          </cell>
          <cell r="CU470">
            <v>8.7092863336419075</v>
          </cell>
          <cell r="CV470">
            <v>13.67289934744978</v>
          </cell>
          <cell r="CW470">
            <v>11.062153668663059</v>
          </cell>
          <cell r="CX470">
            <v>8.6510321273089765</v>
          </cell>
          <cell r="CY470">
            <v>13.473275210017142</v>
          </cell>
        </row>
        <row r="471">
          <cell r="A471">
            <v>40197</v>
          </cell>
          <cell r="CF471">
            <v>15.979120574107567</v>
          </cell>
          <cell r="CG471">
            <v>22.085252262534414</v>
          </cell>
          <cell r="CH471">
            <v>18.555263085067214</v>
          </cell>
          <cell r="CI471">
            <v>14.926604548033502</v>
          </cell>
          <cell r="CJ471">
            <v>22.183921622100925</v>
          </cell>
          <cell r="CU471">
            <v>8.7892881907934086</v>
          </cell>
          <cell r="CV471">
            <v>13.67289934744978</v>
          </cell>
          <cell r="CW471">
            <v>11.062153668663059</v>
          </cell>
          <cell r="CX471">
            <v>8.6510321273089765</v>
          </cell>
          <cell r="CY471">
            <v>13.473275210017142</v>
          </cell>
        </row>
        <row r="472">
          <cell r="A472">
            <v>40198</v>
          </cell>
          <cell r="CF472">
            <v>15.859555281420288</v>
          </cell>
          <cell r="CG472">
            <v>22.085252262534414</v>
          </cell>
          <cell r="CH472">
            <v>18.555263085067214</v>
          </cell>
          <cell r="CI472">
            <v>14.926604548033502</v>
          </cell>
          <cell r="CJ472">
            <v>22.183921622100925</v>
          </cell>
          <cell r="CU472">
            <v>8.7258906749491967</v>
          </cell>
          <cell r="CV472">
            <v>13.67289934744978</v>
          </cell>
          <cell r="CW472">
            <v>11.062153668663059</v>
          </cell>
          <cell r="CX472">
            <v>8.6510321273089765</v>
          </cell>
          <cell r="CY472">
            <v>13.473275210017142</v>
          </cell>
        </row>
        <row r="473">
          <cell r="A473">
            <v>40199</v>
          </cell>
          <cell r="CF473">
            <v>15.8253950299524</v>
          </cell>
          <cell r="CG473">
            <v>22.085252262534414</v>
          </cell>
          <cell r="CH473">
            <v>18.555263085067214</v>
          </cell>
          <cell r="CI473">
            <v>14.926604548033502</v>
          </cell>
          <cell r="CJ473">
            <v>22.183921622100925</v>
          </cell>
          <cell r="CU473">
            <v>8.7077777674740968</v>
          </cell>
          <cell r="CV473">
            <v>13.67289934744978</v>
          </cell>
          <cell r="CW473">
            <v>11.062153668663059</v>
          </cell>
          <cell r="CX473">
            <v>8.6510321273089765</v>
          </cell>
          <cell r="CY473">
            <v>13.473275210017142</v>
          </cell>
        </row>
        <row r="474">
          <cell r="A474">
            <v>40200</v>
          </cell>
          <cell r="CF474">
            <v>15.535019654826339</v>
          </cell>
          <cell r="CG474">
            <v>22.085252262534414</v>
          </cell>
          <cell r="CH474">
            <v>18.555263085067214</v>
          </cell>
          <cell r="CI474">
            <v>14.926604548033502</v>
          </cell>
          <cell r="CJ474">
            <v>22.183921622100925</v>
          </cell>
          <cell r="CU474">
            <v>8.5538110348916589</v>
          </cell>
          <cell r="CV474">
            <v>13.67289934744978</v>
          </cell>
          <cell r="CW474">
            <v>11.062153668663059</v>
          </cell>
          <cell r="CX474">
            <v>8.6510321273089765</v>
          </cell>
          <cell r="CY474">
            <v>13.473275210017142</v>
          </cell>
        </row>
        <row r="475">
          <cell r="A475">
            <v>40203</v>
          </cell>
          <cell r="CF475">
            <v>15.631638268477159</v>
          </cell>
          <cell r="CG475">
            <v>22.085252262534414</v>
          </cell>
          <cell r="CH475">
            <v>18.555263085067214</v>
          </cell>
          <cell r="CI475">
            <v>14.926604548033502</v>
          </cell>
          <cell r="CJ475">
            <v>22.183921622100925</v>
          </cell>
          <cell r="CU475">
            <v>8.5176898745942502</v>
          </cell>
          <cell r="CV475">
            <v>13.67289934744978</v>
          </cell>
          <cell r="CW475">
            <v>11.062153668663059</v>
          </cell>
          <cell r="CX475">
            <v>8.6510321273089765</v>
          </cell>
          <cell r="CY475">
            <v>13.473275210017142</v>
          </cell>
        </row>
        <row r="476">
          <cell r="A476">
            <v>40204</v>
          </cell>
          <cell r="CF476">
            <v>15.526289841642262</v>
          </cell>
          <cell r="CG476">
            <v>22.085252262534414</v>
          </cell>
          <cell r="CH476">
            <v>18.555263085067214</v>
          </cell>
          <cell r="CI476">
            <v>14.926604548033502</v>
          </cell>
          <cell r="CJ476">
            <v>22.183921622100925</v>
          </cell>
          <cell r="CU476">
            <v>8.4623980034531634</v>
          </cell>
          <cell r="CV476">
            <v>13.67289934744978</v>
          </cell>
          <cell r="CW476">
            <v>11.062153668663059</v>
          </cell>
          <cell r="CX476">
            <v>8.6510321273089765</v>
          </cell>
          <cell r="CY476">
            <v>13.473275210017142</v>
          </cell>
        </row>
        <row r="477">
          <cell r="A477">
            <v>40205</v>
          </cell>
          <cell r="CF477">
            <v>15.352604953010562</v>
          </cell>
          <cell r="CG477">
            <v>22.085252262534414</v>
          </cell>
          <cell r="CH477">
            <v>18.555263085067214</v>
          </cell>
          <cell r="CI477">
            <v>14.926604548033502</v>
          </cell>
          <cell r="CJ477">
            <v>22.183921622100925</v>
          </cell>
          <cell r="CU477">
            <v>8.3712399029489308</v>
          </cell>
          <cell r="CV477">
            <v>13.67289934744978</v>
          </cell>
          <cell r="CW477">
            <v>11.062153668663059</v>
          </cell>
          <cell r="CX477">
            <v>8.6510321273089765</v>
          </cell>
          <cell r="CY477">
            <v>13.473275210017142</v>
          </cell>
        </row>
        <row r="478">
          <cell r="A478">
            <v>40206</v>
          </cell>
          <cell r="CF478">
            <v>15.184611234139469</v>
          </cell>
          <cell r="CG478">
            <v>22.085252262534414</v>
          </cell>
          <cell r="CH478">
            <v>18.555263085067214</v>
          </cell>
          <cell r="CI478">
            <v>14.926604548033502</v>
          </cell>
          <cell r="CJ478">
            <v>22.183921622100925</v>
          </cell>
          <cell r="CU478">
            <v>8.2830687993510601</v>
          </cell>
          <cell r="CV478">
            <v>13.67289934744978</v>
          </cell>
          <cell r="CW478">
            <v>11.062153668663059</v>
          </cell>
          <cell r="CX478">
            <v>8.6510321273089765</v>
          </cell>
          <cell r="CY478">
            <v>13.473275210017142</v>
          </cell>
        </row>
        <row r="479">
          <cell r="A479">
            <v>40207</v>
          </cell>
          <cell r="CF479">
            <v>15.380704681157793</v>
          </cell>
          <cell r="CG479">
            <v>22.085252262534414</v>
          </cell>
          <cell r="CH479">
            <v>18.555263085067214</v>
          </cell>
          <cell r="CI479">
            <v>14.926604548033502</v>
          </cell>
          <cell r="CJ479">
            <v>22.183921622100925</v>
          </cell>
          <cell r="CU479">
            <v>8.3906653952873658</v>
          </cell>
          <cell r="CV479">
            <v>13.67289934744978</v>
          </cell>
          <cell r="CW479">
            <v>11.062153668663059</v>
          </cell>
          <cell r="CX479">
            <v>8.6510321273089765</v>
          </cell>
          <cell r="CY479">
            <v>13.473275210017142</v>
          </cell>
        </row>
        <row r="480">
          <cell r="A480">
            <v>40210</v>
          </cell>
          <cell r="CF480">
            <v>15.465824494141335</v>
          </cell>
          <cell r="CG480">
            <v>22.085252262534414</v>
          </cell>
          <cell r="CH480">
            <v>18.555263085067214</v>
          </cell>
          <cell r="CI480">
            <v>14.926604548033502</v>
          </cell>
          <cell r="CJ480">
            <v>22.183921622100925</v>
          </cell>
          <cell r="CU480">
            <v>8.4363190222083269</v>
          </cell>
          <cell r="CV480">
            <v>13.67289934744978</v>
          </cell>
          <cell r="CW480">
            <v>11.062153668663059</v>
          </cell>
          <cell r="CX480">
            <v>8.6510321273089765</v>
          </cell>
          <cell r="CY480">
            <v>13.473275210017142</v>
          </cell>
        </row>
        <row r="481">
          <cell r="A481">
            <v>40211</v>
          </cell>
          <cell r="CF481">
            <v>15.747738975383481</v>
          </cell>
          <cell r="CG481">
            <v>22.085252262534414</v>
          </cell>
          <cell r="CH481">
            <v>18.555263085067214</v>
          </cell>
          <cell r="CI481">
            <v>14.926604548033502</v>
          </cell>
          <cell r="CJ481">
            <v>22.183921622100925</v>
          </cell>
          <cell r="CU481">
            <v>8.584434877883103</v>
          </cell>
          <cell r="CV481">
            <v>13.67289934744978</v>
          </cell>
          <cell r="CW481">
            <v>11.062153668663059</v>
          </cell>
          <cell r="CX481">
            <v>8.6510321273089765</v>
          </cell>
          <cell r="CY481">
            <v>13.473275210017142</v>
          </cell>
        </row>
        <row r="482">
          <cell r="A482">
            <v>40212</v>
          </cell>
          <cell r="CF482">
            <v>15.572953406585759</v>
          </cell>
          <cell r="CG482">
            <v>22.085252262534414</v>
          </cell>
          <cell r="CH482">
            <v>18.555263085067214</v>
          </cell>
          <cell r="CI482">
            <v>14.926604548033502</v>
          </cell>
          <cell r="CJ482">
            <v>22.183921622100925</v>
          </cell>
          <cell r="CU482">
            <v>8.4926037879440202</v>
          </cell>
          <cell r="CV482">
            <v>13.67289934744978</v>
          </cell>
          <cell r="CW482">
            <v>11.062153668663059</v>
          </cell>
          <cell r="CX482">
            <v>8.6510321273089765</v>
          </cell>
          <cell r="CY482">
            <v>13.473275210017142</v>
          </cell>
        </row>
        <row r="483">
          <cell r="A483">
            <v>40213</v>
          </cell>
          <cell r="CF483">
            <v>15.176050671483379</v>
          </cell>
          <cell r="CG483">
            <v>22.085252262534414</v>
          </cell>
          <cell r="CH483">
            <v>18.555263085067214</v>
          </cell>
          <cell r="CI483">
            <v>14.926604548033502</v>
          </cell>
          <cell r="CJ483">
            <v>22.183921622100925</v>
          </cell>
          <cell r="CU483">
            <v>8.2778362415631612</v>
          </cell>
          <cell r="CV483">
            <v>13.67289934744978</v>
          </cell>
          <cell r="CW483">
            <v>11.062153668663059</v>
          </cell>
          <cell r="CX483">
            <v>8.6510321273089765</v>
          </cell>
          <cell r="CY483">
            <v>13.473275210017142</v>
          </cell>
        </row>
        <row r="484">
          <cell r="A484">
            <v>40214</v>
          </cell>
          <cell r="CF484">
            <v>15.255048245120673</v>
          </cell>
          <cell r="CG484">
            <v>22.085252262534414</v>
          </cell>
          <cell r="CH484">
            <v>18.555263085067214</v>
          </cell>
          <cell r="CI484">
            <v>14.926604548033502</v>
          </cell>
          <cell r="CJ484">
            <v>22.183921622100925</v>
          </cell>
          <cell r="CU484">
            <v>8.319308533036244</v>
          </cell>
          <cell r="CV484">
            <v>13.67289934744978</v>
          </cell>
          <cell r="CW484">
            <v>11.062153668663059</v>
          </cell>
          <cell r="CX484">
            <v>8.6510321273089765</v>
          </cell>
          <cell r="CY484">
            <v>13.473275210017142</v>
          </cell>
        </row>
        <row r="485">
          <cell r="A485">
            <v>40217</v>
          </cell>
          <cell r="CF485">
            <v>15.195797878344909</v>
          </cell>
          <cell r="CG485">
            <v>22.085252262534414</v>
          </cell>
          <cell r="CH485">
            <v>18.555263085067214</v>
          </cell>
          <cell r="CI485">
            <v>14.926604548033502</v>
          </cell>
          <cell r="CJ485">
            <v>22.183921622100925</v>
          </cell>
          <cell r="CU485">
            <v>8.2882031665335507</v>
          </cell>
          <cell r="CV485">
            <v>13.67289934744978</v>
          </cell>
          <cell r="CW485">
            <v>11.062153668663059</v>
          </cell>
          <cell r="CX485">
            <v>8.6510321273089765</v>
          </cell>
          <cell r="CY485">
            <v>13.473275210017142</v>
          </cell>
        </row>
        <row r="486">
          <cell r="A486">
            <v>40218</v>
          </cell>
          <cell r="CF486">
            <v>15.492040683897361</v>
          </cell>
          <cell r="CG486">
            <v>22.085252262534414</v>
          </cell>
          <cell r="CH486">
            <v>18.555263085067214</v>
          </cell>
          <cell r="CI486">
            <v>14.926604548033502</v>
          </cell>
          <cell r="CJ486">
            <v>22.183921622100925</v>
          </cell>
          <cell r="CU486">
            <v>8.443725259339633</v>
          </cell>
          <cell r="CV486">
            <v>13.67289934744978</v>
          </cell>
          <cell r="CW486">
            <v>11.062153668663059</v>
          </cell>
          <cell r="CX486">
            <v>8.6510321273089765</v>
          </cell>
          <cell r="CY486">
            <v>13.473275210017142</v>
          </cell>
        </row>
        <row r="487">
          <cell r="A487">
            <v>40219</v>
          </cell>
          <cell r="CF487">
            <v>15.517435955311425</v>
          </cell>
          <cell r="CG487">
            <v>22.085252262534414</v>
          </cell>
          <cell r="CH487">
            <v>18.555263085067214</v>
          </cell>
          <cell r="CI487">
            <v>14.926604548033502</v>
          </cell>
          <cell r="CJ487">
            <v>22.183921622100925</v>
          </cell>
          <cell r="CU487">
            <v>8.457057315624775</v>
          </cell>
          <cell r="CV487">
            <v>13.67289934744978</v>
          </cell>
          <cell r="CW487">
            <v>11.062153668663059</v>
          </cell>
          <cell r="CX487">
            <v>8.6510321273089765</v>
          </cell>
          <cell r="CY487">
            <v>13.473275210017142</v>
          </cell>
        </row>
        <row r="488">
          <cell r="A488">
            <v>40220</v>
          </cell>
          <cell r="CF488">
            <v>15.762892450063736</v>
          </cell>
          <cell r="CG488">
            <v>22.085252262534414</v>
          </cell>
          <cell r="CH488">
            <v>18.555263085067214</v>
          </cell>
          <cell r="CI488">
            <v>14.926604548033502</v>
          </cell>
          <cell r="CJ488">
            <v>22.183921622100925</v>
          </cell>
          <cell r="CU488">
            <v>8.5859175175984088</v>
          </cell>
          <cell r="CV488">
            <v>13.67289934744978</v>
          </cell>
          <cell r="CW488">
            <v>11.062153668663059</v>
          </cell>
          <cell r="CX488">
            <v>8.6510321273089765</v>
          </cell>
          <cell r="CY488">
            <v>13.473275210017142</v>
          </cell>
        </row>
        <row r="489">
          <cell r="A489">
            <v>40221</v>
          </cell>
          <cell r="CF489">
            <v>15.847533856225578</v>
          </cell>
          <cell r="CG489">
            <v>22.085252262534414</v>
          </cell>
          <cell r="CH489">
            <v>18.555263085067214</v>
          </cell>
          <cell r="CI489">
            <v>14.926604548033502</v>
          </cell>
          <cell r="CJ489">
            <v>22.183921622100925</v>
          </cell>
          <cell r="CU489">
            <v>8.6487999666331294</v>
          </cell>
          <cell r="CV489">
            <v>13.67289934744978</v>
          </cell>
          <cell r="CW489">
            <v>11.062153668663059</v>
          </cell>
          <cell r="CX489">
            <v>8.6510321273089765</v>
          </cell>
          <cell r="CY489">
            <v>13.473275210017142</v>
          </cell>
        </row>
        <row r="490">
          <cell r="A490">
            <v>40224</v>
          </cell>
          <cell r="CF490">
            <v>15.847533856225578</v>
          </cell>
          <cell r="CG490">
            <v>22.085252262534414</v>
          </cell>
          <cell r="CH490">
            <v>18.555263085067214</v>
          </cell>
          <cell r="CI490">
            <v>14.926604548033502</v>
          </cell>
          <cell r="CJ490">
            <v>22.183921622100925</v>
          </cell>
          <cell r="CU490">
            <v>8.6487999666331294</v>
          </cell>
          <cell r="CV490">
            <v>13.67289934744978</v>
          </cell>
          <cell r="CW490">
            <v>11.062153668663059</v>
          </cell>
          <cell r="CX490">
            <v>8.6510321273089765</v>
          </cell>
          <cell r="CY490">
            <v>13.473275210017142</v>
          </cell>
        </row>
        <row r="491">
          <cell r="A491">
            <v>40225</v>
          </cell>
          <cell r="CF491">
            <v>16.005528721364971</v>
          </cell>
          <cell r="CG491">
            <v>22.085252262534414</v>
          </cell>
          <cell r="CH491">
            <v>18.555263085067214</v>
          </cell>
          <cell r="CI491">
            <v>14.926604548033502</v>
          </cell>
          <cell r="CJ491">
            <v>22.183921622100925</v>
          </cell>
          <cell r="CU491">
            <v>8.734461397769012</v>
          </cell>
          <cell r="CV491">
            <v>13.67289934744978</v>
          </cell>
          <cell r="CW491">
            <v>11.062153668663059</v>
          </cell>
          <cell r="CX491">
            <v>8.6510321273089765</v>
          </cell>
          <cell r="CY491">
            <v>13.473275210017142</v>
          </cell>
        </row>
        <row r="492">
          <cell r="A492">
            <v>40226</v>
          </cell>
          <cell r="CF492">
            <v>16.095809728023369</v>
          </cell>
          <cell r="CG492">
            <v>22.085252262534414</v>
          </cell>
          <cell r="CH492">
            <v>18.555263085067214</v>
          </cell>
          <cell r="CI492">
            <v>14.926604548033502</v>
          </cell>
          <cell r="CJ492">
            <v>22.183921622100925</v>
          </cell>
          <cell r="CU492">
            <v>8.7819761576096749</v>
          </cell>
          <cell r="CV492">
            <v>13.67289934744978</v>
          </cell>
          <cell r="CW492">
            <v>11.062153668663059</v>
          </cell>
          <cell r="CX492">
            <v>8.6510321273089765</v>
          </cell>
          <cell r="CY492">
            <v>13.473275210017142</v>
          </cell>
        </row>
        <row r="493">
          <cell r="A493">
            <v>40227</v>
          </cell>
          <cell r="CF493">
            <v>16.109917334388342</v>
          </cell>
          <cell r="CG493">
            <v>22.085252262534414</v>
          </cell>
          <cell r="CH493">
            <v>18.555263085067214</v>
          </cell>
          <cell r="CI493">
            <v>14.926604548033502</v>
          </cell>
          <cell r="CJ493">
            <v>22.183921622100925</v>
          </cell>
          <cell r="CU493">
            <v>8.7894009699059605</v>
          </cell>
          <cell r="CV493">
            <v>13.67289934744978</v>
          </cell>
          <cell r="CW493">
            <v>11.062153668663059</v>
          </cell>
          <cell r="CX493">
            <v>8.6510321273089765</v>
          </cell>
          <cell r="CY493">
            <v>13.473275210017142</v>
          </cell>
        </row>
        <row r="494">
          <cell r="A494">
            <v>40228</v>
          </cell>
          <cell r="CF494">
            <v>16.143772147614843</v>
          </cell>
          <cell r="CG494">
            <v>22.085252262534414</v>
          </cell>
          <cell r="CH494">
            <v>18.555263085067214</v>
          </cell>
          <cell r="CI494">
            <v>14.926604548033502</v>
          </cell>
          <cell r="CJ494">
            <v>22.183921622100925</v>
          </cell>
          <cell r="CU494">
            <v>8.8072187078715345</v>
          </cell>
          <cell r="CV494">
            <v>13.67289934744978</v>
          </cell>
          <cell r="CW494">
            <v>11.062153668663059</v>
          </cell>
          <cell r="CX494">
            <v>8.6510321273089765</v>
          </cell>
          <cell r="CY494">
            <v>13.473275210017142</v>
          </cell>
        </row>
        <row r="495">
          <cell r="A495">
            <v>40231</v>
          </cell>
          <cell r="CF495">
            <v>16.147788809791674</v>
          </cell>
          <cell r="CG495">
            <v>22.085252262534414</v>
          </cell>
          <cell r="CH495">
            <v>18.555263085067214</v>
          </cell>
          <cell r="CI495">
            <v>14.926604548033502</v>
          </cell>
          <cell r="CJ495">
            <v>22.183921622100925</v>
          </cell>
          <cell r="CU495">
            <v>8.7567238576644293</v>
          </cell>
          <cell r="CV495">
            <v>13.67289934744978</v>
          </cell>
          <cell r="CW495">
            <v>11.062153668663059</v>
          </cell>
          <cell r="CX495">
            <v>8.6510321273089765</v>
          </cell>
          <cell r="CY495">
            <v>13.473275210017142</v>
          </cell>
        </row>
        <row r="496">
          <cell r="A496">
            <v>40232</v>
          </cell>
          <cell r="CF496">
            <v>16.152184434781237</v>
          </cell>
          <cell r="CG496">
            <v>22.085252262534414</v>
          </cell>
          <cell r="CH496">
            <v>18.555263085067214</v>
          </cell>
          <cell r="CI496">
            <v>14.926604548033502</v>
          </cell>
          <cell r="CJ496">
            <v>22.183921622100925</v>
          </cell>
          <cell r="CU496">
            <v>8.3854165820113948</v>
          </cell>
          <cell r="CV496">
            <v>13.67289934744978</v>
          </cell>
          <cell r="CW496">
            <v>11.062153668663059</v>
          </cell>
          <cell r="CX496">
            <v>8.6510321273089765</v>
          </cell>
          <cell r="CY496">
            <v>13.473275210017142</v>
          </cell>
        </row>
        <row r="497">
          <cell r="A497">
            <v>40233</v>
          </cell>
          <cell r="CF497">
            <v>16.152184434781237</v>
          </cell>
          <cell r="CG497">
            <v>22.085252262534414</v>
          </cell>
          <cell r="CH497">
            <v>18.555263085067214</v>
          </cell>
          <cell r="CI497">
            <v>14.926604548033502</v>
          </cell>
          <cell r="CJ497">
            <v>22.183921622100925</v>
          </cell>
          <cell r="CU497">
            <v>8.3630249283139442</v>
          </cell>
          <cell r="CV497">
            <v>13.67289934744978</v>
          </cell>
          <cell r="CW497">
            <v>11.062153668663059</v>
          </cell>
          <cell r="CX497">
            <v>8.6510321273089765</v>
          </cell>
          <cell r="CY497">
            <v>13.473275210017142</v>
          </cell>
        </row>
        <row r="498">
          <cell r="A498">
            <v>40234</v>
          </cell>
          <cell r="CF498">
            <v>16.062127813440664</v>
          </cell>
          <cell r="CG498">
            <v>22.085252262534414</v>
          </cell>
          <cell r="CH498">
            <v>18.555263085067214</v>
          </cell>
          <cell r="CI498">
            <v>14.926604548033502</v>
          </cell>
          <cell r="CJ498">
            <v>22.183921622100925</v>
          </cell>
          <cell r="CU498">
            <v>8.2771454415755716</v>
          </cell>
          <cell r="CV498">
            <v>13.67289934744978</v>
          </cell>
          <cell r="CW498">
            <v>11.062153668663059</v>
          </cell>
          <cell r="CX498">
            <v>8.6510321273089765</v>
          </cell>
          <cell r="CY498">
            <v>13.473275210017142</v>
          </cell>
        </row>
        <row r="499">
          <cell r="A499">
            <v>40235</v>
          </cell>
          <cell r="CF499">
            <v>16.053653527634907</v>
          </cell>
          <cell r="CG499">
            <v>22.085252262534414</v>
          </cell>
          <cell r="CH499">
            <v>18.555263085067214</v>
          </cell>
          <cell r="CI499">
            <v>14.926604548033502</v>
          </cell>
          <cell r="CJ499">
            <v>22.183921622100925</v>
          </cell>
          <cell r="CU499">
            <v>8.2727521682037644</v>
          </cell>
          <cell r="CV499">
            <v>13.67289934744978</v>
          </cell>
          <cell r="CW499">
            <v>11.062153668663059</v>
          </cell>
          <cell r="CX499">
            <v>8.6510321273089765</v>
          </cell>
          <cell r="CY499">
            <v>13.473275210017142</v>
          </cell>
        </row>
        <row r="500">
          <cell r="A500">
            <v>40238</v>
          </cell>
          <cell r="CF500">
            <v>15.906923943709231</v>
          </cell>
          <cell r="CG500">
            <v>22.085252262534414</v>
          </cell>
          <cell r="CH500">
            <v>18.555263085067214</v>
          </cell>
          <cell r="CI500">
            <v>14.926604548033502</v>
          </cell>
          <cell r="CJ500">
            <v>22.183921622100925</v>
          </cell>
          <cell r="CU500">
            <v>8.2131333008480727</v>
          </cell>
          <cell r="CV500">
            <v>13.67289934744978</v>
          </cell>
          <cell r="CW500">
            <v>11.062153668663059</v>
          </cell>
          <cell r="CX500">
            <v>8.6510321273089765</v>
          </cell>
          <cell r="CY500">
            <v>13.473275210017142</v>
          </cell>
        </row>
        <row r="501">
          <cell r="A501">
            <v>40239</v>
          </cell>
          <cell r="CF501">
            <v>15.918172692796935</v>
          </cell>
          <cell r="CG501">
            <v>22.085252262534414</v>
          </cell>
          <cell r="CH501">
            <v>18.555263085067214</v>
          </cell>
          <cell r="CI501">
            <v>14.926604548033502</v>
          </cell>
          <cell r="CJ501">
            <v>22.183921622100925</v>
          </cell>
          <cell r="CU501">
            <v>8.2247502783650326</v>
          </cell>
          <cell r="CV501">
            <v>13.67289934744978</v>
          </cell>
          <cell r="CW501">
            <v>11.062153668663059</v>
          </cell>
          <cell r="CX501">
            <v>8.6510321273089765</v>
          </cell>
          <cell r="CY501">
            <v>13.473275210017142</v>
          </cell>
        </row>
        <row r="502">
          <cell r="A502">
            <v>40240</v>
          </cell>
          <cell r="CF502">
            <v>15.803616586253844</v>
          </cell>
          <cell r="CG502">
            <v>22.085252262534414</v>
          </cell>
          <cell r="CH502">
            <v>18.555263085067214</v>
          </cell>
          <cell r="CI502">
            <v>14.926604548033502</v>
          </cell>
          <cell r="CJ502">
            <v>22.183921622100925</v>
          </cell>
          <cell r="CU502">
            <v>8.165204590641892</v>
          </cell>
          <cell r="CV502">
            <v>13.67289934744978</v>
          </cell>
          <cell r="CW502">
            <v>11.062153668663059</v>
          </cell>
          <cell r="CX502">
            <v>8.6510321273089765</v>
          </cell>
          <cell r="CY502">
            <v>13.473275210017142</v>
          </cell>
        </row>
        <row r="503">
          <cell r="A503">
            <v>40241</v>
          </cell>
          <cell r="CF503">
            <v>15.744937834029889</v>
          </cell>
          <cell r="CG503">
            <v>22.085252262534414</v>
          </cell>
          <cell r="CH503">
            <v>18.555263085067214</v>
          </cell>
          <cell r="CI503">
            <v>14.926604548033502</v>
          </cell>
          <cell r="CJ503">
            <v>22.183921622100925</v>
          </cell>
          <cell r="CU503">
            <v>8.134703670513316</v>
          </cell>
          <cell r="CV503">
            <v>13.67289934744978</v>
          </cell>
          <cell r="CW503">
            <v>11.062153668663059</v>
          </cell>
          <cell r="CX503">
            <v>8.6510321273089765</v>
          </cell>
          <cell r="CY503">
            <v>13.473275210017142</v>
          </cell>
        </row>
        <row r="504">
          <cell r="A504">
            <v>40242</v>
          </cell>
          <cell r="CF504">
            <v>15.893026612022737</v>
          </cell>
          <cell r="CG504">
            <v>22.085252262534414</v>
          </cell>
          <cell r="CH504">
            <v>18.555263085067214</v>
          </cell>
          <cell r="CI504">
            <v>14.926604548033502</v>
          </cell>
          <cell r="CJ504">
            <v>22.183921622100925</v>
          </cell>
          <cell r="CU504">
            <v>8.2116794721162343</v>
          </cell>
          <cell r="CV504">
            <v>13.67289934744978</v>
          </cell>
          <cell r="CW504">
            <v>11.062153668663059</v>
          </cell>
          <cell r="CX504">
            <v>8.6510321273089765</v>
          </cell>
          <cell r="CY504">
            <v>13.473275210017142</v>
          </cell>
        </row>
        <row r="505">
          <cell r="A505">
            <v>40245</v>
          </cell>
          <cell r="CF505">
            <v>15.817583899087088</v>
          </cell>
          <cell r="CG505">
            <v>22.085252262534414</v>
          </cell>
          <cell r="CH505">
            <v>18.555263085067214</v>
          </cell>
          <cell r="CI505">
            <v>14.926604548033502</v>
          </cell>
          <cell r="CJ505">
            <v>22.183921622100925</v>
          </cell>
          <cell r="CU505">
            <v>8.1724647295676753</v>
          </cell>
          <cell r="CV505">
            <v>13.67289934744978</v>
          </cell>
          <cell r="CW505">
            <v>11.062153668663059</v>
          </cell>
          <cell r="CX505">
            <v>8.6510321273089765</v>
          </cell>
          <cell r="CY505">
            <v>13.473275210017142</v>
          </cell>
        </row>
        <row r="506">
          <cell r="A506">
            <v>40246</v>
          </cell>
          <cell r="CF506">
            <v>15.632293716299928</v>
          </cell>
          <cell r="CG506">
            <v>22.085252262534414</v>
          </cell>
          <cell r="CH506">
            <v>18.555263085067214</v>
          </cell>
          <cell r="CI506">
            <v>14.926604548033502</v>
          </cell>
          <cell r="CJ506">
            <v>22.183921622100925</v>
          </cell>
          <cell r="CU506">
            <v>8.0230788778941466</v>
          </cell>
          <cell r="CV506">
            <v>13.67289934744978</v>
          </cell>
          <cell r="CW506">
            <v>11.062153668663059</v>
          </cell>
          <cell r="CX506">
            <v>8.6510321273089765</v>
          </cell>
          <cell r="CY506">
            <v>13.473275210017142</v>
          </cell>
        </row>
        <row r="507">
          <cell r="A507">
            <v>40247</v>
          </cell>
          <cell r="CF507">
            <v>15.643463870033328</v>
          </cell>
          <cell r="CG507">
            <v>22.085252262534414</v>
          </cell>
          <cell r="CH507">
            <v>18.555263085067214</v>
          </cell>
          <cell r="CI507">
            <v>14.926604548033502</v>
          </cell>
          <cell r="CJ507">
            <v>22.183921622100925</v>
          </cell>
          <cell r="CU507">
            <v>8.0288468846420873</v>
          </cell>
          <cell r="CV507">
            <v>13.67289934744978</v>
          </cell>
          <cell r="CW507">
            <v>11.062153668663059</v>
          </cell>
          <cell r="CX507">
            <v>8.6510321273089765</v>
          </cell>
          <cell r="CY507">
            <v>13.473275210017142</v>
          </cell>
        </row>
        <row r="508">
          <cell r="A508">
            <v>40248</v>
          </cell>
          <cell r="CF508">
            <v>15.743975430575672</v>
          </cell>
          <cell r="CG508">
            <v>22.085252262534414</v>
          </cell>
          <cell r="CH508">
            <v>18.555263085067214</v>
          </cell>
          <cell r="CI508">
            <v>14.926604548033502</v>
          </cell>
          <cell r="CJ508">
            <v>22.183921622100925</v>
          </cell>
          <cell r="CU508">
            <v>8.0807487092088088</v>
          </cell>
          <cell r="CV508">
            <v>13.67289934744978</v>
          </cell>
          <cell r="CW508">
            <v>11.062153668663059</v>
          </cell>
          <cell r="CX508">
            <v>8.6510321273089765</v>
          </cell>
          <cell r="CY508">
            <v>13.473275210017142</v>
          </cell>
        </row>
        <row r="509">
          <cell r="A509">
            <v>40249</v>
          </cell>
          <cell r="CF509">
            <v>15.810980159491859</v>
          </cell>
          <cell r="CG509">
            <v>22.085252262534414</v>
          </cell>
          <cell r="CH509">
            <v>18.555263085067214</v>
          </cell>
          <cell r="CI509">
            <v>14.926604548033502</v>
          </cell>
          <cell r="CJ509">
            <v>22.183921622100925</v>
          </cell>
          <cell r="CU509">
            <v>8.1470618934058816</v>
          </cell>
          <cell r="CV509">
            <v>13.67289934744978</v>
          </cell>
          <cell r="CW509">
            <v>11.062153668663059</v>
          </cell>
          <cell r="CX509">
            <v>8.6510321273089765</v>
          </cell>
          <cell r="CY509">
            <v>13.473275210017142</v>
          </cell>
        </row>
        <row r="510">
          <cell r="A510">
            <v>40252</v>
          </cell>
          <cell r="CF510">
            <v>15.877989355576107</v>
          </cell>
          <cell r="CG510">
            <v>22.085252262534414</v>
          </cell>
          <cell r="CH510">
            <v>18.555263085067214</v>
          </cell>
          <cell r="CI510">
            <v>14.926604548033502</v>
          </cell>
          <cell r="CJ510">
            <v>22.183921622100925</v>
          </cell>
          <cell r="CU510">
            <v>8.1817982850718458</v>
          </cell>
          <cell r="CV510">
            <v>13.67289934744978</v>
          </cell>
          <cell r="CW510">
            <v>11.062153668663059</v>
          </cell>
          <cell r="CX510">
            <v>8.6510321273089765</v>
          </cell>
          <cell r="CY510">
            <v>13.473275210017142</v>
          </cell>
        </row>
        <row r="511">
          <cell r="A511">
            <v>40253</v>
          </cell>
          <cell r="CF511">
            <v>15.950579161358995</v>
          </cell>
          <cell r="CG511">
            <v>22.085252262534414</v>
          </cell>
          <cell r="CH511">
            <v>18.555263085067214</v>
          </cell>
          <cell r="CI511">
            <v>14.926604548033502</v>
          </cell>
          <cell r="CJ511">
            <v>22.183921622100925</v>
          </cell>
          <cell r="CU511">
            <v>8.2194275669014694</v>
          </cell>
          <cell r="CV511">
            <v>13.67289934744978</v>
          </cell>
          <cell r="CW511">
            <v>11.062153668663059</v>
          </cell>
          <cell r="CX511">
            <v>8.6510321273089765</v>
          </cell>
          <cell r="CY511">
            <v>13.473275210017142</v>
          </cell>
        </row>
        <row r="512">
          <cell r="A512">
            <v>40254</v>
          </cell>
          <cell r="CF512">
            <v>16.014793585425863</v>
          </cell>
          <cell r="CG512">
            <v>22.085252262534414</v>
          </cell>
          <cell r="CH512">
            <v>18.555263085067214</v>
          </cell>
          <cell r="CI512">
            <v>14.926604548033502</v>
          </cell>
          <cell r="CJ512">
            <v>22.183921622100925</v>
          </cell>
          <cell r="CU512">
            <v>8.2527151977840507</v>
          </cell>
          <cell r="CV512">
            <v>13.67289934744978</v>
          </cell>
          <cell r="CW512">
            <v>11.062153668663059</v>
          </cell>
          <cell r="CX512">
            <v>8.6510321273089765</v>
          </cell>
          <cell r="CY512">
            <v>13.473275210017142</v>
          </cell>
        </row>
        <row r="513">
          <cell r="A513">
            <v>40255</v>
          </cell>
          <cell r="CF513">
            <v>16.079012197462788</v>
          </cell>
          <cell r="CG513">
            <v>22.085252262534414</v>
          </cell>
          <cell r="CH513">
            <v>18.555263085067214</v>
          </cell>
          <cell r="CI513">
            <v>14.926604548033502</v>
          </cell>
          <cell r="CJ513">
            <v>22.183921622100925</v>
          </cell>
          <cell r="CU513">
            <v>8.2860049996368375</v>
          </cell>
          <cell r="CV513">
            <v>13.67289934744978</v>
          </cell>
          <cell r="CW513">
            <v>11.062153668663059</v>
          </cell>
          <cell r="CX513">
            <v>8.6510321273089765</v>
          </cell>
          <cell r="CY513">
            <v>13.473275210017142</v>
          </cell>
        </row>
        <row r="514">
          <cell r="A514">
            <v>40256</v>
          </cell>
          <cell r="CF514">
            <v>16.090178163226131</v>
          </cell>
          <cell r="CG514">
            <v>22.085252262534414</v>
          </cell>
          <cell r="CH514">
            <v>18.555263085067214</v>
          </cell>
          <cell r="CI514">
            <v>14.926604548033502</v>
          </cell>
          <cell r="CJ514">
            <v>22.183921622100925</v>
          </cell>
          <cell r="CU514">
            <v>8.2917932403970553</v>
          </cell>
          <cell r="CV514">
            <v>13.67289934744978</v>
          </cell>
          <cell r="CW514">
            <v>11.062153668663059</v>
          </cell>
          <cell r="CX514">
            <v>8.6510321273089765</v>
          </cell>
          <cell r="CY514">
            <v>13.473275210017142</v>
          </cell>
        </row>
        <row r="515">
          <cell r="A515">
            <v>40259</v>
          </cell>
          <cell r="CF515">
            <v>16.252113563788019</v>
          </cell>
          <cell r="CG515">
            <v>22.085252262534414</v>
          </cell>
          <cell r="CH515">
            <v>18.555263085067214</v>
          </cell>
          <cell r="CI515">
            <v>14.926604548033502</v>
          </cell>
          <cell r="CJ515">
            <v>22.183921622100925</v>
          </cell>
          <cell r="CU515">
            <v>8.3757377111146312</v>
          </cell>
          <cell r="CV515">
            <v>13.67289934744978</v>
          </cell>
          <cell r="CW515">
            <v>11.062153668663059</v>
          </cell>
          <cell r="CX515">
            <v>8.6510321273089765</v>
          </cell>
          <cell r="CY515">
            <v>13.473275210017142</v>
          </cell>
        </row>
        <row r="516">
          <cell r="A516">
            <v>40260</v>
          </cell>
          <cell r="CF516">
            <v>16.291201005112814</v>
          </cell>
          <cell r="CG516">
            <v>22.085252262534414</v>
          </cell>
          <cell r="CH516">
            <v>18.555263085067214</v>
          </cell>
          <cell r="CI516">
            <v>14.926604548033502</v>
          </cell>
          <cell r="CJ516">
            <v>22.183921622100925</v>
          </cell>
          <cell r="CU516">
            <v>8.3959999549620505</v>
          </cell>
          <cell r="CV516">
            <v>13.67289934744978</v>
          </cell>
          <cell r="CW516">
            <v>11.062153668663059</v>
          </cell>
          <cell r="CX516">
            <v>8.6510321273089765</v>
          </cell>
          <cell r="CY516">
            <v>13.473275210017142</v>
          </cell>
        </row>
        <row r="517">
          <cell r="A517">
            <v>40261</v>
          </cell>
          <cell r="CF517">
            <v>16.288410700263491</v>
          </cell>
          <cell r="CG517">
            <v>22.085252262534414</v>
          </cell>
          <cell r="CH517">
            <v>18.555263085067214</v>
          </cell>
          <cell r="CI517">
            <v>14.926604548033502</v>
          </cell>
          <cell r="CJ517">
            <v>22.183921622100925</v>
          </cell>
          <cell r="CU517">
            <v>8.39455350988022</v>
          </cell>
          <cell r="CV517">
            <v>13.67289934744978</v>
          </cell>
          <cell r="CW517">
            <v>11.062153668663059</v>
          </cell>
          <cell r="CX517">
            <v>8.6510321273089765</v>
          </cell>
          <cell r="CY517">
            <v>13.473275210017142</v>
          </cell>
        </row>
        <row r="518">
          <cell r="A518">
            <v>40262</v>
          </cell>
          <cell r="CF518">
            <v>16.13764126546495</v>
          </cell>
          <cell r="CG518">
            <v>22.085252262534414</v>
          </cell>
          <cell r="CH518">
            <v>18.555263085067214</v>
          </cell>
          <cell r="CI518">
            <v>14.926604548033502</v>
          </cell>
          <cell r="CJ518">
            <v>22.183921622100925</v>
          </cell>
          <cell r="CU518">
            <v>8.316397279922862</v>
          </cell>
          <cell r="CV518">
            <v>13.67289934744978</v>
          </cell>
          <cell r="CW518">
            <v>11.062153668663059</v>
          </cell>
          <cell r="CX518">
            <v>8.6510321273089765</v>
          </cell>
          <cell r="CY518">
            <v>13.473275210017142</v>
          </cell>
        </row>
        <row r="519">
          <cell r="A519">
            <v>40263</v>
          </cell>
          <cell r="CF519">
            <v>16.140436037482331</v>
          </cell>
          <cell r="CG519">
            <v>22.085252262534414</v>
          </cell>
          <cell r="CH519">
            <v>18.555263085067214</v>
          </cell>
          <cell r="CI519">
            <v>14.926604548033502</v>
          </cell>
          <cell r="CJ519">
            <v>22.183921622100925</v>
          </cell>
          <cell r="CU519">
            <v>8.3178625705412603</v>
          </cell>
          <cell r="CV519">
            <v>13.67289934744978</v>
          </cell>
          <cell r="CW519">
            <v>11.062153668663059</v>
          </cell>
          <cell r="CX519">
            <v>8.6510321273089765</v>
          </cell>
          <cell r="CY519">
            <v>13.473275210017142</v>
          </cell>
        </row>
        <row r="520">
          <cell r="A520">
            <v>40266</v>
          </cell>
          <cell r="CF520">
            <v>16.249322979740697</v>
          </cell>
          <cell r="CG520">
            <v>22.085252262534414</v>
          </cell>
          <cell r="CH520">
            <v>18.555263085067214</v>
          </cell>
          <cell r="CI520">
            <v>14.926604548033502</v>
          </cell>
          <cell r="CJ520">
            <v>22.183921622100925</v>
          </cell>
          <cell r="CU520">
            <v>8.3743077633082859</v>
          </cell>
          <cell r="CV520">
            <v>13.67289934744978</v>
          </cell>
          <cell r="CW520">
            <v>11.062153668663059</v>
          </cell>
          <cell r="CX520">
            <v>8.6510321273089765</v>
          </cell>
          <cell r="CY520">
            <v>13.473275210017142</v>
          </cell>
        </row>
        <row r="521">
          <cell r="A521">
            <v>40267</v>
          </cell>
          <cell r="CF521">
            <v>16.531311567522291</v>
          </cell>
          <cell r="CG521">
            <v>22.085252262534414</v>
          </cell>
          <cell r="CH521">
            <v>18.555263085067214</v>
          </cell>
          <cell r="CI521">
            <v>14.926604548033502</v>
          </cell>
          <cell r="CJ521">
            <v>22.183921622100925</v>
          </cell>
          <cell r="CU521">
            <v>8.5204859906081776</v>
          </cell>
          <cell r="CV521">
            <v>13.67289934744978</v>
          </cell>
          <cell r="CW521">
            <v>11.062153668663059</v>
          </cell>
          <cell r="CX521">
            <v>8.6510321273089765</v>
          </cell>
          <cell r="CY521">
            <v>13.473275210017142</v>
          </cell>
        </row>
        <row r="522">
          <cell r="A522">
            <v>40268</v>
          </cell>
          <cell r="CF522">
            <v>16.444760744760675</v>
          </cell>
          <cell r="CG522">
            <v>22.085252262534414</v>
          </cell>
          <cell r="CH522">
            <v>18.555263085067214</v>
          </cell>
          <cell r="CI522">
            <v>14.926604548033502</v>
          </cell>
          <cell r="CJ522">
            <v>22.183921622100925</v>
          </cell>
          <cell r="CU522">
            <v>8.4756194733417409</v>
          </cell>
          <cell r="CV522">
            <v>13.67289934744978</v>
          </cell>
          <cell r="CW522">
            <v>11.062153668663059</v>
          </cell>
          <cell r="CX522">
            <v>8.6510321273089765</v>
          </cell>
          <cell r="CY522">
            <v>13.473275210017142</v>
          </cell>
        </row>
        <row r="523">
          <cell r="A523">
            <v>40269</v>
          </cell>
          <cell r="CF523">
            <v>16.283796694559403</v>
          </cell>
          <cell r="CG523">
            <v>22.085252262534414</v>
          </cell>
          <cell r="CH523">
            <v>18.555263085067214</v>
          </cell>
          <cell r="CI523">
            <v>14.926604548033502</v>
          </cell>
          <cell r="CJ523">
            <v>22.183921622100925</v>
          </cell>
          <cell r="CU523">
            <v>8.4030583433672952</v>
          </cell>
          <cell r="CV523">
            <v>13.67289934744978</v>
          </cell>
          <cell r="CW523">
            <v>11.062153668663059</v>
          </cell>
          <cell r="CX523">
            <v>8.6510321273089765</v>
          </cell>
          <cell r="CY523">
            <v>13.473275210017142</v>
          </cell>
        </row>
        <row r="524">
          <cell r="A524">
            <v>40270</v>
          </cell>
          <cell r="CF524">
            <v>16.283796694559403</v>
          </cell>
          <cell r="CG524">
            <v>22.085252262534414</v>
          </cell>
          <cell r="CH524">
            <v>18.555263085067214</v>
          </cell>
          <cell r="CI524">
            <v>14.926604548033502</v>
          </cell>
          <cell r="CJ524">
            <v>22.183921622100925</v>
          </cell>
          <cell r="CU524">
            <v>8.4030583433672952</v>
          </cell>
          <cell r="CV524">
            <v>13.67289934744978</v>
          </cell>
          <cell r="CW524">
            <v>11.062153668663059</v>
          </cell>
          <cell r="CX524">
            <v>8.6510321273089765</v>
          </cell>
          <cell r="CY524">
            <v>13.473275210017142</v>
          </cell>
        </row>
        <row r="525">
          <cell r="A525">
            <v>40273</v>
          </cell>
          <cell r="CF525">
            <v>16.480184496232891</v>
          </cell>
          <cell r="CG525">
            <v>22.085252262534414</v>
          </cell>
          <cell r="CH525">
            <v>18.555263085067214</v>
          </cell>
          <cell r="CI525">
            <v>14.926604548033502</v>
          </cell>
          <cell r="CJ525">
            <v>22.183921622100925</v>
          </cell>
          <cell r="CU525">
            <v>8.5049889866336219</v>
          </cell>
          <cell r="CV525">
            <v>13.67289934744978</v>
          </cell>
          <cell r="CW525">
            <v>11.062153668663059</v>
          </cell>
          <cell r="CX525">
            <v>8.6510321273089765</v>
          </cell>
          <cell r="CY525">
            <v>13.473275210017142</v>
          </cell>
        </row>
        <row r="526">
          <cell r="A526">
            <v>40274</v>
          </cell>
          <cell r="CF526">
            <v>16.391672775051774</v>
          </cell>
          <cell r="CG526">
            <v>22.085252262534414</v>
          </cell>
          <cell r="CH526">
            <v>18.555263085067214</v>
          </cell>
          <cell r="CI526">
            <v>14.926604548033502</v>
          </cell>
          <cell r="CJ526">
            <v>22.183921622100925</v>
          </cell>
          <cell r="CU526">
            <v>8.4590489811968226</v>
          </cell>
          <cell r="CV526">
            <v>13.67289934744978</v>
          </cell>
          <cell r="CW526">
            <v>11.062153668663059</v>
          </cell>
          <cell r="CX526">
            <v>8.6510321273089765</v>
          </cell>
          <cell r="CY526">
            <v>13.473275210017142</v>
          </cell>
        </row>
        <row r="527">
          <cell r="A527">
            <v>40275</v>
          </cell>
          <cell r="CF527">
            <v>16.377841643041538</v>
          </cell>
          <cell r="CG527">
            <v>22.085252262534414</v>
          </cell>
          <cell r="CH527">
            <v>18.555263085067214</v>
          </cell>
          <cell r="CI527">
            <v>14.926604548033502</v>
          </cell>
          <cell r="CJ527">
            <v>22.183921622100925</v>
          </cell>
          <cell r="CU527">
            <v>8.4518702451913725</v>
          </cell>
          <cell r="CV527">
            <v>13.67289934744978</v>
          </cell>
          <cell r="CW527">
            <v>11.062153668663059</v>
          </cell>
          <cell r="CX527">
            <v>8.6510321273089765</v>
          </cell>
          <cell r="CY527">
            <v>13.473275210017142</v>
          </cell>
        </row>
        <row r="528">
          <cell r="A528">
            <v>40276</v>
          </cell>
          <cell r="CF528">
            <v>16.352948205519926</v>
          </cell>
          <cell r="CG528">
            <v>22.085252262534414</v>
          </cell>
          <cell r="CH528">
            <v>18.555263085067214</v>
          </cell>
          <cell r="CI528">
            <v>14.926604548033502</v>
          </cell>
          <cell r="CJ528">
            <v>22.183921622100925</v>
          </cell>
          <cell r="CU528">
            <v>8.4389498699029577</v>
          </cell>
          <cell r="CV528">
            <v>13.67289934744978</v>
          </cell>
          <cell r="CW528">
            <v>11.062153668663059</v>
          </cell>
          <cell r="CX528">
            <v>8.6510321273089765</v>
          </cell>
          <cell r="CY528">
            <v>13.473275210017142</v>
          </cell>
        </row>
        <row r="529">
          <cell r="A529">
            <v>40277</v>
          </cell>
          <cell r="CF529">
            <v>16.419330889981588</v>
          </cell>
          <cell r="CG529">
            <v>22.085252262534414</v>
          </cell>
          <cell r="CH529">
            <v>18.555263085067214</v>
          </cell>
          <cell r="CI529">
            <v>14.926604548033502</v>
          </cell>
          <cell r="CJ529">
            <v>22.183921622100925</v>
          </cell>
          <cell r="CU529">
            <v>8.4734042997161332</v>
          </cell>
          <cell r="CV529">
            <v>13.67289934744978</v>
          </cell>
          <cell r="CW529">
            <v>11.062153668663059</v>
          </cell>
          <cell r="CX529">
            <v>8.6510321273089765</v>
          </cell>
          <cell r="CY529">
            <v>13.473275210017142</v>
          </cell>
        </row>
        <row r="530">
          <cell r="A530">
            <v>40280</v>
          </cell>
          <cell r="CF530">
            <v>16.391672775051774</v>
          </cell>
          <cell r="CG530">
            <v>22.085252262534414</v>
          </cell>
          <cell r="CH530">
            <v>18.555263085067214</v>
          </cell>
          <cell r="CI530">
            <v>14.926604548033502</v>
          </cell>
          <cell r="CJ530">
            <v>22.183921622100925</v>
          </cell>
          <cell r="CU530">
            <v>8.4590489811968226</v>
          </cell>
          <cell r="CV530">
            <v>13.67289934744978</v>
          </cell>
          <cell r="CW530">
            <v>11.062153668663059</v>
          </cell>
          <cell r="CX530">
            <v>8.6510321273089765</v>
          </cell>
          <cell r="CY530">
            <v>13.473275210017142</v>
          </cell>
        </row>
        <row r="531">
          <cell r="A531">
            <v>40281</v>
          </cell>
          <cell r="CF531">
            <v>16.496784454741984</v>
          </cell>
          <cell r="CG531">
            <v>22.085252262534414</v>
          </cell>
          <cell r="CH531">
            <v>18.555263085067214</v>
          </cell>
          <cell r="CI531">
            <v>14.926604548033502</v>
          </cell>
          <cell r="CJ531">
            <v>22.183921622100925</v>
          </cell>
          <cell r="CU531">
            <v>8.5130230618624321</v>
          </cell>
          <cell r="CV531">
            <v>13.67289934744978</v>
          </cell>
          <cell r="CW531">
            <v>11.062153668663059</v>
          </cell>
          <cell r="CX531">
            <v>8.6510321273089765</v>
          </cell>
          <cell r="CY531">
            <v>13.473275210017142</v>
          </cell>
        </row>
        <row r="532">
          <cell r="A532">
            <v>40282</v>
          </cell>
          <cell r="CF532">
            <v>16.812115068115919</v>
          </cell>
          <cell r="CG532">
            <v>22.085252262534414</v>
          </cell>
          <cell r="CH532">
            <v>18.555263085067214</v>
          </cell>
          <cell r="CI532">
            <v>14.926604548033502</v>
          </cell>
          <cell r="CJ532">
            <v>22.183921622100925</v>
          </cell>
          <cell r="CU532">
            <v>8.6766770956147603</v>
          </cell>
          <cell r="CV532">
            <v>13.67289934744978</v>
          </cell>
          <cell r="CW532">
            <v>11.062153668663059</v>
          </cell>
          <cell r="CX532">
            <v>8.6510321273089765</v>
          </cell>
          <cell r="CY532">
            <v>13.473275210017142</v>
          </cell>
        </row>
        <row r="533">
          <cell r="A533">
            <v>40283</v>
          </cell>
          <cell r="CF533">
            <v>16.8107524866038</v>
          </cell>
          <cell r="CG533">
            <v>22.085252262534414</v>
          </cell>
          <cell r="CH533">
            <v>18.555263085067214</v>
          </cell>
          <cell r="CI533">
            <v>14.926604548033502</v>
          </cell>
          <cell r="CJ533">
            <v>22.183921622100925</v>
          </cell>
          <cell r="CU533">
            <v>8.7053879241228227</v>
          </cell>
          <cell r="CV533">
            <v>13.67289934744978</v>
          </cell>
          <cell r="CW533">
            <v>11.062153668663059</v>
          </cell>
          <cell r="CX533">
            <v>8.6510321273089765</v>
          </cell>
          <cell r="CY533">
            <v>13.473275210017142</v>
          </cell>
        </row>
        <row r="534">
          <cell r="A534">
            <v>40284</v>
          </cell>
          <cell r="CF534">
            <v>16.787942800714465</v>
          </cell>
          <cell r="CG534">
            <v>22.085252262534414</v>
          </cell>
          <cell r="CH534">
            <v>18.555263085067214</v>
          </cell>
          <cell r="CI534">
            <v>14.926604548033502</v>
          </cell>
          <cell r="CJ534">
            <v>22.183921622100925</v>
          </cell>
          <cell r="CU534">
            <v>8.6632599820570171</v>
          </cell>
          <cell r="CV534">
            <v>13.67289934744978</v>
          </cell>
          <cell r="CW534">
            <v>11.062153668663059</v>
          </cell>
          <cell r="CX534">
            <v>8.6510321273089765</v>
          </cell>
          <cell r="CY534">
            <v>13.473275210017142</v>
          </cell>
        </row>
        <row r="535">
          <cell r="A535">
            <v>40287</v>
          </cell>
          <cell r="CF535">
            <v>16.730017488595468</v>
          </cell>
          <cell r="CG535">
            <v>22.085252262534414</v>
          </cell>
          <cell r="CH535">
            <v>18.555263085067214</v>
          </cell>
          <cell r="CI535">
            <v>14.926604548033502</v>
          </cell>
          <cell r="CJ535">
            <v>22.183921622100925</v>
          </cell>
          <cell r="CU535">
            <v>8.6332007040861498</v>
          </cell>
          <cell r="CV535">
            <v>13.67289934744978</v>
          </cell>
          <cell r="CW535">
            <v>11.062153668663059</v>
          </cell>
          <cell r="CX535">
            <v>8.6510321273089765</v>
          </cell>
          <cell r="CY535">
            <v>13.473275210017142</v>
          </cell>
        </row>
        <row r="536">
          <cell r="A536">
            <v>40288</v>
          </cell>
          <cell r="CF536">
            <v>16.890008330530595</v>
          </cell>
          <cell r="CG536">
            <v>22.085252262534414</v>
          </cell>
          <cell r="CH536">
            <v>18.555263085067214</v>
          </cell>
          <cell r="CI536">
            <v>14.926604548033502</v>
          </cell>
          <cell r="CJ536">
            <v>22.183921622100925</v>
          </cell>
          <cell r="CU536">
            <v>8.7162250161630794</v>
          </cell>
          <cell r="CV536">
            <v>13.67289934744978</v>
          </cell>
          <cell r="CW536">
            <v>11.062153668663059</v>
          </cell>
          <cell r="CX536">
            <v>8.6510321273089765</v>
          </cell>
          <cell r="CY536">
            <v>13.473275210017142</v>
          </cell>
        </row>
        <row r="537">
          <cell r="A537">
            <v>40289</v>
          </cell>
          <cell r="CF537">
            <v>16.707949586509525</v>
          </cell>
          <cell r="CG537">
            <v>22.085252262534414</v>
          </cell>
          <cell r="CH537">
            <v>18.555263085067214</v>
          </cell>
          <cell r="CI537">
            <v>14.926604548033502</v>
          </cell>
          <cell r="CJ537">
            <v>22.183921622100925</v>
          </cell>
          <cell r="CU537">
            <v>8.6217489711775279</v>
          </cell>
          <cell r="CV537">
            <v>13.67289934744978</v>
          </cell>
          <cell r="CW537">
            <v>11.062153668663059</v>
          </cell>
          <cell r="CX537">
            <v>8.6510321273089765</v>
          </cell>
          <cell r="CY537">
            <v>13.473275210017142</v>
          </cell>
        </row>
        <row r="538">
          <cell r="A538">
            <v>40290</v>
          </cell>
          <cell r="CF538">
            <v>16.859665344449748</v>
          </cell>
          <cell r="CG538">
            <v>22.085252262534414</v>
          </cell>
          <cell r="CH538">
            <v>18.555263085067214</v>
          </cell>
          <cell r="CI538">
            <v>14.926604548033502</v>
          </cell>
          <cell r="CJ538">
            <v>22.183921622100925</v>
          </cell>
          <cell r="CU538">
            <v>8.7004790802379244</v>
          </cell>
          <cell r="CV538">
            <v>13.67289934744978</v>
          </cell>
          <cell r="CW538">
            <v>11.062153668663059</v>
          </cell>
          <cell r="CX538">
            <v>8.6510321273089765</v>
          </cell>
          <cell r="CY538">
            <v>13.473275210017142</v>
          </cell>
        </row>
        <row r="539">
          <cell r="A539">
            <v>40291</v>
          </cell>
          <cell r="CF539">
            <v>17.209990014400848</v>
          </cell>
          <cell r="CG539">
            <v>22.085252262534414</v>
          </cell>
          <cell r="CH539">
            <v>18.555263085067214</v>
          </cell>
          <cell r="CI539">
            <v>14.926604548033502</v>
          </cell>
          <cell r="CJ539">
            <v>22.183921622100925</v>
          </cell>
          <cell r="CU539">
            <v>8.9155417668942452</v>
          </cell>
          <cell r="CV539">
            <v>13.67289934744978</v>
          </cell>
          <cell r="CW539">
            <v>11.062153668663059</v>
          </cell>
          <cell r="CX539">
            <v>8.6510321273089765</v>
          </cell>
          <cell r="CY539">
            <v>13.473275210017142</v>
          </cell>
        </row>
        <row r="540">
          <cell r="A540">
            <v>40294</v>
          </cell>
          <cell r="CF540">
            <v>16.856450676159049</v>
          </cell>
          <cell r="CG540">
            <v>22.085252262534414</v>
          </cell>
          <cell r="CH540">
            <v>18.555263085067214</v>
          </cell>
          <cell r="CI540">
            <v>14.926604548033502</v>
          </cell>
          <cell r="CJ540">
            <v>22.183921622100925</v>
          </cell>
          <cell r="CU540">
            <v>8.7503106581539161</v>
          </cell>
          <cell r="CV540">
            <v>13.67289934744978</v>
          </cell>
          <cell r="CW540">
            <v>11.062153668663059</v>
          </cell>
          <cell r="CX540">
            <v>8.6510321273089765</v>
          </cell>
          <cell r="CY540">
            <v>13.473275210017142</v>
          </cell>
        </row>
        <row r="541">
          <cell r="A541">
            <v>40295</v>
          </cell>
          <cell r="CF541">
            <v>16.835835616590874</v>
          </cell>
          <cell r="CG541">
            <v>22.085252262534414</v>
          </cell>
          <cell r="CH541">
            <v>18.555263085067214</v>
          </cell>
          <cell r="CI541">
            <v>14.926604548033502</v>
          </cell>
          <cell r="CJ541">
            <v>22.183921622100925</v>
          </cell>
          <cell r="CU541">
            <v>8.7388161227533736</v>
          </cell>
          <cell r="CV541">
            <v>13.67289934744978</v>
          </cell>
          <cell r="CW541">
            <v>11.062153668663059</v>
          </cell>
          <cell r="CX541">
            <v>8.6510321273089765</v>
          </cell>
          <cell r="CY541">
            <v>13.473275210017142</v>
          </cell>
        </row>
        <row r="542">
          <cell r="A542">
            <v>40296</v>
          </cell>
          <cell r="CF542">
            <v>16.940441615023651</v>
          </cell>
          <cell r="CG542">
            <v>22.085252262534414</v>
          </cell>
          <cell r="CH542">
            <v>18.555263085067214</v>
          </cell>
          <cell r="CI542">
            <v>14.926604548033502</v>
          </cell>
          <cell r="CJ542">
            <v>22.183921622100925</v>
          </cell>
          <cell r="CU542">
            <v>8.793414519354501</v>
          </cell>
          <cell r="CV542">
            <v>13.67289934744978</v>
          </cell>
          <cell r="CW542">
            <v>11.062153668663059</v>
          </cell>
          <cell r="CX542">
            <v>8.6510321273089765</v>
          </cell>
          <cell r="CY542">
            <v>13.473275210017142</v>
          </cell>
        </row>
        <row r="543">
          <cell r="A543">
            <v>40297</v>
          </cell>
          <cell r="CF543">
            <v>17.053305322541799</v>
          </cell>
          <cell r="CG543">
            <v>22.085252262534414</v>
          </cell>
          <cell r="CH543">
            <v>18.555263085067214</v>
          </cell>
          <cell r="CI543">
            <v>14.926604548033502</v>
          </cell>
          <cell r="CJ543">
            <v>22.183921622100925</v>
          </cell>
          <cell r="CU543">
            <v>8.8523229716160596</v>
          </cell>
          <cell r="CV543">
            <v>13.67289934744978</v>
          </cell>
          <cell r="CW543">
            <v>11.062153668663059</v>
          </cell>
          <cell r="CX543">
            <v>8.6510321273089765</v>
          </cell>
          <cell r="CY543">
            <v>13.473275210017142</v>
          </cell>
        </row>
        <row r="544">
          <cell r="A544">
            <v>40298</v>
          </cell>
          <cell r="CF544">
            <v>16.65415693262711</v>
          </cell>
          <cell r="CG544">
            <v>22.085252262534414</v>
          </cell>
          <cell r="CH544">
            <v>18.555263085067214</v>
          </cell>
          <cell r="CI544">
            <v>14.926604548033502</v>
          </cell>
          <cell r="CJ544">
            <v>22.183921622100925</v>
          </cell>
          <cell r="CU544">
            <v>8.6439901568466535</v>
          </cell>
          <cell r="CV544">
            <v>13.67289934744978</v>
          </cell>
          <cell r="CW544">
            <v>11.062153668663059</v>
          </cell>
          <cell r="CX544">
            <v>8.6510321273089765</v>
          </cell>
          <cell r="CY544">
            <v>13.473275210017142</v>
          </cell>
        </row>
        <row r="545">
          <cell r="A545">
            <v>40301</v>
          </cell>
          <cell r="CF545">
            <v>16.655722440933182</v>
          </cell>
          <cell r="CG545">
            <v>22.085252262534414</v>
          </cell>
          <cell r="CH545">
            <v>18.555263085067214</v>
          </cell>
          <cell r="CI545">
            <v>14.926604548033502</v>
          </cell>
          <cell r="CJ545">
            <v>22.183921622100925</v>
          </cell>
          <cell r="CU545">
            <v>8.6654554599204765</v>
          </cell>
          <cell r="CV545">
            <v>13.67289934744978</v>
          </cell>
          <cell r="CW545">
            <v>11.062153668663059</v>
          </cell>
          <cell r="CX545">
            <v>8.6510321273089765</v>
          </cell>
          <cell r="CY545">
            <v>13.473275210017142</v>
          </cell>
        </row>
        <row r="546">
          <cell r="A546">
            <v>40302</v>
          </cell>
          <cell r="CF546">
            <v>16.505792839312118</v>
          </cell>
          <cell r="CG546">
            <v>22.085252262534414</v>
          </cell>
          <cell r="CH546">
            <v>18.555263085067214</v>
          </cell>
          <cell r="CI546">
            <v>14.926604548033502</v>
          </cell>
          <cell r="CJ546">
            <v>22.183921622100925</v>
          </cell>
          <cell r="CU546">
            <v>9.3089453604573009</v>
          </cell>
          <cell r="CV546">
            <v>13.67289934744978</v>
          </cell>
          <cell r="CW546">
            <v>11.062153668663059</v>
          </cell>
          <cell r="CX546">
            <v>8.6510321273089765</v>
          </cell>
          <cell r="CY546">
            <v>13.473275210017142</v>
          </cell>
        </row>
        <row r="547">
          <cell r="A547">
            <v>40303</v>
          </cell>
          <cell r="CF547">
            <v>16.288590566001233</v>
          </cell>
          <cell r="CG547">
            <v>22.085252262534414</v>
          </cell>
          <cell r="CH547">
            <v>18.555263085067214</v>
          </cell>
          <cell r="CI547">
            <v>14.926604548033502</v>
          </cell>
          <cell r="CJ547">
            <v>22.183921622100925</v>
          </cell>
          <cell r="CU547">
            <v>9.1835701979908251</v>
          </cell>
          <cell r="CV547">
            <v>13.67289934744978</v>
          </cell>
          <cell r="CW547">
            <v>11.062153668663059</v>
          </cell>
          <cell r="CX547">
            <v>8.6510321273089765</v>
          </cell>
          <cell r="CY547">
            <v>13.473275210017142</v>
          </cell>
        </row>
        <row r="548">
          <cell r="A548">
            <v>40304</v>
          </cell>
          <cell r="CF548">
            <v>15.843473002021719</v>
          </cell>
          <cell r="CG548">
            <v>22.085252262534414</v>
          </cell>
          <cell r="CH548">
            <v>18.555263085067214</v>
          </cell>
          <cell r="CI548">
            <v>14.926604548033502</v>
          </cell>
          <cell r="CJ548">
            <v>22.183921622100925</v>
          </cell>
          <cell r="CU548">
            <v>8.9508925144269789</v>
          </cell>
          <cell r="CV548">
            <v>13.67289934744978</v>
          </cell>
          <cell r="CW548">
            <v>11.062153668663059</v>
          </cell>
          <cell r="CX548">
            <v>8.6510321273089765</v>
          </cell>
          <cell r="CY548">
            <v>13.473275210017142</v>
          </cell>
        </row>
        <row r="549">
          <cell r="A549">
            <v>40305</v>
          </cell>
          <cell r="CF549">
            <v>15.36631129450997</v>
          </cell>
          <cell r="CG549">
            <v>22.085252262534414</v>
          </cell>
          <cell r="CH549">
            <v>18.555263085067214</v>
          </cell>
          <cell r="CI549">
            <v>14.926604548033502</v>
          </cell>
          <cell r="CJ549">
            <v>22.183921622100925</v>
          </cell>
          <cell r="CU549">
            <v>8.7021650803236845</v>
          </cell>
          <cell r="CV549">
            <v>13.67289934744978</v>
          </cell>
          <cell r="CW549">
            <v>11.062153668663059</v>
          </cell>
          <cell r="CX549">
            <v>8.6510321273089765</v>
          </cell>
          <cell r="CY549">
            <v>13.473275210017142</v>
          </cell>
        </row>
        <row r="550">
          <cell r="A550">
            <v>40308</v>
          </cell>
          <cell r="CF550">
            <v>15.964784907588109</v>
          </cell>
          <cell r="CG550">
            <v>22.085252262534414</v>
          </cell>
          <cell r="CH550">
            <v>18.555263085067214</v>
          </cell>
          <cell r="CI550">
            <v>14.926604548033502</v>
          </cell>
          <cell r="CJ550">
            <v>22.183921622100925</v>
          </cell>
          <cell r="CU550">
            <v>9.014128097925612</v>
          </cell>
          <cell r="CV550">
            <v>13.67289934744978</v>
          </cell>
          <cell r="CW550">
            <v>11.062153668663059</v>
          </cell>
          <cell r="CX550">
            <v>8.6510321273089765</v>
          </cell>
          <cell r="CY550">
            <v>13.473275210017142</v>
          </cell>
        </row>
        <row r="551">
          <cell r="A551">
            <v>40309</v>
          </cell>
          <cell r="CF551">
            <v>15.824603980505287</v>
          </cell>
          <cell r="CG551">
            <v>22.085252262534414</v>
          </cell>
          <cell r="CH551">
            <v>18.555263085067214</v>
          </cell>
          <cell r="CI551">
            <v>14.926604548033502</v>
          </cell>
          <cell r="CJ551">
            <v>22.183921622100925</v>
          </cell>
          <cell r="CU551">
            <v>8.9410567643407131</v>
          </cell>
          <cell r="CV551">
            <v>13.67289934744978</v>
          </cell>
          <cell r="CW551">
            <v>11.062153668663059</v>
          </cell>
          <cell r="CX551">
            <v>8.6510321273089765</v>
          </cell>
          <cell r="CY551">
            <v>13.473275210017142</v>
          </cell>
        </row>
        <row r="552">
          <cell r="A552">
            <v>40310</v>
          </cell>
          <cell r="CF552">
            <v>16.048359578874862</v>
          </cell>
          <cell r="CG552">
            <v>22.085252262534414</v>
          </cell>
          <cell r="CH552">
            <v>18.555263085067214</v>
          </cell>
          <cell r="CI552">
            <v>14.926604548033502</v>
          </cell>
          <cell r="CJ552">
            <v>22.183921622100925</v>
          </cell>
          <cell r="CU552">
            <v>9.0576926028260161</v>
          </cell>
          <cell r="CV552">
            <v>13.67289934744978</v>
          </cell>
          <cell r="CW552">
            <v>11.062153668663059</v>
          </cell>
          <cell r="CX552">
            <v>8.6510321273089765</v>
          </cell>
          <cell r="CY552">
            <v>13.473275210017142</v>
          </cell>
        </row>
        <row r="553">
          <cell r="A553">
            <v>40311</v>
          </cell>
          <cell r="CF553">
            <v>15.838084009692293</v>
          </cell>
          <cell r="CG553">
            <v>22.085252262534414</v>
          </cell>
          <cell r="CH553">
            <v>18.555263085067214</v>
          </cell>
          <cell r="CI553">
            <v>14.926604548033502</v>
          </cell>
          <cell r="CJ553">
            <v>22.183921622100925</v>
          </cell>
          <cell r="CU553">
            <v>8.9480834243147616</v>
          </cell>
          <cell r="CV553">
            <v>13.67289934744978</v>
          </cell>
          <cell r="CW553">
            <v>11.062153668663059</v>
          </cell>
          <cell r="CX553">
            <v>8.6510321273089765</v>
          </cell>
          <cell r="CY553">
            <v>13.473275210017142</v>
          </cell>
        </row>
        <row r="554">
          <cell r="A554">
            <v>40312</v>
          </cell>
          <cell r="CF554">
            <v>15.538845316062362</v>
          </cell>
          <cell r="CG554">
            <v>22.085252262534414</v>
          </cell>
          <cell r="CH554">
            <v>18.555263085067214</v>
          </cell>
          <cell r="CI554">
            <v>14.926604548033502</v>
          </cell>
          <cell r="CJ554">
            <v>22.183921622100925</v>
          </cell>
          <cell r="CU554">
            <v>8.7921009318404213</v>
          </cell>
          <cell r="CV554">
            <v>13.67289934744978</v>
          </cell>
          <cell r="CW554">
            <v>11.062153668663059</v>
          </cell>
          <cell r="CX554">
            <v>8.6510321273089765</v>
          </cell>
          <cell r="CY554">
            <v>13.473275210017142</v>
          </cell>
        </row>
        <row r="555">
          <cell r="A555">
            <v>40315</v>
          </cell>
          <cell r="CF555">
            <v>15.617826267147628</v>
          </cell>
          <cell r="CG555">
            <v>22.085252262534414</v>
          </cell>
          <cell r="CH555">
            <v>18.555263085067214</v>
          </cell>
          <cell r="CI555">
            <v>14.926604548033502</v>
          </cell>
          <cell r="CJ555">
            <v>22.183921622100925</v>
          </cell>
          <cell r="CU555">
            <v>8.8344819831958219</v>
          </cell>
          <cell r="CV555">
            <v>13.67289934744978</v>
          </cell>
          <cell r="CW555">
            <v>11.062153668663059</v>
          </cell>
          <cell r="CX555">
            <v>8.6510321273089765</v>
          </cell>
          <cell r="CY555">
            <v>13.473275210017142</v>
          </cell>
        </row>
        <row r="556">
          <cell r="A556">
            <v>40316</v>
          </cell>
          <cell r="CF556">
            <v>15.434532951020664</v>
          </cell>
          <cell r="CG556">
            <v>22.085252262534414</v>
          </cell>
          <cell r="CH556">
            <v>18.555263085067214</v>
          </cell>
          <cell r="CI556">
            <v>14.926604548033502</v>
          </cell>
          <cell r="CJ556">
            <v>22.183921622100925</v>
          </cell>
          <cell r="CU556">
            <v>8.73892368759366</v>
          </cell>
          <cell r="CV556">
            <v>13.67289934744978</v>
          </cell>
          <cell r="CW556">
            <v>11.062153668663059</v>
          </cell>
          <cell r="CX556">
            <v>8.6510321273089765</v>
          </cell>
          <cell r="CY556">
            <v>13.473275210017142</v>
          </cell>
        </row>
        <row r="557">
          <cell r="A557">
            <v>40317</v>
          </cell>
          <cell r="CF557">
            <v>15.421054553910258</v>
          </cell>
          <cell r="CG557">
            <v>22.085252262534414</v>
          </cell>
          <cell r="CH557">
            <v>18.555263085067214</v>
          </cell>
          <cell r="CI557">
            <v>14.926604548033502</v>
          </cell>
          <cell r="CJ557">
            <v>22.183921622100925</v>
          </cell>
          <cell r="CU557">
            <v>8.7318968484129691</v>
          </cell>
          <cell r="CV557">
            <v>13.67289934744978</v>
          </cell>
          <cell r="CW557">
            <v>11.062153668663059</v>
          </cell>
          <cell r="CX557">
            <v>8.6510321273089765</v>
          </cell>
          <cell r="CY557">
            <v>13.473275210017142</v>
          </cell>
        </row>
        <row r="558">
          <cell r="A558">
            <v>40318</v>
          </cell>
          <cell r="CF558">
            <v>14.898123582748873</v>
          </cell>
          <cell r="CG558">
            <v>22.085252262534414</v>
          </cell>
          <cell r="CH558">
            <v>18.555263085067214</v>
          </cell>
          <cell r="CI558">
            <v>14.926604548033502</v>
          </cell>
          <cell r="CJ558">
            <v>22.183921622100925</v>
          </cell>
          <cell r="CU558">
            <v>8.4592715646456558</v>
          </cell>
          <cell r="CV558">
            <v>13.67289934744978</v>
          </cell>
          <cell r="CW558">
            <v>11.062153668663059</v>
          </cell>
          <cell r="CX558">
            <v>8.6510321273089765</v>
          </cell>
          <cell r="CY558">
            <v>13.473275210017142</v>
          </cell>
        </row>
        <row r="559">
          <cell r="A559">
            <v>40319</v>
          </cell>
          <cell r="CF559">
            <v>15.078722728943664</v>
          </cell>
          <cell r="CG559">
            <v>22.085252262534414</v>
          </cell>
          <cell r="CH559">
            <v>18.555263085067214</v>
          </cell>
          <cell r="CI559">
            <v>14.926604548033502</v>
          </cell>
          <cell r="CJ559">
            <v>22.183921622100925</v>
          </cell>
          <cell r="CU559">
            <v>8.5534252793704511</v>
          </cell>
          <cell r="CV559">
            <v>13.67289934744978</v>
          </cell>
          <cell r="CW559">
            <v>11.062153668663059</v>
          </cell>
          <cell r="CX559">
            <v>8.6510321273089765</v>
          </cell>
          <cell r="CY559">
            <v>13.473275210017142</v>
          </cell>
        </row>
        <row r="560">
          <cell r="A560">
            <v>40322</v>
          </cell>
          <cell r="CF560">
            <v>14.927774277350091</v>
          </cell>
          <cell r="CG560">
            <v>22.085252262534414</v>
          </cell>
          <cell r="CH560">
            <v>18.555263085067214</v>
          </cell>
          <cell r="CI560">
            <v>14.926604548033502</v>
          </cell>
          <cell r="CJ560">
            <v>22.183921622100925</v>
          </cell>
          <cell r="CU560">
            <v>8.4747296833560508</v>
          </cell>
          <cell r="CV560">
            <v>13.67289934744978</v>
          </cell>
          <cell r="CW560">
            <v>11.062153668663059</v>
          </cell>
          <cell r="CX560">
            <v>8.6510321273089765</v>
          </cell>
          <cell r="CY560">
            <v>13.473275210017142</v>
          </cell>
        </row>
        <row r="561">
          <cell r="A561">
            <v>40323</v>
          </cell>
          <cell r="CF561">
            <v>14.809170959841682</v>
          </cell>
          <cell r="CG561">
            <v>22.085252262534414</v>
          </cell>
          <cell r="CH561">
            <v>18.555263085067214</v>
          </cell>
          <cell r="CI561">
            <v>14.926604548033502</v>
          </cell>
          <cell r="CJ561">
            <v>22.183921622100925</v>
          </cell>
          <cell r="CU561">
            <v>8.4128969274577674</v>
          </cell>
          <cell r="CV561">
            <v>13.67289934744978</v>
          </cell>
          <cell r="CW561">
            <v>11.062153668663059</v>
          </cell>
          <cell r="CX561">
            <v>8.6510321273089765</v>
          </cell>
          <cell r="CY561">
            <v>13.473275210017142</v>
          </cell>
        </row>
        <row r="562">
          <cell r="A562">
            <v>40324</v>
          </cell>
          <cell r="CF562">
            <v>14.860386335074596</v>
          </cell>
          <cell r="CG562">
            <v>22.085252262534414</v>
          </cell>
          <cell r="CH562">
            <v>18.555263085067214</v>
          </cell>
          <cell r="CI562">
            <v>14.926604548033502</v>
          </cell>
          <cell r="CJ562">
            <v>22.183921622100925</v>
          </cell>
          <cell r="CU562">
            <v>8.4395975953778795</v>
          </cell>
          <cell r="CV562">
            <v>13.67289934744978</v>
          </cell>
          <cell r="CW562">
            <v>11.062153668663059</v>
          </cell>
          <cell r="CX562">
            <v>8.6510321273089765</v>
          </cell>
          <cell r="CY562">
            <v>13.473275210017142</v>
          </cell>
        </row>
        <row r="563">
          <cell r="A563">
            <v>40325</v>
          </cell>
          <cell r="CF563">
            <v>15.321560762133057</v>
          </cell>
          <cell r="CG563">
            <v>22.085252262534414</v>
          </cell>
          <cell r="CH563">
            <v>18.555263085067214</v>
          </cell>
          <cell r="CI563">
            <v>14.926604548033502</v>
          </cell>
          <cell r="CJ563">
            <v>22.183921622100925</v>
          </cell>
          <cell r="CU563">
            <v>8.6824017098205797</v>
          </cell>
          <cell r="CV563">
            <v>13.67289934744978</v>
          </cell>
          <cell r="CW563">
            <v>11.062153668663059</v>
          </cell>
          <cell r="CX563">
            <v>8.6510321273089765</v>
          </cell>
          <cell r="CY563">
            <v>13.473275210017142</v>
          </cell>
        </row>
        <row r="564">
          <cell r="A564">
            <v>40326</v>
          </cell>
          <cell r="CF564">
            <v>15.21367900866248</v>
          </cell>
          <cell r="CG564">
            <v>22.085252262534414</v>
          </cell>
          <cell r="CH564">
            <v>18.555263085067214</v>
          </cell>
          <cell r="CI564">
            <v>14.926604548033502</v>
          </cell>
          <cell r="CJ564">
            <v>22.183921622100925</v>
          </cell>
          <cell r="CU564">
            <v>8.6261455932959912</v>
          </cell>
          <cell r="CV564">
            <v>13.67289934744978</v>
          </cell>
          <cell r="CW564">
            <v>11.062153668663059</v>
          </cell>
          <cell r="CX564">
            <v>8.6510321273089765</v>
          </cell>
          <cell r="CY564">
            <v>13.473275210017142</v>
          </cell>
        </row>
        <row r="565">
          <cell r="A565">
            <v>40329</v>
          </cell>
          <cell r="CF565">
            <v>15.21367900866248</v>
          </cell>
          <cell r="CG565">
            <v>22.085252262534414</v>
          </cell>
          <cell r="CH565">
            <v>18.555263085067214</v>
          </cell>
          <cell r="CI565">
            <v>14.926604548033502</v>
          </cell>
          <cell r="CJ565">
            <v>22.183921622100925</v>
          </cell>
          <cell r="CU565">
            <v>8.6261455932959912</v>
          </cell>
          <cell r="CV565">
            <v>13.67289934744978</v>
          </cell>
          <cell r="CW565">
            <v>11.062153668663059</v>
          </cell>
          <cell r="CX565">
            <v>8.6510321273089765</v>
          </cell>
          <cell r="CY565">
            <v>13.473275210017142</v>
          </cell>
        </row>
        <row r="566">
          <cell r="A566">
            <v>40330</v>
          </cell>
          <cell r="CF566">
            <v>14.803338631051753</v>
          </cell>
          <cell r="CG566">
            <v>22.085252262534414</v>
          </cell>
          <cell r="CH566">
            <v>18.555263085067214</v>
          </cell>
          <cell r="CI566">
            <v>14.926604548033502</v>
          </cell>
          <cell r="CJ566">
            <v>22.183921622100925</v>
          </cell>
          <cell r="CU566">
            <v>8.424832596106457</v>
          </cell>
          <cell r="CV566">
            <v>13.67289934744978</v>
          </cell>
          <cell r="CW566">
            <v>11.062153668663059</v>
          </cell>
          <cell r="CX566">
            <v>8.6510321273089765</v>
          </cell>
          <cell r="CY566">
            <v>13.473275210017142</v>
          </cell>
        </row>
        <row r="567">
          <cell r="A567">
            <v>40331</v>
          </cell>
          <cell r="CF567">
            <v>15.241401803005008</v>
          </cell>
          <cell r="CG567">
            <v>22.085252262534414</v>
          </cell>
          <cell r="CH567">
            <v>18.555263085067214</v>
          </cell>
          <cell r="CI567">
            <v>14.926604548033502</v>
          </cell>
          <cell r="CJ567">
            <v>22.183921622100925</v>
          </cell>
          <cell r="CU567">
            <v>8.6537901269546218</v>
          </cell>
          <cell r="CV567">
            <v>13.67289934744978</v>
          </cell>
          <cell r="CW567">
            <v>11.062153668663059</v>
          </cell>
          <cell r="CX567">
            <v>8.6510321273089765</v>
          </cell>
          <cell r="CY567">
            <v>13.473275210017142</v>
          </cell>
        </row>
        <row r="568">
          <cell r="A568">
            <v>40332</v>
          </cell>
          <cell r="CF568">
            <v>15.27612367278798</v>
          </cell>
          <cell r="CG568">
            <v>22.085252262534414</v>
          </cell>
          <cell r="CH568">
            <v>18.555263085067214</v>
          </cell>
          <cell r="CI568">
            <v>14.926604548033502</v>
          </cell>
          <cell r="CJ568">
            <v>22.183921622100925</v>
          </cell>
          <cell r="CU568">
            <v>8.6719378145050108</v>
          </cell>
          <cell r="CV568">
            <v>13.67289934744978</v>
          </cell>
          <cell r="CW568">
            <v>11.062153668663059</v>
          </cell>
          <cell r="CX568">
            <v>8.6510321273089765</v>
          </cell>
          <cell r="CY568">
            <v>13.473275210017142</v>
          </cell>
        </row>
        <row r="569">
          <cell r="A569">
            <v>40333</v>
          </cell>
          <cell r="CF569">
            <v>14.691151919866444</v>
          </cell>
          <cell r="CG569">
            <v>22.085252262534414</v>
          </cell>
          <cell r="CH569">
            <v>18.555263085067214</v>
          </cell>
          <cell r="CI569">
            <v>14.926604548033502</v>
          </cell>
          <cell r="CJ569">
            <v>22.183921622100925</v>
          </cell>
          <cell r="CU569">
            <v>8.3661972347442273</v>
          </cell>
          <cell r="CV569">
            <v>13.67289934744978</v>
          </cell>
          <cell r="CW569">
            <v>11.062153668663059</v>
          </cell>
          <cell r="CX569">
            <v>8.6510321273089765</v>
          </cell>
          <cell r="CY569">
            <v>13.473275210017142</v>
          </cell>
        </row>
        <row r="570">
          <cell r="A570">
            <v>40336</v>
          </cell>
          <cell r="CF570">
            <v>14.53889629382304</v>
          </cell>
          <cell r="CG570">
            <v>22.085252262534414</v>
          </cell>
          <cell r="CH570">
            <v>18.555263085067214</v>
          </cell>
          <cell r="CI570">
            <v>14.926604548033502</v>
          </cell>
          <cell r="CJ570">
            <v>22.183921622100925</v>
          </cell>
          <cell r="CU570">
            <v>8.2866195061686803</v>
          </cell>
          <cell r="CV570">
            <v>13.67289934744978</v>
          </cell>
          <cell r="CW570">
            <v>11.062153668663059</v>
          </cell>
          <cell r="CX570">
            <v>8.6510321273089765</v>
          </cell>
          <cell r="CY570">
            <v>13.473275210017142</v>
          </cell>
        </row>
        <row r="571">
          <cell r="A571">
            <v>40337</v>
          </cell>
          <cell r="CF571">
            <v>14.418696761268782</v>
          </cell>
          <cell r="CG571">
            <v>22.085252262534414</v>
          </cell>
          <cell r="CH571">
            <v>18.555263085067214</v>
          </cell>
          <cell r="CI571">
            <v>14.926604548033502</v>
          </cell>
          <cell r="CJ571">
            <v>22.183921622100925</v>
          </cell>
          <cell r="CU571">
            <v>8.2237961739537937</v>
          </cell>
          <cell r="CV571">
            <v>13.67289934744978</v>
          </cell>
          <cell r="CW571">
            <v>11.062153668663059</v>
          </cell>
          <cell r="CX571">
            <v>8.6510321273089765</v>
          </cell>
          <cell r="CY571">
            <v>13.473275210017142</v>
          </cell>
        </row>
        <row r="572">
          <cell r="A572">
            <v>40338</v>
          </cell>
          <cell r="CF572">
            <v>14.37061449081803</v>
          </cell>
          <cell r="CG572">
            <v>22.085252262534414</v>
          </cell>
          <cell r="CH572">
            <v>18.555263085067214</v>
          </cell>
          <cell r="CI572">
            <v>14.926604548033502</v>
          </cell>
          <cell r="CJ572">
            <v>22.183921622100925</v>
          </cell>
          <cell r="CU572">
            <v>8.1986655566711502</v>
          </cell>
          <cell r="CV572">
            <v>13.67289934744978</v>
          </cell>
          <cell r="CW572">
            <v>11.062153668663059</v>
          </cell>
          <cell r="CX572">
            <v>8.6510321273089765</v>
          </cell>
          <cell r="CY572">
            <v>13.473275210017142</v>
          </cell>
        </row>
        <row r="573">
          <cell r="A573">
            <v>40339</v>
          </cell>
          <cell r="CF573">
            <v>14.560265776293825</v>
          </cell>
          <cell r="CG573">
            <v>22.085252262534414</v>
          </cell>
          <cell r="CH573">
            <v>18.555263085067214</v>
          </cell>
          <cell r="CI573">
            <v>14.926604548033502</v>
          </cell>
          <cell r="CJ573">
            <v>22.183921622100925</v>
          </cell>
          <cell r="CU573">
            <v>8.2977884522368885</v>
          </cell>
          <cell r="CV573">
            <v>13.67289934744978</v>
          </cell>
          <cell r="CW573">
            <v>11.062153668663059</v>
          </cell>
          <cell r="CX573">
            <v>8.6510321273089765</v>
          </cell>
          <cell r="CY573">
            <v>13.473275210017142</v>
          </cell>
        </row>
        <row r="574">
          <cell r="A574">
            <v>40340</v>
          </cell>
          <cell r="CF574">
            <v>14.709847879799666</v>
          </cell>
          <cell r="CG574">
            <v>22.085252262534414</v>
          </cell>
          <cell r="CH574">
            <v>18.555263085067214</v>
          </cell>
          <cell r="CI574">
            <v>14.926604548033502</v>
          </cell>
          <cell r="CJ574">
            <v>22.183921622100925</v>
          </cell>
          <cell r="CU574">
            <v>8.3759688409809705</v>
          </cell>
          <cell r="CV574">
            <v>13.67289934744978</v>
          </cell>
          <cell r="CW574">
            <v>11.062153668663059</v>
          </cell>
          <cell r="CX574">
            <v>8.6510321273089765</v>
          </cell>
          <cell r="CY574">
            <v>13.473275210017142</v>
          </cell>
        </row>
        <row r="575">
          <cell r="A575">
            <v>40343</v>
          </cell>
          <cell r="CF575">
            <v>14.888812287145244</v>
          </cell>
          <cell r="CG575">
            <v>22.085252262534414</v>
          </cell>
          <cell r="CH575">
            <v>18.555263085067214</v>
          </cell>
          <cell r="CI575">
            <v>14.926604548033502</v>
          </cell>
          <cell r="CJ575">
            <v>22.183921622100925</v>
          </cell>
          <cell r="CU575">
            <v>8.4695061466459194</v>
          </cell>
          <cell r="CV575">
            <v>13.67289934744978</v>
          </cell>
          <cell r="CW575">
            <v>11.062153668663059</v>
          </cell>
          <cell r="CX575">
            <v>8.6510321273089765</v>
          </cell>
          <cell r="CY575">
            <v>13.473275210017142</v>
          </cell>
        </row>
        <row r="576">
          <cell r="A576">
            <v>40344</v>
          </cell>
          <cell r="CF576">
            <v>14.933510457734714</v>
          </cell>
          <cell r="CG576">
            <v>22.085252262534414</v>
          </cell>
          <cell r="CH576">
            <v>18.555263085067214</v>
          </cell>
          <cell r="CI576">
            <v>14.926604548033502</v>
          </cell>
          <cell r="CJ576">
            <v>22.183921622100925</v>
          </cell>
          <cell r="CU576">
            <v>8.4841236556273714</v>
          </cell>
          <cell r="CV576">
            <v>13.67289934744978</v>
          </cell>
          <cell r="CW576">
            <v>11.062153668663059</v>
          </cell>
          <cell r="CX576">
            <v>8.6510321273089765</v>
          </cell>
          <cell r="CY576">
            <v>13.473275210017142</v>
          </cell>
        </row>
        <row r="577">
          <cell r="A577">
            <v>40345</v>
          </cell>
          <cell r="CF577">
            <v>14.938857333778818</v>
          </cell>
          <cell r="CG577">
            <v>22.085252262534414</v>
          </cell>
          <cell r="CH577">
            <v>18.555263085067214</v>
          </cell>
          <cell r="CI577">
            <v>14.926604548033502</v>
          </cell>
          <cell r="CJ577">
            <v>22.183921622100925</v>
          </cell>
          <cell r="CU577">
            <v>8.4869152185367138</v>
          </cell>
          <cell r="CV577">
            <v>13.67289934744978</v>
          </cell>
          <cell r="CW577">
            <v>11.062153668663059</v>
          </cell>
          <cell r="CX577">
            <v>8.6510321273089765</v>
          </cell>
          <cell r="CY577">
            <v>13.473275210017142</v>
          </cell>
        </row>
        <row r="578">
          <cell r="A578">
            <v>40346</v>
          </cell>
          <cell r="CF578">
            <v>14.944200200467758</v>
          </cell>
          <cell r="CG578">
            <v>22.085252262534414</v>
          </cell>
          <cell r="CH578">
            <v>18.555263085067214</v>
          </cell>
          <cell r="CI578">
            <v>14.926604548033502</v>
          </cell>
          <cell r="CJ578">
            <v>22.183921622100925</v>
          </cell>
          <cell r="CU578">
            <v>8.4897046881925267</v>
          </cell>
          <cell r="CV578">
            <v>13.67289934744978</v>
          </cell>
          <cell r="CW578">
            <v>11.062153668663059</v>
          </cell>
          <cell r="CX578">
            <v>8.6510321273089765</v>
          </cell>
          <cell r="CY578">
            <v>13.473275210017142</v>
          </cell>
        </row>
        <row r="579">
          <cell r="A579">
            <v>40347</v>
          </cell>
          <cell r="CF579">
            <v>15.080520948880721</v>
          </cell>
          <cell r="CG579">
            <v>22.085252262534414</v>
          </cell>
          <cell r="CH579">
            <v>18.555263085067214</v>
          </cell>
          <cell r="CI579">
            <v>14.926604548033502</v>
          </cell>
          <cell r="CJ579">
            <v>22.183921622100925</v>
          </cell>
          <cell r="CU579">
            <v>8.5608767037591154</v>
          </cell>
          <cell r="CV579">
            <v>13.67289934744978</v>
          </cell>
          <cell r="CW579">
            <v>11.062153668663059</v>
          </cell>
          <cell r="CX579">
            <v>8.6510321273089765</v>
          </cell>
          <cell r="CY579">
            <v>13.473275210017142</v>
          </cell>
        </row>
        <row r="580">
          <cell r="A580">
            <v>40350</v>
          </cell>
          <cell r="CF580">
            <v>15.184763915803542</v>
          </cell>
          <cell r="CG580">
            <v>22.085252262534414</v>
          </cell>
          <cell r="CH580">
            <v>18.555263085067214</v>
          </cell>
          <cell r="CI580">
            <v>14.926604548033502</v>
          </cell>
          <cell r="CJ580">
            <v>22.183921622100925</v>
          </cell>
          <cell r="CU580">
            <v>8.6153011560227064</v>
          </cell>
          <cell r="CV580">
            <v>13.67289934744978</v>
          </cell>
          <cell r="CW580">
            <v>11.062153668663059</v>
          </cell>
          <cell r="CX580">
            <v>8.6510321273089765</v>
          </cell>
          <cell r="CY580">
            <v>13.473275210017142</v>
          </cell>
        </row>
        <row r="581">
          <cell r="A581">
            <v>40351</v>
          </cell>
          <cell r="CF581">
            <v>15.125959772803206</v>
          </cell>
          <cell r="CG581">
            <v>22.085252262534414</v>
          </cell>
          <cell r="CH581">
            <v>18.555263085067214</v>
          </cell>
          <cell r="CI581">
            <v>14.926604548033502</v>
          </cell>
          <cell r="CJ581">
            <v>22.183921622100925</v>
          </cell>
          <cell r="CU581">
            <v>8.5845999646800557</v>
          </cell>
          <cell r="CV581">
            <v>13.67289934744978</v>
          </cell>
          <cell r="CW581">
            <v>11.062153668663059</v>
          </cell>
          <cell r="CX581">
            <v>8.6510321273089765</v>
          </cell>
          <cell r="CY581">
            <v>13.473275210017142</v>
          </cell>
        </row>
        <row r="582">
          <cell r="A582">
            <v>40352</v>
          </cell>
          <cell r="CF582">
            <v>15.093881991313063</v>
          </cell>
          <cell r="CG582">
            <v>22.085252262534414</v>
          </cell>
          <cell r="CH582">
            <v>18.555263085067214</v>
          </cell>
          <cell r="CI582">
            <v>14.926604548033502</v>
          </cell>
          <cell r="CJ582">
            <v>22.183921622100925</v>
          </cell>
          <cell r="CU582">
            <v>8.5678524013770581</v>
          </cell>
          <cell r="CV582">
            <v>13.67289934744978</v>
          </cell>
          <cell r="CW582">
            <v>11.062153668663059</v>
          </cell>
          <cell r="CX582">
            <v>8.6510321273089765</v>
          </cell>
          <cell r="CY582">
            <v>13.473275210017142</v>
          </cell>
        </row>
        <row r="583">
          <cell r="A583">
            <v>40353</v>
          </cell>
          <cell r="CF583">
            <v>14.839957233544938</v>
          </cell>
          <cell r="CG583">
            <v>22.085252262534414</v>
          </cell>
          <cell r="CH583">
            <v>18.555263085067214</v>
          </cell>
          <cell r="CI583">
            <v>14.926604548033502</v>
          </cell>
          <cell r="CJ583">
            <v>22.183921622100925</v>
          </cell>
          <cell r="CU583">
            <v>8.4352802359289356</v>
          </cell>
          <cell r="CV583">
            <v>13.67289934744978</v>
          </cell>
          <cell r="CW583">
            <v>11.062153668663059</v>
          </cell>
          <cell r="CX583">
            <v>8.6510321273089765</v>
          </cell>
          <cell r="CY583">
            <v>13.473275210017142</v>
          </cell>
        </row>
        <row r="584">
          <cell r="A584">
            <v>40354</v>
          </cell>
          <cell r="CF584">
            <v>14.893414233210825</v>
          </cell>
          <cell r="CG584">
            <v>22.085252262534414</v>
          </cell>
          <cell r="CH584">
            <v>18.555263085067214</v>
          </cell>
          <cell r="CI584">
            <v>14.926604548033502</v>
          </cell>
          <cell r="CJ584">
            <v>22.183921622100925</v>
          </cell>
          <cell r="CU584">
            <v>8.4631897248120058</v>
          </cell>
          <cell r="CV584">
            <v>13.67289934744978</v>
          </cell>
          <cell r="CW584">
            <v>11.062153668663059</v>
          </cell>
          <cell r="CX584">
            <v>8.6510321273089765</v>
          </cell>
          <cell r="CY584">
            <v>13.473275210017142</v>
          </cell>
        </row>
        <row r="585">
          <cell r="A585">
            <v>40357</v>
          </cell>
          <cell r="CF585">
            <v>15.166051720681592</v>
          </cell>
          <cell r="CG585">
            <v>22.085252262534414</v>
          </cell>
          <cell r="CH585">
            <v>18.555263085067214</v>
          </cell>
          <cell r="CI585">
            <v>14.926604548033502</v>
          </cell>
          <cell r="CJ585">
            <v>22.183921622100925</v>
          </cell>
          <cell r="CU585">
            <v>8.6055316626916536</v>
          </cell>
          <cell r="CV585">
            <v>13.67289934744978</v>
          </cell>
          <cell r="CW585">
            <v>11.062153668663059</v>
          </cell>
          <cell r="CX585">
            <v>8.6510321273089765</v>
          </cell>
          <cell r="CY585">
            <v>13.473275210017142</v>
          </cell>
        </row>
        <row r="586">
          <cell r="A586">
            <v>40358</v>
          </cell>
          <cell r="CF586">
            <v>14.783828399599065</v>
          </cell>
          <cell r="CG586">
            <v>22.085252262534414</v>
          </cell>
          <cell r="CH586">
            <v>18.555263085067214</v>
          </cell>
          <cell r="CI586">
            <v>14.926604548033502</v>
          </cell>
          <cell r="CJ586">
            <v>22.183921622100925</v>
          </cell>
          <cell r="CU586">
            <v>8.4059758028926055</v>
          </cell>
          <cell r="CV586">
            <v>13.67289934744978</v>
          </cell>
          <cell r="CW586">
            <v>11.062153668663059</v>
          </cell>
          <cell r="CX586">
            <v>8.6510321273089765</v>
          </cell>
          <cell r="CY586">
            <v>13.473275210017142</v>
          </cell>
        </row>
        <row r="587">
          <cell r="A587">
            <v>40359</v>
          </cell>
          <cell r="CF587">
            <v>14.674238289341798</v>
          </cell>
          <cell r="CG587">
            <v>22.085252262534414</v>
          </cell>
          <cell r="CH587">
            <v>18.555263085067214</v>
          </cell>
          <cell r="CI587">
            <v>14.926604548033502</v>
          </cell>
          <cell r="CJ587">
            <v>22.183921622100925</v>
          </cell>
          <cell r="CU587">
            <v>8.3487596481694357</v>
          </cell>
          <cell r="CV587">
            <v>13.67289934744978</v>
          </cell>
          <cell r="CW587">
            <v>11.062153668663059</v>
          </cell>
          <cell r="CX587">
            <v>8.6510321273089765</v>
          </cell>
          <cell r="CY587">
            <v>13.473275210017142</v>
          </cell>
        </row>
        <row r="588">
          <cell r="A588">
            <v>40360</v>
          </cell>
          <cell r="CF588">
            <v>14.437332936783903</v>
          </cell>
          <cell r="CG588">
            <v>22.085252262534414</v>
          </cell>
          <cell r="CH588">
            <v>18.555263085067214</v>
          </cell>
          <cell r="CI588">
            <v>14.926604548033502</v>
          </cell>
          <cell r="CJ588">
            <v>22.183921622100925</v>
          </cell>
          <cell r="CU588">
            <v>8.2337689874441811</v>
          </cell>
          <cell r="CV588">
            <v>13.67289934744978</v>
          </cell>
          <cell r="CW588">
            <v>11.062153668663059</v>
          </cell>
          <cell r="CX588">
            <v>8.6510321273089765</v>
          </cell>
          <cell r="CY588">
            <v>13.473275210017142</v>
          </cell>
        </row>
        <row r="589">
          <cell r="A589">
            <v>40361</v>
          </cell>
          <cell r="CF589">
            <v>14.363200553525168</v>
          </cell>
          <cell r="CG589">
            <v>22.085252262534414</v>
          </cell>
          <cell r="CH589">
            <v>18.555263085067214</v>
          </cell>
          <cell r="CI589">
            <v>14.926604548033502</v>
          </cell>
          <cell r="CJ589">
            <v>22.183921622100925</v>
          </cell>
          <cell r="CU589">
            <v>8.1949934338708168</v>
          </cell>
          <cell r="CV589">
            <v>13.67289934744978</v>
          </cell>
          <cell r="CW589">
            <v>11.062153668663059</v>
          </cell>
          <cell r="CX589">
            <v>8.6510321273089765</v>
          </cell>
          <cell r="CY589">
            <v>13.473275210017142</v>
          </cell>
        </row>
        <row r="590">
          <cell r="A590">
            <v>40364</v>
          </cell>
          <cell r="CF590">
            <v>14.363200553525168</v>
          </cell>
          <cell r="CG590">
            <v>22.085252262534414</v>
          </cell>
          <cell r="CH590">
            <v>18.555263085067214</v>
          </cell>
          <cell r="CI590">
            <v>14.926604548033502</v>
          </cell>
          <cell r="CJ590">
            <v>22.183921622100925</v>
          </cell>
          <cell r="CU590">
            <v>8.1949934338708168</v>
          </cell>
          <cell r="CV590">
            <v>13.67289934744978</v>
          </cell>
          <cell r="CW590">
            <v>11.062153668663059</v>
          </cell>
          <cell r="CX590">
            <v>8.6510321273089765</v>
          </cell>
          <cell r="CY590">
            <v>13.473275210017142</v>
          </cell>
        </row>
        <row r="591">
          <cell r="A591">
            <v>40365</v>
          </cell>
          <cell r="CF591">
            <v>14.342019532189083</v>
          </cell>
          <cell r="CG591">
            <v>22.085252262534414</v>
          </cell>
          <cell r="CH591">
            <v>18.555263085067214</v>
          </cell>
          <cell r="CI591">
            <v>14.926604548033502</v>
          </cell>
          <cell r="CJ591">
            <v>22.183921622100925</v>
          </cell>
          <cell r="CU591">
            <v>8.1839145262267792</v>
          </cell>
          <cell r="CV591">
            <v>13.67289934744978</v>
          </cell>
          <cell r="CW591">
            <v>11.062153668663059</v>
          </cell>
          <cell r="CX591">
            <v>8.6510321273089765</v>
          </cell>
          <cell r="CY591">
            <v>13.473275210017142</v>
          </cell>
        </row>
        <row r="592">
          <cell r="A592">
            <v>40366</v>
          </cell>
          <cell r="CF592">
            <v>14.4902840339471</v>
          </cell>
          <cell r="CG592">
            <v>22.085252262534414</v>
          </cell>
          <cell r="CH592">
            <v>18.555263085067214</v>
          </cell>
          <cell r="CI592">
            <v>14.926604548033502</v>
          </cell>
          <cell r="CJ592">
            <v>22.183921622100925</v>
          </cell>
          <cell r="CU592">
            <v>8.2614654948888955</v>
          </cell>
          <cell r="CV592">
            <v>13.67289934744978</v>
          </cell>
          <cell r="CW592">
            <v>11.062153668663059</v>
          </cell>
          <cell r="CX592">
            <v>8.6510321273089765</v>
          </cell>
          <cell r="CY592">
            <v>13.473275210017142</v>
          </cell>
        </row>
        <row r="593">
          <cell r="A593">
            <v>40367</v>
          </cell>
          <cell r="CF593">
            <v>14.540589125094961</v>
          </cell>
          <cell r="CG593">
            <v>22.085252262534414</v>
          </cell>
          <cell r="CH593">
            <v>18.555263085067214</v>
          </cell>
          <cell r="CI593">
            <v>14.926604548033502</v>
          </cell>
          <cell r="CJ593">
            <v>22.183921622100925</v>
          </cell>
          <cell r="CU593">
            <v>8.2877779870963675</v>
          </cell>
          <cell r="CV593">
            <v>13.67289934744978</v>
          </cell>
          <cell r="CW593">
            <v>11.062153668663059</v>
          </cell>
          <cell r="CX593">
            <v>8.6510321273089765</v>
          </cell>
          <cell r="CY593">
            <v>13.473275210017142</v>
          </cell>
        </row>
        <row r="594">
          <cell r="A594">
            <v>40368</v>
          </cell>
          <cell r="CF594">
            <v>14.522053845014756</v>
          </cell>
          <cell r="CG594">
            <v>22.085252262534414</v>
          </cell>
          <cell r="CH594">
            <v>18.555263085067214</v>
          </cell>
          <cell r="CI594">
            <v>14.926604548033502</v>
          </cell>
          <cell r="CJ594">
            <v>22.183921622100925</v>
          </cell>
          <cell r="CU594">
            <v>8.2780829562049583</v>
          </cell>
          <cell r="CV594">
            <v>13.67289934744978</v>
          </cell>
          <cell r="CW594">
            <v>11.062153668663059</v>
          </cell>
          <cell r="CX594">
            <v>8.6510321273089765</v>
          </cell>
          <cell r="CY594">
            <v>13.473275210017142</v>
          </cell>
        </row>
        <row r="595">
          <cell r="A595">
            <v>40371</v>
          </cell>
          <cell r="CF595">
            <v>14.49822655290388</v>
          </cell>
          <cell r="CG595">
            <v>22.085252262534414</v>
          </cell>
          <cell r="CH595">
            <v>18.555263085067214</v>
          </cell>
          <cell r="CI595">
            <v>14.926604548033502</v>
          </cell>
          <cell r="CJ595">
            <v>22.183921622100925</v>
          </cell>
          <cell r="CU595">
            <v>8.2656198948390642</v>
          </cell>
          <cell r="CV595">
            <v>13.67289934744978</v>
          </cell>
          <cell r="CW595">
            <v>11.062153668663059</v>
          </cell>
          <cell r="CX595">
            <v>8.6510321273089765</v>
          </cell>
          <cell r="CY595">
            <v>13.473275210017142</v>
          </cell>
        </row>
        <row r="596">
          <cell r="A596">
            <v>40372</v>
          </cell>
          <cell r="CF596">
            <v>14.829175874413677</v>
          </cell>
          <cell r="CG596">
            <v>22.085252262534414</v>
          </cell>
          <cell r="CH596">
            <v>18.555263085067214</v>
          </cell>
          <cell r="CI596">
            <v>14.926604548033502</v>
          </cell>
          <cell r="CJ596">
            <v>22.183921622100925</v>
          </cell>
          <cell r="CU596">
            <v>8.4387256629550471</v>
          </cell>
          <cell r="CV596">
            <v>13.67289934744978</v>
          </cell>
          <cell r="CW596">
            <v>11.062153668663059</v>
          </cell>
          <cell r="CX596">
            <v>8.6510321273089765</v>
          </cell>
          <cell r="CY596">
            <v>13.473275210017142</v>
          </cell>
        </row>
        <row r="597">
          <cell r="A597">
            <v>40373</v>
          </cell>
          <cell r="CF597">
            <v>14.723269708695424</v>
          </cell>
          <cell r="CG597">
            <v>22.085252262534414</v>
          </cell>
          <cell r="CH597">
            <v>18.555263085067214</v>
          </cell>
          <cell r="CI597">
            <v>14.926604548033502</v>
          </cell>
          <cell r="CJ597">
            <v>22.183921622100925</v>
          </cell>
          <cell r="CU597">
            <v>8.3833305707964012</v>
          </cell>
          <cell r="CV597">
            <v>13.67289934744978</v>
          </cell>
          <cell r="CW597">
            <v>11.062153668663059</v>
          </cell>
          <cell r="CX597">
            <v>8.6510321273089765</v>
          </cell>
          <cell r="CY597">
            <v>13.473275210017142</v>
          </cell>
        </row>
        <row r="598">
          <cell r="A598">
            <v>40374</v>
          </cell>
          <cell r="CF598">
            <v>14.725919950862076</v>
          </cell>
          <cell r="CG598">
            <v>22.085252262534414</v>
          </cell>
          <cell r="CH598">
            <v>18.555263085067214</v>
          </cell>
          <cell r="CI598">
            <v>14.926604548033502</v>
          </cell>
          <cell r="CJ598">
            <v>22.183921622100925</v>
          </cell>
          <cell r="CU598">
            <v>8.3847168017874765</v>
          </cell>
          <cell r="CV598">
            <v>13.67289934744978</v>
          </cell>
          <cell r="CW598">
            <v>11.062153668663059</v>
          </cell>
          <cell r="CX598">
            <v>8.6510321273089765</v>
          </cell>
          <cell r="CY598">
            <v>13.473275210017142</v>
          </cell>
        </row>
        <row r="599">
          <cell r="A599">
            <v>40375</v>
          </cell>
          <cell r="CF599">
            <v>14.122268653187664</v>
          </cell>
          <cell r="CG599">
            <v>22.085252262534414</v>
          </cell>
          <cell r="CH599">
            <v>18.555263085067214</v>
          </cell>
          <cell r="CI599">
            <v>14.926604548033502</v>
          </cell>
          <cell r="CJ599">
            <v>22.183921622100925</v>
          </cell>
          <cell r="CU599">
            <v>8.0689720192285392</v>
          </cell>
          <cell r="CV599">
            <v>13.67289934744978</v>
          </cell>
          <cell r="CW599">
            <v>11.062153668663059</v>
          </cell>
          <cell r="CX599">
            <v>8.6510321273089765</v>
          </cell>
          <cell r="CY599">
            <v>13.473275210017142</v>
          </cell>
        </row>
        <row r="600">
          <cell r="A600">
            <v>40378</v>
          </cell>
          <cell r="CF600">
            <v>13.924538017345885</v>
          </cell>
          <cell r="CG600">
            <v>22.085252262534414</v>
          </cell>
          <cell r="CH600">
            <v>18.555263085067214</v>
          </cell>
          <cell r="CI600">
            <v>14.926604548033502</v>
          </cell>
          <cell r="CJ600">
            <v>22.183921622100925</v>
          </cell>
          <cell r="CU600">
            <v>7.9623383121306368</v>
          </cell>
          <cell r="CV600">
            <v>13.67289934744978</v>
          </cell>
          <cell r="CW600">
            <v>11.062153668663059</v>
          </cell>
          <cell r="CX600">
            <v>8.6510321273089765</v>
          </cell>
          <cell r="CY600">
            <v>13.473275210017142</v>
          </cell>
        </row>
        <row r="601">
          <cell r="A601">
            <v>40379</v>
          </cell>
          <cell r="CF601">
            <v>13.762963293241985</v>
          </cell>
          <cell r="CG601">
            <v>22.085252262534414</v>
          </cell>
          <cell r="CH601">
            <v>18.555263085067214</v>
          </cell>
          <cell r="CI601">
            <v>14.926604548033502</v>
          </cell>
          <cell r="CJ601">
            <v>22.183921622100925</v>
          </cell>
          <cell r="CU601">
            <v>7.8778625588054254</v>
          </cell>
          <cell r="CV601">
            <v>13.67289934744978</v>
          </cell>
          <cell r="CW601">
            <v>11.062153668663059</v>
          </cell>
          <cell r="CX601">
            <v>8.6510321273089765</v>
          </cell>
          <cell r="CY601">
            <v>13.473275210017142</v>
          </cell>
        </row>
        <row r="602">
          <cell r="A602">
            <v>40380</v>
          </cell>
          <cell r="CF602">
            <v>13.588143966376174</v>
          </cell>
          <cell r="CG602">
            <v>22.085252262534414</v>
          </cell>
          <cell r="CH602">
            <v>18.555263085067214</v>
          </cell>
          <cell r="CI602">
            <v>14.926604548033502</v>
          </cell>
          <cell r="CJ602">
            <v>22.183921622100925</v>
          </cell>
          <cell r="CU602">
            <v>7.7864621593017285</v>
          </cell>
          <cell r="CV602">
            <v>13.67289934744978</v>
          </cell>
          <cell r="CW602">
            <v>11.062153668663059</v>
          </cell>
          <cell r="CX602">
            <v>8.6510321273089765</v>
          </cell>
          <cell r="CY602">
            <v>13.473275210017142</v>
          </cell>
        </row>
        <row r="603">
          <cell r="A603">
            <v>40381</v>
          </cell>
          <cell r="CF603">
            <v>13.989104119700961</v>
          </cell>
          <cell r="CG603">
            <v>22.085252262534414</v>
          </cell>
          <cell r="CH603">
            <v>18.555263085067214</v>
          </cell>
          <cell r="CI603">
            <v>14.926604548033502</v>
          </cell>
          <cell r="CJ603">
            <v>22.183921622100925</v>
          </cell>
          <cell r="CU603">
            <v>7.9900348195753503</v>
          </cell>
          <cell r="CV603">
            <v>13.67289934744978</v>
          </cell>
          <cell r="CW603">
            <v>11.062153668663059</v>
          </cell>
          <cell r="CX603">
            <v>8.6510321273089765</v>
          </cell>
          <cell r="CY603">
            <v>13.473275210017142</v>
          </cell>
        </row>
        <row r="604">
          <cell r="A604">
            <v>40382</v>
          </cell>
          <cell r="CF604">
            <v>13.922830163046331</v>
          </cell>
          <cell r="CG604">
            <v>22.085252262534414</v>
          </cell>
          <cell r="CH604">
            <v>18.555263085067214</v>
          </cell>
          <cell r="CI604">
            <v>14.926604548033502</v>
          </cell>
          <cell r="CJ604">
            <v>22.183921622100925</v>
          </cell>
          <cell r="CU604">
            <v>7.9666073621547113</v>
          </cell>
          <cell r="CV604">
            <v>13.67289934744978</v>
          </cell>
          <cell r="CW604">
            <v>11.062153668663059</v>
          </cell>
          <cell r="CX604">
            <v>8.6510321273089765</v>
          </cell>
          <cell r="CY604">
            <v>13.473275210017142</v>
          </cell>
        </row>
        <row r="605">
          <cell r="A605">
            <v>40385</v>
          </cell>
          <cell r="CF605">
            <v>14.198531943496203</v>
          </cell>
          <cell r="CG605">
            <v>22.085252262534414</v>
          </cell>
          <cell r="CH605">
            <v>18.555263085067214</v>
          </cell>
          <cell r="CI605">
            <v>14.926604548033502</v>
          </cell>
          <cell r="CJ605">
            <v>22.183921622100925</v>
          </cell>
          <cell r="CU605">
            <v>8.1108541282019306</v>
          </cell>
          <cell r="CV605">
            <v>13.67289934744978</v>
          </cell>
          <cell r="CW605">
            <v>11.062153668663059</v>
          </cell>
          <cell r="CX605">
            <v>8.6510321273089765</v>
          </cell>
          <cell r="CY605">
            <v>13.473275210017142</v>
          </cell>
        </row>
        <row r="606">
          <cell r="A606">
            <v>40386</v>
          </cell>
          <cell r="CF606">
            <v>14.158765183640988</v>
          </cell>
          <cell r="CG606">
            <v>22.085252262534414</v>
          </cell>
          <cell r="CH606">
            <v>18.555263085067214</v>
          </cell>
          <cell r="CI606">
            <v>14.926604548033502</v>
          </cell>
          <cell r="CJ606">
            <v>22.183921622100925</v>
          </cell>
          <cell r="CU606">
            <v>8.0897805306799935</v>
          </cell>
          <cell r="CV606">
            <v>13.67289934744978</v>
          </cell>
          <cell r="CW606">
            <v>11.062153668663059</v>
          </cell>
          <cell r="CX606">
            <v>8.6510321273089765</v>
          </cell>
          <cell r="CY606">
            <v>13.473275210017142</v>
          </cell>
        </row>
        <row r="607">
          <cell r="A607">
            <v>40387</v>
          </cell>
          <cell r="CF607">
            <v>13.925483507174954</v>
          </cell>
          <cell r="CG607">
            <v>22.085252262534414</v>
          </cell>
          <cell r="CH607">
            <v>18.555263085067214</v>
          </cell>
          <cell r="CI607">
            <v>14.926604548033502</v>
          </cell>
          <cell r="CJ607">
            <v>22.183921622100925</v>
          </cell>
          <cell r="CU607">
            <v>7.9677319391821992</v>
          </cell>
          <cell r="CV607">
            <v>13.67289934744978</v>
          </cell>
          <cell r="CW607">
            <v>11.062153668663059</v>
          </cell>
          <cell r="CX607">
            <v>8.6510321273089765</v>
          </cell>
          <cell r="CY607">
            <v>13.473275210017142</v>
          </cell>
        </row>
        <row r="608">
          <cell r="A608">
            <v>40388</v>
          </cell>
          <cell r="CF608">
            <v>13.689548486580302</v>
          </cell>
          <cell r="CG608">
            <v>22.085252262534414</v>
          </cell>
          <cell r="CH608">
            <v>18.555263085067214</v>
          </cell>
          <cell r="CI608">
            <v>14.926604548033502</v>
          </cell>
          <cell r="CJ608">
            <v>22.183921622100925</v>
          </cell>
          <cell r="CU608">
            <v>7.8442951678729305</v>
          </cell>
          <cell r="CV608">
            <v>13.67289934744978</v>
          </cell>
          <cell r="CW608">
            <v>11.062153668663059</v>
          </cell>
          <cell r="CX608">
            <v>8.6510321273089765</v>
          </cell>
          <cell r="CY608">
            <v>13.473275210017142</v>
          </cell>
        </row>
        <row r="609">
          <cell r="A609">
            <v>40389</v>
          </cell>
          <cell r="CF609">
            <v>13.919997613261021</v>
          </cell>
          <cell r="CG609">
            <v>22.085252262534414</v>
          </cell>
          <cell r="CH609">
            <v>18.555263085067214</v>
          </cell>
          <cell r="CI609">
            <v>14.926604548033502</v>
          </cell>
          <cell r="CJ609">
            <v>22.183921622100925</v>
          </cell>
          <cell r="CU609">
            <v>7.9621690255471114</v>
          </cell>
          <cell r="CV609">
            <v>13.67289934744978</v>
          </cell>
          <cell r="CW609">
            <v>11.062153668663059</v>
          </cell>
          <cell r="CX609">
            <v>8.6510321273089765</v>
          </cell>
          <cell r="CY609">
            <v>13.473275210017142</v>
          </cell>
        </row>
        <row r="610">
          <cell r="A610">
            <v>40392</v>
          </cell>
          <cell r="CF610">
            <v>14.001027670894397</v>
          </cell>
          <cell r="CG610">
            <v>22.085252262534414</v>
          </cell>
          <cell r="CH610">
            <v>18.555263085067214</v>
          </cell>
          <cell r="CI610">
            <v>14.926604548033502</v>
          </cell>
          <cell r="CJ610">
            <v>22.183921622100925</v>
          </cell>
          <cell r="CU610">
            <v>8.1269486296955264</v>
          </cell>
          <cell r="CV610">
            <v>13.67289934744978</v>
          </cell>
          <cell r="CW610">
            <v>11.062153668663059</v>
          </cell>
          <cell r="CX610">
            <v>8.6510321273089765</v>
          </cell>
          <cell r="CY610">
            <v>13.473275210017142</v>
          </cell>
        </row>
        <row r="611">
          <cell r="A611">
            <v>40393</v>
          </cell>
          <cell r="CF611">
            <v>14.075418433025424</v>
          </cell>
          <cell r="CG611">
            <v>22.085252262534414</v>
          </cell>
          <cell r="CH611">
            <v>18.555263085067214</v>
          </cell>
          <cell r="CI611">
            <v>14.926604548033502</v>
          </cell>
          <cell r="CJ611">
            <v>22.183921622100925</v>
          </cell>
          <cell r="CU611">
            <v>8.1252876798513967</v>
          </cell>
          <cell r="CV611">
            <v>13.67289934744978</v>
          </cell>
          <cell r="CW611">
            <v>11.062153668663059</v>
          </cell>
          <cell r="CX611">
            <v>8.6510321273089765</v>
          </cell>
          <cell r="CY611">
            <v>13.473275210017142</v>
          </cell>
        </row>
        <row r="612">
          <cell r="A612">
            <v>40394</v>
          </cell>
          <cell r="CF612">
            <v>14.314386515608254</v>
          </cell>
          <cell r="CG612">
            <v>22.085252262534414</v>
          </cell>
          <cell r="CH612">
            <v>18.555263085067214</v>
          </cell>
          <cell r="CI612">
            <v>14.926604548033502</v>
          </cell>
          <cell r="CJ612">
            <v>22.183921622100925</v>
          </cell>
          <cell r="CU612">
            <v>8.2373198772131371</v>
          </cell>
          <cell r="CV612">
            <v>13.67289934744978</v>
          </cell>
          <cell r="CW612">
            <v>11.062153668663059</v>
          </cell>
          <cell r="CX612">
            <v>8.6510321273089765</v>
          </cell>
          <cell r="CY612">
            <v>13.473275210017142</v>
          </cell>
        </row>
        <row r="613">
          <cell r="A613">
            <v>40395</v>
          </cell>
          <cell r="CF613">
            <v>14.313481697587269</v>
          </cell>
          <cell r="CG613">
            <v>22.085252262534414</v>
          </cell>
          <cell r="CH613">
            <v>18.555263085067214</v>
          </cell>
          <cell r="CI613">
            <v>14.926604548033502</v>
          </cell>
          <cell r="CJ613">
            <v>22.183921622100925</v>
          </cell>
          <cell r="CU613">
            <v>8.2482068263829316</v>
          </cell>
          <cell r="CV613">
            <v>13.67289934744978</v>
          </cell>
          <cell r="CW613">
            <v>11.062153668663059</v>
          </cell>
          <cell r="CX613">
            <v>8.6510321273089765</v>
          </cell>
          <cell r="CY613">
            <v>13.473275210017142</v>
          </cell>
        </row>
        <row r="614">
          <cell r="A614">
            <v>40396</v>
          </cell>
          <cell r="CF614">
            <v>14.287260152811424</v>
          </cell>
          <cell r="CG614">
            <v>22.085252262534414</v>
          </cell>
          <cell r="CH614">
            <v>18.555263085067214</v>
          </cell>
          <cell r="CI614">
            <v>14.926604548033502</v>
          </cell>
          <cell r="CJ614">
            <v>22.183921622100925</v>
          </cell>
          <cell r="CU614">
            <v>8.2345976636285663</v>
          </cell>
          <cell r="CV614">
            <v>13.67289934744978</v>
          </cell>
          <cell r="CW614">
            <v>11.062153668663059</v>
          </cell>
          <cell r="CX614">
            <v>8.6510321273089765</v>
          </cell>
          <cell r="CY614">
            <v>13.473275210017142</v>
          </cell>
        </row>
        <row r="615">
          <cell r="A615">
            <v>40399</v>
          </cell>
          <cell r="CF615">
            <v>14.204705986158384</v>
          </cell>
          <cell r="CG615">
            <v>22.085252262534414</v>
          </cell>
          <cell r="CH615">
            <v>18.555263085067214</v>
          </cell>
          <cell r="CI615">
            <v>14.926604548033502</v>
          </cell>
          <cell r="CJ615">
            <v>22.183921622100925</v>
          </cell>
          <cell r="CU615">
            <v>8.1951342759939312</v>
          </cell>
          <cell r="CV615">
            <v>13.67289934744978</v>
          </cell>
          <cell r="CW615">
            <v>11.062153668663059</v>
          </cell>
          <cell r="CX615">
            <v>8.6510321273089765</v>
          </cell>
          <cell r="CY615">
            <v>13.473275210017142</v>
          </cell>
        </row>
        <row r="616">
          <cell r="A616">
            <v>40400</v>
          </cell>
          <cell r="CF616">
            <v>14.380298962778291</v>
          </cell>
          <cell r="CG616">
            <v>22.085252262534414</v>
          </cell>
          <cell r="CH616">
            <v>18.555263085067214</v>
          </cell>
          <cell r="CI616">
            <v>14.926604548033502</v>
          </cell>
          <cell r="CJ616">
            <v>22.183921622100925</v>
          </cell>
          <cell r="CU616">
            <v>8.2914266921590691</v>
          </cell>
          <cell r="CV616">
            <v>13.67289934744978</v>
          </cell>
          <cell r="CW616">
            <v>11.062153668663059</v>
          </cell>
          <cell r="CX616">
            <v>8.6510321273089765</v>
          </cell>
          <cell r="CY616">
            <v>13.473275210017142</v>
          </cell>
        </row>
        <row r="617">
          <cell r="A617">
            <v>40401</v>
          </cell>
          <cell r="CF617">
            <v>14.264983213811966</v>
          </cell>
          <cell r="CG617">
            <v>22.085252262534414</v>
          </cell>
          <cell r="CH617">
            <v>18.555263085067214</v>
          </cell>
          <cell r="CI617">
            <v>14.926604548033502</v>
          </cell>
          <cell r="CJ617">
            <v>22.183921622100925</v>
          </cell>
          <cell r="CU617">
            <v>8.2315125874499007</v>
          </cell>
          <cell r="CV617">
            <v>13.67289934744978</v>
          </cell>
          <cell r="CW617">
            <v>11.062153668663059</v>
          </cell>
          <cell r="CX617">
            <v>8.6510321273089765</v>
          </cell>
          <cell r="CY617">
            <v>13.473275210017142</v>
          </cell>
        </row>
        <row r="618">
          <cell r="A618">
            <v>40402</v>
          </cell>
          <cell r="CF618">
            <v>14.15491036445785</v>
          </cell>
          <cell r="CG618">
            <v>22.085252262534414</v>
          </cell>
          <cell r="CH618">
            <v>18.555263085067214</v>
          </cell>
          <cell r="CI618">
            <v>14.926604548033502</v>
          </cell>
          <cell r="CJ618">
            <v>22.183921622100925</v>
          </cell>
          <cell r="CU618">
            <v>8.1743225134057695</v>
          </cell>
          <cell r="CV618">
            <v>13.67289934744978</v>
          </cell>
          <cell r="CW618">
            <v>11.062153668663059</v>
          </cell>
          <cell r="CX618">
            <v>8.6510321273089765</v>
          </cell>
          <cell r="CY618">
            <v>13.473275210017142</v>
          </cell>
        </row>
        <row r="619">
          <cell r="A619">
            <v>40403</v>
          </cell>
          <cell r="CF619">
            <v>14.073666255785719</v>
          </cell>
          <cell r="CG619">
            <v>22.085252262534414</v>
          </cell>
          <cell r="CH619">
            <v>18.555263085067214</v>
          </cell>
          <cell r="CI619">
            <v>14.926604548033502</v>
          </cell>
          <cell r="CJ619">
            <v>22.183921622100925</v>
          </cell>
          <cell r="CU619">
            <v>8.1321108634133061</v>
          </cell>
          <cell r="CV619">
            <v>13.67289934744978</v>
          </cell>
          <cell r="CW619">
            <v>11.062153668663059</v>
          </cell>
          <cell r="CX619">
            <v>8.6510321273089765</v>
          </cell>
          <cell r="CY619">
            <v>13.473275210017142</v>
          </cell>
        </row>
        <row r="620">
          <cell r="A620">
            <v>40406</v>
          </cell>
          <cell r="CF620">
            <v>14.063180980720221</v>
          </cell>
          <cell r="CG620">
            <v>22.085252262534414</v>
          </cell>
          <cell r="CH620">
            <v>18.555263085067214</v>
          </cell>
          <cell r="CI620">
            <v>14.926604548033502</v>
          </cell>
          <cell r="CJ620">
            <v>22.183921622100925</v>
          </cell>
          <cell r="CU620">
            <v>8.1266630744182216</v>
          </cell>
          <cell r="CV620">
            <v>13.67289934744978</v>
          </cell>
          <cell r="CW620">
            <v>11.062153668663059</v>
          </cell>
          <cell r="CX620">
            <v>8.6510321273089765</v>
          </cell>
          <cell r="CY620">
            <v>13.473275210017142</v>
          </cell>
        </row>
        <row r="621">
          <cell r="A621">
            <v>40407</v>
          </cell>
          <cell r="CF621">
            <v>14.414370340993027</v>
          </cell>
          <cell r="CG621">
            <v>22.085252262534414</v>
          </cell>
          <cell r="CH621">
            <v>18.555263085067214</v>
          </cell>
          <cell r="CI621">
            <v>14.926604548033502</v>
          </cell>
          <cell r="CJ621">
            <v>22.183921622100925</v>
          </cell>
          <cell r="CU621">
            <v>8.3091290107082845</v>
          </cell>
          <cell r="CV621">
            <v>13.67289934744978</v>
          </cell>
          <cell r="CW621">
            <v>11.062153668663059</v>
          </cell>
          <cell r="CX621">
            <v>8.6510321273089765</v>
          </cell>
          <cell r="CY621">
            <v>13.473275210017142</v>
          </cell>
        </row>
        <row r="622">
          <cell r="A622">
            <v>40408</v>
          </cell>
          <cell r="CF622">
            <v>14.472024153244549</v>
          </cell>
          <cell r="CG622">
            <v>22.085252262534414</v>
          </cell>
          <cell r="CH622">
            <v>18.555263085067214</v>
          </cell>
          <cell r="CI622">
            <v>14.926604548033502</v>
          </cell>
          <cell r="CJ622">
            <v>22.183921622100925</v>
          </cell>
          <cell r="CU622">
            <v>8.339083952466753</v>
          </cell>
          <cell r="CV622">
            <v>13.67289934744978</v>
          </cell>
          <cell r="CW622">
            <v>11.062153668663059</v>
          </cell>
          <cell r="CX622">
            <v>8.6510321273089765</v>
          </cell>
          <cell r="CY622">
            <v>13.473275210017142</v>
          </cell>
        </row>
        <row r="623">
          <cell r="A623">
            <v>40409</v>
          </cell>
          <cell r="CF623">
            <v>14.173253830074337</v>
          </cell>
          <cell r="CG623">
            <v>22.085252262534414</v>
          </cell>
          <cell r="CH623">
            <v>18.555263085067214</v>
          </cell>
          <cell r="CI623">
            <v>14.926604548033502</v>
          </cell>
          <cell r="CJ623">
            <v>22.183921622100925</v>
          </cell>
          <cell r="CU623">
            <v>8.1838531484623545</v>
          </cell>
          <cell r="CV623">
            <v>13.67289934744978</v>
          </cell>
          <cell r="CW623">
            <v>11.062153668663059</v>
          </cell>
          <cell r="CX623">
            <v>8.6510321273089765</v>
          </cell>
          <cell r="CY623">
            <v>13.473275210017142</v>
          </cell>
        </row>
        <row r="624">
          <cell r="A624">
            <v>40410</v>
          </cell>
          <cell r="CF624">
            <v>14.215187592111432</v>
          </cell>
          <cell r="CG624">
            <v>22.085252262534414</v>
          </cell>
          <cell r="CH624">
            <v>18.555263085067214</v>
          </cell>
          <cell r="CI624">
            <v>14.926604548033502</v>
          </cell>
          <cell r="CJ624">
            <v>22.183921622100925</v>
          </cell>
          <cell r="CU624">
            <v>8.205640491752936</v>
          </cell>
          <cell r="CV624">
            <v>13.67289934744978</v>
          </cell>
          <cell r="CW624">
            <v>11.062153668663059</v>
          </cell>
          <cell r="CX624">
            <v>8.6510321273089765</v>
          </cell>
          <cell r="CY624">
            <v>13.473275210017142</v>
          </cell>
        </row>
        <row r="625">
          <cell r="A625">
            <v>40413</v>
          </cell>
          <cell r="CF625">
            <v>14.23353498891983</v>
          </cell>
          <cell r="CG625">
            <v>22.085252262534414</v>
          </cell>
          <cell r="CH625">
            <v>18.555263085067214</v>
          </cell>
          <cell r="CI625">
            <v>14.926604548033502</v>
          </cell>
          <cell r="CJ625">
            <v>22.183921622100925</v>
          </cell>
          <cell r="CU625">
            <v>8.215173169321897</v>
          </cell>
          <cell r="CV625">
            <v>13.67289934744978</v>
          </cell>
          <cell r="CW625">
            <v>11.062153668663059</v>
          </cell>
          <cell r="CX625">
            <v>8.6510321273089765</v>
          </cell>
          <cell r="CY625">
            <v>13.473275210017142</v>
          </cell>
        </row>
        <row r="626">
          <cell r="A626">
            <v>40414</v>
          </cell>
          <cell r="CF626">
            <v>13.959662476599883</v>
          </cell>
          <cell r="CG626">
            <v>22.085252262534414</v>
          </cell>
          <cell r="CH626">
            <v>18.555263085067214</v>
          </cell>
          <cell r="CI626">
            <v>14.926604548033502</v>
          </cell>
          <cell r="CJ626">
            <v>22.183921622100925</v>
          </cell>
          <cell r="CU626">
            <v>8.0728784131659808</v>
          </cell>
          <cell r="CV626">
            <v>13.67289934744978</v>
          </cell>
          <cell r="CW626">
            <v>11.062153668663059</v>
          </cell>
          <cell r="CX626">
            <v>8.6510321273089765</v>
          </cell>
          <cell r="CY626">
            <v>13.473275210017142</v>
          </cell>
        </row>
        <row r="627">
          <cell r="A627">
            <v>40415</v>
          </cell>
          <cell r="CF627">
            <v>14.076285739995868</v>
          </cell>
          <cell r="CG627">
            <v>22.085252262534414</v>
          </cell>
          <cell r="CH627">
            <v>18.555263085067214</v>
          </cell>
          <cell r="CI627">
            <v>14.926604548033502</v>
          </cell>
          <cell r="CJ627">
            <v>22.183921622100925</v>
          </cell>
          <cell r="CU627">
            <v>8.1334718574896385</v>
          </cell>
          <cell r="CV627">
            <v>13.67289934744978</v>
          </cell>
          <cell r="CW627">
            <v>11.062153668663059</v>
          </cell>
          <cell r="CX627">
            <v>8.6510321273089765</v>
          </cell>
          <cell r="CY627">
            <v>13.473275210017142</v>
          </cell>
        </row>
        <row r="628">
          <cell r="A628">
            <v>40416</v>
          </cell>
          <cell r="CF628">
            <v>13.620265905822233</v>
          </cell>
          <cell r="CG628">
            <v>22.085252262534414</v>
          </cell>
          <cell r="CH628">
            <v>18.555263085067214</v>
          </cell>
          <cell r="CI628">
            <v>14.926604548033502</v>
          </cell>
          <cell r="CJ628">
            <v>22.183921622100925</v>
          </cell>
          <cell r="CU628">
            <v>7.8965396054854908</v>
          </cell>
          <cell r="CV628">
            <v>13.67289934744978</v>
          </cell>
          <cell r="CW628">
            <v>11.062153668663059</v>
          </cell>
          <cell r="CX628">
            <v>8.6510321273089765</v>
          </cell>
          <cell r="CY628">
            <v>13.473275210017142</v>
          </cell>
        </row>
        <row r="629">
          <cell r="A629">
            <v>40417</v>
          </cell>
          <cell r="CF629">
            <v>13.926902544006717</v>
          </cell>
          <cell r="CG629">
            <v>22.085252262534414</v>
          </cell>
          <cell r="CH629">
            <v>18.555263085067214</v>
          </cell>
          <cell r="CI629">
            <v>14.926604548033502</v>
          </cell>
          <cell r="CJ629">
            <v>22.183921622100925</v>
          </cell>
          <cell r="CU629">
            <v>8.0558574767436237</v>
          </cell>
          <cell r="CV629">
            <v>13.67289934744978</v>
          </cell>
          <cell r="CW629">
            <v>11.062153668663059</v>
          </cell>
          <cell r="CX629">
            <v>8.6510321273089765</v>
          </cell>
          <cell r="CY629">
            <v>13.473275210017142</v>
          </cell>
        </row>
        <row r="630">
          <cell r="A630">
            <v>40420</v>
          </cell>
          <cell r="CF630">
            <v>13.937383887880307</v>
          </cell>
          <cell r="CG630">
            <v>22.085252262534414</v>
          </cell>
          <cell r="CH630">
            <v>18.555263085067214</v>
          </cell>
          <cell r="CI630">
            <v>14.926604548033502</v>
          </cell>
          <cell r="CJ630">
            <v>22.183921622100925</v>
          </cell>
          <cell r="CU630">
            <v>8.0613032232263393</v>
          </cell>
          <cell r="CV630">
            <v>13.67289934744978</v>
          </cell>
          <cell r="CW630">
            <v>11.062153668663059</v>
          </cell>
          <cell r="CX630">
            <v>8.6510321273089765</v>
          </cell>
          <cell r="CY630">
            <v>13.473275210017142</v>
          </cell>
        </row>
        <row r="631">
          <cell r="A631">
            <v>40421</v>
          </cell>
          <cell r="CF631">
            <v>13.837792382399776</v>
          </cell>
          <cell r="CG631">
            <v>22.085252262534414</v>
          </cell>
          <cell r="CH631">
            <v>18.555263085067214</v>
          </cell>
          <cell r="CI631">
            <v>14.926604548033502</v>
          </cell>
          <cell r="CJ631">
            <v>22.183921622100925</v>
          </cell>
          <cell r="CU631">
            <v>8.00955492318176</v>
          </cell>
          <cell r="CV631">
            <v>13.67289934744978</v>
          </cell>
          <cell r="CW631">
            <v>11.062153668663059</v>
          </cell>
          <cell r="CX631">
            <v>8.6510321273089765</v>
          </cell>
          <cell r="CY631">
            <v>13.473275210017142</v>
          </cell>
        </row>
        <row r="632">
          <cell r="A632">
            <v>40422</v>
          </cell>
          <cell r="CF632">
            <v>14.183602827891178</v>
          </cell>
          <cell r="CG632">
            <v>22.085252262534414</v>
          </cell>
          <cell r="CH632">
            <v>18.555263085067214</v>
          </cell>
          <cell r="CI632">
            <v>14.926604548033502</v>
          </cell>
          <cell r="CJ632">
            <v>22.183921622100925</v>
          </cell>
          <cell r="CU632">
            <v>8.1913344082025432</v>
          </cell>
          <cell r="CV632">
            <v>13.67289934744978</v>
          </cell>
          <cell r="CW632">
            <v>11.062153668663059</v>
          </cell>
          <cell r="CX632">
            <v>8.6510321273089765</v>
          </cell>
          <cell r="CY632">
            <v>13.473275210017142</v>
          </cell>
        </row>
        <row r="633">
          <cell r="A633">
            <v>40423</v>
          </cell>
          <cell r="CF633">
            <v>14.218664886844747</v>
          </cell>
          <cell r="CG633">
            <v>22.085252262534414</v>
          </cell>
          <cell r="CH633">
            <v>18.555263085067214</v>
          </cell>
          <cell r="CI633">
            <v>14.926604548033502</v>
          </cell>
          <cell r="CJ633">
            <v>22.183921622100925</v>
          </cell>
          <cell r="CU633">
            <v>8.2089062438307643</v>
          </cell>
          <cell r="CV633">
            <v>13.67289934744978</v>
          </cell>
          <cell r="CW633">
            <v>11.062153668663059</v>
          </cell>
          <cell r="CX633">
            <v>8.6510321273089765</v>
          </cell>
          <cell r="CY633">
            <v>13.473275210017142</v>
          </cell>
        </row>
        <row r="634">
          <cell r="A634">
            <v>40424</v>
          </cell>
          <cell r="CF634">
            <v>14.27579561221091</v>
          </cell>
          <cell r="CG634">
            <v>22.085252262534414</v>
          </cell>
          <cell r="CH634">
            <v>18.555263085067214</v>
          </cell>
          <cell r="CI634">
            <v>14.926604548033502</v>
          </cell>
          <cell r="CJ634">
            <v>22.183921622100925</v>
          </cell>
          <cell r="CU634">
            <v>8.2386216177401863</v>
          </cell>
          <cell r="CV634">
            <v>13.67289934744978</v>
          </cell>
          <cell r="CW634">
            <v>11.062153668663059</v>
          </cell>
          <cell r="CX634">
            <v>8.6510321273089765</v>
          </cell>
          <cell r="CY634">
            <v>13.473275210017142</v>
          </cell>
        </row>
        <row r="635">
          <cell r="A635">
            <v>40427</v>
          </cell>
          <cell r="CF635">
            <v>14.27579561221091</v>
          </cell>
          <cell r="CG635">
            <v>22.085252262534414</v>
          </cell>
          <cell r="CH635">
            <v>18.555263085067214</v>
          </cell>
          <cell r="CI635">
            <v>14.926604548033502</v>
          </cell>
          <cell r="CJ635">
            <v>22.183921622100925</v>
          </cell>
          <cell r="CU635">
            <v>8.2386216177401863</v>
          </cell>
          <cell r="CV635">
            <v>13.67289934744978</v>
          </cell>
          <cell r="CW635">
            <v>11.062153668663059</v>
          </cell>
          <cell r="CX635">
            <v>8.6510321273089765</v>
          </cell>
          <cell r="CY635">
            <v>13.473275210017142</v>
          </cell>
        </row>
        <row r="636">
          <cell r="A636">
            <v>40428</v>
          </cell>
          <cell r="CF636">
            <v>14.210870201768698</v>
          </cell>
          <cell r="CG636">
            <v>22.085252262534414</v>
          </cell>
          <cell r="CH636">
            <v>18.555263085067214</v>
          </cell>
          <cell r="CI636">
            <v>14.926604548033502</v>
          </cell>
          <cell r="CJ636">
            <v>22.183921622100925</v>
          </cell>
          <cell r="CU636">
            <v>8.2048519984127939</v>
          </cell>
          <cell r="CV636">
            <v>13.67289934744978</v>
          </cell>
          <cell r="CW636">
            <v>11.062153668663059</v>
          </cell>
          <cell r="CX636">
            <v>8.6510321273089765</v>
          </cell>
          <cell r="CY636">
            <v>13.473275210017142</v>
          </cell>
        </row>
        <row r="637">
          <cell r="A637">
            <v>40429</v>
          </cell>
          <cell r="CF637">
            <v>14.291381086838385</v>
          </cell>
          <cell r="CG637">
            <v>22.085252262534414</v>
          </cell>
          <cell r="CH637">
            <v>18.555263085067214</v>
          </cell>
          <cell r="CI637">
            <v>14.926604548033502</v>
          </cell>
          <cell r="CJ637">
            <v>22.183921622100925</v>
          </cell>
          <cell r="CU637">
            <v>8.246728082398965</v>
          </cell>
          <cell r="CV637">
            <v>13.67289934744978</v>
          </cell>
          <cell r="CW637">
            <v>11.062153668663059</v>
          </cell>
          <cell r="CX637">
            <v>8.6510321273089765</v>
          </cell>
          <cell r="CY637">
            <v>13.473275210017142</v>
          </cell>
        </row>
        <row r="638">
          <cell r="A638">
            <v>40430</v>
          </cell>
          <cell r="CF638">
            <v>14.416036836080869</v>
          </cell>
          <cell r="CG638">
            <v>22.085252262534414</v>
          </cell>
          <cell r="CH638">
            <v>18.555263085067214</v>
          </cell>
          <cell r="CI638">
            <v>14.926604548033502</v>
          </cell>
          <cell r="CJ638">
            <v>22.183921622100925</v>
          </cell>
          <cell r="CU638">
            <v>8.3115652111936509</v>
          </cell>
          <cell r="CV638">
            <v>13.67289934744978</v>
          </cell>
          <cell r="CW638">
            <v>11.062153668663059</v>
          </cell>
          <cell r="CX638">
            <v>8.6510321273089765</v>
          </cell>
          <cell r="CY638">
            <v>13.473275210017142</v>
          </cell>
        </row>
        <row r="639">
          <cell r="A639">
            <v>40431</v>
          </cell>
          <cell r="CF639">
            <v>14.584841345020774</v>
          </cell>
          <cell r="CG639">
            <v>22.085252262534414</v>
          </cell>
          <cell r="CH639">
            <v>18.555263085067214</v>
          </cell>
          <cell r="CI639">
            <v>14.926604548033502</v>
          </cell>
          <cell r="CJ639">
            <v>22.183921622100925</v>
          </cell>
          <cell r="CU639">
            <v>8.3993654109740046</v>
          </cell>
          <cell r="CV639">
            <v>13.67289934744978</v>
          </cell>
          <cell r="CW639">
            <v>11.062153668663059</v>
          </cell>
          <cell r="CX639">
            <v>8.6510321273089765</v>
          </cell>
          <cell r="CY639">
            <v>13.473275210017142</v>
          </cell>
        </row>
        <row r="640">
          <cell r="A640">
            <v>40434</v>
          </cell>
          <cell r="CF640">
            <v>14.745858959933878</v>
          </cell>
          <cell r="CG640">
            <v>22.085252262534414</v>
          </cell>
          <cell r="CH640">
            <v>18.555263085067214</v>
          </cell>
          <cell r="CI640">
            <v>14.926604548033502</v>
          </cell>
          <cell r="CJ640">
            <v>22.183921622100925</v>
          </cell>
          <cell r="CU640">
            <v>8.4831154176907102</v>
          </cell>
          <cell r="CV640">
            <v>13.67289934744978</v>
          </cell>
          <cell r="CW640">
            <v>11.062153668663059</v>
          </cell>
          <cell r="CX640">
            <v>8.6510321273089765</v>
          </cell>
          <cell r="CY640">
            <v>13.473275210017142</v>
          </cell>
        </row>
        <row r="641">
          <cell r="A641">
            <v>40435</v>
          </cell>
          <cell r="CF641">
            <v>14.800394227092205</v>
          </cell>
          <cell r="CG641">
            <v>22.085252262534414</v>
          </cell>
          <cell r="CH641">
            <v>18.555263085067214</v>
          </cell>
          <cell r="CI641">
            <v>14.926604548033502</v>
          </cell>
          <cell r="CJ641">
            <v>22.183921622100925</v>
          </cell>
          <cell r="CU641">
            <v>8.5114808172979011</v>
          </cell>
          <cell r="CV641">
            <v>13.67289934744978</v>
          </cell>
          <cell r="CW641">
            <v>11.062153668663059</v>
          </cell>
          <cell r="CX641">
            <v>8.6510321273089765</v>
          </cell>
          <cell r="CY641">
            <v>13.473275210017142</v>
          </cell>
        </row>
        <row r="642">
          <cell r="A642">
            <v>40436</v>
          </cell>
          <cell r="CF642">
            <v>14.862723919624939</v>
          </cell>
          <cell r="CG642">
            <v>22.085252262534414</v>
          </cell>
          <cell r="CH642">
            <v>18.555263085067214</v>
          </cell>
          <cell r="CI642">
            <v>14.926604548033502</v>
          </cell>
          <cell r="CJ642">
            <v>22.183921622100925</v>
          </cell>
          <cell r="CU642">
            <v>8.5439003272445859</v>
          </cell>
          <cell r="CV642">
            <v>13.67289934744978</v>
          </cell>
          <cell r="CW642">
            <v>11.062153668663059</v>
          </cell>
          <cell r="CX642">
            <v>8.6510321273089765</v>
          </cell>
          <cell r="CY642">
            <v>13.473275210017142</v>
          </cell>
        </row>
        <row r="643">
          <cell r="A643">
            <v>40437</v>
          </cell>
          <cell r="CF643">
            <v>14.847142600223732</v>
          </cell>
          <cell r="CG643">
            <v>22.085252262534414</v>
          </cell>
          <cell r="CH643">
            <v>18.555263085067214</v>
          </cell>
          <cell r="CI643">
            <v>14.926604548033502</v>
          </cell>
          <cell r="CJ643">
            <v>22.183921622100925</v>
          </cell>
          <cell r="CU643">
            <v>8.5359125650040326</v>
          </cell>
          <cell r="CV643">
            <v>13.67289934744978</v>
          </cell>
          <cell r="CW643">
            <v>11.062153668663059</v>
          </cell>
          <cell r="CX643">
            <v>8.6510321273089765</v>
          </cell>
          <cell r="CY643">
            <v>13.473275210017142</v>
          </cell>
        </row>
        <row r="644">
          <cell r="A644">
            <v>40438</v>
          </cell>
          <cell r="CF644">
            <v>14.634185176360139</v>
          </cell>
          <cell r="CG644">
            <v>22.085252262534414</v>
          </cell>
          <cell r="CH644">
            <v>18.555263085067214</v>
          </cell>
          <cell r="CI644">
            <v>14.926604548033502</v>
          </cell>
          <cell r="CJ644">
            <v>22.183921622100925</v>
          </cell>
          <cell r="CU644">
            <v>8.4251456206767568</v>
          </cell>
          <cell r="CV644">
            <v>13.67289934744978</v>
          </cell>
          <cell r="CW644">
            <v>11.062153668663059</v>
          </cell>
          <cell r="CX644">
            <v>8.6510321273089765</v>
          </cell>
          <cell r="CY644">
            <v>13.473275210017142</v>
          </cell>
        </row>
        <row r="645">
          <cell r="A645">
            <v>40441</v>
          </cell>
          <cell r="CF645">
            <v>14.85233377634105</v>
          </cell>
          <cell r="CG645">
            <v>22.085252262534414</v>
          </cell>
          <cell r="CH645">
            <v>18.555263085067214</v>
          </cell>
          <cell r="CI645">
            <v>14.926604548033502</v>
          </cell>
          <cell r="CJ645">
            <v>22.183921622100925</v>
          </cell>
          <cell r="CU645">
            <v>8.5386126855518292</v>
          </cell>
          <cell r="CV645">
            <v>13.67289934744978</v>
          </cell>
          <cell r="CW645">
            <v>11.062153668663059</v>
          </cell>
          <cell r="CX645">
            <v>8.6510321273089765</v>
          </cell>
          <cell r="CY645">
            <v>13.473275210017142</v>
          </cell>
        </row>
        <row r="646">
          <cell r="A646">
            <v>40442</v>
          </cell>
          <cell r="CF646">
            <v>14.7146921659052</v>
          </cell>
          <cell r="CG646">
            <v>22.085252262534414</v>
          </cell>
          <cell r="CH646">
            <v>18.555263085067214</v>
          </cell>
          <cell r="CI646">
            <v>14.926604548033502</v>
          </cell>
          <cell r="CJ646">
            <v>22.183921622100925</v>
          </cell>
          <cell r="CU646">
            <v>8.4670202502017951</v>
          </cell>
          <cell r="CV646">
            <v>13.67289934744978</v>
          </cell>
          <cell r="CW646">
            <v>11.062153668663059</v>
          </cell>
          <cell r="CX646">
            <v>8.6510321273089765</v>
          </cell>
          <cell r="CY646">
            <v>13.473275210017142</v>
          </cell>
        </row>
        <row r="647">
          <cell r="A647">
            <v>40443</v>
          </cell>
          <cell r="CF647">
            <v>14.718415614817875</v>
          </cell>
          <cell r="CG647">
            <v>22.085252262534414</v>
          </cell>
          <cell r="CH647">
            <v>18.555263085067214</v>
          </cell>
          <cell r="CI647">
            <v>14.926604548033502</v>
          </cell>
          <cell r="CJ647">
            <v>22.183921622100925</v>
          </cell>
          <cell r="CU647">
            <v>8.4697223969544169</v>
          </cell>
          <cell r="CV647">
            <v>13.67289934744978</v>
          </cell>
          <cell r="CW647">
            <v>11.062153668663059</v>
          </cell>
          <cell r="CX647">
            <v>8.6510321273089765</v>
          </cell>
          <cell r="CY647">
            <v>13.473275210017142</v>
          </cell>
        </row>
        <row r="648">
          <cell r="A648">
            <v>40444</v>
          </cell>
          <cell r="CF648">
            <v>14.598962985179661</v>
          </cell>
          <cell r="CG648">
            <v>22.085252262534414</v>
          </cell>
          <cell r="CH648">
            <v>18.555263085067214</v>
          </cell>
          <cell r="CI648">
            <v>14.926604548033502</v>
          </cell>
          <cell r="CJ648">
            <v>22.183921622100925</v>
          </cell>
          <cell r="CU648">
            <v>8.407584503471476</v>
          </cell>
          <cell r="CV648">
            <v>13.67289934744978</v>
          </cell>
          <cell r="CW648">
            <v>11.062153668663059</v>
          </cell>
          <cell r="CX648">
            <v>8.6510321273089765</v>
          </cell>
          <cell r="CY648">
            <v>13.473275210017142</v>
          </cell>
        </row>
        <row r="649">
          <cell r="A649">
            <v>40445</v>
          </cell>
          <cell r="CF649">
            <v>14.887203247504031</v>
          </cell>
          <cell r="CG649">
            <v>22.085252262534414</v>
          </cell>
          <cell r="CH649">
            <v>18.555263085067214</v>
          </cell>
          <cell r="CI649">
            <v>14.926604548033502</v>
          </cell>
          <cell r="CJ649">
            <v>22.183921622100925</v>
          </cell>
          <cell r="CU649">
            <v>8.5575237954908481</v>
          </cell>
          <cell r="CV649">
            <v>13.67289934744978</v>
          </cell>
          <cell r="CW649">
            <v>11.062153668663059</v>
          </cell>
          <cell r="CX649">
            <v>8.6510321273089765</v>
          </cell>
          <cell r="CY649">
            <v>13.473275210017142</v>
          </cell>
        </row>
        <row r="650">
          <cell r="A650">
            <v>40448</v>
          </cell>
          <cell r="CF650">
            <v>14.81709367085978</v>
          </cell>
          <cell r="CG650">
            <v>22.085252262534414</v>
          </cell>
          <cell r="CH650">
            <v>18.555263085067214</v>
          </cell>
          <cell r="CI650">
            <v>14.926604548033502</v>
          </cell>
          <cell r="CJ650">
            <v>22.183921622100925</v>
          </cell>
          <cell r="CU650">
            <v>8.5210535945513737</v>
          </cell>
          <cell r="CV650">
            <v>13.67289934744978</v>
          </cell>
          <cell r="CW650">
            <v>11.062153668663059</v>
          </cell>
          <cell r="CX650">
            <v>8.6510321273089765</v>
          </cell>
          <cell r="CY650">
            <v>13.473275210017142</v>
          </cell>
        </row>
        <row r="651">
          <cell r="A651">
            <v>40449</v>
          </cell>
          <cell r="CF651">
            <v>14.9547215205569</v>
          </cell>
          <cell r="CG651">
            <v>22.085252262534414</v>
          </cell>
          <cell r="CH651">
            <v>18.555263085067214</v>
          </cell>
          <cell r="CI651">
            <v>14.926604548033502</v>
          </cell>
          <cell r="CJ651">
            <v>22.183921622100925</v>
          </cell>
          <cell r="CU651">
            <v>8.5926460299014078</v>
          </cell>
          <cell r="CV651">
            <v>13.67289934744978</v>
          </cell>
          <cell r="CW651">
            <v>11.062153668663059</v>
          </cell>
          <cell r="CX651">
            <v>8.6510321273089765</v>
          </cell>
          <cell r="CY651">
            <v>13.473275210017142</v>
          </cell>
        </row>
        <row r="652">
          <cell r="A652">
            <v>40450</v>
          </cell>
          <cell r="CF652">
            <v>14.95991217768568</v>
          </cell>
          <cell r="CG652">
            <v>22.085252262534414</v>
          </cell>
          <cell r="CH652">
            <v>18.555263085067214</v>
          </cell>
          <cell r="CI652">
            <v>14.926604548033502</v>
          </cell>
          <cell r="CJ652">
            <v>22.183921622100925</v>
          </cell>
          <cell r="CU652">
            <v>8.5953461504492061</v>
          </cell>
          <cell r="CV652">
            <v>13.67289934744978</v>
          </cell>
          <cell r="CW652">
            <v>11.062153668663059</v>
          </cell>
          <cell r="CX652">
            <v>8.6510321273089765</v>
          </cell>
          <cell r="CY652">
            <v>13.473275210017142</v>
          </cell>
        </row>
        <row r="653">
          <cell r="A653">
            <v>40451</v>
          </cell>
          <cell r="CF653">
            <v>15.222648697284781</v>
          </cell>
          <cell r="CG653">
            <v>22.085252262534414</v>
          </cell>
          <cell r="CH653">
            <v>18.555263085067214</v>
          </cell>
          <cell r="CI653">
            <v>14.926604548033502</v>
          </cell>
          <cell r="CJ653">
            <v>22.183921622100925</v>
          </cell>
          <cell r="CU653">
            <v>8.7263741974492373</v>
          </cell>
          <cell r="CV653">
            <v>13.67289934744978</v>
          </cell>
          <cell r="CW653">
            <v>11.062153668663059</v>
          </cell>
          <cell r="CX653">
            <v>8.6510321273089765</v>
          </cell>
          <cell r="CY653">
            <v>13.473275210017142</v>
          </cell>
        </row>
        <row r="654">
          <cell r="A654">
            <v>40452</v>
          </cell>
          <cell r="CF654">
            <v>14.947489556748359</v>
          </cell>
          <cell r="CG654">
            <v>22.085252262534414</v>
          </cell>
          <cell r="CH654">
            <v>18.555263085067214</v>
          </cell>
          <cell r="CI654">
            <v>14.926604548033502</v>
          </cell>
          <cell r="CJ654">
            <v>22.183921622100925</v>
          </cell>
          <cell r="CU654">
            <v>8.5735989562539405</v>
          </cell>
          <cell r="CV654">
            <v>13.67289934744978</v>
          </cell>
          <cell r="CW654">
            <v>11.062153668663059</v>
          </cell>
          <cell r="CX654">
            <v>8.6510321273089765</v>
          </cell>
          <cell r="CY654">
            <v>13.473275210017142</v>
          </cell>
        </row>
        <row r="655">
          <cell r="A655">
            <v>40455</v>
          </cell>
          <cell r="CF655">
            <v>14.712765466268946</v>
          </cell>
          <cell r="CG655">
            <v>22.085252262534414</v>
          </cell>
          <cell r="CH655">
            <v>18.555263085067214</v>
          </cell>
          <cell r="CI655">
            <v>14.926604548033502</v>
          </cell>
          <cell r="CJ655">
            <v>22.183921622100925</v>
          </cell>
          <cell r="CU655">
            <v>8.4516381600015968</v>
          </cell>
          <cell r="CV655">
            <v>13.67289934744978</v>
          </cell>
          <cell r="CW655">
            <v>11.062153668663059</v>
          </cell>
          <cell r="CX655">
            <v>8.6510321273089765</v>
          </cell>
          <cell r="CY655">
            <v>13.473275210017142</v>
          </cell>
        </row>
        <row r="656">
          <cell r="A656">
            <v>40456</v>
          </cell>
          <cell r="CF656">
            <v>15.122885394407538</v>
          </cell>
          <cell r="CG656">
            <v>22.085252262534414</v>
          </cell>
          <cell r="CH656">
            <v>18.555263085067214</v>
          </cell>
          <cell r="CI656">
            <v>14.926604548033502</v>
          </cell>
          <cell r="CJ656">
            <v>22.183921622100925</v>
          </cell>
          <cell r="CU656">
            <v>8.6647332577079137</v>
          </cell>
          <cell r="CV656">
            <v>13.67289934744978</v>
          </cell>
          <cell r="CW656">
            <v>11.062153668663059</v>
          </cell>
          <cell r="CX656">
            <v>8.6510321273089765</v>
          </cell>
          <cell r="CY656">
            <v>13.473275210017142</v>
          </cell>
        </row>
        <row r="657">
          <cell r="A657">
            <v>40457</v>
          </cell>
          <cell r="CF657">
            <v>15.084196285440459</v>
          </cell>
          <cell r="CG657">
            <v>22.085252262534414</v>
          </cell>
          <cell r="CH657">
            <v>18.555263085067214</v>
          </cell>
          <cell r="CI657">
            <v>14.926604548033502</v>
          </cell>
          <cell r="CJ657">
            <v>22.183921622100925</v>
          </cell>
          <cell r="CU657">
            <v>8.6446307001635176</v>
          </cell>
          <cell r="CV657">
            <v>13.67289934744978</v>
          </cell>
          <cell r="CW657">
            <v>11.062153668663059</v>
          </cell>
          <cell r="CX657">
            <v>8.6510321273089765</v>
          </cell>
          <cell r="CY657">
            <v>13.473275210017142</v>
          </cell>
        </row>
        <row r="658">
          <cell r="A658">
            <v>40458</v>
          </cell>
          <cell r="CF658">
            <v>15.102249861682333</v>
          </cell>
          <cell r="CG658">
            <v>22.085252262534414</v>
          </cell>
          <cell r="CH658">
            <v>18.555263085067214</v>
          </cell>
          <cell r="CI658">
            <v>14.926604548033502</v>
          </cell>
          <cell r="CJ658">
            <v>22.183921622100925</v>
          </cell>
          <cell r="CU658">
            <v>8.6540111967676978</v>
          </cell>
          <cell r="CV658">
            <v>13.67289934744978</v>
          </cell>
          <cell r="CW658">
            <v>11.062153668663059</v>
          </cell>
          <cell r="CX658">
            <v>8.6510321273089765</v>
          </cell>
          <cell r="CY658">
            <v>13.473275210017142</v>
          </cell>
        </row>
        <row r="659">
          <cell r="A659">
            <v>40459</v>
          </cell>
          <cell r="CF659">
            <v>15.298285101132377</v>
          </cell>
          <cell r="CG659">
            <v>22.085252262534414</v>
          </cell>
          <cell r="CH659">
            <v>18.555263085067214</v>
          </cell>
          <cell r="CI659">
            <v>14.926604548033502</v>
          </cell>
          <cell r="CJ659">
            <v>22.183921622100925</v>
          </cell>
          <cell r="CU659">
            <v>8.7558695694980546</v>
          </cell>
          <cell r="CV659">
            <v>13.67289934744978</v>
          </cell>
          <cell r="CW659">
            <v>11.062153668663059</v>
          </cell>
          <cell r="CX659">
            <v>8.6510321273089765</v>
          </cell>
          <cell r="CY659">
            <v>13.473275210017142</v>
          </cell>
        </row>
        <row r="660">
          <cell r="A660">
            <v>40462</v>
          </cell>
          <cell r="CF660">
            <v>15.411778209681605</v>
          </cell>
          <cell r="CG660">
            <v>22.085252262534414</v>
          </cell>
          <cell r="CH660">
            <v>18.555263085067214</v>
          </cell>
          <cell r="CI660">
            <v>14.926604548033502</v>
          </cell>
          <cell r="CJ660">
            <v>22.183921622100925</v>
          </cell>
          <cell r="CU660">
            <v>8.8148396984675461</v>
          </cell>
          <cell r="CV660">
            <v>13.67289934744978</v>
          </cell>
          <cell r="CW660">
            <v>11.062153668663059</v>
          </cell>
          <cell r="CX660">
            <v>8.6510321273089765</v>
          </cell>
          <cell r="CY660">
            <v>13.473275210017142</v>
          </cell>
        </row>
        <row r="661">
          <cell r="A661">
            <v>40463</v>
          </cell>
          <cell r="CF661">
            <v>15.396298851791741</v>
          </cell>
          <cell r="CG661">
            <v>22.085252262534414</v>
          </cell>
          <cell r="CH661">
            <v>18.555263085067214</v>
          </cell>
          <cell r="CI661">
            <v>14.926604548033502</v>
          </cell>
          <cell r="CJ661">
            <v>22.183921622100925</v>
          </cell>
          <cell r="CU661">
            <v>8.8067967455270662</v>
          </cell>
          <cell r="CV661">
            <v>13.67289934744978</v>
          </cell>
          <cell r="CW661">
            <v>11.062153668663059</v>
          </cell>
          <cell r="CX661">
            <v>8.6510321273089765</v>
          </cell>
          <cell r="CY661">
            <v>13.473275210017142</v>
          </cell>
        </row>
        <row r="662">
          <cell r="A662">
            <v>40464</v>
          </cell>
          <cell r="CF662">
            <v>15.275782663642463</v>
          </cell>
          <cell r="CG662">
            <v>22.085252262534414</v>
          </cell>
          <cell r="CH662">
            <v>18.555263085067214</v>
          </cell>
          <cell r="CI662">
            <v>14.926604548033502</v>
          </cell>
          <cell r="CJ662">
            <v>22.183921622100925</v>
          </cell>
          <cell r="CU662">
            <v>8.7478284928713315</v>
          </cell>
          <cell r="CV662">
            <v>13.67289934744978</v>
          </cell>
          <cell r="CW662">
            <v>11.062153668663059</v>
          </cell>
          <cell r="CX662">
            <v>8.6510321273089765</v>
          </cell>
          <cell r="CY662">
            <v>13.473275210017142</v>
          </cell>
        </row>
        <row r="663">
          <cell r="A663">
            <v>40465</v>
          </cell>
          <cell r="CF663">
            <v>15.283516979323924</v>
          </cell>
          <cell r="CG663">
            <v>22.085252262534414</v>
          </cell>
          <cell r="CH663">
            <v>18.555263085067214</v>
          </cell>
          <cell r="CI663">
            <v>14.926604548033502</v>
          </cell>
          <cell r="CJ663">
            <v>22.183921622100925</v>
          </cell>
          <cell r="CU663">
            <v>8.7518490311846939</v>
          </cell>
          <cell r="CV663">
            <v>13.67289934744978</v>
          </cell>
          <cell r="CW663">
            <v>11.062153668663059</v>
          </cell>
          <cell r="CX663">
            <v>8.6510321273089765</v>
          </cell>
          <cell r="CY663">
            <v>13.473275210017142</v>
          </cell>
        </row>
        <row r="664">
          <cell r="A664">
            <v>40466</v>
          </cell>
          <cell r="CF664">
            <v>15.378908763402142</v>
          </cell>
          <cell r="CG664">
            <v>22.085252262534414</v>
          </cell>
          <cell r="CH664">
            <v>18.555263085067214</v>
          </cell>
          <cell r="CI664">
            <v>14.926604548033502</v>
          </cell>
          <cell r="CJ664">
            <v>22.183921622100925</v>
          </cell>
          <cell r="CU664">
            <v>8.8014366532138339</v>
          </cell>
          <cell r="CV664">
            <v>13.67289934744978</v>
          </cell>
          <cell r="CW664">
            <v>11.062153668663059</v>
          </cell>
          <cell r="CX664">
            <v>8.6510321273089765</v>
          </cell>
          <cell r="CY664">
            <v>13.473275210017142</v>
          </cell>
        </row>
        <row r="665">
          <cell r="A665">
            <v>40469</v>
          </cell>
          <cell r="CF665">
            <v>15.2860938813952</v>
          </cell>
          <cell r="CG665">
            <v>22.085252262534414</v>
          </cell>
          <cell r="CH665">
            <v>18.555263085067214</v>
          </cell>
          <cell r="CI665">
            <v>14.926604548033502</v>
          </cell>
          <cell r="CJ665">
            <v>22.183921622100925</v>
          </cell>
          <cell r="CU665">
            <v>8.7532398604298951</v>
          </cell>
          <cell r="CV665">
            <v>13.67289934744978</v>
          </cell>
          <cell r="CW665">
            <v>11.062153668663059</v>
          </cell>
          <cell r="CX665">
            <v>8.6510321273089765</v>
          </cell>
          <cell r="CY665">
            <v>13.473275210017142</v>
          </cell>
        </row>
        <row r="666">
          <cell r="A666">
            <v>40470</v>
          </cell>
          <cell r="CF666">
            <v>15.022359660375164</v>
          </cell>
          <cell r="CG666">
            <v>22.085252262534414</v>
          </cell>
          <cell r="CH666">
            <v>18.555263085067214</v>
          </cell>
          <cell r="CI666">
            <v>14.926604548033502</v>
          </cell>
          <cell r="CJ666">
            <v>22.183921622100925</v>
          </cell>
          <cell r="CU666">
            <v>8.6111755404179799</v>
          </cell>
          <cell r="CV666">
            <v>13.67289934744978</v>
          </cell>
          <cell r="CW666">
            <v>11.062153668663059</v>
          </cell>
          <cell r="CX666">
            <v>8.6510321273089765</v>
          </cell>
          <cell r="CY666">
            <v>13.473275210017142</v>
          </cell>
        </row>
        <row r="667">
          <cell r="A667">
            <v>40471</v>
          </cell>
          <cell r="CF667">
            <v>15.213318392912948</v>
          </cell>
          <cell r="CG667">
            <v>22.085252262534414</v>
          </cell>
          <cell r="CH667">
            <v>18.555263085067214</v>
          </cell>
          <cell r="CI667">
            <v>14.926604548033502</v>
          </cell>
          <cell r="CJ667">
            <v>22.183921622100925</v>
          </cell>
          <cell r="CU667">
            <v>8.7312507756546562</v>
          </cell>
          <cell r="CV667">
            <v>13.67289934744978</v>
          </cell>
          <cell r="CW667">
            <v>11.062153668663059</v>
          </cell>
          <cell r="CX667">
            <v>8.6510321273089765</v>
          </cell>
          <cell r="CY667">
            <v>13.473275210017142</v>
          </cell>
        </row>
        <row r="668">
          <cell r="A668">
            <v>40472</v>
          </cell>
          <cell r="CF668">
            <v>15.399858281896131</v>
          </cell>
          <cell r="CG668">
            <v>22.085252262534414</v>
          </cell>
          <cell r="CH668">
            <v>18.555263085067214</v>
          </cell>
          <cell r="CI668">
            <v>14.926604548033502</v>
          </cell>
          <cell r="CJ668">
            <v>22.183921622100925</v>
          </cell>
          <cell r="CU668">
            <v>8.8283527964532844</v>
          </cell>
          <cell r="CV668">
            <v>13.67289934744978</v>
          </cell>
          <cell r="CW668">
            <v>11.062153668663059</v>
          </cell>
          <cell r="CX668">
            <v>8.6510321273089765</v>
          </cell>
          <cell r="CY668">
            <v>13.473275210017142</v>
          </cell>
        </row>
        <row r="669">
          <cell r="A669">
            <v>40473</v>
          </cell>
          <cell r="CF669">
            <v>15.405040967415365</v>
          </cell>
          <cell r="CG669">
            <v>22.085252262534414</v>
          </cell>
          <cell r="CH669">
            <v>18.555263085067214</v>
          </cell>
          <cell r="CI669">
            <v>14.926604548033502</v>
          </cell>
          <cell r="CJ669">
            <v>22.183921622100925</v>
          </cell>
          <cell r="CU669">
            <v>8.8973702532479564</v>
          </cell>
          <cell r="CV669">
            <v>13.67289934744978</v>
          </cell>
          <cell r="CW669">
            <v>11.062153668663059</v>
          </cell>
          <cell r="CX669">
            <v>8.6510321273089765</v>
          </cell>
          <cell r="CY669">
            <v>13.473275210017142</v>
          </cell>
        </row>
        <row r="670">
          <cell r="A670">
            <v>40476</v>
          </cell>
          <cell r="CF670">
            <v>15.275499737680461</v>
          </cell>
          <cell r="CG670">
            <v>22.085252262534414</v>
          </cell>
          <cell r="CH670">
            <v>18.555263085067214</v>
          </cell>
          <cell r="CI670">
            <v>14.926604548033502</v>
          </cell>
          <cell r="CJ670">
            <v>22.183921622100925</v>
          </cell>
          <cell r="CU670">
            <v>8.8293807987290212</v>
          </cell>
          <cell r="CV670">
            <v>13.67289934744978</v>
          </cell>
          <cell r="CW670">
            <v>11.062153668663059</v>
          </cell>
          <cell r="CX670">
            <v>8.6510321273089765</v>
          </cell>
          <cell r="CY670">
            <v>13.473275210017142</v>
          </cell>
        </row>
        <row r="671">
          <cell r="A671">
            <v>40477</v>
          </cell>
          <cell r="CF671">
            <v>15.324725923144642</v>
          </cell>
          <cell r="CG671">
            <v>22.085252262534414</v>
          </cell>
          <cell r="CH671">
            <v>18.555263085067214</v>
          </cell>
          <cell r="CI671">
            <v>14.926604548033502</v>
          </cell>
          <cell r="CJ671">
            <v>22.183921622100925</v>
          </cell>
          <cell r="CU671">
            <v>8.8552170634040355</v>
          </cell>
          <cell r="CV671">
            <v>13.67289934744978</v>
          </cell>
          <cell r="CW671">
            <v>11.062153668663059</v>
          </cell>
          <cell r="CX671">
            <v>8.6510321273089765</v>
          </cell>
          <cell r="CY671">
            <v>13.473275210017142</v>
          </cell>
        </row>
        <row r="672">
          <cell r="A672">
            <v>40478</v>
          </cell>
          <cell r="CF672">
            <v>15.415406338453835</v>
          </cell>
          <cell r="CG672">
            <v>22.085252262534414</v>
          </cell>
          <cell r="CH672">
            <v>18.555263085067214</v>
          </cell>
          <cell r="CI672">
            <v>14.926604548033502</v>
          </cell>
          <cell r="CJ672">
            <v>22.183921622100925</v>
          </cell>
          <cell r="CU672">
            <v>8.9028104974407452</v>
          </cell>
          <cell r="CV672">
            <v>13.67289934744978</v>
          </cell>
          <cell r="CW672">
            <v>11.062153668663059</v>
          </cell>
          <cell r="CX672">
            <v>8.6510321273089765</v>
          </cell>
          <cell r="CY672">
            <v>13.473275210017142</v>
          </cell>
        </row>
        <row r="673">
          <cell r="A673">
            <v>40479</v>
          </cell>
          <cell r="CF673">
            <v>15.187412737790561</v>
          </cell>
          <cell r="CG673">
            <v>22.085252262534414</v>
          </cell>
          <cell r="CH673">
            <v>18.555263085067214</v>
          </cell>
          <cell r="CI673">
            <v>14.926604548033502</v>
          </cell>
          <cell r="CJ673">
            <v>22.183921622100925</v>
          </cell>
          <cell r="CU673">
            <v>8.7831485135717831</v>
          </cell>
          <cell r="CV673">
            <v>13.67289934744978</v>
          </cell>
          <cell r="CW673">
            <v>11.062153668663059</v>
          </cell>
          <cell r="CX673">
            <v>8.6510321273089765</v>
          </cell>
          <cell r="CY673">
            <v>13.473275210017142</v>
          </cell>
        </row>
        <row r="674">
          <cell r="A674">
            <v>40480</v>
          </cell>
          <cell r="CF674">
            <v>14.547478544735206</v>
          </cell>
          <cell r="CG674">
            <v>22.085252262534414</v>
          </cell>
          <cell r="CH674">
            <v>18.555263085067214</v>
          </cell>
          <cell r="CI674">
            <v>14.926604548033502</v>
          </cell>
          <cell r="CJ674">
            <v>22.183921622100925</v>
          </cell>
          <cell r="CU674">
            <v>8.6710770778900539</v>
          </cell>
          <cell r="CV674">
            <v>13.67289934744978</v>
          </cell>
          <cell r="CW674">
            <v>11.062153668663059</v>
          </cell>
          <cell r="CX674">
            <v>8.6510321273089765</v>
          </cell>
          <cell r="CY674">
            <v>13.473275210017142</v>
          </cell>
        </row>
        <row r="675">
          <cell r="A675">
            <v>40483</v>
          </cell>
          <cell r="CF675">
            <v>14.397753007537046</v>
          </cell>
          <cell r="CG675">
            <v>22.085252262534414</v>
          </cell>
          <cell r="CH675">
            <v>18.555263085067214</v>
          </cell>
          <cell r="CI675">
            <v>14.926604548033502</v>
          </cell>
          <cell r="CJ675">
            <v>22.183921622100925</v>
          </cell>
          <cell r="CU675">
            <v>8.7188834410902487</v>
          </cell>
          <cell r="CV675">
            <v>13.67289934744978</v>
          </cell>
          <cell r="CW675">
            <v>11.062153668663059</v>
          </cell>
          <cell r="CX675">
            <v>8.6510321273089765</v>
          </cell>
          <cell r="CY675">
            <v>13.473275210017142</v>
          </cell>
        </row>
        <row r="676">
          <cell r="A676">
            <v>40484</v>
          </cell>
          <cell r="CF676">
            <v>14.602631393615651</v>
          </cell>
          <cell r="CG676">
            <v>22.085252262534414</v>
          </cell>
          <cell r="CH676">
            <v>18.555263085067214</v>
          </cell>
          <cell r="CI676">
            <v>14.926604548033502</v>
          </cell>
          <cell r="CJ676">
            <v>22.183921622100925</v>
          </cell>
          <cell r="CU676">
            <v>8.8281469422847021</v>
          </cell>
          <cell r="CV676">
            <v>13.67289934744978</v>
          </cell>
          <cell r="CW676">
            <v>11.062153668663059</v>
          </cell>
          <cell r="CX676">
            <v>8.6510321273089765</v>
          </cell>
          <cell r="CY676">
            <v>13.473275210017142</v>
          </cell>
        </row>
        <row r="677">
          <cell r="A677">
            <v>40485</v>
          </cell>
          <cell r="CF677">
            <v>14.73836213354306</v>
          </cell>
          <cell r="CG677">
            <v>22.085252262534414</v>
          </cell>
          <cell r="CH677">
            <v>18.555263085067214</v>
          </cell>
          <cell r="CI677">
            <v>14.926604548033502</v>
          </cell>
          <cell r="CJ677">
            <v>22.183921622100925</v>
          </cell>
          <cell r="CU677">
            <v>8.9005333767350994</v>
          </cell>
          <cell r="CV677">
            <v>13.67289934744978</v>
          </cell>
          <cell r="CW677">
            <v>11.062153668663059</v>
          </cell>
          <cell r="CX677">
            <v>8.6510321273089765</v>
          </cell>
          <cell r="CY677">
            <v>13.473275210017142</v>
          </cell>
        </row>
        <row r="678">
          <cell r="A678">
            <v>40486</v>
          </cell>
          <cell r="CF678">
            <v>14.812978565330223</v>
          </cell>
          <cell r="CG678">
            <v>22.085252262534414</v>
          </cell>
          <cell r="CH678">
            <v>18.555263085067214</v>
          </cell>
          <cell r="CI678">
            <v>14.926604548033502</v>
          </cell>
          <cell r="CJ678">
            <v>22.183921622100925</v>
          </cell>
          <cell r="CU678">
            <v>9.0104620031971514</v>
          </cell>
          <cell r="CV678">
            <v>13.67289934744978</v>
          </cell>
          <cell r="CW678">
            <v>11.062153668663059</v>
          </cell>
          <cell r="CX678">
            <v>8.6510321273089765</v>
          </cell>
          <cell r="CY678">
            <v>13.473275210017142</v>
          </cell>
        </row>
        <row r="679">
          <cell r="A679">
            <v>40487</v>
          </cell>
          <cell r="CF679">
            <v>14.702818104185891</v>
          </cell>
          <cell r="CG679">
            <v>22.085252262534414</v>
          </cell>
          <cell r="CH679">
            <v>18.555263085067214</v>
          </cell>
          <cell r="CI679">
            <v>14.926604548033502</v>
          </cell>
          <cell r="CJ679">
            <v>22.183921622100925</v>
          </cell>
          <cell r="CU679">
            <v>8.9512540970036216</v>
          </cell>
          <cell r="CV679">
            <v>13.67289934744978</v>
          </cell>
          <cell r="CW679">
            <v>11.062153668663059</v>
          </cell>
          <cell r="CX679">
            <v>8.6510321273089765</v>
          </cell>
          <cell r="CY679">
            <v>13.473275210017142</v>
          </cell>
        </row>
        <row r="680">
          <cell r="A680">
            <v>40490</v>
          </cell>
          <cell r="CF680">
            <v>14.770708539711089</v>
          </cell>
          <cell r="CG680">
            <v>22.085252262534414</v>
          </cell>
          <cell r="CH680">
            <v>18.555263085067214</v>
          </cell>
          <cell r="CI680">
            <v>14.926604548033502</v>
          </cell>
          <cell r="CJ680">
            <v>22.183921622100925</v>
          </cell>
          <cell r="CU680">
            <v>8.9877431466704287</v>
          </cell>
          <cell r="CV680">
            <v>13.67289934744978</v>
          </cell>
          <cell r="CW680">
            <v>11.062153668663059</v>
          </cell>
          <cell r="CX680">
            <v>8.6510321273089765</v>
          </cell>
          <cell r="CY680">
            <v>13.473275210017142</v>
          </cell>
        </row>
        <row r="681">
          <cell r="A681">
            <v>40491</v>
          </cell>
          <cell r="CF681">
            <v>14.787357643041577</v>
          </cell>
          <cell r="CG681">
            <v>22.085252262534414</v>
          </cell>
          <cell r="CH681">
            <v>18.555263085067214</v>
          </cell>
          <cell r="CI681">
            <v>14.926604548033502</v>
          </cell>
          <cell r="CJ681">
            <v>22.183921622100925</v>
          </cell>
          <cell r="CU681">
            <v>8.9966915346669758</v>
          </cell>
          <cell r="CV681">
            <v>13.67289934744978</v>
          </cell>
          <cell r="CW681">
            <v>11.062153668663059</v>
          </cell>
          <cell r="CX681">
            <v>8.6510321273089765</v>
          </cell>
          <cell r="CY681">
            <v>13.473275210017142</v>
          </cell>
        </row>
        <row r="682">
          <cell r="A682">
            <v>40492</v>
          </cell>
          <cell r="CF682">
            <v>14.846284457729885</v>
          </cell>
          <cell r="CG682">
            <v>22.085252262534414</v>
          </cell>
          <cell r="CH682">
            <v>18.555263085067214</v>
          </cell>
          <cell r="CI682">
            <v>14.926604548033502</v>
          </cell>
          <cell r="CJ682">
            <v>22.183921622100925</v>
          </cell>
          <cell r="CU682">
            <v>9.0283629100416452</v>
          </cell>
          <cell r="CV682">
            <v>13.67289934744978</v>
          </cell>
          <cell r="CW682">
            <v>11.062153668663059</v>
          </cell>
          <cell r="CX682">
            <v>8.6510321273089765</v>
          </cell>
          <cell r="CY682">
            <v>13.473275210017142</v>
          </cell>
        </row>
        <row r="683">
          <cell r="A683">
            <v>40493</v>
          </cell>
          <cell r="CF683">
            <v>14.734900506575041</v>
          </cell>
          <cell r="CG683">
            <v>22.085252262534414</v>
          </cell>
          <cell r="CH683">
            <v>18.555263085067214</v>
          </cell>
          <cell r="CI683">
            <v>14.926604548033502</v>
          </cell>
          <cell r="CJ683">
            <v>22.183921622100925</v>
          </cell>
          <cell r="CU683">
            <v>9.0172923117592028</v>
          </cell>
          <cell r="CV683">
            <v>13.67289934744978</v>
          </cell>
          <cell r="CW683">
            <v>11.062153668663059</v>
          </cell>
          <cell r="CX683">
            <v>8.6510321273089765</v>
          </cell>
          <cell r="CY683">
            <v>13.473275210017142</v>
          </cell>
        </row>
        <row r="684">
          <cell r="A684">
            <v>40494</v>
          </cell>
          <cell r="CF684">
            <v>14.604459135111236</v>
          </cell>
          <cell r="CG684">
            <v>22.085252262534414</v>
          </cell>
          <cell r="CH684">
            <v>18.555263085067214</v>
          </cell>
          <cell r="CI684">
            <v>14.926604548033502</v>
          </cell>
          <cell r="CJ684">
            <v>22.183921622100925</v>
          </cell>
          <cell r="CU684">
            <v>8.946789030439497</v>
          </cell>
          <cell r="CV684">
            <v>13.67289934744978</v>
          </cell>
          <cell r="CW684">
            <v>11.062153668663059</v>
          </cell>
          <cell r="CX684">
            <v>8.6510321273089765</v>
          </cell>
          <cell r="CY684">
            <v>13.473275210017142</v>
          </cell>
        </row>
        <row r="685">
          <cell r="A685">
            <v>40497</v>
          </cell>
          <cell r="CF685">
            <v>14.74683606570121</v>
          </cell>
          <cell r="CG685">
            <v>22.085252262534414</v>
          </cell>
          <cell r="CH685">
            <v>18.555263085067214</v>
          </cell>
          <cell r="CI685">
            <v>14.926604548033502</v>
          </cell>
          <cell r="CJ685">
            <v>22.183921622100925</v>
          </cell>
          <cell r="CU685">
            <v>9.0103818165060936</v>
          </cell>
          <cell r="CV685">
            <v>13.67289934744978</v>
          </cell>
          <cell r="CW685">
            <v>11.062153668663059</v>
          </cell>
          <cell r="CX685">
            <v>8.6510321273089765</v>
          </cell>
          <cell r="CY685">
            <v>13.473275210017142</v>
          </cell>
        </row>
        <row r="686">
          <cell r="A686">
            <v>40498</v>
          </cell>
          <cell r="CF686">
            <v>14.511133144259604</v>
          </cell>
          <cell r="CG686">
            <v>22.085252262534414</v>
          </cell>
          <cell r="CH686">
            <v>18.555263085067214</v>
          </cell>
          <cell r="CI686">
            <v>14.926604548033502</v>
          </cell>
          <cell r="CJ686">
            <v>22.183921622100925</v>
          </cell>
          <cell r="CU686">
            <v>8.8831984562622353</v>
          </cell>
          <cell r="CV686">
            <v>13.67289934744978</v>
          </cell>
          <cell r="CW686">
            <v>11.062153668663059</v>
          </cell>
          <cell r="CX686">
            <v>8.6510321273089765</v>
          </cell>
          <cell r="CY686">
            <v>13.473275210017142</v>
          </cell>
        </row>
        <row r="687">
          <cell r="A687">
            <v>40499</v>
          </cell>
          <cell r="CF687">
            <v>14.608486348417216</v>
          </cell>
          <cell r="CG687">
            <v>22.085252262534414</v>
          </cell>
          <cell r="CH687">
            <v>18.555263085067214</v>
          </cell>
          <cell r="CI687">
            <v>14.926604548033502</v>
          </cell>
          <cell r="CJ687">
            <v>22.183921622100925</v>
          </cell>
          <cell r="CU687">
            <v>8.9357294455242382</v>
          </cell>
          <cell r="CV687">
            <v>13.67289934744978</v>
          </cell>
          <cell r="CW687">
            <v>11.062153668663059</v>
          </cell>
          <cell r="CX687">
            <v>8.6510321273089765</v>
          </cell>
          <cell r="CY687">
            <v>13.473275210017142</v>
          </cell>
        </row>
        <row r="688">
          <cell r="A688">
            <v>40500</v>
          </cell>
          <cell r="CF688">
            <v>14.823692806691325</v>
          </cell>
          <cell r="CG688">
            <v>22.085252262534414</v>
          </cell>
          <cell r="CH688">
            <v>18.555263085067214</v>
          </cell>
          <cell r="CI688">
            <v>14.926604548033502</v>
          </cell>
          <cell r="CJ688">
            <v>22.183921622100925</v>
          </cell>
          <cell r="CU688">
            <v>9.0518530826097532</v>
          </cell>
          <cell r="CV688">
            <v>13.67289934744978</v>
          </cell>
          <cell r="CW688">
            <v>11.062153668663059</v>
          </cell>
          <cell r="CX688">
            <v>8.6510321273089765</v>
          </cell>
          <cell r="CY688">
            <v>13.473275210017142</v>
          </cell>
        </row>
        <row r="689">
          <cell r="A689">
            <v>40501</v>
          </cell>
          <cell r="CF689">
            <v>14.972288962163374</v>
          </cell>
          <cell r="CG689">
            <v>22.085252262534414</v>
          </cell>
          <cell r="CH689">
            <v>18.555263085067214</v>
          </cell>
          <cell r="CI689">
            <v>14.926604548033502</v>
          </cell>
          <cell r="CJ689">
            <v>22.183921622100925</v>
          </cell>
          <cell r="CU689">
            <v>9.1320343474691956</v>
          </cell>
          <cell r="CV689">
            <v>13.67289934744978</v>
          </cell>
          <cell r="CW689">
            <v>11.062153668663059</v>
          </cell>
          <cell r="CX689">
            <v>8.6510321273089765</v>
          </cell>
          <cell r="CY689">
            <v>13.473275210017142</v>
          </cell>
        </row>
        <row r="690">
          <cell r="A690">
            <v>40504</v>
          </cell>
          <cell r="CF690">
            <v>14.789700396787328</v>
          </cell>
          <cell r="CG690">
            <v>22.085252262534414</v>
          </cell>
          <cell r="CH690">
            <v>18.555263085067214</v>
          </cell>
          <cell r="CI690">
            <v>14.926604548033502</v>
          </cell>
          <cell r="CJ690">
            <v>22.183921622100925</v>
          </cell>
          <cell r="CU690">
            <v>9.0375022916284085</v>
          </cell>
          <cell r="CV690">
            <v>13.67289934744978</v>
          </cell>
          <cell r="CW690">
            <v>11.062153668663059</v>
          </cell>
          <cell r="CX690">
            <v>8.6510321273089765</v>
          </cell>
          <cell r="CY690">
            <v>13.473275210017142</v>
          </cell>
        </row>
        <row r="691">
          <cell r="A691">
            <v>40505</v>
          </cell>
          <cell r="CF691">
            <v>14.507240184113014</v>
          </cell>
          <cell r="CG691">
            <v>22.085252262534414</v>
          </cell>
          <cell r="CH691">
            <v>18.555263085067214</v>
          </cell>
          <cell r="CI691">
            <v>14.926604548033502</v>
          </cell>
          <cell r="CJ691">
            <v>22.183921622100925</v>
          </cell>
          <cell r="CU691">
            <v>8.8825712466664868</v>
          </cell>
          <cell r="CV691">
            <v>13.67289934744978</v>
          </cell>
          <cell r="CW691">
            <v>11.062153668663059</v>
          </cell>
          <cell r="CX691">
            <v>8.6510321273089765</v>
          </cell>
          <cell r="CY691">
            <v>13.473275210017142</v>
          </cell>
        </row>
        <row r="692">
          <cell r="A692">
            <v>40506</v>
          </cell>
          <cell r="CF692">
            <v>14.970155995940665</v>
          </cell>
          <cell r="CG692">
            <v>22.085252262534414</v>
          </cell>
          <cell r="CH692">
            <v>18.555263085067214</v>
          </cell>
          <cell r="CI692">
            <v>14.926604548033502</v>
          </cell>
          <cell r="CJ692">
            <v>22.183921622100925</v>
          </cell>
          <cell r="CU692">
            <v>9.1322854947375252</v>
          </cell>
          <cell r="CV692">
            <v>13.67289934744978</v>
          </cell>
          <cell r="CW692">
            <v>11.062153668663059</v>
          </cell>
          <cell r="CX692">
            <v>8.6510321273089765</v>
          </cell>
          <cell r="CY692">
            <v>13.473275210017142</v>
          </cell>
        </row>
        <row r="693">
          <cell r="A693">
            <v>40507</v>
          </cell>
          <cell r="CF693">
            <v>14.970155995940665</v>
          </cell>
          <cell r="CG693">
            <v>22.085252262534414</v>
          </cell>
          <cell r="CH693">
            <v>18.555263085067214</v>
          </cell>
          <cell r="CI693">
            <v>14.926604548033502</v>
          </cell>
          <cell r="CJ693">
            <v>22.183921622100925</v>
          </cell>
          <cell r="CU693">
            <v>9.1322854947375252</v>
          </cell>
          <cell r="CV693">
            <v>13.67289934744978</v>
          </cell>
          <cell r="CW693">
            <v>11.062153668663059</v>
          </cell>
          <cell r="CX693">
            <v>8.6510321273089765</v>
          </cell>
          <cell r="CY693">
            <v>13.473275210017142</v>
          </cell>
        </row>
        <row r="694">
          <cell r="A694">
            <v>40508</v>
          </cell>
          <cell r="CF694">
            <v>14.8467130138934</v>
          </cell>
          <cell r="CG694">
            <v>22.085252262534414</v>
          </cell>
          <cell r="CH694">
            <v>18.555263085067214</v>
          </cell>
          <cell r="CI694">
            <v>14.926604548033502</v>
          </cell>
          <cell r="CJ694">
            <v>22.183921622100925</v>
          </cell>
          <cell r="CU694">
            <v>9.0656956944887988</v>
          </cell>
          <cell r="CV694">
            <v>13.67289934744978</v>
          </cell>
          <cell r="CW694">
            <v>11.062153668663059</v>
          </cell>
          <cell r="CX694">
            <v>8.6510321273089765</v>
          </cell>
          <cell r="CY694">
            <v>13.473275210017142</v>
          </cell>
        </row>
        <row r="695">
          <cell r="A695">
            <v>40511</v>
          </cell>
          <cell r="CF695">
            <v>14.769559735651235</v>
          </cell>
          <cell r="CG695">
            <v>22.085252262534414</v>
          </cell>
          <cell r="CH695">
            <v>18.555263085067214</v>
          </cell>
          <cell r="CI695">
            <v>14.926604548033502</v>
          </cell>
          <cell r="CJ695">
            <v>22.183921622100925</v>
          </cell>
          <cell r="CU695">
            <v>9.0240763063188609</v>
          </cell>
          <cell r="CV695">
            <v>13.67289934744978</v>
          </cell>
          <cell r="CW695">
            <v>11.062153668663059</v>
          </cell>
          <cell r="CX695">
            <v>8.6510321273089765</v>
          </cell>
          <cell r="CY695">
            <v>13.473275210017142</v>
          </cell>
        </row>
        <row r="696">
          <cell r="A696">
            <v>40512</v>
          </cell>
          <cell r="CF696">
            <v>14.755416909644923</v>
          </cell>
          <cell r="CG696">
            <v>22.085252262534414</v>
          </cell>
          <cell r="CH696">
            <v>18.555263085067214</v>
          </cell>
          <cell r="CI696">
            <v>14.926604548033502</v>
          </cell>
          <cell r="CJ696">
            <v>22.183921622100925</v>
          </cell>
          <cell r="CU696">
            <v>9.0164471325651654</v>
          </cell>
          <cell r="CV696">
            <v>13.67289934744978</v>
          </cell>
          <cell r="CW696">
            <v>11.062153668663059</v>
          </cell>
          <cell r="CX696">
            <v>8.6510321273089765</v>
          </cell>
          <cell r="CY696">
            <v>13.473275210017142</v>
          </cell>
        </row>
        <row r="697">
          <cell r="A697">
            <v>40513</v>
          </cell>
          <cell r="CF697">
            <v>14.982141836734694</v>
          </cell>
          <cell r="CG697">
            <v>22.085252262534414</v>
          </cell>
          <cell r="CH697">
            <v>18.555263085067214</v>
          </cell>
          <cell r="CI697">
            <v>14.926604548033502</v>
          </cell>
          <cell r="CJ697">
            <v>22.183921622100925</v>
          </cell>
          <cell r="CU697">
            <v>9.1425466187406172</v>
          </cell>
          <cell r="CV697">
            <v>13.67289934744978</v>
          </cell>
          <cell r="CW697">
            <v>11.062153668663059</v>
          </cell>
          <cell r="CX697">
            <v>8.6510321273089765</v>
          </cell>
          <cell r="CY697">
            <v>13.473275210017142</v>
          </cell>
        </row>
        <row r="698">
          <cell r="A698">
            <v>40514</v>
          </cell>
          <cell r="CF698">
            <v>15.191323469387756</v>
          </cell>
          <cell r="CG698">
            <v>22.085252262534414</v>
          </cell>
          <cell r="CH698">
            <v>18.555263085067214</v>
          </cell>
          <cell r="CI698">
            <v>14.926604548033502</v>
          </cell>
          <cell r="CJ698">
            <v>22.183921622100925</v>
          </cell>
          <cell r="CU698">
            <v>9.2555392705252757</v>
          </cell>
          <cell r="CV698">
            <v>13.67289934744978</v>
          </cell>
          <cell r="CW698">
            <v>11.062153668663059</v>
          </cell>
          <cell r="CX698">
            <v>8.6510321273089765</v>
          </cell>
          <cell r="CY698">
            <v>13.473275210017142</v>
          </cell>
        </row>
        <row r="699">
          <cell r="A699">
            <v>40515</v>
          </cell>
          <cell r="CF699">
            <v>15.267854846938777</v>
          </cell>
          <cell r="CG699">
            <v>22.085252262534414</v>
          </cell>
          <cell r="CH699">
            <v>18.555263085067214</v>
          </cell>
          <cell r="CI699">
            <v>14.926604548033502</v>
          </cell>
          <cell r="CJ699">
            <v>22.183921622100925</v>
          </cell>
          <cell r="CU699">
            <v>9.2968788622692831</v>
          </cell>
          <cell r="CV699">
            <v>13.67289934744978</v>
          </cell>
          <cell r="CW699">
            <v>11.062153668663059</v>
          </cell>
          <cell r="CX699">
            <v>8.6510321273089765</v>
          </cell>
          <cell r="CY699">
            <v>13.473275210017142</v>
          </cell>
        </row>
        <row r="700">
          <cell r="A700">
            <v>40518</v>
          </cell>
          <cell r="CF700">
            <v>15.124998469387755</v>
          </cell>
          <cell r="CG700">
            <v>22.085252262534414</v>
          </cell>
          <cell r="CH700">
            <v>18.555263085067214</v>
          </cell>
          <cell r="CI700">
            <v>14.926604548033502</v>
          </cell>
          <cell r="CJ700">
            <v>22.183921622100925</v>
          </cell>
          <cell r="CU700">
            <v>9.2197128094035801</v>
          </cell>
          <cell r="CV700">
            <v>13.67289934744978</v>
          </cell>
          <cell r="CW700">
            <v>11.062153668663059</v>
          </cell>
          <cell r="CX700">
            <v>8.6510321273089765</v>
          </cell>
          <cell r="CY700">
            <v>13.473275210017142</v>
          </cell>
        </row>
        <row r="701">
          <cell r="A701">
            <v>40519</v>
          </cell>
          <cell r="CF701">
            <v>15.219384948979593</v>
          </cell>
          <cell r="CG701">
            <v>22.085252262534414</v>
          </cell>
          <cell r="CH701">
            <v>18.555263085067214</v>
          </cell>
          <cell r="CI701">
            <v>14.926604548033502</v>
          </cell>
          <cell r="CJ701">
            <v>22.183921622100925</v>
          </cell>
          <cell r="CU701">
            <v>9.270697107051685</v>
          </cell>
          <cell r="CV701">
            <v>13.67289934744978</v>
          </cell>
          <cell r="CW701">
            <v>11.062153668663059</v>
          </cell>
          <cell r="CX701">
            <v>8.6510321273089765</v>
          </cell>
          <cell r="CY701">
            <v>13.473275210017142</v>
          </cell>
        </row>
        <row r="702">
          <cell r="A702">
            <v>40520</v>
          </cell>
          <cell r="CF702">
            <v>14.956630102040817</v>
          </cell>
          <cell r="CG702">
            <v>22.085252262534414</v>
          </cell>
          <cell r="CH702">
            <v>18.555263085067214</v>
          </cell>
          <cell r="CI702">
            <v>14.926604548033502</v>
          </cell>
          <cell r="CJ702">
            <v>22.183921622100925</v>
          </cell>
          <cell r="CU702">
            <v>9.1287660658396419</v>
          </cell>
          <cell r="CV702">
            <v>13.67289934744978</v>
          </cell>
          <cell r="CW702">
            <v>11.062153668663059</v>
          </cell>
          <cell r="CX702">
            <v>8.6510321273089765</v>
          </cell>
          <cell r="CY702">
            <v>13.473275210017142</v>
          </cell>
        </row>
        <row r="703">
          <cell r="A703">
            <v>40521</v>
          </cell>
          <cell r="CF703">
            <v>15.099486734693878</v>
          </cell>
          <cell r="CG703">
            <v>22.085252262534414</v>
          </cell>
          <cell r="CH703">
            <v>18.555263085067214</v>
          </cell>
          <cell r="CI703">
            <v>14.926604548033502</v>
          </cell>
          <cell r="CJ703">
            <v>22.183921622100925</v>
          </cell>
          <cell r="CU703">
            <v>9.2059322565026047</v>
          </cell>
          <cell r="CV703">
            <v>13.67289934744978</v>
          </cell>
          <cell r="CW703">
            <v>11.062153668663059</v>
          </cell>
          <cell r="CX703">
            <v>8.6510321273089765</v>
          </cell>
          <cell r="CY703">
            <v>13.473275210017142</v>
          </cell>
        </row>
        <row r="704">
          <cell r="A704">
            <v>40522</v>
          </cell>
          <cell r="CF704">
            <v>15.284158822583814</v>
          </cell>
          <cell r="CG704">
            <v>22.085252262534414</v>
          </cell>
          <cell r="CH704">
            <v>18.555263085067214</v>
          </cell>
          <cell r="CI704">
            <v>14.926604548033502</v>
          </cell>
          <cell r="CJ704">
            <v>22.183921622100925</v>
          </cell>
          <cell r="CU704">
            <v>9.3195515431070941</v>
          </cell>
          <cell r="CV704">
            <v>13.67289934744978</v>
          </cell>
          <cell r="CW704">
            <v>11.062153668663059</v>
          </cell>
          <cell r="CX704">
            <v>8.6510321273089765</v>
          </cell>
          <cell r="CY704">
            <v>13.473275210017142</v>
          </cell>
        </row>
        <row r="705">
          <cell r="A705">
            <v>40525</v>
          </cell>
          <cell r="CF705">
            <v>15.051961297137856</v>
          </cell>
          <cell r="CG705">
            <v>22.085252262534414</v>
          </cell>
          <cell r="CH705">
            <v>18.555263085067214</v>
          </cell>
          <cell r="CI705">
            <v>14.926604548033502</v>
          </cell>
          <cell r="CJ705">
            <v>22.183921622100925</v>
          </cell>
          <cell r="CU705">
            <v>9.1939429072745096</v>
          </cell>
          <cell r="CV705">
            <v>13.67289934744978</v>
          </cell>
          <cell r="CW705">
            <v>11.062153668663059</v>
          </cell>
          <cell r="CX705">
            <v>8.6510321273089765</v>
          </cell>
          <cell r="CY705">
            <v>13.473275210017142</v>
          </cell>
        </row>
        <row r="706">
          <cell r="A706">
            <v>40526</v>
          </cell>
          <cell r="CF706">
            <v>15.324985647178298</v>
          </cell>
          <cell r="CG706">
            <v>22.085252262534414</v>
          </cell>
          <cell r="CH706">
            <v>18.555263085067214</v>
          </cell>
          <cell r="CI706">
            <v>14.926604548033502</v>
          </cell>
          <cell r="CJ706">
            <v>22.183921622100925</v>
          </cell>
          <cell r="CU706">
            <v>9.3416370572952427</v>
          </cell>
          <cell r="CV706">
            <v>13.67289934744978</v>
          </cell>
          <cell r="CW706">
            <v>11.062153668663059</v>
          </cell>
          <cell r="CX706">
            <v>8.6510321273089765</v>
          </cell>
          <cell r="CY706">
            <v>13.473275210017142</v>
          </cell>
        </row>
        <row r="707">
          <cell r="A707">
            <v>40527</v>
          </cell>
          <cell r="CF707">
            <v>15.52656126804947</v>
          </cell>
          <cell r="CG707">
            <v>22.085252262534414</v>
          </cell>
          <cell r="CH707">
            <v>18.555263085067214</v>
          </cell>
          <cell r="CI707">
            <v>14.926604548033502</v>
          </cell>
          <cell r="CJ707">
            <v>22.183921622100925</v>
          </cell>
          <cell r="CU707">
            <v>9.4506805912696255</v>
          </cell>
          <cell r="CV707">
            <v>13.67289934744978</v>
          </cell>
          <cell r="CW707">
            <v>11.062153668663059</v>
          </cell>
          <cell r="CX707">
            <v>8.6510321273089765</v>
          </cell>
          <cell r="CY707">
            <v>13.473275210017142</v>
          </cell>
        </row>
        <row r="708">
          <cell r="A708">
            <v>40528</v>
          </cell>
          <cell r="CF708">
            <v>15.717932224062219</v>
          </cell>
          <cell r="CG708">
            <v>22.085252262534414</v>
          </cell>
          <cell r="CH708">
            <v>18.555263085067214</v>
          </cell>
          <cell r="CI708">
            <v>14.926604548033502</v>
          </cell>
          <cell r="CJ708">
            <v>22.183921622100925</v>
          </cell>
          <cell r="CU708">
            <v>9.5542038509450773</v>
          </cell>
          <cell r="CV708">
            <v>13.67289934744978</v>
          </cell>
          <cell r="CW708">
            <v>11.062153668663059</v>
          </cell>
          <cell r="CX708">
            <v>8.6510321273089765</v>
          </cell>
          <cell r="CY708">
            <v>13.473275210017142</v>
          </cell>
        </row>
        <row r="709">
          <cell r="A709">
            <v>40529</v>
          </cell>
          <cell r="CF709">
            <v>15.842962779624861</v>
          </cell>
          <cell r="CG709">
            <v>22.085252262534414</v>
          </cell>
          <cell r="CH709">
            <v>18.555263085067214</v>
          </cell>
          <cell r="CI709">
            <v>14.926604548033502</v>
          </cell>
          <cell r="CJ709">
            <v>22.183921622100925</v>
          </cell>
          <cell r="CU709">
            <v>9.6218398754524479</v>
          </cell>
          <cell r="CV709">
            <v>13.67289934744978</v>
          </cell>
          <cell r="CW709">
            <v>11.062153668663059</v>
          </cell>
          <cell r="CX709">
            <v>8.6510321273089765</v>
          </cell>
          <cell r="CY709">
            <v>13.473275210017142</v>
          </cell>
        </row>
        <row r="710">
          <cell r="A710">
            <v>40532</v>
          </cell>
          <cell r="CF710">
            <v>15.901648852157004</v>
          </cell>
          <cell r="CG710">
            <v>22.085252262534414</v>
          </cell>
          <cell r="CH710">
            <v>18.555263085067214</v>
          </cell>
          <cell r="CI710">
            <v>14.926604548033502</v>
          </cell>
          <cell r="CJ710">
            <v>22.183921622100925</v>
          </cell>
          <cell r="CU710">
            <v>9.6535864562955336</v>
          </cell>
          <cell r="CV710">
            <v>13.67289934744978</v>
          </cell>
          <cell r="CW710">
            <v>11.062153668663059</v>
          </cell>
          <cell r="CX710">
            <v>8.6510321273089765</v>
          </cell>
          <cell r="CY710">
            <v>13.473275210017142</v>
          </cell>
        </row>
        <row r="711">
          <cell r="A711">
            <v>40533</v>
          </cell>
          <cell r="CF711">
            <v>15.814894784248384</v>
          </cell>
          <cell r="CG711">
            <v>22.085252262534414</v>
          </cell>
          <cell r="CH711">
            <v>18.555263085067214</v>
          </cell>
          <cell r="CI711">
            <v>14.926604548033502</v>
          </cell>
          <cell r="CJ711">
            <v>22.183921622100925</v>
          </cell>
          <cell r="CU711">
            <v>9.6066563260023692</v>
          </cell>
          <cell r="CV711">
            <v>13.67289934744978</v>
          </cell>
          <cell r="CW711">
            <v>11.062153668663059</v>
          </cell>
          <cell r="CX711">
            <v>8.6510321273089765</v>
          </cell>
          <cell r="CY711">
            <v>13.473275210017142</v>
          </cell>
        </row>
        <row r="712">
          <cell r="A712">
            <v>40534</v>
          </cell>
          <cell r="CF712">
            <v>15.850617362704096</v>
          </cell>
          <cell r="CG712">
            <v>22.085252262534414</v>
          </cell>
          <cell r="CH712">
            <v>18.555263085067214</v>
          </cell>
          <cell r="CI712">
            <v>14.926604548033502</v>
          </cell>
          <cell r="CJ712">
            <v>22.183921622100925</v>
          </cell>
          <cell r="CU712">
            <v>9.6259806678084541</v>
          </cell>
          <cell r="CV712">
            <v>13.67289934744978</v>
          </cell>
          <cell r="CW712">
            <v>11.062153668663059</v>
          </cell>
          <cell r="CX712">
            <v>8.6510321273089765</v>
          </cell>
          <cell r="CY712">
            <v>13.473275210017142</v>
          </cell>
        </row>
        <row r="713">
          <cell r="A713">
            <v>40535</v>
          </cell>
          <cell r="CF713">
            <v>15.860822027562522</v>
          </cell>
          <cell r="CG713">
            <v>22.085252262534414</v>
          </cell>
          <cell r="CH713">
            <v>18.555263085067214</v>
          </cell>
          <cell r="CI713">
            <v>14.926604548033502</v>
          </cell>
          <cell r="CJ713">
            <v>22.183921622100925</v>
          </cell>
          <cell r="CU713">
            <v>9.6315009421073885</v>
          </cell>
          <cell r="CV713">
            <v>13.67289934744978</v>
          </cell>
          <cell r="CW713">
            <v>11.062153668663059</v>
          </cell>
          <cell r="CX713">
            <v>8.6510321273089765</v>
          </cell>
          <cell r="CY713">
            <v>13.473275210017142</v>
          </cell>
        </row>
        <row r="714">
          <cell r="A714">
            <v>40536</v>
          </cell>
          <cell r="CF714">
            <v>15.860822027562522</v>
          </cell>
          <cell r="CG714">
            <v>22.085252262534414</v>
          </cell>
          <cell r="CH714">
            <v>18.555263085067214</v>
          </cell>
          <cell r="CI714">
            <v>14.926604548033502</v>
          </cell>
          <cell r="CJ714">
            <v>22.183921622100925</v>
          </cell>
          <cell r="CU714">
            <v>9.6315009421073885</v>
          </cell>
          <cell r="CV714">
            <v>13.67289934744978</v>
          </cell>
          <cell r="CW714">
            <v>11.062153668663059</v>
          </cell>
          <cell r="CX714">
            <v>8.6510321273089765</v>
          </cell>
          <cell r="CY714">
            <v>13.473275210017142</v>
          </cell>
        </row>
        <row r="715">
          <cell r="A715">
            <v>40539</v>
          </cell>
          <cell r="CF715">
            <v>15.860822027562522</v>
          </cell>
          <cell r="CG715">
            <v>22.085252262534414</v>
          </cell>
          <cell r="CH715">
            <v>18.555263085067214</v>
          </cell>
          <cell r="CI715">
            <v>14.926604548033502</v>
          </cell>
          <cell r="CJ715">
            <v>22.183921622100925</v>
          </cell>
          <cell r="CU715">
            <v>9.6315009421073885</v>
          </cell>
          <cell r="CV715">
            <v>13.67289934744978</v>
          </cell>
          <cell r="CW715">
            <v>11.062153668663059</v>
          </cell>
          <cell r="CX715">
            <v>8.6510321273089765</v>
          </cell>
          <cell r="CY715">
            <v>13.473275210017142</v>
          </cell>
        </row>
        <row r="716">
          <cell r="A716">
            <v>40540</v>
          </cell>
          <cell r="CF716">
            <v>15.814894784248384</v>
          </cell>
          <cell r="CG716">
            <v>22.085252262534414</v>
          </cell>
          <cell r="CH716">
            <v>18.555263085067214</v>
          </cell>
          <cell r="CI716">
            <v>14.926604548033502</v>
          </cell>
          <cell r="CJ716">
            <v>22.183921622100925</v>
          </cell>
          <cell r="CU716">
            <v>9.6066563260023692</v>
          </cell>
          <cell r="CV716">
            <v>13.67289934744978</v>
          </cell>
          <cell r="CW716">
            <v>11.062153668663059</v>
          </cell>
          <cell r="CX716">
            <v>8.6510321273089765</v>
          </cell>
          <cell r="CY716">
            <v>13.473275210017142</v>
          </cell>
        </row>
        <row r="717">
          <cell r="A717">
            <v>40541</v>
          </cell>
          <cell r="CF717">
            <v>15.883789349058071</v>
          </cell>
          <cell r="CG717">
            <v>22.085252262534414</v>
          </cell>
          <cell r="CH717">
            <v>18.555263085067214</v>
          </cell>
          <cell r="CI717">
            <v>14.926604548033502</v>
          </cell>
          <cell r="CJ717">
            <v>22.183921622100925</v>
          </cell>
          <cell r="CU717">
            <v>9.6439252516095824</v>
          </cell>
          <cell r="CV717">
            <v>13.67289934744978</v>
          </cell>
          <cell r="CW717">
            <v>11.062153668663059</v>
          </cell>
          <cell r="CX717">
            <v>8.6510321273089765</v>
          </cell>
          <cell r="CY717">
            <v>13.473275210017142</v>
          </cell>
        </row>
        <row r="718">
          <cell r="A718">
            <v>40542</v>
          </cell>
          <cell r="CF718">
            <v>15.84551286140405</v>
          </cell>
          <cell r="CG718">
            <v>22.085252262534414</v>
          </cell>
          <cell r="CH718">
            <v>18.555263085067214</v>
          </cell>
          <cell r="CI718">
            <v>14.926604548033502</v>
          </cell>
          <cell r="CJ718">
            <v>22.183921622100925</v>
          </cell>
          <cell r="CU718">
            <v>9.6232193573953779</v>
          </cell>
          <cell r="CV718">
            <v>13.67289934744978</v>
          </cell>
          <cell r="CW718">
            <v>11.062153668663059</v>
          </cell>
          <cell r="CX718">
            <v>8.6510321273089765</v>
          </cell>
          <cell r="CY718">
            <v>13.473275210017142</v>
          </cell>
        </row>
        <row r="719">
          <cell r="A719">
            <v>40543</v>
          </cell>
          <cell r="CF719">
            <v>15.664350652830121</v>
          </cell>
          <cell r="CG719">
            <v>22.085252262534414</v>
          </cell>
          <cell r="CH719">
            <v>18.555263085067214</v>
          </cell>
          <cell r="CI719">
            <v>14.926604548033502</v>
          </cell>
          <cell r="CJ719">
            <v>22.183921622100925</v>
          </cell>
          <cell r="CU719">
            <v>9.525218580515066</v>
          </cell>
          <cell r="CV719">
            <v>13.67289934744978</v>
          </cell>
          <cell r="CW719">
            <v>11.062153668663059</v>
          </cell>
          <cell r="CX719">
            <v>8.6510321273089765</v>
          </cell>
          <cell r="CY719">
            <v>13.473275210017142</v>
          </cell>
        </row>
        <row r="720">
          <cell r="A720">
            <v>40546</v>
          </cell>
          <cell r="CF720">
            <v>15.86021361267818</v>
          </cell>
          <cell r="CG720">
            <v>22.085252262534414</v>
          </cell>
          <cell r="CH720">
            <v>18.555263085067214</v>
          </cell>
          <cell r="CI720">
            <v>14.926604548033502</v>
          </cell>
          <cell r="CJ720">
            <v>22.183921622100925</v>
          </cell>
          <cell r="CU720">
            <v>9.678510849253394</v>
          </cell>
          <cell r="CV720">
            <v>13.67289934744978</v>
          </cell>
          <cell r="CW720">
            <v>11.062153668663059</v>
          </cell>
          <cell r="CX720">
            <v>8.6510321273089765</v>
          </cell>
          <cell r="CY720">
            <v>13.473275210017142</v>
          </cell>
        </row>
        <row r="721">
          <cell r="A721">
            <v>40547</v>
          </cell>
          <cell r="CF721">
            <v>15.6732649417416</v>
          </cell>
          <cell r="CG721">
            <v>22.085252262534414</v>
          </cell>
          <cell r="CH721">
            <v>18.555263085067214</v>
          </cell>
          <cell r="CI721">
            <v>14.926604548033502</v>
          </cell>
          <cell r="CJ721">
            <v>22.183921622100925</v>
          </cell>
          <cell r="CU721">
            <v>9.5767726555473871</v>
          </cell>
          <cell r="CV721">
            <v>13.67289934744978</v>
          </cell>
          <cell r="CW721">
            <v>11.062153668663059</v>
          </cell>
          <cell r="CX721">
            <v>8.6510321273089765</v>
          </cell>
          <cell r="CY721">
            <v>13.473275210017142</v>
          </cell>
        </row>
        <row r="722">
          <cell r="A722">
            <v>40548</v>
          </cell>
          <cell r="CF722">
            <v>15.663161192246072</v>
          </cell>
          <cell r="CG722">
            <v>22.085252262534414</v>
          </cell>
          <cell r="CH722">
            <v>18.555263085067214</v>
          </cell>
          <cell r="CI722">
            <v>14.926604548033502</v>
          </cell>
          <cell r="CJ722">
            <v>22.183921622100925</v>
          </cell>
          <cell r="CU722">
            <v>9.569836408620521</v>
          </cell>
          <cell r="CV722">
            <v>13.67289934744978</v>
          </cell>
          <cell r="CW722">
            <v>11.062153668663059</v>
          </cell>
          <cell r="CX722">
            <v>8.6510321273089765</v>
          </cell>
          <cell r="CY722">
            <v>13.473275210017142</v>
          </cell>
        </row>
        <row r="723">
          <cell r="A723">
            <v>40549</v>
          </cell>
          <cell r="CF723">
            <v>15.829895290505901</v>
          </cell>
          <cell r="CG723">
            <v>22.085252262534414</v>
          </cell>
          <cell r="CH723">
            <v>18.555263085067214</v>
          </cell>
          <cell r="CI723">
            <v>14.926604548033502</v>
          </cell>
          <cell r="CJ723">
            <v>22.183921622100925</v>
          </cell>
          <cell r="CU723">
            <v>9.6605601231746761</v>
          </cell>
          <cell r="CV723">
            <v>13.67289934744978</v>
          </cell>
          <cell r="CW723">
            <v>11.062153668663059</v>
          </cell>
          <cell r="CX723">
            <v>8.6510321273089765</v>
          </cell>
          <cell r="CY723">
            <v>13.473275210017142</v>
          </cell>
        </row>
        <row r="724">
          <cell r="A724">
            <v>40550</v>
          </cell>
          <cell r="CF724">
            <v>15.795448191195188</v>
          </cell>
          <cell r="CG724">
            <v>22.085252262534414</v>
          </cell>
          <cell r="CH724">
            <v>18.555263085067214</v>
          </cell>
          <cell r="CI724">
            <v>14.926604548033502</v>
          </cell>
          <cell r="CJ724">
            <v>22.183921622100925</v>
          </cell>
          <cell r="CU724">
            <v>9.6454391146053329</v>
          </cell>
          <cell r="CV724">
            <v>13.67289934744978</v>
          </cell>
          <cell r="CW724">
            <v>11.062153668663059</v>
          </cell>
          <cell r="CX724">
            <v>8.6510321273089765</v>
          </cell>
          <cell r="CY724">
            <v>13.473275210017142</v>
          </cell>
        </row>
        <row r="725">
          <cell r="A725">
            <v>40553</v>
          </cell>
          <cell r="CF725">
            <v>15.797975968441026</v>
          </cell>
          <cell r="CG725">
            <v>22.085252262534414</v>
          </cell>
          <cell r="CH725">
            <v>18.555263085067214</v>
          </cell>
          <cell r="CI725">
            <v>14.926604548033502</v>
          </cell>
          <cell r="CJ725">
            <v>22.183921622100925</v>
          </cell>
          <cell r="CU725">
            <v>9.6468151138760589</v>
          </cell>
          <cell r="CV725">
            <v>13.67289934744978</v>
          </cell>
          <cell r="CW725">
            <v>11.062153668663059</v>
          </cell>
          <cell r="CX725">
            <v>8.6510321273089765</v>
          </cell>
          <cell r="CY725">
            <v>13.473275210017142</v>
          </cell>
        </row>
        <row r="726">
          <cell r="A726">
            <v>40554</v>
          </cell>
          <cell r="CF726">
            <v>15.861107268287141</v>
          </cell>
          <cell r="CG726">
            <v>22.085252262534414</v>
          </cell>
          <cell r="CH726">
            <v>18.555263085067214</v>
          </cell>
          <cell r="CI726">
            <v>14.926604548033502</v>
          </cell>
          <cell r="CJ726">
            <v>22.183921622100925</v>
          </cell>
          <cell r="CU726">
            <v>9.6811807300280535</v>
          </cell>
          <cell r="CV726">
            <v>13.67289934744978</v>
          </cell>
          <cell r="CW726">
            <v>11.062153668663059</v>
          </cell>
          <cell r="CX726">
            <v>8.6510321273089765</v>
          </cell>
          <cell r="CY726">
            <v>13.473275210017142</v>
          </cell>
        </row>
        <row r="727">
          <cell r="A727">
            <v>40555</v>
          </cell>
          <cell r="CF727">
            <v>16.030298646824324</v>
          </cell>
          <cell r="CG727">
            <v>22.085252262534414</v>
          </cell>
          <cell r="CH727">
            <v>18.555263085067214</v>
          </cell>
          <cell r="CI727">
            <v>14.926604548033502</v>
          </cell>
          <cell r="CJ727">
            <v>22.183921622100925</v>
          </cell>
          <cell r="CU727">
            <v>9.7732803063904665</v>
          </cell>
          <cell r="CV727">
            <v>13.67289934744978</v>
          </cell>
          <cell r="CW727">
            <v>11.062153668663059</v>
          </cell>
          <cell r="CX727">
            <v>8.6510321273089765</v>
          </cell>
          <cell r="CY727">
            <v>13.473275210017142</v>
          </cell>
        </row>
        <row r="728">
          <cell r="A728">
            <v>40556</v>
          </cell>
          <cell r="CF728">
            <v>16.138882714883245</v>
          </cell>
          <cell r="CG728">
            <v>22.085252262534414</v>
          </cell>
          <cell r="CH728">
            <v>18.555263085067214</v>
          </cell>
          <cell r="CI728">
            <v>14.926604548033502</v>
          </cell>
          <cell r="CJ728">
            <v>22.183921622100925</v>
          </cell>
          <cell r="CU728">
            <v>9.8323882039346451</v>
          </cell>
          <cell r="CV728">
            <v>13.67289934744978</v>
          </cell>
          <cell r="CW728">
            <v>11.062153668663059</v>
          </cell>
          <cell r="CX728">
            <v>8.6510321273089765</v>
          </cell>
          <cell r="CY728">
            <v>13.473275210017142</v>
          </cell>
        </row>
        <row r="729">
          <cell r="A729">
            <v>40557</v>
          </cell>
          <cell r="CF729">
            <v>16.212117042906332</v>
          </cell>
          <cell r="CG729">
            <v>22.085252262534414</v>
          </cell>
          <cell r="CH729">
            <v>18.555263085067214</v>
          </cell>
          <cell r="CI729">
            <v>14.926604548033502</v>
          </cell>
          <cell r="CJ729">
            <v>22.183921622100925</v>
          </cell>
          <cell r="CU729">
            <v>9.8722534183706756</v>
          </cell>
          <cell r="CV729">
            <v>13.67289934744978</v>
          </cell>
          <cell r="CW729">
            <v>11.062153668663059</v>
          </cell>
          <cell r="CX729">
            <v>8.6510321273089765</v>
          </cell>
          <cell r="CY729">
            <v>13.473275210017142</v>
          </cell>
        </row>
        <row r="730">
          <cell r="A730">
            <v>40560</v>
          </cell>
          <cell r="CF730">
            <v>16.212117042906332</v>
          </cell>
          <cell r="CG730">
            <v>22.085252262534414</v>
          </cell>
          <cell r="CH730">
            <v>18.555263085067214</v>
          </cell>
          <cell r="CI730">
            <v>14.926604548033502</v>
          </cell>
          <cell r="CJ730">
            <v>22.183921622100925</v>
          </cell>
          <cell r="CU730">
            <v>9.8722534183706756</v>
          </cell>
          <cell r="CV730">
            <v>13.67289934744978</v>
          </cell>
          <cell r="CW730">
            <v>11.062153668663059</v>
          </cell>
          <cell r="CX730">
            <v>8.6510321273089765</v>
          </cell>
          <cell r="CY730">
            <v>13.473275210017142</v>
          </cell>
        </row>
        <row r="731">
          <cell r="A731">
            <v>40561</v>
          </cell>
          <cell r="CF731">
            <v>16.628782106739486</v>
          </cell>
          <cell r="CG731">
            <v>22.085252262534414</v>
          </cell>
          <cell r="CH731">
            <v>18.555263085067214</v>
          </cell>
          <cell r="CI731">
            <v>14.926604548033502</v>
          </cell>
          <cell r="CJ731">
            <v>22.183921622100925</v>
          </cell>
          <cell r="CU731">
            <v>10.099065660199049</v>
          </cell>
          <cell r="CV731">
            <v>13.67289934744978</v>
          </cell>
          <cell r="CW731">
            <v>11.062153668663059</v>
          </cell>
          <cell r="CX731">
            <v>8.6510321273089765</v>
          </cell>
          <cell r="CY731">
            <v>13.473275210017142</v>
          </cell>
        </row>
        <row r="732">
          <cell r="A732">
            <v>40562</v>
          </cell>
          <cell r="CF732">
            <v>16.462114717570145</v>
          </cell>
          <cell r="CG732">
            <v>22.085252262534414</v>
          </cell>
          <cell r="CH732">
            <v>18.555263085067214</v>
          </cell>
          <cell r="CI732">
            <v>14.926604548033502</v>
          </cell>
          <cell r="CJ732">
            <v>22.183921622100925</v>
          </cell>
          <cell r="CU732">
            <v>10.008340021170389</v>
          </cell>
          <cell r="CV732">
            <v>13.67289934744978</v>
          </cell>
          <cell r="CW732">
            <v>11.062153668663059</v>
          </cell>
          <cell r="CX732">
            <v>8.6510321273089765</v>
          </cell>
          <cell r="CY732">
            <v>13.473275210017142</v>
          </cell>
        </row>
        <row r="733">
          <cell r="A733">
            <v>40563</v>
          </cell>
          <cell r="CF733">
            <v>16.510095010503594</v>
          </cell>
          <cell r="CG733">
            <v>22.085252262534414</v>
          </cell>
          <cell r="CH733">
            <v>18.555263085067214</v>
          </cell>
          <cell r="CI733">
            <v>14.926604548033502</v>
          </cell>
          <cell r="CJ733">
            <v>22.183921622100925</v>
          </cell>
          <cell r="CU733">
            <v>10.034458164370836</v>
          </cell>
          <cell r="CV733">
            <v>13.67289934744978</v>
          </cell>
          <cell r="CW733">
            <v>11.062153668663059</v>
          </cell>
          <cell r="CX733">
            <v>8.6510321273089765</v>
          </cell>
          <cell r="CY733">
            <v>13.473275210017142</v>
          </cell>
        </row>
        <row r="734">
          <cell r="A734">
            <v>40564</v>
          </cell>
          <cell r="CF734">
            <v>16.499995770204606</v>
          </cell>
          <cell r="CG734">
            <v>22.085252262534414</v>
          </cell>
          <cell r="CH734">
            <v>18.555263085067214</v>
          </cell>
          <cell r="CI734">
            <v>14.926604548033502</v>
          </cell>
          <cell r="CJ734">
            <v>22.183921622100925</v>
          </cell>
          <cell r="CU734">
            <v>10.028960628023768</v>
          </cell>
          <cell r="CV734">
            <v>13.67289934744978</v>
          </cell>
          <cell r="CW734">
            <v>11.062153668663059</v>
          </cell>
          <cell r="CX734">
            <v>8.6510321273089765</v>
          </cell>
          <cell r="CY734">
            <v>13.473275210017142</v>
          </cell>
        </row>
        <row r="735">
          <cell r="A735">
            <v>40567</v>
          </cell>
          <cell r="CF735">
            <v>16.734842437955756</v>
          </cell>
          <cell r="CG735">
            <v>22.085252262534414</v>
          </cell>
          <cell r="CH735">
            <v>18.555263085067214</v>
          </cell>
          <cell r="CI735">
            <v>14.926604548033502</v>
          </cell>
          <cell r="CJ735">
            <v>22.183921622100925</v>
          </cell>
          <cell r="CU735">
            <v>10.156799757871934</v>
          </cell>
          <cell r="CV735">
            <v>13.67289934744978</v>
          </cell>
          <cell r="CW735">
            <v>11.062153668663059</v>
          </cell>
          <cell r="CX735">
            <v>8.6510321273089765</v>
          </cell>
          <cell r="CY735">
            <v>13.473275210017142</v>
          </cell>
        </row>
        <row r="736">
          <cell r="A736">
            <v>40568</v>
          </cell>
          <cell r="CF736">
            <v>16.703561380155524</v>
          </cell>
          <cell r="CG736">
            <v>22.085252262534414</v>
          </cell>
          <cell r="CH736">
            <v>18.555263085067214</v>
          </cell>
          <cell r="CI736">
            <v>14.926604548033502</v>
          </cell>
          <cell r="CJ736">
            <v>22.183921622100925</v>
          </cell>
          <cell r="CU736">
            <v>10.109201514320167</v>
          </cell>
          <cell r="CV736">
            <v>13.67289934744978</v>
          </cell>
          <cell r="CW736">
            <v>11.062153668663059</v>
          </cell>
          <cell r="CX736">
            <v>8.6510321273089765</v>
          </cell>
          <cell r="CY736">
            <v>13.473275210017142</v>
          </cell>
        </row>
        <row r="737">
          <cell r="A737">
            <v>40569</v>
          </cell>
          <cell r="CF737">
            <v>16.532089363899114</v>
          </cell>
          <cell r="CG737">
            <v>22.085252262534414</v>
          </cell>
          <cell r="CH737">
            <v>18.555263085067214</v>
          </cell>
          <cell r="CI737">
            <v>14.926604548033502</v>
          </cell>
          <cell r="CJ737">
            <v>22.183921622100925</v>
          </cell>
          <cell r="CU737">
            <v>10.01612826109956</v>
          </cell>
          <cell r="CV737">
            <v>13.67289934744978</v>
          </cell>
          <cell r="CW737">
            <v>11.062153668663059</v>
          </cell>
          <cell r="CX737">
            <v>8.6510321273089765</v>
          </cell>
          <cell r="CY737">
            <v>13.473275210017142</v>
          </cell>
        </row>
        <row r="738">
          <cell r="A738">
            <v>40570</v>
          </cell>
          <cell r="CF738">
            <v>16.575881523955761</v>
          </cell>
          <cell r="CG738">
            <v>22.085252262534414</v>
          </cell>
          <cell r="CH738">
            <v>18.555263085067214</v>
          </cell>
          <cell r="CI738">
            <v>14.926604548033502</v>
          </cell>
          <cell r="CJ738">
            <v>22.183921622100925</v>
          </cell>
          <cell r="CU738">
            <v>10.038026433045829</v>
          </cell>
          <cell r="CV738">
            <v>13.67289934744978</v>
          </cell>
          <cell r="CW738">
            <v>11.062153668663059</v>
          </cell>
          <cell r="CX738">
            <v>8.6510321273089765</v>
          </cell>
          <cell r="CY738">
            <v>13.473275210017142</v>
          </cell>
        </row>
        <row r="739">
          <cell r="A739">
            <v>40571</v>
          </cell>
          <cell r="CF739">
            <v>16.500218863730499</v>
          </cell>
          <cell r="CG739">
            <v>22.085252262534414</v>
          </cell>
          <cell r="CH739">
            <v>18.555263085067214</v>
          </cell>
          <cell r="CI739">
            <v>14.926604548033502</v>
          </cell>
          <cell r="CJ739">
            <v>22.183921622100925</v>
          </cell>
          <cell r="CU739">
            <v>9.9969660603450965</v>
          </cell>
          <cell r="CV739">
            <v>13.67289934744978</v>
          </cell>
          <cell r="CW739">
            <v>11.062153668663059</v>
          </cell>
          <cell r="CX739">
            <v>8.6510321273089765</v>
          </cell>
          <cell r="CY739">
            <v>13.473275210017142</v>
          </cell>
        </row>
        <row r="740">
          <cell r="A740">
            <v>40574</v>
          </cell>
          <cell r="CF740">
            <v>16.560749092798623</v>
          </cell>
          <cell r="CG740">
            <v>22.085252262534414</v>
          </cell>
          <cell r="CH740">
            <v>18.555263085067214</v>
          </cell>
          <cell r="CI740">
            <v>14.926604548033502</v>
          </cell>
          <cell r="CJ740">
            <v>22.183921622100925</v>
          </cell>
          <cell r="CU740">
            <v>10.029790856840242</v>
          </cell>
          <cell r="CV740">
            <v>13.67289934744978</v>
          </cell>
          <cell r="CW740">
            <v>11.062153668663059</v>
          </cell>
          <cell r="CX740">
            <v>8.6510321273089765</v>
          </cell>
          <cell r="CY740">
            <v>13.473275210017142</v>
          </cell>
        </row>
        <row r="741">
          <cell r="A741">
            <v>40575</v>
          </cell>
          <cell r="CF741">
            <v>16.706440174365333</v>
          </cell>
          <cell r="CG741">
            <v>22.085252262534414</v>
          </cell>
          <cell r="CH741">
            <v>18.555263085067214</v>
          </cell>
          <cell r="CI741">
            <v>14.926604548033502</v>
          </cell>
          <cell r="CJ741">
            <v>22.183921622100925</v>
          </cell>
          <cell r="CU741">
            <v>10.145736930284997</v>
          </cell>
          <cell r="CV741">
            <v>13.67289934744978</v>
          </cell>
          <cell r="CW741">
            <v>11.062153668663059</v>
          </cell>
          <cell r="CX741">
            <v>8.6510321273089765</v>
          </cell>
          <cell r="CY741">
            <v>13.473275210017142</v>
          </cell>
        </row>
        <row r="742">
          <cell r="A742">
            <v>40576</v>
          </cell>
          <cell r="CF742">
            <v>16.439278908877014</v>
          </cell>
          <cell r="CG742">
            <v>22.085252262534414</v>
          </cell>
          <cell r="CH742">
            <v>18.555263085067214</v>
          </cell>
          <cell r="CI742">
            <v>14.926604548033502</v>
          </cell>
          <cell r="CJ742">
            <v>22.183921622100925</v>
          </cell>
          <cell r="CU742">
            <v>10.000075086113158</v>
          </cell>
          <cell r="CV742">
            <v>13.67289934744978</v>
          </cell>
          <cell r="CW742">
            <v>11.062153668663059</v>
          </cell>
          <cell r="CX742">
            <v>8.6510321273089765</v>
          </cell>
          <cell r="CY742">
            <v>13.473275210017142</v>
          </cell>
        </row>
        <row r="743">
          <cell r="A743">
            <v>40577</v>
          </cell>
          <cell r="CF743">
            <v>16.332959096911399</v>
          </cell>
          <cell r="CG743">
            <v>22.085252262534414</v>
          </cell>
          <cell r="CH743">
            <v>18.555263085067214</v>
          </cell>
          <cell r="CI743">
            <v>14.926604548033502</v>
          </cell>
          <cell r="CJ743">
            <v>22.183921622100925</v>
          </cell>
          <cell r="CU743">
            <v>9.9497041631306793</v>
          </cell>
          <cell r="CV743">
            <v>13.67289934744978</v>
          </cell>
          <cell r="CW743">
            <v>11.062153668663059</v>
          </cell>
          <cell r="CX743">
            <v>8.6510321273089765</v>
          </cell>
          <cell r="CY743">
            <v>13.473275210017142</v>
          </cell>
        </row>
        <row r="744">
          <cell r="A744">
            <v>40578</v>
          </cell>
          <cell r="CF744">
            <v>16.540021745685365</v>
          </cell>
          <cell r="CG744">
            <v>22.085252262534414</v>
          </cell>
          <cell r="CH744">
            <v>18.555263085067214</v>
          </cell>
          <cell r="CI744">
            <v>14.926604548033502</v>
          </cell>
          <cell r="CJ744">
            <v>22.183921622100925</v>
          </cell>
          <cell r="CU744">
            <v>10.062695308846083</v>
          </cell>
          <cell r="CV744">
            <v>13.67289934744978</v>
          </cell>
          <cell r="CW744">
            <v>11.062153668663059</v>
          </cell>
          <cell r="CX744">
            <v>8.6510321273089765</v>
          </cell>
          <cell r="CY744">
            <v>13.473275210017142</v>
          </cell>
        </row>
        <row r="745">
          <cell r="A745">
            <v>40581</v>
          </cell>
          <cell r="CF745">
            <v>16.607380559859564</v>
          </cell>
          <cell r="CG745">
            <v>22.085252262534414</v>
          </cell>
          <cell r="CH745">
            <v>18.555263085067214</v>
          </cell>
          <cell r="CI745">
            <v>14.926604548033502</v>
          </cell>
          <cell r="CJ745">
            <v>22.183921622100925</v>
          </cell>
          <cell r="CU745">
            <v>10.099452056780288</v>
          </cell>
          <cell r="CV745">
            <v>13.67289934744978</v>
          </cell>
          <cell r="CW745">
            <v>11.062153668663059</v>
          </cell>
          <cell r="CX745">
            <v>8.6510321273089765</v>
          </cell>
          <cell r="CY745">
            <v>13.473275210017142</v>
          </cell>
        </row>
        <row r="746">
          <cell r="A746">
            <v>40582</v>
          </cell>
          <cell r="CF746">
            <v>16.689706724324303</v>
          </cell>
          <cell r="CG746">
            <v>22.085252262534414</v>
          </cell>
          <cell r="CH746">
            <v>18.555263085067214</v>
          </cell>
          <cell r="CI746">
            <v>14.926604548033502</v>
          </cell>
          <cell r="CJ746">
            <v>22.183921622100925</v>
          </cell>
          <cell r="CU746">
            <v>10.144376275128234</v>
          </cell>
          <cell r="CV746">
            <v>13.67289934744978</v>
          </cell>
          <cell r="CW746">
            <v>11.062153668663059</v>
          </cell>
          <cell r="CX746">
            <v>8.6510321273089765</v>
          </cell>
          <cell r="CY746">
            <v>13.473275210017142</v>
          </cell>
        </row>
        <row r="747">
          <cell r="A747">
            <v>40583</v>
          </cell>
          <cell r="CF747">
            <v>16.412792282986683</v>
          </cell>
          <cell r="CG747">
            <v>22.085252262534414</v>
          </cell>
          <cell r="CH747">
            <v>18.555263085067214</v>
          </cell>
          <cell r="CI747">
            <v>14.926604548033502</v>
          </cell>
          <cell r="CJ747">
            <v>22.183921622100925</v>
          </cell>
          <cell r="CU747">
            <v>9.9932679985890207</v>
          </cell>
          <cell r="CV747">
            <v>13.67289934744978</v>
          </cell>
          <cell r="CW747">
            <v>11.062153668663059</v>
          </cell>
          <cell r="CX747">
            <v>8.6510321273089765</v>
          </cell>
          <cell r="CY747">
            <v>13.473275210017142</v>
          </cell>
        </row>
        <row r="748">
          <cell r="A748">
            <v>40584</v>
          </cell>
          <cell r="CF748">
            <v>16.642306456141391</v>
          </cell>
          <cell r="CG748">
            <v>22.085252262534414</v>
          </cell>
          <cell r="CH748">
            <v>18.555263085067214</v>
          </cell>
          <cell r="CI748">
            <v>14.926604548033502</v>
          </cell>
          <cell r="CJ748">
            <v>22.183921622100925</v>
          </cell>
          <cell r="CU748">
            <v>10.118510622192193</v>
          </cell>
          <cell r="CV748">
            <v>13.67289934744978</v>
          </cell>
          <cell r="CW748">
            <v>11.062153668663059</v>
          </cell>
          <cell r="CX748">
            <v>8.6510321273089765</v>
          </cell>
          <cell r="CY748">
            <v>13.473275210017142</v>
          </cell>
        </row>
        <row r="749">
          <cell r="A749">
            <v>40585</v>
          </cell>
          <cell r="CF749">
            <v>16.804462064594368</v>
          </cell>
          <cell r="CG749">
            <v>22.085252262534414</v>
          </cell>
          <cell r="CH749">
            <v>18.555263085067214</v>
          </cell>
          <cell r="CI749">
            <v>14.926604548033502</v>
          </cell>
          <cell r="CJ749">
            <v>22.183921622100925</v>
          </cell>
          <cell r="CU749">
            <v>10.169618449679556</v>
          </cell>
          <cell r="CV749">
            <v>13.67289934744978</v>
          </cell>
          <cell r="CW749">
            <v>11.062153668663059</v>
          </cell>
          <cell r="CX749">
            <v>8.6510321273089765</v>
          </cell>
          <cell r="CY749">
            <v>13.473275210017142</v>
          </cell>
        </row>
        <row r="750">
          <cell r="A750">
            <v>40588</v>
          </cell>
          <cell r="CF750">
            <v>16.969114892468777</v>
          </cell>
          <cell r="CG750">
            <v>22.085252262534414</v>
          </cell>
          <cell r="CH750">
            <v>18.555263085067214</v>
          </cell>
          <cell r="CI750">
            <v>14.926604548033502</v>
          </cell>
          <cell r="CJ750">
            <v>22.183921622100925</v>
          </cell>
          <cell r="CU750">
            <v>10.259100921168018</v>
          </cell>
          <cell r="CV750">
            <v>13.67289934744978</v>
          </cell>
          <cell r="CW750">
            <v>11.062153668663059</v>
          </cell>
          <cell r="CX750">
            <v>8.6510321273089765</v>
          </cell>
          <cell r="CY750">
            <v>13.473275210017142</v>
          </cell>
        </row>
        <row r="751">
          <cell r="A751">
            <v>40589</v>
          </cell>
          <cell r="CF751">
            <v>17.061422200972679</v>
          </cell>
          <cell r="CG751">
            <v>22.085252262534414</v>
          </cell>
          <cell r="CH751">
            <v>18.555263085067214</v>
          </cell>
          <cell r="CI751">
            <v>14.926604548033502</v>
          </cell>
          <cell r="CJ751">
            <v>22.183921622100925</v>
          </cell>
          <cell r="CU751">
            <v>10.309266388764346</v>
          </cell>
          <cell r="CV751">
            <v>13.67289934744978</v>
          </cell>
          <cell r="CW751">
            <v>11.062153668663059</v>
          </cell>
          <cell r="CX751">
            <v>8.6510321273089765</v>
          </cell>
          <cell r="CY751">
            <v>13.473275210017142</v>
          </cell>
        </row>
        <row r="752">
          <cell r="A752">
            <v>40590</v>
          </cell>
          <cell r="CF752">
            <v>17.153725767389535</v>
          </cell>
          <cell r="CG752">
            <v>22.085252262534414</v>
          </cell>
          <cell r="CH752">
            <v>18.555263085067214</v>
          </cell>
          <cell r="CI752">
            <v>14.926604548033502</v>
          </cell>
          <cell r="CJ752">
            <v>22.183921622100925</v>
          </cell>
          <cell r="CU752">
            <v>10.359429822680466</v>
          </cell>
          <cell r="CV752">
            <v>13.67289934744978</v>
          </cell>
          <cell r="CW752">
            <v>11.062153668663059</v>
          </cell>
          <cell r="CX752">
            <v>8.6510321273089765</v>
          </cell>
          <cell r="CY752">
            <v>13.473275210017142</v>
          </cell>
        </row>
        <row r="753">
          <cell r="A753">
            <v>40591</v>
          </cell>
          <cell r="CF753">
            <v>17.285945926844036</v>
          </cell>
          <cell r="CG753">
            <v>22.085252262534414</v>
          </cell>
          <cell r="CH753">
            <v>18.555263085067214</v>
          </cell>
          <cell r="CI753">
            <v>14.926604548033502</v>
          </cell>
          <cell r="CJ753">
            <v>22.183921622100925</v>
          </cell>
          <cell r="CU753">
            <v>10.43128638780191</v>
          </cell>
          <cell r="CV753">
            <v>13.67289934744978</v>
          </cell>
          <cell r="CW753">
            <v>11.062153668663059</v>
          </cell>
          <cell r="CX753">
            <v>8.6510321273089765</v>
          </cell>
          <cell r="CY753">
            <v>13.473275210017142</v>
          </cell>
        </row>
        <row r="754">
          <cell r="A754">
            <v>40592</v>
          </cell>
          <cell r="CF754">
            <v>17.428947026974932</v>
          </cell>
          <cell r="CG754">
            <v>22.085252262534414</v>
          </cell>
          <cell r="CH754">
            <v>18.555263085067214</v>
          </cell>
          <cell r="CI754">
            <v>14.926604548033502</v>
          </cell>
          <cell r="CJ754">
            <v>22.183921622100925</v>
          </cell>
          <cell r="CU754">
            <v>10.510789552754</v>
          </cell>
          <cell r="CV754">
            <v>13.67289934744978</v>
          </cell>
          <cell r="CW754">
            <v>11.062153668663059</v>
          </cell>
          <cell r="CX754">
            <v>8.6510321273089765</v>
          </cell>
          <cell r="CY754">
            <v>13.473275210017142</v>
          </cell>
        </row>
        <row r="755">
          <cell r="A755">
            <v>40595</v>
          </cell>
          <cell r="CF755">
            <v>17.428947026974932</v>
          </cell>
          <cell r="CG755">
            <v>22.085252262534414</v>
          </cell>
          <cell r="CH755">
            <v>18.555263085067214</v>
          </cell>
          <cell r="CI755">
            <v>14.926604548033502</v>
          </cell>
          <cell r="CJ755">
            <v>22.183921622100925</v>
          </cell>
          <cell r="CU755">
            <v>10.510789552754</v>
          </cell>
          <cell r="CV755">
            <v>13.67289934744978</v>
          </cell>
          <cell r="CW755">
            <v>11.062153668663059</v>
          </cell>
          <cell r="CX755">
            <v>8.6510321273089765</v>
          </cell>
          <cell r="CY755">
            <v>13.473275210017142</v>
          </cell>
        </row>
        <row r="756">
          <cell r="A756">
            <v>40596</v>
          </cell>
          <cell r="CF756">
            <v>16.725574441764049</v>
          </cell>
          <cell r="CG756">
            <v>22.085252262534414</v>
          </cell>
          <cell r="CH756">
            <v>18.555263085067214</v>
          </cell>
          <cell r="CI756">
            <v>14.926604548033502</v>
          </cell>
          <cell r="CJ756">
            <v>22.183921622100925</v>
          </cell>
          <cell r="CU756">
            <v>9.8712287192051456</v>
          </cell>
          <cell r="CV756">
            <v>13.67289934744978</v>
          </cell>
          <cell r="CW756">
            <v>11.062153668663059</v>
          </cell>
          <cell r="CX756">
            <v>8.6510321273089765</v>
          </cell>
          <cell r="CY756">
            <v>13.473275210017142</v>
          </cell>
        </row>
        <row r="757">
          <cell r="A757">
            <v>40597</v>
          </cell>
          <cell r="CF757">
            <v>16.755613335136957</v>
          </cell>
          <cell r="CG757">
            <v>22.085252262534414</v>
          </cell>
          <cell r="CH757">
            <v>18.555263085067214</v>
          </cell>
          <cell r="CI757">
            <v>14.926604548033502</v>
          </cell>
          <cell r="CJ757">
            <v>22.183921622100925</v>
          </cell>
          <cell r="CU757">
            <v>9.7740702739120078</v>
          </cell>
          <cell r="CV757">
            <v>13.67289934744978</v>
          </cell>
          <cell r="CW757">
            <v>11.062153668663059</v>
          </cell>
          <cell r="CX757">
            <v>8.6510321273089765</v>
          </cell>
          <cell r="CY757">
            <v>13.473275210017142</v>
          </cell>
        </row>
        <row r="758">
          <cell r="A758">
            <v>40598</v>
          </cell>
          <cell r="CF758">
            <v>16.878871912853349</v>
          </cell>
          <cell r="CG758">
            <v>22.085252262534414</v>
          </cell>
          <cell r="CH758">
            <v>18.555263085067214</v>
          </cell>
          <cell r="CI758">
            <v>14.926604548033502</v>
          </cell>
          <cell r="CJ758">
            <v>22.183921622100925</v>
          </cell>
          <cell r="CU758">
            <v>9.8351284772084302</v>
          </cell>
          <cell r="CV758">
            <v>13.67289934744978</v>
          </cell>
          <cell r="CW758">
            <v>11.062153668663059</v>
          </cell>
          <cell r="CX758">
            <v>8.6510321273089765</v>
          </cell>
          <cell r="CY758">
            <v>13.473275210017142</v>
          </cell>
        </row>
        <row r="759">
          <cell r="A759">
            <v>40599</v>
          </cell>
          <cell r="CF759">
            <v>17.328177175748539</v>
          </cell>
          <cell r="CG759">
            <v>22.085252262534414</v>
          </cell>
          <cell r="CH759">
            <v>18.555263085067214</v>
          </cell>
          <cell r="CI759">
            <v>14.926604548033502</v>
          </cell>
          <cell r="CJ759">
            <v>22.183921622100925</v>
          </cell>
          <cell r="CU759">
            <v>10.074048643875823</v>
          </cell>
          <cell r="CV759">
            <v>13.67289934744978</v>
          </cell>
          <cell r="CW759">
            <v>11.062153668663059</v>
          </cell>
          <cell r="CX759">
            <v>8.6510321273089765</v>
          </cell>
          <cell r="CY759">
            <v>13.473275210017142</v>
          </cell>
        </row>
        <row r="760">
          <cell r="A760">
            <v>40602</v>
          </cell>
          <cell r="CF760">
            <v>17.218346434583289</v>
          </cell>
          <cell r="CG760">
            <v>22.085252262534414</v>
          </cell>
          <cell r="CH760">
            <v>18.555263085067214</v>
          </cell>
          <cell r="CI760">
            <v>14.926604548033502</v>
          </cell>
          <cell r="CJ760">
            <v>22.183921622100925</v>
          </cell>
          <cell r="CU760">
            <v>10.015411769515707</v>
          </cell>
          <cell r="CV760">
            <v>13.67289934744978</v>
          </cell>
          <cell r="CW760">
            <v>11.062153668663059</v>
          </cell>
          <cell r="CX760">
            <v>8.6510321273089765</v>
          </cell>
          <cell r="CY760">
            <v>13.473275210017142</v>
          </cell>
        </row>
        <row r="761">
          <cell r="A761">
            <v>40603</v>
          </cell>
          <cell r="CF761">
            <v>16.937990106520907</v>
          </cell>
          <cell r="CG761">
            <v>22.085252262534414</v>
          </cell>
          <cell r="CH761">
            <v>18.555263085067214</v>
          </cell>
          <cell r="CI761">
            <v>14.926604548033502</v>
          </cell>
          <cell r="CJ761">
            <v>22.183921622100925</v>
          </cell>
          <cell r="CU761">
            <v>9.8773706855439212</v>
          </cell>
          <cell r="CV761">
            <v>13.67289934744978</v>
          </cell>
          <cell r="CW761">
            <v>11.062153668663059</v>
          </cell>
          <cell r="CX761">
            <v>8.6510321273089765</v>
          </cell>
          <cell r="CY761">
            <v>13.473275210017142</v>
          </cell>
        </row>
        <row r="762">
          <cell r="A762">
            <v>40604</v>
          </cell>
          <cell r="CF762">
            <v>16.816812360851699</v>
          </cell>
          <cell r="CG762">
            <v>22.085252262534414</v>
          </cell>
          <cell r="CH762">
            <v>18.555263085067214</v>
          </cell>
          <cell r="CI762">
            <v>14.926604548033502</v>
          </cell>
          <cell r="CJ762">
            <v>22.183921622100925</v>
          </cell>
          <cell r="CU762">
            <v>9.8128112806506316</v>
          </cell>
          <cell r="CV762">
            <v>13.67289934744978</v>
          </cell>
          <cell r="CW762">
            <v>11.062153668663059</v>
          </cell>
          <cell r="CX762">
            <v>8.6510321273089765</v>
          </cell>
          <cell r="CY762">
            <v>13.473275210017142</v>
          </cell>
        </row>
        <row r="763">
          <cell r="A763">
            <v>40605</v>
          </cell>
          <cell r="CF763">
            <v>17.212499837705398</v>
          </cell>
          <cell r="CG763">
            <v>22.085252262534414</v>
          </cell>
          <cell r="CH763">
            <v>18.555263085067214</v>
          </cell>
          <cell r="CI763">
            <v>14.926604548033502</v>
          </cell>
          <cell r="CJ763">
            <v>22.183921622100925</v>
          </cell>
          <cell r="CU763">
            <v>10.023620186925687</v>
          </cell>
          <cell r="CV763">
            <v>13.67289934744978</v>
          </cell>
          <cell r="CW763">
            <v>11.062153668663059</v>
          </cell>
          <cell r="CX763">
            <v>8.6510321273089765</v>
          </cell>
          <cell r="CY763">
            <v>13.473275210017142</v>
          </cell>
        </row>
        <row r="764">
          <cell r="A764">
            <v>40606</v>
          </cell>
          <cell r="CF764">
            <v>17.202609326282637</v>
          </cell>
          <cell r="CG764">
            <v>22.085252262534414</v>
          </cell>
          <cell r="CH764">
            <v>18.555263085067214</v>
          </cell>
          <cell r="CI764">
            <v>14.926604548033502</v>
          </cell>
          <cell r="CJ764">
            <v>22.183921622100925</v>
          </cell>
          <cell r="CU764">
            <v>10.018350856917792</v>
          </cell>
          <cell r="CV764">
            <v>13.67289934744978</v>
          </cell>
          <cell r="CW764">
            <v>11.062153668663059</v>
          </cell>
          <cell r="CX764">
            <v>8.6510321273089765</v>
          </cell>
          <cell r="CY764">
            <v>13.473275210017142</v>
          </cell>
        </row>
        <row r="765">
          <cell r="A765">
            <v>40609</v>
          </cell>
          <cell r="CF765">
            <v>16.937990106520907</v>
          </cell>
          <cell r="CG765">
            <v>22.085252262534414</v>
          </cell>
          <cell r="CH765">
            <v>18.555263085067214</v>
          </cell>
          <cell r="CI765">
            <v>14.926604548033502</v>
          </cell>
          <cell r="CJ765">
            <v>22.183921622100925</v>
          </cell>
          <cell r="CU765">
            <v>9.8773706855439212</v>
          </cell>
          <cell r="CV765">
            <v>13.67289934744978</v>
          </cell>
          <cell r="CW765">
            <v>11.062153668663059</v>
          </cell>
          <cell r="CX765">
            <v>8.6510321273089765</v>
          </cell>
          <cell r="CY765">
            <v>13.473275210017142</v>
          </cell>
        </row>
        <row r="766">
          <cell r="A766">
            <v>40610</v>
          </cell>
          <cell r="CF766">
            <v>17.271854776933022</v>
          </cell>
          <cell r="CG766">
            <v>22.085252262534414</v>
          </cell>
          <cell r="CH766">
            <v>18.555263085067214</v>
          </cell>
          <cell r="CI766">
            <v>14.926604548033502</v>
          </cell>
          <cell r="CJ766">
            <v>22.183921622100925</v>
          </cell>
          <cell r="CU766">
            <v>10.055242491275804</v>
          </cell>
          <cell r="CV766">
            <v>13.67289934744978</v>
          </cell>
          <cell r="CW766">
            <v>11.062153668663059</v>
          </cell>
          <cell r="CX766">
            <v>8.6510321273089765</v>
          </cell>
          <cell r="CY766">
            <v>13.473275210017142</v>
          </cell>
        </row>
        <row r="767">
          <cell r="A767">
            <v>40611</v>
          </cell>
          <cell r="CF767">
            <v>17.175405411922256</v>
          </cell>
          <cell r="CG767">
            <v>22.085252262534414</v>
          </cell>
          <cell r="CH767">
            <v>18.555263085067214</v>
          </cell>
          <cell r="CI767">
            <v>14.926604548033502</v>
          </cell>
          <cell r="CJ767">
            <v>22.183921622100925</v>
          </cell>
          <cell r="CU767">
            <v>10.00385753133086</v>
          </cell>
          <cell r="CV767">
            <v>13.67289934744978</v>
          </cell>
          <cell r="CW767">
            <v>11.062153668663059</v>
          </cell>
          <cell r="CX767">
            <v>8.6510321273089765</v>
          </cell>
          <cell r="CY767">
            <v>13.473275210017142</v>
          </cell>
        </row>
        <row r="768">
          <cell r="A768">
            <v>40612</v>
          </cell>
          <cell r="CF768">
            <v>16.794552094713275</v>
          </cell>
          <cell r="CG768">
            <v>22.085252262534414</v>
          </cell>
          <cell r="CH768">
            <v>18.555263085067214</v>
          </cell>
          <cell r="CI768">
            <v>14.926604548033502</v>
          </cell>
          <cell r="CJ768">
            <v>22.183921622100925</v>
          </cell>
          <cell r="CU768">
            <v>9.8009517636516446</v>
          </cell>
          <cell r="CV768">
            <v>13.67289934744978</v>
          </cell>
          <cell r="CW768">
            <v>11.062153668663059</v>
          </cell>
          <cell r="CX768">
            <v>8.6510321273089765</v>
          </cell>
          <cell r="CY768">
            <v>13.473275210017142</v>
          </cell>
        </row>
        <row r="769">
          <cell r="A769">
            <v>40613</v>
          </cell>
          <cell r="CF769">
            <v>16.690684042390735</v>
          </cell>
          <cell r="CG769">
            <v>22.085252262534414</v>
          </cell>
          <cell r="CH769">
            <v>18.555263085067214</v>
          </cell>
          <cell r="CI769">
            <v>14.926604548033502</v>
          </cell>
          <cell r="CJ769">
            <v>22.183921622100925</v>
          </cell>
          <cell r="CU769">
            <v>9.7456143779927817</v>
          </cell>
          <cell r="CV769">
            <v>13.67289934744978</v>
          </cell>
          <cell r="CW769">
            <v>11.062153668663059</v>
          </cell>
          <cell r="CX769">
            <v>8.6510321273089765</v>
          </cell>
          <cell r="CY769">
            <v>13.473275210017142</v>
          </cell>
        </row>
        <row r="770">
          <cell r="A770">
            <v>40616</v>
          </cell>
          <cell r="CF770">
            <v>16.495313735564281</v>
          </cell>
          <cell r="CG770">
            <v>22.085252262534414</v>
          </cell>
          <cell r="CH770">
            <v>18.555263085067214</v>
          </cell>
          <cell r="CI770">
            <v>14.926604548033502</v>
          </cell>
          <cell r="CJ770">
            <v>22.183921622100925</v>
          </cell>
          <cell r="CU770">
            <v>9.6415276855652259</v>
          </cell>
          <cell r="CV770">
            <v>13.67289934744978</v>
          </cell>
          <cell r="CW770">
            <v>11.062153668663059</v>
          </cell>
          <cell r="CX770">
            <v>8.6510321273089765</v>
          </cell>
          <cell r="CY770">
            <v>13.473275210017142</v>
          </cell>
        </row>
        <row r="771">
          <cell r="A771">
            <v>40617</v>
          </cell>
          <cell r="CF771">
            <v>16.302415500154876</v>
          </cell>
          <cell r="CG771">
            <v>22.085252262534414</v>
          </cell>
          <cell r="CH771">
            <v>18.555263085067214</v>
          </cell>
          <cell r="CI771">
            <v>14.926604548033502</v>
          </cell>
          <cell r="CJ771">
            <v>22.183921622100925</v>
          </cell>
          <cell r="CU771">
            <v>9.538758029187953</v>
          </cell>
          <cell r="CV771">
            <v>13.67289934744978</v>
          </cell>
          <cell r="CW771">
            <v>11.062153668663059</v>
          </cell>
          <cell r="CX771">
            <v>8.6510321273089765</v>
          </cell>
          <cell r="CY771">
            <v>13.473275210017142</v>
          </cell>
        </row>
        <row r="772">
          <cell r="A772">
            <v>40618</v>
          </cell>
          <cell r="CF772">
            <v>16.154030377840389</v>
          </cell>
          <cell r="CG772">
            <v>22.085252262534414</v>
          </cell>
          <cell r="CH772">
            <v>18.555263085067214</v>
          </cell>
          <cell r="CI772">
            <v>14.926604548033502</v>
          </cell>
          <cell r="CJ772">
            <v>22.183921622100925</v>
          </cell>
          <cell r="CU772">
            <v>9.459703454119424</v>
          </cell>
          <cell r="CV772">
            <v>13.67289934744978</v>
          </cell>
          <cell r="CW772">
            <v>11.062153668663059</v>
          </cell>
          <cell r="CX772">
            <v>8.6510321273089765</v>
          </cell>
          <cell r="CY772">
            <v>13.473275210017142</v>
          </cell>
        </row>
        <row r="773">
          <cell r="A773">
            <v>40619</v>
          </cell>
          <cell r="CF773">
            <v>16.210909536060008</v>
          </cell>
          <cell r="CG773">
            <v>22.085252262534414</v>
          </cell>
          <cell r="CH773">
            <v>18.555263085067214</v>
          </cell>
          <cell r="CI773">
            <v>14.926604548033502</v>
          </cell>
          <cell r="CJ773">
            <v>22.183921622100925</v>
          </cell>
          <cell r="CU773">
            <v>9.4900067460746484</v>
          </cell>
          <cell r="CV773">
            <v>13.67289934744978</v>
          </cell>
          <cell r="CW773">
            <v>11.062153668663059</v>
          </cell>
          <cell r="CX773">
            <v>8.6510321273089765</v>
          </cell>
          <cell r="CY773">
            <v>13.473275210017142</v>
          </cell>
        </row>
        <row r="774">
          <cell r="A774">
            <v>40620</v>
          </cell>
          <cell r="CF774">
            <v>16.443687787532717</v>
          </cell>
          <cell r="CG774">
            <v>22.085252262534414</v>
          </cell>
          <cell r="CH774">
            <v>18.555263085067214</v>
          </cell>
          <cell r="CI774">
            <v>14.926604548033502</v>
          </cell>
          <cell r="CJ774">
            <v>22.183921622100925</v>
          </cell>
          <cell r="CU774">
            <v>9.6151768193239207</v>
          </cell>
          <cell r="CV774">
            <v>13.67289934744978</v>
          </cell>
          <cell r="CW774">
            <v>11.062153668663059</v>
          </cell>
          <cell r="CX774">
            <v>8.6510321273089765</v>
          </cell>
          <cell r="CY774">
            <v>13.473275210017142</v>
          </cell>
        </row>
        <row r="775">
          <cell r="A775">
            <v>40623</v>
          </cell>
          <cell r="CF775">
            <v>16.592049662409853</v>
          </cell>
          <cell r="CG775">
            <v>22.085252262534414</v>
          </cell>
          <cell r="CH775">
            <v>18.555263085067214</v>
          </cell>
          <cell r="CI775">
            <v>14.926604548033502</v>
          </cell>
          <cell r="CJ775">
            <v>22.183921622100925</v>
          </cell>
          <cell r="CU775">
            <v>9.7110766287806847</v>
          </cell>
          <cell r="CV775">
            <v>13.67289934744978</v>
          </cell>
          <cell r="CW775">
            <v>11.062153668663059</v>
          </cell>
          <cell r="CX775">
            <v>8.6510321273089765</v>
          </cell>
          <cell r="CY775">
            <v>13.473275210017142</v>
          </cell>
        </row>
        <row r="776">
          <cell r="A776">
            <v>40624</v>
          </cell>
          <cell r="CF776">
            <v>16.592049662409853</v>
          </cell>
          <cell r="CG776">
            <v>22.085252262534414</v>
          </cell>
          <cell r="CH776">
            <v>18.555263085067214</v>
          </cell>
          <cell r="CI776">
            <v>14.926604548033502</v>
          </cell>
          <cell r="CJ776">
            <v>22.183921622100925</v>
          </cell>
          <cell r="CU776">
            <v>9.7110766287806847</v>
          </cell>
          <cell r="CV776">
            <v>13.67289934744978</v>
          </cell>
          <cell r="CW776">
            <v>11.062153668663059</v>
          </cell>
          <cell r="CX776">
            <v>8.6510321273089765</v>
          </cell>
          <cell r="CY776">
            <v>13.473275210017142</v>
          </cell>
        </row>
        <row r="777">
          <cell r="A777">
            <v>40625</v>
          </cell>
          <cell r="CF777">
            <v>16.436266120686778</v>
          </cell>
          <cell r="CG777">
            <v>22.085252262534414</v>
          </cell>
          <cell r="CH777">
            <v>18.555263085067214</v>
          </cell>
          <cell r="CI777">
            <v>14.926604548033502</v>
          </cell>
          <cell r="CJ777">
            <v>22.183921622100925</v>
          </cell>
          <cell r="CU777">
            <v>9.627911316980807</v>
          </cell>
          <cell r="CV777">
            <v>13.67289934744978</v>
          </cell>
          <cell r="CW777">
            <v>11.062153668663059</v>
          </cell>
          <cell r="CX777">
            <v>8.6510321273089765</v>
          </cell>
          <cell r="CY777">
            <v>13.473275210017142</v>
          </cell>
        </row>
        <row r="778">
          <cell r="A778">
            <v>40626</v>
          </cell>
          <cell r="CF778">
            <v>16.646450327081023</v>
          </cell>
          <cell r="CG778">
            <v>22.085252262534414</v>
          </cell>
          <cell r="CH778">
            <v>18.555263085067214</v>
          </cell>
          <cell r="CI778">
            <v>14.926604548033502</v>
          </cell>
          <cell r="CJ778">
            <v>22.183921622100925</v>
          </cell>
          <cell r="CU778">
            <v>9.7401185172206137</v>
          </cell>
          <cell r="CV778">
            <v>13.67289934744978</v>
          </cell>
          <cell r="CW778">
            <v>11.062153668663059</v>
          </cell>
          <cell r="CX778">
            <v>8.6510321273089765</v>
          </cell>
          <cell r="CY778">
            <v>13.473275210017142</v>
          </cell>
        </row>
        <row r="779">
          <cell r="A779">
            <v>40627</v>
          </cell>
          <cell r="CF779">
            <v>16.681068369886539</v>
          </cell>
          <cell r="CG779">
            <v>22.085252262534414</v>
          </cell>
          <cell r="CH779">
            <v>18.555263085067214</v>
          </cell>
          <cell r="CI779">
            <v>14.926604548033502</v>
          </cell>
          <cell r="CJ779">
            <v>22.183921622100925</v>
          </cell>
          <cell r="CU779">
            <v>9.7585994189383314</v>
          </cell>
          <cell r="CV779">
            <v>13.67289934744978</v>
          </cell>
          <cell r="CW779">
            <v>11.062153668663059</v>
          </cell>
          <cell r="CX779">
            <v>8.6510321273089765</v>
          </cell>
          <cell r="CY779">
            <v>13.473275210017142</v>
          </cell>
        </row>
        <row r="780">
          <cell r="A780">
            <v>40630</v>
          </cell>
          <cell r="CF780">
            <v>16.76357363474655</v>
          </cell>
          <cell r="CG780">
            <v>22.085252262534414</v>
          </cell>
          <cell r="CH780">
            <v>18.555263085067214</v>
          </cell>
          <cell r="CI780">
            <v>14.926604548033502</v>
          </cell>
          <cell r="CJ780">
            <v>22.183921622100925</v>
          </cell>
          <cell r="CU780">
            <v>9.7869828796243148</v>
          </cell>
          <cell r="CV780">
            <v>13.67289934744978</v>
          </cell>
          <cell r="CW780">
            <v>11.062153668663059</v>
          </cell>
          <cell r="CX780">
            <v>8.6510321273089765</v>
          </cell>
          <cell r="CY780">
            <v>13.473275210017142</v>
          </cell>
        </row>
        <row r="781">
          <cell r="A781">
            <v>40631</v>
          </cell>
          <cell r="CF781">
            <v>17.015658485680341</v>
          </cell>
          <cell r="CG781">
            <v>22.085252262534414</v>
          </cell>
          <cell r="CH781">
            <v>18.555263085067214</v>
          </cell>
          <cell r="CI781">
            <v>14.926604548033502</v>
          </cell>
          <cell r="CJ781">
            <v>22.183921622100925</v>
          </cell>
          <cell r="CU781">
            <v>9.9213500592692458</v>
          </cell>
          <cell r="CV781">
            <v>13.67289934744978</v>
          </cell>
          <cell r="CW781">
            <v>11.062153668663059</v>
          </cell>
          <cell r="CX781">
            <v>8.6510321273089765</v>
          </cell>
          <cell r="CY781">
            <v>13.473275210017142</v>
          </cell>
        </row>
        <row r="782">
          <cell r="A782">
            <v>40632</v>
          </cell>
          <cell r="CF782">
            <v>17.114517126565254</v>
          </cell>
          <cell r="CG782">
            <v>22.085252262534414</v>
          </cell>
          <cell r="CH782">
            <v>18.555263085067214</v>
          </cell>
          <cell r="CI782">
            <v>14.926604548033502</v>
          </cell>
          <cell r="CJ782">
            <v>22.183921622100925</v>
          </cell>
          <cell r="CU782">
            <v>9.9740440498443697</v>
          </cell>
          <cell r="CV782">
            <v>13.67289934744978</v>
          </cell>
          <cell r="CW782">
            <v>11.062153668663059</v>
          </cell>
          <cell r="CX782">
            <v>8.6510321273089765</v>
          </cell>
          <cell r="CY782">
            <v>13.473275210017142</v>
          </cell>
        </row>
        <row r="783">
          <cell r="A783">
            <v>40633</v>
          </cell>
          <cell r="CF783">
            <v>17.341886637639952</v>
          </cell>
          <cell r="CG783">
            <v>22.085252262534414</v>
          </cell>
          <cell r="CH783">
            <v>18.555263085067214</v>
          </cell>
          <cell r="CI783">
            <v>14.926604548033502</v>
          </cell>
          <cell r="CJ783">
            <v>22.183921622100925</v>
          </cell>
          <cell r="CU783">
            <v>10.095237369582486</v>
          </cell>
          <cell r="CV783">
            <v>13.67289934744978</v>
          </cell>
          <cell r="CW783">
            <v>11.062153668663059</v>
          </cell>
          <cell r="CX783">
            <v>8.6510321273089765</v>
          </cell>
          <cell r="CY783">
            <v>13.473275210017142</v>
          </cell>
        </row>
        <row r="784">
          <cell r="A784">
            <v>40634</v>
          </cell>
          <cell r="CF784">
            <v>17.354784014106936</v>
          </cell>
          <cell r="CG784">
            <v>22.085252262534414</v>
          </cell>
          <cell r="CH784">
            <v>18.555263085067214</v>
          </cell>
          <cell r="CI784">
            <v>14.926604548033502</v>
          </cell>
          <cell r="CJ784">
            <v>22.183921622100925</v>
          </cell>
          <cell r="CU784">
            <v>10.113065432268932</v>
          </cell>
          <cell r="CV784">
            <v>13.67289934744978</v>
          </cell>
          <cell r="CW784">
            <v>11.062153668663059</v>
          </cell>
          <cell r="CX784">
            <v>8.6510321273089765</v>
          </cell>
          <cell r="CY784">
            <v>13.473275210017142</v>
          </cell>
        </row>
        <row r="785">
          <cell r="A785">
            <v>40637</v>
          </cell>
          <cell r="CF785">
            <v>17.347437799982142</v>
          </cell>
          <cell r="CG785">
            <v>22.085252262534414</v>
          </cell>
          <cell r="CH785">
            <v>18.555263085067214</v>
          </cell>
          <cell r="CI785">
            <v>14.926604548033502</v>
          </cell>
          <cell r="CJ785">
            <v>22.183921622100925</v>
          </cell>
          <cell r="CU785">
            <v>10.109142458015922</v>
          </cell>
          <cell r="CV785">
            <v>13.67289934744978</v>
          </cell>
          <cell r="CW785">
            <v>11.062153668663059</v>
          </cell>
          <cell r="CX785">
            <v>8.6510321273089765</v>
          </cell>
          <cell r="CY785">
            <v>13.473275210017142</v>
          </cell>
        </row>
        <row r="786">
          <cell r="A786">
            <v>40638</v>
          </cell>
          <cell r="CF786">
            <v>17.180916103439859</v>
          </cell>
          <cell r="CG786">
            <v>22.085252262534414</v>
          </cell>
          <cell r="CH786">
            <v>18.555263085067214</v>
          </cell>
          <cell r="CI786">
            <v>14.926604548033502</v>
          </cell>
          <cell r="CJ786">
            <v>22.183921622100925</v>
          </cell>
          <cell r="CU786">
            <v>10.020217697995896</v>
          </cell>
          <cell r="CV786">
            <v>13.67289934744978</v>
          </cell>
          <cell r="CW786">
            <v>11.062153668663059</v>
          </cell>
          <cell r="CX786">
            <v>8.6510321273089765</v>
          </cell>
          <cell r="CY786">
            <v>13.473275210017142</v>
          </cell>
        </row>
        <row r="787">
          <cell r="A787">
            <v>40639</v>
          </cell>
          <cell r="CF787">
            <v>17.217650602411357</v>
          </cell>
          <cell r="CG787">
            <v>22.085252262534414</v>
          </cell>
          <cell r="CH787">
            <v>18.555263085067214</v>
          </cell>
          <cell r="CI787">
            <v>14.926604548033502</v>
          </cell>
          <cell r="CJ787">
            <v>22.183921622100925</v>
          </cell>
          <cell r="CU787">
            <v>10.03983440004329</v>
          </cell>
          <cell r="CV787">
            <v>13.67289934744978</v>
          </cell>
          <cell r="CW787">
            <v>11.062153668663059</v>
          </cell>
          <cell r="CX787">
            <v>8.6510321273089765</v>
          </cell>
          <cell r="CY787">
            <v>13.473275210017142</v>
          </cell>
        </row>
        <row r="788">
          <cell r="A788">
            <v>40640</v>
          </cell>
          <cell r="CF788">
            <v>17.171122538937947</v>
          </cell>
          <cell r="CG788">
            <v>22.085252262534414</v>
          </cell>
          <cell r="CH788">
            <v>18.555263085067214</v>
          </cell>
          <cell r="CI788">
            <v>14.926604548033502</v>
          </cell>
          <cell r="CJ788">
            <v>22.183921622100925</v>
          </cell>
          <cell r="CU788">
            <v>10.014987806689499</v>
          </cell>
          <cell r="CV788">
            <v>13.67289934744978</v>
          </cell>
          <cell r="CW788">
            <v>11.062153668663059</v>
          </cell>
          <cell r="CX788">
            <v>8.6510321273089765</v>
          </cell>
          <cell r="CY788">
            <v>13.473275210017142</v>
          </cell>
        </row>
        <row r="789">
          <cell r="A789">
            <v>40641</v>
          </cell>
          <cell r="CF789">
            <v>16.916095144742851</v>
          </cell>
          <cell r="CG789">
            <v>22.085252262534414</v>
          </cell>
          <cell r="CH789">
            <v>18.555263085067214</v>
          </cell>
          <cell r="CI789">
            <v>14.926604548033502</v>
          </cell>
          <cell r="CJ789">
            <v>22.183921622100925</v>
          </cell>
          <cell r="CU789">
            <v>9.8874861088152333</v>
          </cell>
          <cell r="CV789">
            <v>13.67289934744978</v>
          </cell>
          <cell r="CW789">
            <v>11.062153668663059</v>
          </cell>
          <cell r="CX789">
            <v>8.6510321273089765</v>
          </cell>
          <cell r="CY789">
            <v>13.473275210017142</v>
          </cell>
        </row>
        <row r="790">
          <cell r="A790">
            <v>40644</v>
          </cell>
          <cell r="CF790">
            <v>16.924658513952263</v>
          </cell>
          <cell r="CG790">
            <v>22.085252262534414</v>
          </cell>
          <cell r="CH790">
            <v>18.555263085067214</v>
          </cell>
          <cell r="CI790">
            <v>14.926604548033502</v>
          </cell>
          <cell r="CJ790">
            <v>22.183921622100925</v>
          </cell>
          <cell r="CU790">
            <v>9.8920634569861079</v>
          </cell>
          <cell r="CV790">
            <v>13.67289934744978</v>
          </cell>
          <cell r="CW790">
            <v>11.062153668663059</v>
          </cell>
          <cell r="CX790">
            <v>8.6510321273089765</v>
          </cell>
          <cell r="CY790">
            <v>13.473275210017142</v>
          </cell>
        </row>
        <row r="791">
          <cell r="A791">
            <v>40645</v>
          </cell>
          <cell r="CF791">
            <v>16.760745699520051</v>
          </cell>
          <cell r="CG791">
            <v>22.085252262534414</v>
          </cell>
          <cell r="CH791">
            <v>18.555263085067214</v>
          </cell>
          <cell r="CI791">
            <v>14.926604548033502</v>
          </cell>
          <cell r="CJ791">
            <v>22.183921622100925</v>
          </cell>
          <cell r="CU791">
            <v>9.8044477063421489</v>
          </cell>
          <cell r="CV791">
            <v>13.67289934744978</v>
          </cell>
          <cell r="CW791">
            <v>11.062153668663059</v>
          </cell>
          <cell r="CX791">
            <v>8.6510321273089765</v>
          </cell>
          <cell r="CY791">
            <v>13.473275210017142</v>
          </cell>
        </row>
        <row r="792">
          <cell r="A792">
            <v>40646</v>
          </cell>
          <cell r="CF792">
            <v>17.113490161516438</v>
          </cell>
          <cell r="CG792">
            <v>22.085252262534414</v>
          </cell>
          <cell r="CH792">
            <v>18.555263085067214</v>
          </cell>
          <cell r="CI792">
            <v>14.926604548033502</v>
          </cell>
          <cell r="CJ792">
            <v>22.183921622100925</v>
          </cell>
          <cell r="CU792">
            <v>9.9814294041994565</v>
          </cell>
          <cell r="CV792">
            <v>13.67289934744978</v>
          </cell>
          <cell r="CW792">
            <v>11.062153668663059</v>
          </cell>
          <cell r="CX792">
            <v>8.6510321273089765</v>
          </cell>
          <cell r="CY792">
            <v>13.473275210017142</v>
          </cell>
        </row>
        <row r="793">
          <cell r="A793">
            <v>40647</v>
          </cell>
          <cell r="CF793">
            <v>17.045065769110913</v>
          </cell>
          <cell r="CG793">
            <v>22.085252262534414</v>
          </cell>
          <cell r="CH793">
            <v>18.555263085067214</v>
          </cell>
          <cell r="CI793">
            <v>14.926604548033502</v>
          </cell>
          <cell r="CJ793">
            <v>22.183921622100925</v>
          </cell>
          <cell r="CU793">
            <v>9.9448936457181958</v>
          </cell>
          <cell r="CV793">
            <v>13.67289934744978</v>
          </cell>
          <cell r="CW793">
            <v>11.062153668663059</v>
          </cell>
          <cell r="CX793">
            <v>8.6510321273089765</v>
          </cell>
          <cell r="CY793">
            <v>13.473275210017142</v>
          </cell>
        </row>
        <row r="794">
          <cell r="A794">
            <v>40648</v>
          </cell>
          <cell r="CF794">
            <v>17.137925332431408</v>
          </cell>
          <cell r="CG794">
            <v>22.085252262534414</v>
          </cell>
          <cell r="CH794">
            <v>18.555263085067214</v>
          </cell>
          <cell r="CI794">
            <v>14.926604548033502</v>
          </cell>
          <cell r="CJ794">
            <v>22.183921622100925</v>
          </cell>
          <cell r="CU794">
            <v>9.9944767616053731</v>
          </cell>
          <cell r="CV794">
            <v>13.67289934744978</v>
          </cell>
          <cell r="CW794">
            <v>11.062153668663059</v>
          </cell>
          <cell r="CX794">
            <v>8.6510321273089765</v>
          </cell>
          <cell r="CY794">
            <v>13.473275210017142</v>
          </cell>
        </row>
        <row r="795">
          <cell r="A795">
            <v>40651</v>
          </cell>
          <cell r="CF795">
            <v>16.788472648067703</v>
          </cell>
          <cell r="CG795">
            <v>22.085252262534414</v>
          </cell>
          <cell r="CH795">
            <v>18.555263085067214</v>
          </cell>
          <cell r="CI795">
            <v>14.926604548033502</v>
          </cell>
          <cell r="CJ795">
            <v>22.183921622100925</v>
          </cell>
          <cell r="CU795">
            <v>9.8078836706375814</v>
          </cell>
          <cell r="CV795">
            <v>13.67289934744978</v>
          </cell>
          <cell r="CW795">
            <v>11.062153668663059</v>
          </cell>
          <cell r="CX795">
            <v>8.6510321273089765</v>
          </cell>
          <cell r="CY795">
            <v>13.473275210017142</v>
          </cell>
        </row>
        <row r="796">
          <cell r="A796">
            <v>40652</v>
          </cell>
          <cell r="CF796">
            <v>16.976637711099848</v>
          </cell>
          <cell r="CG796">
            <v>22.085252262534414</v>
          </cell>
          <cell r="CH796">
            <v>18.555263085067214</v>
          </cell>
          <cell r="CI796">
            <v>14.926604548033502</v>
          </cell>
          <cell r="CJ796">
            <v>22.183921622100925</v>
          </cell>
          <cell r="CU796">
            <v>9.9083559299571711</v>
          </cell>
          <cell r="CV796">
            <v>13.67289934744978</v>
          </cell>
          <cell r="CW796">
            <v>11.062153668663059</v>
          </cell>
          <cell r="CX796">
            <v>8.6510321273089765</v>
          </cell>
          <cell r="CY796">
            <v>13.473275210017142</v>
          </cell>
        </row>
        <row r="797">
          <cell r="A797">
            <v>40653</v>
          </cell>
          <cell r="CF797">
            <v>17.225900109806975</v>
          </cell>
          <cell r="CG797">
            <v>22.085252262534414</v>
          </cell>
          <cell r="CH797">
            <v>18.555263085067214</v>
          </cell>
          <cell r="CI797">
            <v>14.926604548033502</v>
          </cell>
          <cell r="CJ797">
            <v>22.183921622100925</v>
          </cell>
          <cell r="CU797">
            <v>10.04145160647629</v>
          </cell>
          <cell r="CV797">
            <v>13.67289934744978</v>
          </cell>
          <cell r="CW797">
            <v>11.062153668663059</v>
          </cell>
          <cell r="CX797">
            <v>8.6510321273089765</v>
          </cell>
          <cell r="CY797">
            <v>13.473275210017142</v>
          </cell>
        </row>
        <row r="798">
          <cell r="A798">
            <v>40654</v>
          </cell>
          <cell r="CF798">
            <v>17.245450494777014</v>
          </cell>
          <cell r="CG798">
            <v>22.085252262534414</v>
          </cell>
          <cell r="CH798">
            <v>18.555263085067214</v>
          </cell>
          <cell r="CI798">
            <v>14.926604548033502</v>
          </cell>
          <cell r="CJ798">
            <v>22.183921622100925</v>
          </cell>
          <cell r="CU798">
            <v>10.051890692865946</v>
          </cell>
          <cell r="CV798">
            <v>13.67289934744978</v>
          </cell>
          <cell r="CW798">
            <v>11.062153668663059</v>
          </cell>
          <cell r="CX798">
            <v>8.6510321273089765</v>
          </cell>
          <cell r="CY798">
            <v>13.473275210017142</v>
          </cell>
        </row>
        <row r="799">
          <cell r="A799">
            <v>40655</v>
          </cell>
          <cell r="CF799">
            <v>17.245450494777014</v>
          </cell>
          <cell r="CG799">
            <v>22.085252262534414</v>
          </cell>
          <cell r="CH799">
            <v>18.555263085067214</v>
          </cell>
          <cell r="CI799">
            <v>14.926604548033502</v>
          </cell>
          <cell r="CJ799">
            <v>22.183921622100925</v>
          </cell>
          <cell r="CU799">
            <v>10.051890692865946</v>
          </cell>
          <cell r="CV799">
            <v>13.67289934744978</v>
          </cell>
          <cell r="CW799">
            <v>11.062153668663059</v>
          </cell>
          <cell r="CX799">
            <v>8.6510321273089765</v>
          </cell>
          <cell r="CY799">
            <v>13.473275210017142</v>
          </cell>
        </row>
        <row r="800">
          <cell r="A800">
            <v>40658</v>
          </cell>
          <cell r="CF800">
            <v>17.225900109806975</v>
          </cell>
          <cell r="CG800">
            <v>22.085252262534414</v>
          </cell>
          <cell r="CH800">
            <v>18.555263085067214</v>
          </cell>
          <cell r="CI800">
            <v>14.926604548033502</v>
          </cell>
          <cell r="CJ800">
            <v>22.183921622100925</v>
          </cell>
          <cell r="CU800">
            <v>10.059371469931602</v>
          </cell>
          <cell r="CV800">
            <v>13.67289934744978</v>
          </cell>
          <cell r="CW800">
            <v>11.062153668663059</v>
          </cell>
          <cell r="CX800">
            <v>8.6510321273089765</v>
          </cell>
          <cell r="CY800">
            <v>13.473275210017142</v>
          </cell>
        </row>
        <row r="801">
          <cell r="A801">
            <v>40659</v>
          </cell>
          <cell r="CF801">
            <v>17.509374338156306</v>
          </cell>
          <cell r="CG801">
            <v>22.085252262534414</v>
          </cell>
          <cell r="CH801">
            <v>18.555263085067214</v>
          </cell>
          <cell r="CI801">
            <v>14.926604548033502</v>
          </cell>
          <cell r="CJ801">
            <v>22.183921622100925</v>
          </cell>
          <cell r="CU801">
            <v>10.21102972424656</v>
          </cell>
          <cell r="CV801">
            <v>13.67289934744978</v>
          </cell>
          <cell r="CW801">
            <v>11.062153668663059</v>
          </cell>
          <cell r="CX801">
            <v>8.6510321273089765</v>
          </cell>
          <cell r="CY801">
            <v>13.473275210017142</v>
          </cell>
        </row>
        <row r="802">
          <cell r="A802">
            <v>40660</v>
          </cell>
          <cell r="CF802">
            <v>17.809953015084528</v>
          </cell>
          <cell r="CG802">
            <v>22.085252262534414</v>
          </cell>
          <cell r="CH802">
            <v>18.555263085067214</v>
          </cell>
          <cell r="CI802">
            <v>14.926604548033502</v>
          </cell>
          <cell r="CJ802">
            <v>22.183921622100925</v>
          </cell>
          <cell r="CU802">
            <v>10.371838830925057</v>
          </cell>
          <cell r="CV802">
            <v>13.67289934744978</v>
          </cell>
          <cell r="CW802">
            <v>11.062153668663059</v>
          </cell>
          <cell r="CX802">
            <v>8.6510321273089765</v>
          </cell>
          <cell r="CY802">
            <v>13.473275210017142</v>
          </cell>
        </row>
        <row r="803">
          <cell r="A803">
            <v>40661</v>
          </cell>
          <cell r="CF803">
            <v>17.86374079543284</v>
          </cell>
          <cell r="CG803">
            <v>22.085252262534414</v>
          </cell>
          <cell r="CH803">
            <v>18.555263085067214</v>
          </cell>
          <cell r="CI803">
            <v>14.926604548033502</v>
          </cell>
          <cell r="CJ803">
            <v>22.183921622100925</v>
          </cell>
          <cell r="CU803">
            <v>10.40713902868149</v>
          </cell>
          <cell r="CV803">
            <v>13.67289934744978</v>
          </cell>
          <cell r="CW803">
            <v>11.062153668663059</v>
          </cell>
          <cell r="CX803">
            <v>8.6510321273089765</v>
          </cell>
          <cell r="CY803">
            <v>13.473275210017142</v>
          </cell>
        </row>
        <row r="804">
          <cell r="A804">
            <v>40662</v>
          </cell>
          <cell r="CF804">
            <v>17.833026286247872</v>
          </cell>
          <cell r="CG804">
            <v>22.085252262534414</v>
          </cell>
          <cell r="CH804">
            <v>18.555263085067214</v>
          </cell>
          <cell r="CI804">
            <v>14.926604548033502</v>
          </cell>
          <cell r="CJ804">
            <v>22.183921622100925</v>
          </cell>
          <cell r="CU804">
            <v>10.320007545047559</v>
          </cell>
          <cell r="CV804">
            <v>13.67289934744978</v>
          </cell>
          <cell r="CW804">
            <v>11.062153668663059</v>
          </cell>
          <cell r="CX804">
            <v>8.6510321273089765</v>
          </cell>
          <cell r="CY804">
            <v>13.473275210017142</v>
          </cell>
        </row>
        <row r="805">
          <cell r="A805">
            <v>40665</v>
          </cell>
          <cell r="CF805">
            <v>17.909578612299367</v>
          </cell>
          <cell r="CG805">
            <v>22.085252262534414</v>
          </cell>
          <cell r="CH805">
            <v>18.555263085067214</v>
          </cell>
          <cell r="CI805">
            <v>14.926604548033502</v>
          </cell>
          <cell r="CJ805">
            <v>22.183921622100925</v>
          </cell>
          <cell r="CU805">
            <v>10.378141975933993</v>
          </cell>
          <cell r="CV805">
            <v>13.67289934744978</v>
          </cell>
          <cell r="CW805">
            <v>11.062153668663059</v>
          </cell>
          <cell r="CX805">
            <v>8.6510321273089765</v>
          </cell>
          <cell r="CY805">
            <v>13.473275210017142</v>
          </cell>
        </row>
        <row r="806">
          <cell r="A806">
            <v>40666</v>
          </cell>
          <cell r="CF806">
            <v>17.781446047225614</v>
          </cell>
          <cell r="CG806">
            <v>22.085252262534414</v>
          </cell>
          <cell r="CH806">
            <v>18.555263085067214</v>
          </cell>
          <cell r="CI806">
            <v>14.926604548033502</v>
          </cell>
          <cell r="CJ806">
            <v>22.183921622100925</v>
          </cell>
          <cell r="CU806">
            <v>10.629063772621475</v>
          </cell>
          <cell r="CV806">
            <v>13.67289934744978</v>
          </cell>
          <cell r="CW806">
            <v>11.062153668663059</v>
          </cell>
          <cell r="CX806">
            <v>8.6510321273089765</v>
          </cell>
          <cell r="CY806">
            <v>13.473275210017142</v>
          </cell>
        </row>
        <row r="807">
          <cell r="A807">
            <v>40667</v>
          </cell>
          <cell r="CF807">
            <v>17.494180436187378</v>
          </cell>
          <cell r="CG807">
            <v>22.085252262534414</v>
          </cell>
          <cell r="CH807">
            <v>18.555263085067214</v>
          </cell>
          <cell r="CI807">
            <v>14.926604548033502</v>
          </cell>
          <cell r="CJ807">
            <v>22.183921622100925</v>
          </cell>
          <cell r="CU807">
            <v>10.377432039852364</v>
          </cell>
          <cell r="CV807">
            <v>13.67289934744978</v>
          </cell>
          <cell r="CW807">
            <v>11.062153668663059</v>
          </cell>
          <cell r="CX807">
            <v>8.6510321273089765</v>
          </cell>
          <cell r="CY807">
            <v>13.473275210017142</v>
          </cell>
        </row>
        <row r="808">
          <cell r="A808">
            <v>40668</v>
          </cell>
          <cell r="CF808">
            <v>17.394287434416494</v>
          </cell>
          <cell r="CG808">
            <v>22.085252262534414</v>
          </cell>
          <cell r="CH808">
            <v>18.555263085067214</v>
          </cell>
          <cell r="CI808">
            <v>14.926604548033502</v>
          </cell>
          <cell r="CJ808">
            <v>22.183921622100925</v>
          </cell>
          <cell r="CU808">
            <v>10.306190353658344</v>
          </cell>
          <cell r="CV808">
            <v>13.67289934744978</v>
          </cell>
          <cell r="CW808">
            <v>11.062153668663059</v>
          </cell>
          <cell r="CX808">
            <v>8.6510321273089765</v>
          </cell>
          <cell r="CY808">
            <v>13.473275210017142</v>
          </cell>
        </row>
        <row r="809">
          <cell r="A809">
            <v>40669</v>
          </cell>
          <cell r="CF809">
            <v>17.526738089291118</v>
          </cell>
          <cell r="CG809">
            <v>22.085252262534414</v>
          </cell>
          <cell r="CH809">
            <v>18.555263085067214</v>
          </cell>
          <cell r="CI809">
            <v>14.926604548033502</v>
          </cell>
          <cell r="CJ809">
            <v>22.183921622100925</v>
          </cell>
          <cell r="CU809">
            <v>10.376033786395318</v>
          </cell>
          <cell r="CV809">
            <v>13.67289934744978</v>
          </cell>
          <cell r="CW809">
            <v>11.062153668663059</v>
          </cell>
          <cell r="CX809">
            <v>8.6510321273089765</v>
          </cell>
          <cell r="CY809">
            <v>13.473275210017142</v>
          </cell>
        </row>
        <row r="810">
          <cell r="A810">
            <v>40672</v>
          </cell>
          <cell r="CF810">
            <v>17.570083654175033</v>
          </cell>
          <cell r="CG810">
            <v>22.085252262534414</v>
          </cell>
          <cell r="CH810">
            <v>18.555263085067214</v>
          </cell>
          <cell r="CI810">
            <v>14.926604548033502</v>
          </cell>
          <cell r="CJ810">
            <v>22.183921622100925</v>
          </cell>
          <cell r="CU810">
            <v>10.398751059780039</v>
          </cell>
          <cell r="CV810">
            <v>13.67289934744978</v>
          </cell>
          <cell r="CW810">
            <v>11.062153668663059</v>
          </cell>
          <cell r="CX810">
            <v>8.6510321273089765</v>
          </cell>
          <cell r="CY810">
            <v>13.473275210017142</v>
          </cell>
        </row>
        <row r="811">
          <cell r="A811">
            <v>40673</v>
          </cell>
          <cell r="CF811">
            <v>17.695310008099327</v>
          </cell>
          <cell r="CG811">
            <v>22.085252262534414</v>
          </cell>
          <cell r="CH811">
            <v>18.555263085067214</v>
          </cell>
          <cell r="CI811">
            <v>14.926604548033502</v>
          </cell>
          <cell r="CJ811">
            <v>22.183921622100925</v>
          </cell>
          <cell r="CU811">
            <v>10.464784112255542</v>
          </cell>
          <cell r="CV811">
            <v>13.67289934744978</v>
          </cell>
          <cell r="CW811">
            <v>11.062153668663059</v>
          </cell>
          <cell r="CX811">
            <v>8.6510321273089765</v>
          </cell>
          <cell r="CY811">
            <v>13.473275210017142</v>
          </cell>
        </row>
        <row r="812">
          <cell r="A812">
            <v>40674</v>
          </cell>
          <cell r="CF812">
            <v>17.505061814987304</v>
          </cell>
          <cell r="CG812">
            <v>22.085252262534414</v>
          </cell>
          <cell r="CH812">
            <v>18.555263085067214</v>
          </cell>
          <cell r="CI812">
            <v>14.926604548033502</v>
          </cell>
          <cell r="CJ812">
            <v>22.183921622100925</v>
          </cell>
          <cell r="CU812">
            <v>10.364464422945334</v>
          </cell>
          <cell r="CV812">
            <v>13.67289934744978</v>
          </cell>
          <cell r="CW812">
            <v>11.062153668663059</v>
          </cell>
          <cell r="CX812">
            <v>8.6510321273089765</v>
          </cell>
          <cell r="CY812">
            <v>13.473275210017142</v>
          </cell>
        </row>
        <row r="813">
          <cell r="A813">
            <v>40675</v>
          </cell>
          <cell r="CF813">
            <v>17.796453111220643</v>
          </cell>
          <cell r="CG813">
            <v>22.085252262534414</v>
          </cell>
          <cell r="CH813">
            <v>18.555263085067214</v>
          </cell>
          <cell r="CI813">
            <v>14.926604548033502</v>
          </cell>
          <cell r="CJ813">
            <v>22.183921622100925</v>
          </cell>
          <cell r="CU813">
            <v>10.51811783656075</v>
          </cell>
          <cell r="CV813">
            <v>13.67289934744978</v>
          </cell>
          <cell r="CW813">
            <v>11.062153668663059</v>
          </cell>
          <cell r="CX813">
            <v>8.6510321273089765</v>
          </cell>
          <cell r="CY813">
            <v>13.473275210017142</v>
          </cell>
        </row>
        <row r="814">
          <cell r="A814">
            <v>40676</v>
          </cell>
          <cell r="CF814">
            <v>17.428001962668972</v>
          </cell>
          <cell r="CG814">
            <v>22.085252262534414</v>
          </cell>
          <cell r="CH814">
            <v>18.555263085067214</v>
          </cell>
          <cell r="CI814">
            <v>14.926604548033502</v>
          </cell>
          <cell r="CJ814">
            <v>22.183921622100925</v>
          </cell>
          <cell r="CU814">
            <v>10.323830026810418</v>
          </cell>
          <cell r="CV814">
            <v>13.67289934744978</v>
          </cell>
          <cell r="CW814">
            <v>11.062153668663059</v>
          </cell>
          <cell r="CX814">
            <v>8.6510321273089765</v>
          </cell>
          <cell r="CY814">
            <v>13.473275210017142</v>
          </cell>
        </row>
        <row r="815">
          <cell r="A815">
            <v>40679</v>
          </cell>
          <cell r="CF815">
            <v>17.391876845646443</v>
          </cell>
          <cell r="CG815">
            <v>22.085252262534414</v>
          </cell>
          <cell r="CH815">
            <v>18.555263085067214</v>
          </cell>
          <cell r="CI815">
            <v>14.926604548033502</v>
          </cell>
          <cell r="CJ815">
            <v>22.183921622100925</v>
          </cell>
          <cell r="CU815">
            <v>10.304780907569318</v>
          </cell>
          <cell r="CV815">
            <v>13.67289934744978</v>
          </cell>
          <cell r="CW815">
            <v>11.062153668663059</v>
          </cell>
          <cell r="CX815">
            <v>8.6510321273089765</v>
          </cell>
          <cell r="CY815">
            <v>13.473275210017142</v>
          </cell>
        </row>
        <row r="816">
          <cell r="A816">
            <v>40680</v>
          </cell>
          <cell r="CF816">
            <v>17.26424375604104</v>
          </cell>
          <cell r="CG816">
            <v>22.085252262534414</v>
          </cell>
          <cell r="CH816">
            <v>18.555263085067214</v>
          </cell>
          <cell r="CI816">
            <v>14.926604548033502</v>
          </cell>
          <cell r="CJ816">
            <v>22.183921622100925</v>
          </cell>
          <cell r="CU816">
            <v>10.23747876038216</v>
          </cell>
          <cell r="CV816">
            <v>13.67289934744978</v>
          </cell>
          <cell r="CW816">
            <v>11.062153668663059</v>
          </cell>
          <cell r="CX816">
            <v>8.6510321273089765</v>
          </cell>
          <cell r="CY816">
            <v>13.473275210017142</v>
          </cell>
        </row>
        <row r="817">
          <cell r="A817">
            <v>40681</v>
          </cell>
          <cell r="CF817">
            <v>17.589968433046238</v>
          </cell>
          <cell r="CG817">
            <v>22.085252262534414</v>
          </cell>
          <cell r="CH817">
            <v>18.555263085067214</v>
          </cell>
          <cell r="CI817">
            <v>14.926604548033502</v>
          </cell>
          <cell r="CJ817">
            <v>22.183921622100925</v>
          </cell>
          <cell r="CU817">
            <v>10.406369945562506</v>
          </cell>
          <cell r="CV817">
            <v>13.67289934744978</v>
          </cell>
          <cell r="CW817">
            <v>11.062153668663059</v>
          </cell>
          <cell r="CX817">
            <v>8.6510321273089765</v>
          </cell>
          <cell r="CY817">
            <v>13.473275210017142</v>
          </cell>
        </row>
        <row r="818">
          <cell r="A818">
            <v>40682</v>
          </cell>
          <cell r="CF818">
            <v>17.517699717454963</v>
          </cell>
          <cell r="CG818">
            <v>22.085252262534414</v>
          </cell>
          <cell r="CH818">
            <v>18.555263085067214</v>
          </cell>
          <cell r="CI818">
            <v>14.926604548033502</v>
          </cell>
          <cell r="CJ818">
            <v>22.183921622100925</v>
          </cell>
          <cell r="CU818">
            <v>10.368273738850904</v>
          </cell>
          <cell r="CV818">
            <v>13.67289934744978</v>
          </cell>
          <cell r="CW818">
            <v>11.062153668663059</v>
          </cell>
          <cell r="CX818">
            <v>8.6510321273089765</v>
          </cell>
          <cell r="CY818">
            <v>13.473275210017142</v>
          </cell>
        </row>
        <row r="819">
          <cell r="A819">
            <v>40683</v>
          </cell>
          <cell r="CF819">
            <v>17.397253464086219</v>
          </cell>
          <cell r="CG819">
            <v>22.085252262534414</v>
          </cell>
          <cell r="CH819">
            <v>18.555263085067214</v>
          </cell>
          <cell r="CI819">
            <v>14.926604548033502</v>
          </cell>
          <cell r="CJ819">
            <v>22.183921622100925</v>
          </cell>
          <cell r="CU819">
            <v>10.304780907569318</v>
          </cell>
          <cell r="CV819">
            <v>13.67289934744978</v>
          </cell>
          <cell r="CW819">
            <v>11.062153668663059</v>
          </cell>
          <cell r="CX819">
            <v>8.6510321273089765</v>
          </cell>
          <cell r="CY819">
            <v>13.473275210017142</v>
          </cell>
        </row>
        <row r="820">
          <cell r="A820">
            <v>40686</v>
          </cell>
          <cell r="CF820">
            <v>17.061430139696682</v>
          </cell>
          <cell r="CG820">
            <v>22.085252262534414</v>
          </cell>
          <cell r="CH820">
            <v>18.555263085067214</v>
          </cell>
          <cell r="CI820">
            <v>14.926604548033502</v>
          </cell>
          <cell r="CJ820">
            <v>22.183921622100925</v>
          </cell>
          <cell r="CU820">
            <v>10.133351532965658</v>
          </cell>
          <cell r="CV820">
            <v>13.67289934744978</v>
          </cell>
          <cell r="CW820">
            <v>11.062153668663059</v>
          </cell>
          <cell r="CX820">
            <v>8.6510321273089765</v>
          </cell>
          <cell r="CY820">
            <v>13.473275210017142</v>
          </cell>
        </row>
        <row r="821">
          <cell r="A821">
            <v>40687</v>
          </cell>
          <cell r="CF821">
            <v>16.866429080429032</v>
          </cell>
          <cell r="CG821">
            <v>22.085252262534414</v>
          </cell>
          <cell r="CH821">
            <v>18.555263085067214</v>
          </cell>
          <cell r="CI821">
            <v>14.926604548033502</v>
          </cell>
          <cell r="CJ821">
            <v>22.183921622100925</v>
          </cell>
          <cell r="CU821">
            <v>10.030493400260811</v>
          </cell>
          <cell r="CV821">
            <v>13.67289934744978</v>
          </cell>
          <cell r="CW821">
            <v>11.062153668663059</v>
          </cell>
          <cell r="CX821">
            <v>8.6510321273089765</v>
          </cell>
          <cell r="CY821">
            <v>13.473275210017142</v>
          </cell>
        </row>
        <row r="822">
          <cell r="A822">
            <v>40688</v>
          </cell>
          <cell r="CF822">
            <v>16.979578363336962</v>
          </cell>
          <cell r="CG822">
            <v>22.085252262534414</v>
          </cell>
          <cell r="CH822">
            <v>18.555263085067214</v>
          </cell>
          <cell r="CI822">
            <v>14.926604548033502</v>
          </cell>
          <cell r="CJ822">
            <v>22.183921622100925</v>
          </cell>
          <cell r="CU822">
            <v>10.090176788651167</v>
          </cell>
          <cell r="CV822">
            <v>13.67289934744978</v>
          </cell>
          <cell r="CW822">
            <v>11.062153668663059</v>
          </cell>
          <cell r="CX822">
            <v>8.6510321273089765</v>
          </cell>
          <cell r="CY822">
            <v>13.473275210017142</v>
          </cell>
        </row>
        <row r="823">
          <cell r="A823">
            <v>40689</v>
          </cell>
          <cell r="CF823">
            <v>17.034948208234507</v>
          </cell>
          <cell r="CG823">
            <v>22.085252262534414</v>
          </cell>
          <cell r="CH823">
            <v>18.555263085067214</v>
          </cell>
          <cell r="CI823">
            <v>14.926604548033502</v>
          </cell>
          <cell r="CJ823">
            <v>22.183921622100925</v>
          </cell>
          <cell r="CU823">
            <v>10.119382983098046</v>
          </cell>
          <cell r="CV823">
            <v>13.67289934744978</v>
          </cell>
          <cell r="CW823">
            <v>11.062153668663059</v>
          </cell>
          <cell r="CX823">
            <v>8.6510321273089765</v>
          </cell>
          <cell r="CY823">
            <v>13.473275210017142</v>
          </cell>
        </row>
        <row r="824">
          <cell r="A824">
            <v>40690</v>
          </cell>
          <cell r="CF824">
            <v>17.054208101152181</v>
          </cell>
          <cell r="CG824">
            <v>22.085252262534414</v>
          </cell>
          <cell r="CH824">
            <v>18.555263085067214</v>
          </cell>
          <cell r="CI824">
            <v>14.926604548033502</v>
          </cell>
          <cell r="CJ824">
            <v>22.183921622100925</v>
          </cell>
          <cell r="CU824">
            <v>10.129542090074425</v>
          </cell>
          <cell r="CV824">
            <v>13.67289934744978</v>
          </cell>
          <cell r="CW824">
            <v>11.062153668663059</v>
          </cell>
          <cell r="CX824">
            <v>8.6510321273089765</v>
          </cell>
          <cell r="CY824">
            <v>13.473275210017142</v>
          </cell>
        </row>
        <row r="825">
          <cell r="A825">
            <v>40693</v>
          </cell>
          <cell r="CF825">
            <v>17.054208101152181</v>
          </cell>
          <cell r="CG825">
            <v>22.085252262534414</v>
          </cell>
          <cell r="CH825">
            <v>18.555263085067214</v>
          </cell>
          <cell r="CI825">
            <v>14.926604548033502</v>
          </cell>
          <cell r="CJ825">
            <v>22.183921622100925</v>
          </cell>
          <cell r="CU825">
            <v>10.129542090074425</v>
          </cell>
          <cell r="CV825">
            <v>13.67289934744978</v>
          </cell>
          <cell r="CW825">
            <v>11.062153668663059</v>
          </cell>
          <cell r="CX825">
            <v>8.6510321273089765</v>
          </cell>
          <cell r="CY825">
            <v>13.473275210017142</v>
          </cell>
        </row>
        <row r="826">
          <cell r="A826">
            <v>40694</v>
          </cell>
          <cell r="CF826">
            <v>17.290134928228369</v>
          </cell>
          <cell r="CG826">
            <v>22.085252262534414</v>
          </cell>
          <cell r="CH826">
            <v>18.555263085067214</v>
          </cell>
          <cell r="CI826">
            <v>14.926604548033502</v>
          </cell>
          <cell r="CJ826">
            <v>22.183921622100925</v>
          </cell>
          <cell r="CU826">
            <v>10.253987531443684</v>
          </cell>
          <cell r="CV826">
            <v>13.67289934744978</v>
          </cell>
          <cell r="CW826">
            <v>11.062153668663059</v>
          </cell>
          <cell r="CX826">
            <v>8.6510321273089765</v>
          </cell>
          <cell r="CY826">
            <v>13.473275210017142</v>
          </cell>
        </row>
        <row r="827">
          <cell r="A827">
            <v>40695</v>
          </cell>
          <cell r="CF827">
            <v>16.865926242278629</v>
          </cell>
          <cell r="CG827">
            <v>22.085252262534414</v>
          </cell>
          <cell r="CH827">
            <v>18.555263085067214</v>
          </cell>
          <cell r="CI827">
            <v>14.926604548033502</v>
          </cell>
          <cell r="CJ827">
            <v>22.183921622100925</v>
          </cell>
          <cell r="CU827">
            <v>10.039594820112399</v>
          </cell>
          <cell r="CV827">
            <v>13.67289934744978</v>
          </cell>
          <cell r="CW827">
            <v>11.062153668663059</v>
          </cell>
          <cell r="CX827">
            <v>8.6510321273089765</v>
          </cell>
          <cell r="CY827">
            <v>13.473275210017142</v>
          </cell>
        </row>
        <row r="828">
          <cell r="A828">
            <v>40696</v>
          </cell>
          <cell r="CF828">
            <v>16.842069386752048</v>
          </cell>
          <cell r="CG828">
            <v>22.085252262534414</v>
          </cell>
          <cell r="CH828">
            <v>18.555263085067214</v>
          </cell>
          <cell r="CI828">
            <v>14.926604548033502</v>
          </cell>
          <cell r="CJ828">
            <v>22.183921622100925</v>
          </cell>
          <cell r="CU828">
            <v>10.026986435455484</v>
          </cell>
          <cell r="CV828">
            <v>13.67289934744978</v>
          </cell>
          <cell r="CW828">
            <v>11.062153668663059</v>
          </cell>
          <cell r="CX828">
            <v>8.6510321273089765</v>
          </cell>
          <cell r="CY828">
            <v>13.473275210017142</v>
          </cell>
        </row>
        <row r="829">
          <cell r="A829">
            <v>40697</v>
          </cell>
          <cell r="CF829">
            <v>16.584391678934171</v>
          </cell>
          <cell r="CG829">
            <v>22.085252262534414</v>
          </cell>
          <cell r="CH829">
            <v>18.555263085067214</v>
          </cell>
          <cell r="CI829">
            <v>14.926604548033502</v>
          </cell>
          <cell r="CJ829">
            <v>22.183921622100925</v>
          </cell>
          <cell r="CU829">
            <v>9.8908033725174533</v>
          </cell>
          <cell r="CV829">
            <v>13.67289934744978</v>
          </cell>
          <cell r="CW829">
            <v>11.062153668663059</v>
          </cell>
          <cell r="CX829">
            <v>8.6510321273089765</v>
          </cell>
          <cell r="CY829">
            <v>13.473275210017142</v>
          </cell>
        </row>
        <row r="830">
          <cell r="A830">
            <v>40700</v>
          </cell>
          <cell r="CF830">
            <v>16.314783753927788</v>
          </cell>
          <cell r="CG830">
            <v>22.085252262534414</v>
          </cell>
          <cell r="CH830">
            <v>18.555263085067214</v>
          </cell>
          <cell r="CI830">
            <v>14.926604548033502</v>
          </cell>
          <cell r="CJ830">
            <v>22.183921622100925</v>
          </cell>
          <cell r="CU830">
            <v>9.7483151715370031</v>
          </cell>
          <cell r="CV830">
            <v>13.67289934744978</v>
          </cell>
          <cell r="CW830">
            <v>11.062153668663059</v>
          </cell>
          <cell r="CX830">
            <v>8.6510321273089765</v>
          </cell>
          <cell r="CY830">
            <v>13.473275210017142</v>
          </cell>
        </row>
        <row r="831">
          <cell r="A831">
            <v>40701</v>
          </cell>
          <cell r="CF831">
            <v>16.41499108866244</v>
          </cell>
          <cell r="CG831">
            <v>22.085252262534414</v>
          </cell>
          <cell r="CH831">
            <v>18.555263085067214</v>
          </cell>
          <cell r="CI831">
            <v>14.926604548033502</v>
          </cell>
          <cell r="CJ831">
            <v>22.183921622100925</v>
          </cell>
          <cell r="CU831">
            <v>9.8012749013040299</v>
          </cell>
          <cell r="CV831">
            <v>13.67289934744978</v>
          </cell>
          <cell r="CW831">
            <v>11.062153668663059</v>
          </cell>
          <cell r="CX831">
            <v>8.6510321273089765</v>
          </cell>
          <cell r="CY831">
            <v>13.473275210017142</v>
          </cell>
        </row>
        <row r="832">
          <cell r="A832">
            <v>40702</v>
          </cell>
          <cell r="CF832">
            <v>16.429306013184483</v>
          </cell>
          <cell r="CG832">
            <v>22.085252262534414</v>
          </cell>
          <cell r="CH832">
            <v>18.555263085067214</v>
          </cell>
          <cell r="CI832">
            <v>14.926604548033502</v>
          </cell>
          <cell r="CJ832">
            <v>22.183921622100925</v>
          </cell>
          <cell r="CU832">
            <v>9.80884036082184</v>
          </cell>
          <cell r="CV832">
            <v>13.67289934744978</v>
          </cell>
          <cell r="CW832">
            <v>11.062153668663059</v>
          </cell>
          <cell r="CX832">
            <v>8.6510321273089765</v>
          </cell>
          <cell r="CY832">
            <v>13.473275210017142</v>
          </cell>
        </row>
        <row r="833">
          <cell r="A833">
            <v>40703</v>
          </cell>
          <cell r="CF833">
            <v>16.632108968837755</v>
          </cell>
          <cell r="CG833">
            <v>22.085252262534414</v>
          </cell>
          <cell r="CH833">
            <v>18.555263085067214</v>
          </cell>
          <cell r="CI833">
            <v>14.926604548033502</v>
          </cell>
          <cell r="CJ833">
            <v>22.183921622100925</v>
          </cell>
          <cell r="CU833">
            <v>9.9160220332592086</v>
          </cell>
          <cell r="CV833">
            <v>13.67289934744978</v>
          </cell>
          <cell r="CW833">
            <v>11.062153668663059</v>
          </cell>
          <cell r="CX833">
            <v>8.6510321273089765</v>
          </cell>
          <cell r="CY833">
            <v>13.473275210017142</v>
          </cell>
        </row>
        <row r="834">
          <cell r="A834">
            <v>40704</v>
          </cell>
          <cell r="CF834">
            <v>16.488953520276574</v>
          </cell>
          <cell r="CG834">
            <v>22.085252262534414</v>
          </cell>
          <cell r="CH834">
            <v>18.555263085067214</v>
          </cell>
          <cell r="CI834">
            <v>14.926604548033502</v>
          </cell>
          <cell r="CJ834">
            <v>22.183921622100925</v>
          </cell>
          <cell r="CU834">
            <v>9.8403641596060165</v>
          </cell>
          <cell r="CV834">
            <v>13.67289934744978</v>
          </cell>
          <cell r="CW834">
            <v>11.062153668663059</v>
          </cell>
          <cell r="CX834">
            <v>8.6510321273089765</v>
          </cell>
          <cell r="CY834">
            <v>13.473275210017142</v>
          </cell>
        </row>
        <row r="835">
          <cell r="A835">
            <v>40707</v>
          </cell>
          <cell r="CF835">
            <v>16.582006971600627</v>
          </cell>
          <cell r="CG835">
            <v>22.085252262534414</v>
          </cell>
          <cell r="CH835">
            <v>18.555263085067214</v>
          </cell>
          <cell r="CI835">
            <v>14.926604548033502</v>
          </cell>
          <cell r="CJ835">
            <v>22.183921622100925</v>
          </cell>
          <cell r="CU835">
            <v>9.8895430510420628</v>
          </cell>
          <cell r="CV835">
            <v>13.67289934744978</v>
          </cell>
          <cell r="CW835">
            <v>11.062153668663059</v>
          </cell>
          <cell r="CX835">
            <v>8.6510321273089765</v>
          </cell>
          <cell r="CY835">
            <v>13.473275210017142</v>
          </cell>
        </row>
        <row r="836">
          <cell r="A836">
            <v>40708</v>
          </cell>
          <cell r="CF836">
            <v>16.646423893359803</v>
          </cell>
          <cell r="CG836">
            <v>22.085252262534414</v>
          </cell>
          <cell r="CH836">
            <v>18.555263085067214</v>
          </cell>
          <cell r="CI836">
            <v>14.926604548033502</v>
          </cell>
          <cell r="CJ836">
            <v>22.183921622100925</v>
          </cell>
          <cell r="CU836">
            <v>9.9235874927770222</v>
          </cell>
          <cell r="CV836">
            <v>13.67289934744978</v>
          </cell>
          <cell r="CW836">
            <v>11.062153668663059</v>
          </cell>
          <cell r="CX836">
            <v>8.6510321273089765</v>
          </cell>
          <cell r="CY836">
            <v>13.473275210017142</v>
          </cell>
        </row>
        <row r="837">
          <cell r="A837">
            <v>40709</v>
          </cell>
          <cell r="CF837">
            <v>16.498499030131534</v>
          </cell>
          <cell r="CG837">
            <v>22.085252262534414</v>
          </cell>
          <cell r="CH837">
            <v>18.555263085067214</v>
          </cell>
          <cell r="CI837">
            <v>14.926604548033502</v>
          </cell>
          <cell r="CJ837">
            <v>22.183921622100925</v>
          </cell>
          <cell r="CU837">
            <v>9.8454089761730472</v>
          </cell>
          <cell r="CV837">
            <v>13.67289934744978</v>
          </cell>
          <cell r="CW837">
            <v>11.062153668663059</v>
          </cell>
          <cell r="CX837">
            <v>8.6510321273089765</v>
          </cell>
          <cell r="CY837">
            <v>13.473275210017142</v>
          </cell>
        </row>
        <row r="838">
          <cell r="A838">
            <v>40710</v>
          </cell>
          <cell r="CF838">
            <v>16.596321896122671</v>
          </cell>
          <cell r="CG838">
            <v>22.085252262534414</v>
          </cell>
          <cell r="CH838">
            <v>18.555263085067214</v>
          </cell>
          <cell r="CI838">
            <v>14.926604548033502</v>
          </cell>
          <cell r="CJ838">
            <v>22.183921622100925</v>
          </cell>
          <cell r="CU838">
            <v>9.8971085105598728</v>
          </cell>
          <cell r="CV838">
            <v>13.67289934744978</v>
          </cell>
          <cell r="CW838">
            <v>11.062153668663059</v>
          </cell>
          <cell r="CX838">
            <v>8.6510321273089765</v>
          </cell>
          <cell r="CY838">
            <v>13.473275210017142</v>
          </cell>
        </row>
        <row r="839">
          <cell r="A839">
            <v>40711</v>
          </cell>
          <cell r="CF839">
            <v>16.768106955137917</v>
          </cell>
          <cell r="CG839">
            <v>22.085252262534414</v>
          </cell>
          <cell r="CH839">
            <v>18.555263085067214</v>
          </cell>
          <cell r="CI839">
            <v>14.926604548033502</v>
          </cell>
          <cell r="CJ839">
            <v>22.183921622100925</v>
          </cell>
          <cell r="CU839">
            <v>9.9878971771534957</v>
          </cell>
          <cell r="CV839">
            <v>13.67289934744978</v>
          </cell>
          <cell r="CW839">
            <v>11.062153668663059</v>
          </cell>
          <cell r="CX839">
            <v>8.6510321273089765</v>
          </cell>
          <cell r="CY839">
            <v>13.473275210017142</v>
          </cell>
        </row>
        <row r="840">
          <cell r="A840">
            <v>40714</v>
          </cell>
          <cell r="CF840">
            <v>16.954206938675203</v>
          </cell>
          <cell r="CG840">
            <v>22.085252262534414</v>
          </cell>
          <cell r="CH840">
            <v>18.555263085067214</v>
          </cell>
          <cell r="CI840">
            <v>14.926604548033502</v>
          </cell>
          <cell r="CJ840">
            <v>22.183921622100925</v>
          </cell>
          <cell r="CU840">
            <v>10.086251303264927</v>
          </cell>
          <cell r="CV840">
            <v>13.67289934744978</v>
          </cell>
          <cell r="CW840">
            <v>11.062153668663059</v>
          </cell>
          <cell r="CX840">
            <v>8.6510321273089765</v>
          </cell>
          <cell r="CY840">
            <v>13.473275210017142</v>
          </cell>
        </row>
        <row r="841">
          <cell r="A841">
            <v>40715</v>
          </cell>
          <cell r="CF841">
            <v>17.071113666675412</v>
          </cell>
          <cell r="CG841">
            <v>22.085252262534414</v>
          </cell>
          <cell r="CH841">
            <v>18.555263085067214</v>
          </cell>
          <cell r="CI841">
            <v>14.926604548033502</v>
          </cell>
          <cell r="CJ841">
            <v>22.183921622100925</v>
          </cell>
          <cell r="CU841">
            <v>10.148036687929963</v>
          </cell>
          <cell r="CV841">
            <v>13.67289934744978</v>
          </cell>
          <cell r="CW841">
            <v>11.062153668663059</v>
          </cell>
          <cell r="CX841">
            <v>8.6510321273089765</v>
          </cell>
          <cell r="CY841">
            <v>13.473275210017142</v>
          </cell>
        </row>
        <row r="842">
          <cell r="A842">
            <v>40716</v>
          </cell>
          <cell r="CF842">
            <v>16.916031579776156</v>
          </cell>
          <cell r="CG842">
            <v>22.085252262534414</v>
          </cell>
          <cell r="CH842">
            <v>18.555263085067214</v>
          </cell>
          <cell r="CI842">
            <v>14.926604548033502</v>
          </cell>
          <cell r="CJ842">
            <v>22.183921622100925</v>
          </cell>
          <cell r="CU842">
            <v>10.066075567662276</v>
          </cell>
          <cell r="CV842">
            <v>13.67289934744978</v>
          </cell>
          <cell r="CW842">
            <v>11.062153668663059</v>
          </cell>
          <cell r="CX842">
            <v>8.6510321273089765</v>
          </cell>
          <cell r="CY842">
            <v>13.473275210017142</v>
          </cell>
        </row>
        <row r="843">
          <cell r="A843">
            <v>40717</v>
          </cell>
          <cell r="CF843">
            <v>16.837296631824568</v>
          </cell>
          <cell r="CG843">
            <v>22.085252262534414</v>
          </cell>
          <cell r="CH843">
            <v>18.555263085067214</v>
          </cell>
          <cell r="CI843">
            <v>14.926604548033502</v>
          </cell>
          <cell r="CJ843">
            <v>22.183921622100925</v>
          </cell>
          <cell r="CU843">
            <v>10.024464027171968</v>
          </cell>
          <cell r="CV843">
            <v>13.67289934744978</v>
          </cell>
          <cell r="CW843">
            <v>11.062153668663059</v>
          </cell>
          <cell r="CX843">
            <v>8.6510321273089765</v>
          </cell>
          <cell r="CY843">
            <v>13.473275210017142</v>
          </cell>
        </row>
        <row r="844">
          <cell r="A844">
            <v>40718</v>
          </cell>
          <cell r="CF844">
            <v>16.586776386267712</v>
          </cell>
          <cell r="CG844">
            <v>22.085252262534414</v>
          </cell>
          <cell r="CH844">
            <v>18.555263085067214</v>
          </cell>
          <cell r="CI844">
            <v>14.926604548033502</v>
          </cell>
          <cell r="CJ844">
            <v>22.183921622100925</v>
          </cell>
          <cell r="CU844">
            <v>9.8920636939928457</v>
          </cell>
          <cell r="CV844">
            <v>13.67289934744978</v>
          </cell>
          <cell r="CW844">
            <v>11.062153668663059</v>
          </cell>
          <cell r="CX844">
            <v>8.6510321273089765</v>
          </cell>
          <cell r="CY844">
            <v>13.473275210017142</v>
          </cell>
        </row>
        <row r="845">
          <cell r="A845">
            <v>40721</v>
          </cell>
          <cell r="CF845">
            <v>16.684599013668819</v>
          </cell>
          <cell r="CG845">
            <v>22.085252262534414</v>
          </cell>
          <cell r="CH845">
            <v>18.555263085067214</v>
          </cell>
          <cell r="CI845">
            <v>14.926604548033502</v>
          </cell>
          <cell r="CJ845">
            <v>22.183921622100925</v>
          </cell>
          <cell r="CU845">
            <v>9.9437631022844784</v>
          </cell>
          <cell r="CV845">
            <v>13.67289934744978</v>
          </cell>
          <cell r="CW845">
            <v>11.062153668663059</v>
          </cell>
          <cell r="CX845">
            <v>8.6510321273089765</v>
          </cell>
          <cell r="CY845">
            <v>13.473275210017142</v>
          </cell>
        </row>
        <row r="846">
          <cell r="A846">
            <v>40722</v>
          </cell>
          <cell r="CF846">
            <v>16.844453855495562</v>
          </cell>
          <cell r="CG846">
            <v>22.085252262534414</v>
          </cell>
          <cell r="CH846">
            <v>18.555263085067214</v>
          </cell>
          <cell r="CI846">
            <v>14.926604548033502</v>
          </cell>
          <cell r="CJ846">
            <v>22.183921622100925</v>
          </cell>
          <cell r="CU846">
            <v>10.02824663083568</v>
          </cell>
          <cell r="CV846">
            <v>13.67289934744978</v>
          </cell>
          <cell r="CW846">
            <v>11.062153668663059</v>
          </cell>
          <cell r="CX846">
            <v>8.6510321273089765</v>
          </cell>
          <cell r="CY846">
            <v>13.473275210017142</v>
          </cell>
        </row>
        <row r="847">
          <cell r="A847">
            <v>40723</v>
          </cell>
          <cell r="CF847">
            <v>16.939892014153159</v>
          </cell>
          <cell r="CG847">
            <v>22.085252262534414</v>
          </cell>
          <cell r="CH847">
            <v>18.555263085067214</v>
          </cell>
          <cell r="CI847">
            <v>14.926604548033502</v>
          </cell>
          <cell r="CJ847">
            <v>22.183921622100925</v>
          </cell>
          <cell r="CU847">
            <v>10.078685843747117</v>
          </cell>
          <cell r="CV847">
            <v>13.67289934744978</v>
          </cell>
          <cell r="CW847">
            <v>11.062153668663059</v>
          </cell>
          <cell r="CX847">
            <v>8.6510321273089765</v>
          </cell>
          <cell r="CY847">
            <v>13.473275210017142</v>
          </cell>
        </row>
        <row r="848">
          <cell r="A848">
            <v>40724</v>
          </cell>
          <cell r="CF848">
            <v>17.080659415120401</v>
          </cell>
          <cell r="CG848">
            <v>22.085252262534414</v>
          </cell>
          <cell r="CH848">
            <v>18.555263085067214</v>
          </cell>
          <cell r="CI848">
            <v>14.926604548033502</v>
          </cell>
          <cell r="CJ848">
            <v>22.183921622100925</v>
          </cell>
          <cell r="CU848">
            <v>10.153081630592187</v>
          </cell>
          <cell r="CV848">
            <v>13.67289934744978</v>
          </cell>
          <cell r="CW848">
            <v>11.062153668663059</v>
          </cell>
          <cell r="CX848">
            <v>8.6510321273089765</v>
          </cell>
          <cell r="CY848">
            <v>13.473275210017142</v>
          </cell>
        </row>
        <row r="849">
          <cell r="A849">
            <v>40725</v>
          </cell>
          <cell r="CF849">
            <v>17.248525101883235</v>
          </cell>
          <cell r="CG849">
            <v>22.085252262534414</v>
          </cell>
          <cell r="CH849">
            <v>18.555263085067214</v>
          </cell>
          <cell r="CI849">
            <v>14.926604548033502</v>
          </cell>
          <cell r="CJ849">
            <v>22.183921622100925</v>
          </cell>
          <cell r="CU849">
            <v>10.251422485809163</v>
          </cell>
          <cell r="CV849">
            <v>13.67289934744978</v>
          </cell>
          <cell r="CW849">
            <v>11.062153668663059</v>
          </cell>
          <cell r="CX849">
            <v>8.6510321273089765</v>
          </cell>
          <cell r="CY849">
            <v>13.473275210017142</v>
          </cell>
        </row>
        <row r="850">
          <cell r="A850">
            <v>40728</v>
          </cell>
          <cell r="CF850">
            <v>17.248525101883235</v>
          </cell>
          <cell r="CG850">
            <v>22.085252262534414</v>
          </cell>
          <cell r="CH850">
            <v>18.555263085067214</v>
          </cell>
          <cell r="CI850">
            <v>14.926604548033502</v>
          </cell>
          <cell r="CJ850">
            <v>22.183921622100925</v>
          </cell>
          <cell r="CU850">
            <v>10.251422485809163</v>
          </cell>
          <cell r="CV850">
            <v>13.67289934744978</v>
          </cell>
          <cell r="CW850">
            <v>11.062153668663059</v>
          </cell>
          <cell r="CX850">
            <v>8.6510321273089765</v>
          </cell>
          <cell r="CY850">
            <v>13.473275210017142</v>
          </cell>
        </row>
        <row r="851">
          <cell r="A851">
            <v>40729</v>
          </cell>
          <cell r="CF851">
            <v>17.291092595951646</v>
          </cell>
          <cell r="CG851">
            <v>22.085252262534414</v>
          </cell>
          <cell r="CH851">
            <v>18.555263085067214</v>
          </cell>
          <cell r="CI851">
            <v>14.926604548033502</v>
          </cell>
          <cell r="CJ851">
            <v>22.183921622100925</v>
          </cell>
          <cell r="CU851">
            <v>10.273962570816218</v>
          </cell>
          <cell r="CV851">
            <v>13.67289934744978</v>
          </cell>
          <cell r="CW851">
            <v>11.062153668663059</v>
          </cell>
          <cell r="CX851">
            <v>8.6510321273089765</v>
          </cell>
          <cell r="CY851">
            <v>13.473275210017142</v>
          </cell>
        </row>
        <row r="852">
          <cell r="A852">
            <v>40730</v>
          </cell>
          <cell r="CF852">
            <v>17.548850019313882</v>
          </cell>
          <cell r="CG852">
            <v>22.085252262534414</v>
          </cell>
          <cell r="CH852">
            <v>18.555263085067214</v>
          </cell>
          <cell r="CI852">
            <v>14.926604548033502</v>
          </cell>
          <cell r="CJ852">
            <v>22.183921622100925</v>
          </cell>
          <cell r="CU852">
            <v>10.410448740860607</v>
          </cell>
          <cell r="CV852">
            <v>13.67289934744978</v>
          </cell>
          <cell r="CW852">
            <v>11.062153668663059</v>
          </cell>
          <cell r="CX852">
            <v>8.6510321273089765</v>
          </cell>
          <cell r="CY852">
            <v>13.473275210017142</v>
          </cell>
        </row>
        <row r="853">
          <cell r="A853">
            <v>40731</v>
          </cell>
          <cell r="CF853">
            <v>17.714382207579977</v>
          </cell>
          <cell r="CG853">
            <v>22.085252262534414</v>
          </cell>
          <cell r="CH853">
            <v>18.555263085067214</v>
          </cell>
          <cell r="CI853">
            <v>14.926604548033502</v>
          </cell>
          <cell r="CJ853">
            <v>22.183921622100925</v>
          </cell>
          <cell r="CU853">
            <v>10.498100355703745</v>
          </cell>
          <cell r="CV853">
            <v>13.67289934744978</v>
          </cell>
          <cell r="CW853">
            <v>11.062153668663059</v>
          </cell>
          <cell r="CX853">
            <v>8.6510321273089765</v>
          </cell>
          <cell r="CY853">
            <v>13.473275210017142</v>
          </cell>
        </row>
        <row r="854">
          <cell r="A854">
            <v>40732</v>
          </cell>
          <cell r="CF854">
            <v>17.574862568284029</v>
          </cell>
          <cell r="CG854">
            <v>22.085252262534414</v>
          </cell>
          <cell r="CH854">
            <v>18.555263085067214</v>
          </cell>
          <cell r="CI854">
            <v>14.926604548033502</v>
          </cell>
          <cell r="CJ854">
            <v>22.183921622100925</v>
          </cell>
          <cell r="CU854">
            <v>10.424222750298304</v>
          </cell>
          <cell r="CV854">
            <v>13.67289934744978</v>
          </cell>
          <cell r="CW854">
            <v>11.062153668663059</v>
          </cell>
          <cell r="CX854">
            <v>8.6510321273089765</v>
          </cell>
          <cell r="CY854">
            <v>13.473275210017142</v>
          </cell>
        </row>
        <row r="855">
          <cell r="A855">
            <v>40735</v>
          </cell>
          <cell r="CF855">
            <v>17.331292969583046</v>
          </cell>
          <cell r="CG855">
            <v>22.085252262534414</v>
          </cell>
          <cell r="CH855">
            <v>18.555263085067214</v>
          </cell>
          <cell r="CI855">
            <v>14.926604548033502</v>
          </cell>
          <cell r="CJ855">
            <v>22.183921622100925</v>
          </cell>
          <cell r="CU855">
            <v>10.295249232359202</v>
          </cell>
          <cell r="CV855">
            <v>13.67289934744978</v>
          </cell>
          <cell r="CW855">
            <v>11.062153668663059</v>
          </cell>
          <cell r="CX855">
            <v>8.6510321273089765</v>
          </cell>
          <cell r="CY855">
            <v>13.473275210017142</v>
          </cell>
        </row>
        <row r="856">
          <cell r="A856">
            <v>40736</v>
          </cell>
          <cell r="CF856">
            <v>17.366762885949523</v>
          </cell>
          <cell r="CG856">
            <v>22.085252262534414</v>
          </cell>
          <cell r="CH856">
            <v>18.555263085067214</v>
          </cell>
          <cell r="CI856">
            <v>14.926604548033502</v>
          </cell>
          <cell r="CJ856">
            <v>22.183921622100925</v>
          </cell>
          <cell r="CU856">
            <v>10.314031050448111</v>
          </cell>
          <cell r="CV856">
            <v>13.67289934744978</v>
          </cell>
          <cell r="CW856">
            <v>11.062153668663059</v>
          </cell>
          <cell r="CX856">
            <v>8.6510321273089765</v>
          </cell>
          <cell r="CY856">
            <v>13.473275210017142</v>
          </cell>
        </row>
        <row r="857">
          <cell r="A857">
            <v>40737</v>
          </cell>
          <cell r="CF857">
            <v>17.470812608878994</v>
          </cell>
          <cell r="CG857">
            <v>22.085252262534414</v>
          </cell>
          <cell r="CH857">
            <v>18.555263085067214</v>
          </cell>
          <cell r="CI857">
            <v>14.926604548033502</v>
          </cell>
          <cell r="CJ857">
            <v>22.183921622100925</v>
          </cell>
          <cell r="CU857">
            <v>10.369126837764645</v>
          </cell>
          <cell r="CV857">
            <v>13.67289934744978</v>
          </cell>
          <cell r="CW857">
            <v>11.062153668663059</v>
          </cell>
          <cell r="CX857">
            <v>8.6510321273089765</v>
          </cell>
          <cell r="CY857">
            <v>13.473275210017142</v>
          </cell>
        </row>
        <row r="858">
          <cell r="A858">
            <v>40738</v>
          </cell>
          <cell r="CF858">
            <v>17.255618895976077</v>
          </cell>
          <cell r="CG858">
            <v>22.085252262534414</v>
          </cell>
          <cell r="CH858">
            <v>18.555263085067214</v>
          </cell>
          <cell r="CI858">
            <v>14.926604548033502</v>
          </cell>
          <cell r="CJ858">
            <v>22.183921622100925</v>
          </cell>
          <cell r="CU858">
            <v>10.255178749253243</v>
          </cell>
          <cell r="CV858">
            <v>13.67289934744978</v>
          </cell>
          <cell r="CW858">
            <v>11.062153668663059</v>
          </cell>
          <cell r="CX858">
            <v>8.6510321273089765</v>
          </cell>
          <cell r="CY858">
            <v>13.473275210017142</v>
          </cell>
        </row>
        <row r="859">
          <cell r="A859">
            <v>40739</v>
          </cell>
          <cell r="CF859">
            <v>17.293455932779565</v>
          </cell>
          <cell r="CG859">
            <v>22.085252262534414</v>
          </cell>
          <cell r="CH859">
            <v>18.555263085067214</v>
          </cell>
          <cell r="CI859">
            <v>14.926604548033502</v>
          </cell>
          <cell r="CJ859">
            <v>22.183921622100925</v>
          </cell>
          <cell r="CU859">
            <v>10.275213990806224</v>
          </cell>
          <cell r="CV859">
            <v>13.67289934744978</v>
          </cell>
          <cell r="CW859">
            <v>11.062153668663059</v>
          </cell>
          <cell r="CX859">
            <v>8.6510321273089765</v>
          </cell>
          <cell r="CY859">
            <v>13.473275210017142</v>
          </cell>
        </row>
        <row r="860">
          <cell r="A860">
            <v>40742</v>
          </cell>
          <cell r="CF860">
            <v>16.981310074649105</v>
          </cell>
          <cell r="CG860">
            <v>22.085252262534414</v>
          </cell>
          <cell r="CH860">
            <v>18.555263085067214</v>
          </cell>
          <cell r="CI860">
            <v>14.926604548033502</v>
          </cell>
          <cell r="CJ860">
            <v>22.183921622100925</v>
          </cell>
          <cell r="CU860">
            <v>10.109928381896435</v>
          </cell>
          <cell r="CV860">
            <v>13.67289934744978</v>
          </cell>
          <cell r="CW860">
            <v>11.062153668663059</v>
          </cell>
          <cell r="CX860">
            <v>8.6510321273089765</v>
          </cell>
          <cell r="CY860">
            <v>13.473275210017142</v>
          </cell>
        </row>
        <row r="861">
          <cell r="A861">
            <v>40743</v>
          </cell>
          <cell r="CF861">
            <v>17.205961154948351</v>
          </cell>
          <cell r="CG861">
            <v>22.085252262534414</v>
          </cell>
          <cell r="CH861">
            <v>18.555263085067214</v>
          </cell>
          <cell r="CI861">
            <v>14.926604548033502</v>
          </cell>
          <cell r="CJ861">
            <v>22.183921622100925</v>
          </cell>
          <cell r="CU861">
            <v>10.228884279059049</v>
          </cell>
          <cell r="CV861">
            <v>13.67289934744978</v>
          </cell>
          <cell r="CW861">
            <v>11.062153668663059</v>
          </cell>
          <cell r="CX861">
            <v>8.6510321273089765</v>
          </cell>
          <cell r="CY861">
            <v>13.473275210017142</v>
          </cell>
        </row>
        <row r="862">
          <cell r="A862">
            <v>40744</v>
          </cell>
          <cell r="CF862">
            <v>17.132654201778386</v>
          </cell>
          <cell r="CG862">
            <v>22.085252262534414</v>
          </cell>
          <cell r="CH862">
            <v>18.555263085067214</v>
          </cell>
          <cell r="CI862">
            <v>14.926604548033502</v>
          </cell>
          <cell r="CJ862">
            <v>22.183921622100925</v>
          </cell>
          <cell r="CU862">
            <v>10.190067219417159</v>
          </cell>
          <cell r="CV862">
            <v>13.67289934744978</v>
          </cell>
          <cell r="CW862">
            <v>11.062153668663059</v>
          </cell>
          <cell r="CX862">
            <v>8.6510321273089765</v>
          </cell>
          <cell r="CY862">
            <v>13.473275210017142</v>
          </cell>
        </row>
        <row r="863">
          <cell r="A863">
            <v>40745</v>
          </cell>
          <cell r="CF863">
            <v>17.293455932779565</v>
          </cell>
          <cell r="CG863">
            <v>22.085252262534414</v>
          </cell>
          <cell r="CH863">
            <v>18.555263085067214</v>
          </cell>
          <cell r="CI863">
            <v>14.926604548033502</v>
          </cell>
          <cell r="CJ863">
            <v>22.183921622100925</v>
          </cell>
          <cell r="CU863">
            <v>10.275213990806224</v>
          </cell>
          <cell r="CV863">
            <v>13.67289934744978</v>
          </cell>
          <cell r="CW863">
            <v>11.062153668663059</v>
          </cell>
          <cell r="CX863">
            <v>8.6510321273089765</v>
          </cell>
          <cell r="CY863">
            <v>13.473275210017142</v>
          </cell>
        </row>
        <row r="864">
          <cell r="A864">
            <v>40746</v>
          </cell>
          <cell r="CF864">
            <v>17.236704161183425</v>
          </cell>
          <cell r="CG864">
            <v>22.085252262534414</v>
          </cell>
          <cell r="CH864">
            <v>18.555263085067214</v>
          </cell>
          <cell r="CI864">
            <v>14.926604548033502</v>
          </cell>
          <cell r="CJ864">
            <v>22.183921622100925</v>
          </cell>
          <cell r="CU864">
            <v>10.261364037231603</v>
          </cell>
          <cell r="CV864">
            <v>13.67289934744978</v>
          </cell>
          <cell r="CW864">
            <v>11.062153668663059</v>
          </cell>
          <cell r="CX864">
            <v>8.6510321273089765</v>
          </cell>
          <cell r="CY864">
            <v>13.473275210017142</v>
          </cell>
        </row>
        <row r="865">
          <cell r="A865">
            <v>40749</v>
          </cell>
          <cell r="CF865">
            <v>16.952930641717519</v>
          </cell>
          <cell r="CG865">
            <v>22.085252262534414</v>
          </cell>
          <cell r="CH865">
            <v>18.555263085067214</v>
          </cell>
          <cell r="CI865">
            <v>14.926604548033502</v>
          </cell>
          <cell r="CJ865">
            <v>22.183921622100925</v>
          </cell>
          <cell r="CU865">
            <v>10.110835258670136</v>
          </cell>
          <cell r="CV865">
            <v>13.67289934744978</v>
          </cell>
          <cell r="CW865">
            <v>11.062153668663059</v>
          </cell>
          <cell r="CX865">
            <v>8.6510321273089765</v>
          </cell>
          <cell r="CY865">
            <v>13.473275210017142</v>
          </cell>
        </row>
        <row r="866">
          <cell r="A866">
            <v>40750</v>
          </cell>
          <cell r="CF866">
            <v>16.366472178651001</v>
          </cell>
          <cell r="CG866">
            <v>22.085252262534414</v>
          </cell>
          <cell r="CH866">
            <v>18.555263085067214</v>
          </cell>
          <cell r="CI866">
            <v>14.926604548033502</v>
          </cell>
          <cell r="CJ866">
            <v>22.183921622100925</v>
          </cell>
          <cell r="CU866">
            <v>9.7997460622976629</v>
          </cell>
          <cell r="CV866">
            <v>13.67289934744978</v>
          </cell>
          <cell r="CW866">
            <v>11.062153668663059</v>
          </cell>
          <cell r="CX866">
            <v>8.6510321273089765</v>
          </cell>
          <cell r="CY866">
            <v>13.473275210017142</v>
          </cell>
        </row>
        <row r="867">
          <cell r="A867">
            <v>40751</v>
          </cell>
          <cell r="CF867">
            <v>15.96446442225233</v>
          </cell>
          <cell r="CG867">
            <v>22.085252262534414</v>
          </cell>
          <cell r="CH867">
            <v>18.555263085067214</v>
          </cell>
          <cell r="CI867">
            <v>14.926604548033502</v>
          </cell>
          <cell r="CJ867">
            <v>22.183921622100925</v>
          </cell>
          <cell r="CU867">
            <v>9.5864994681234723</v>
          </cell>
          <cell r="CV867">
            <v>13.67289934744978</v>
          </cell>
          <cell r="CW867">
            <v>11.062153668663059</v>
          </cell>
          <cell r="CX867">
            <v>8.6510321273089765</v>
          </cell>
          <cell r="CY867">
            <v>13.473275210017142</v>
          </cell>
        </row>
        <row r="868">
          <cell r="A868">
            <v>40752</v>
          </cell>
          <cell r="CF868">
            <v>15.905345530219186</v>
          </cell>
          <cell r="CG868">
            <v>22.085252262534414</v>
          </cell>
          <cell r="CH868">
            <v>18.555263085067214</v>
          </cell>
          <cell r="CI868">
            <v>14.926604548033502</v>
          </cell>
          <cell r="CJ868">
            <v>22.183921622100925</v>
          </cell>
          <cell r="CU868">
            <v>9.5551396195216523</v>
          </cell>
          <cell r="CV868">
            <v>13.67289934744978</v>
          </cell>
          <cell r="CW868">
            <v>11.062153668663059</v>
          </cell>
          <cell r="CX868">
            <v>8.6510321273089765</v>
          </cell>
          <cell r="CY868">
            <v>13.473275210017142</v>
          </cell>
        </row>
        <row r="869">
          <cell r="A869">
            <v>40753</v>
          </cell>
          <cell r="CF869">
            <v>15.716164366286421</v>
          </cell>
          <cell r="CG869">
            <v>22.085252262534414</v>
          </cell>
          <cell r="CH869">
            <v>18.555263085067214</v>
          </cell>
          <cell r="CI869">
            <v>14.926604548033502</v>
          </cell>
          <cell r="CJ869">
            <v>22.183921622100925</v>
          </cell>
          <cell r="CU869">
            <v>9.4547877276776475</v>
          </cell>
          <cell r="CV869">
            <v>13.67289934744978</v>
          </cell>
          <cell r="CW869">
            <v>11.062153668663059</v>
          </cell>
          <cell r="CX869">
            <v>8.6510321273089765</v>
          </cell>
          <cell r="CY869">
            <v>13.473275210017142</v>
          </cell>
        </row>
        <row r="870">
          <cell r="A870">
            <v>40756</v>
          </cell>
          <cell r="CF870">
            <v>15.660147061467818</v>
          </cell>
          <cell r="CG870">
            <v>22.085252262534414</v>
          </cell>
          <cell r="CH870">
            <v>18.555263085067214</v>
          </cell>
          <cell r="CI870">
            <v>14.926604548033502</v>
          </cell>
          <cell r="CJ870">
            <v>22.183921622100925</v>
          </cell>
          <cell r="CU870">
            <v>9.3983357628910369</v>
          </cell>
          <cell r="CV870">
            <v>13.67289934744978</v>
          </cell>
          <cell r="CW870">
            <v>11.062153668663059</v>
          </cell>
          <cell r="CX870">
            <v>8.6510321273089765</v>
          </cell>
          <cell r="CY870">
            <v>13.473275210017142</v>
          </cell>
        </row>
        <row r="871">
          <cell r="A871">
            <v>40757</v>
          </cell>
          <cell r="CF871">
            <v>15.282765633779253</v>
          </cell>
          <cell r="CG871">
            <v>22.085252262534414</v>
          </cell>
          <cell r="CH871">
            <v>18.555263085067214</v>
          </cell>
          <cell r="CI871">
            <v>14.926604548033502</v>
          </cell>
          <cell r="CJ871">
            <v>22.183921622100925</v>
          </cell>
          <cell r="CU871">
            <v>9.0419902615518346</v>
          </cell>
          <cell r="CV871">
            <v>13.67289934744978</v>
          </cell>
          <cell r="CW871">
            <v>11.062153668663059</v>
          </cell>
          <cell r="CX871">
            <v>8.6510321273089765</v>
          </cell>
          <cell r="CY871">
            <v>13.473275210017142</v>
          </cell>
        </row>
        <row r="872">
          <cell r="A872">
            <v>40758</v>
          </cell>
          <cell r="CF872">
            <v>15.310619647498457</v>
          </cell>
          <cell r="CG872">
            <v>22.085252262534414</v>
          </cell>
          <cell r="CH872">
            <v>18.555263085067214</v>
          </cell>
          <cell r="CI872">
            <v>14.926604548033502</v>
          </cell>
          <cell r="CJ872">
            <v>22.183921622100925</v>
          </cell>
          <cell r="CU872">
            <v>9.0724072506915192</v>
          </cell>
          <cell r="CV872">
            <v>13.67289934744978</v>
          </cell>
          <cell r="CW872">
            <v>11.062153668663059</v>
          </cell>
          <cell r="CX872">
            <v>8.6510321273089765</v>
          </cell>
          <cell r="CY872">
            <v>13.473275210017142</v>
          </cell>
        </row>
        <row r="873">
          <cell r="A873">
            <v>40759</v>
          </cell>
          <cell r="CF873">
            <v>14.775955829246664</v>
          </cell>
          <cell r="CG873">
            <v>22.085252262534414</v>
          </cell>
          <cell r="CH873">
            <v>18.555263085067214</v>
          </cell>
          <cell r="CI873">
            <v>14.926604548033502</v>
          </cell>
          <cell r="CJ873">
            <v>22.183921622100925</v>
          </cell>
          <cell r="CU873">
            <v>8.7888256319131415</v>
          </cell>
          <cell r="CV873">
            <v>13.67289934744978</v>
          </cell>
          <cell r="CW873">
            <v>11.062153668663059</v>
          </cell>
          <cell r="CX873">
            <v>8.6510321273089765</v>
          </cell>
          <cell r="CY873">
            <v>13.473275210017142</v>
          </cell>
        </row>
        <row r="874">
          <cell r="A874">
            <v>40760</v>
          </cell>
          <cell r="CF874">
            <v>14.909884650968198</v>
          </cell>
          <cell r="CG874">
            <v>22.085252262534414</v>
          </cell>
          <cell r="CH874">
            <v>18.555263085067214</v>
          </cell>
          <cell r="CI874">
            <v>14.926604548033502</v>
          </cell>
          <cell r="CJ874">
            <v>22.183921622100925</v>
          </cell>
          <cell r="CU874">
            <v>8.8564517953637729</v>
          </cell>
          <cell r="CV874">
            <v>13.67289934744978</v>
          </cell>
          <cell r="CW874">
            <v>11.062153668663059</v>
          </cell>
          <cell r="CX874">
            <v>8.6510321273089765</v>
          </cell>
          <cell r="CY874">
            <v>13.473275210017142</v>
          </cell>
        </row>
        <row r="875">
          <cell r="A875">
            <v>40763</v>
          </cell>
          <cell r="CF875">
            <v>14.069067253757568</v>
          </cell>
          <cell r="CG875">
            <v>22.085252262534414</v>
          </cell>
          <cell r="CH875">
            <v>18.555263085067214</v>
          </cell>
          <cell r="CI875">
            <v>14.926604548033502</v>
          </cell>
          <cell r="CJ875">
            <v>22.183921622100925</v>
          </cell>
          <cell r="CU875">
            <v>8.4106008834401749</v>
          </cell>
          <cell r="CV875">
            <v>13.67289934744978</v>
          </cell>
          <cell r="CW875">
            <v>11.062153668663059</v>
          </cell>
          <cell r="CX875">
            <v>8.6510321273089765</v>
          </cell>
          <cell r="CY875">
            <v>13.473275210017142</v>
          </cell>
        </row>
        <row r="876">
          <cell r="A876">
            <v>40764</v>
          </cell>
          <cell r="CF876">
            <v>14.48362207675247</v>
          </cell>
          <cell r="CG876">
            <v>22.085252262534414</v>
          </cell>
          <cell r="CH876">
            <v>18.555263085067214</v>
          </cell>
          <cell r="CI876">
            <v>14.926604548033502</v>
          </cell>
          <cell r="CJ876">
            <v>22.183921622100925</v>
          </cell>
          <cell r="CU876">
            <v>8.6304222697337583</v>
          </cell>
          <cell r="CV876">
            <v>13.67289934744978</v>
          </cell>
          <cell r="CW876">
            <v>11.062153668663059</v>
          </cell>
          <cell r="CX876">
            <v>8.6510321273089765</v>
          </cell>
          <cell r="CY876">
            <v>13.473275210017142</v>
          </cell>
        </row>
        <row r="877">
          <cell r="A877">
            <v>40765</v>
          </cell>
          <cell r="CF877">
            <v>13.996462239295019</v>
          </cell>
          <cell r="CG877">
            <v>22.085252262534414</v>
          </cell>
          <cell r="CH877">
            <v>18.555263085067214</v>
          </cell>
          <cell r="CI877">
            <v>14.926604548033502</v>
          </cell>
          <cell r="CJ877">
            <v>22.183921622100925</v>
          </cell>
          <cell r="CU877">
            <v>8.3721014280105628</v>
          </cell>
          <cell r="CV877">
            <v>13.67289934744978</v>
          </cell>
          <cell r="CW877">
            <v>11.062153668663059</v>
          </cell>
          <cell r="CX877">
            <v>8.6510321273089765</v>
          </cell>
          <cell r="CY877">
            <v>13.473275210017142</v>
          </cell>
        </row>
        <row r="878">
          <cell r="A878">
            <v>40766</v>
          </cell>
          <cell r="CF878">
            <v>14.710373673837116</v>
          </cell>
          <cell r="CG878">
            <v>22.085252262534414</v>
          </cell>
          <cell r="CH878">
            <v>18.555263085067214</v>
          </cell>
          <cell r="CI878">
            <v>14.926604548033502</v>
          </cell>
          <cell r="CJ878">
            <v>22.183921622100925</v>
          </cell>
          <cell r="CU878">
            <v>8.7510257366845412</v>
          </cell>
          <cell r="CV878">
            <v>13.67289934744978</v>
          </cell>
          <cell r="CW878">
            <v>11.062153668663059</v>
          </cell>
          <cell r="CX878">
            <v>8.6510321273089765</v>
          </cell>
          <cell r="CY878">
            <v>13.473275210017142</v>
          </cell>
        </row>
        <row r="879">
          <cell r="A879">
            <v>40767</v>
          </cell>
          <cell r="CF879">
            <v>14.790065652901326</v>
          </cell>
          <cell r="CG879">
            <v>22.085252262534414</v>
          </cell>
          <cell r="CH879">
            <v>18.555263085067214</v>
          </cell>
          <cell r="CI879">
            <v>14.926604548033502</v>
          </cell>
          <cell r="CJ879">
            <v>22.183921622100925</v>
          </cell>
          <cell r="CU879">
            <v>8.7932813666811569</v>
          </cell>
          <cell r="CV879">
            <v>13.67289934744978</v>
          </cell>
          <cell r="CW879">
            <v>11.062153668663059</v>
          </cell>
          <cell r="CX879">
            <v>8.6510321273089765</v>
          </cell>
          <cell r="CY879">
            <v>13.473275210017142</v>
          </cell>
        </row>
        <row r="880">
          <cell r="A880">
            <v>40770</v>
          </cell>
          <cell r="CF880">
            <v>15.038519571253612</v>
          </cell>
          <cell r="CG880">
            <v>22.085252262534414</v>
          </cell>
          <cell r="CH880">
            <v>18.555263085067214</v>
          </cell>
          <cell r="CI880">
            <v>14.926604548033502</v>
          </cell>
          <cell r="CJ880">
            <v>22.183921622100925</v>
          </cell>
          <cell r="CU880">
            <v>8.9250208085720963</v>
          </cell>
          <cell r="CV880">
            <v>13.67289934744978</v>
          </cell>
          <cell r="CW880">
            <v>11.062153668663059</v>
          </cell>
          <cell r="CX880">
            <v>8.6510321273089765</v>
          </cell>
          <cell r="CY880">
            <v>13.473275210017142</v>
          </cell>
        </row>
        <row r="881">
          <cell r="A881">
            <v>40771</v>
          </cell>
          <cell r="CF881">
            <v>14.766628669293844</v>
          </cell>
          <cell r="CG881">
            <v>22.085252262534414</v>
          </cell>
          <cell r="CH881">
            <v>18.555263085067214</v>
          </cell>
          <cell r="CI881">
            <v>14.926604548033502</v>
          </cell>
          <cell r="CJ881">
            <v>22.183921622100925</v>
          </cell>
          <cell r="CU881">
            <v>8.7808542125411329</v>
          </cell>
          <cell r="CV881">
            <v>13.67289934744978</v>
          </cell>
          <cell r="CW881">
            <v>11.062153668663059</v>
          </cell>
          <cell r="CX881">
            <v>8.6510321273089765</v>
          </cell>
          <cell r="CY881">
            <v>13.473275210017142</v>
          </cell>
        </row>
        <row r="882">
          <cell r="A882">
            <v>40772</v>
          </cell>
          <cell r="CF882">
            <v>14.731467920086668</v>
          </cell>
          <cell r="CG882">
            <v>22.085252262534414</v>
          </cell>
          <cell r="CH882">
            <v>18.555263085067214</v>
          </cell>
          <cell r="CI882">
            <v>14.926604548033502</v>
          </cell>
          <cell r="CJ882">
            <v>22.183921622100925</v>
          </cell>
          <cell r="CU882">
            <v>8.7622106849697445</v>
          </cell>
          <cell r="CV882">
            <v>13.67289934744978</v>
          </cell>
          <cell r="CW882">
            <v>11.062153668663059</v>
          </cell>
          <cell r="CX882">
            <v>8.6510321273089765</v>
          </cell>
          <cell r="CY882">
            <v>13.473275210017142</v>
          </cell>
        </row>
        <row r="883">
          <cell r="A883">
            <v>40773</v>
          </cell>
          <cell r="CF883">
            <v>14.175962584958365</v>
          </cell>
          <cell r="CG883">
            <v>22.085252262534414</v>
          </cell>
          <cell r="CH883">
            <v>18.555263085067214</v>
          </cell>
          <cell r="CI883">
            <v>14.926604548033502</v>
          </cell>
          <cell r="CJ883">
            <v>22.183921622100925</v>
          </cell>
          <cell r="CU883">
            <v>8.4676612437591761</v>
          </cell>
          <cell r="CV883">
            <v>13.67289934744978</v>
          </cell>
          <cell r="CW883">
            <v>11.062153668663059</v>
          </cell>
          <cell r="CX883">
            <v>8.6510321273089765</v>
          </cell>
          <cell r="CY883">
            <v>13.473275210017142</v>
          </cell>
        </row>
        <row r="884">
          <cell r="A884">
            <v>40774</v>
          </cell>
          <cell r="CF884">
            <v>14.119707589501637</v>
          </cell>
          <cell r="CG884">
            <v>22.085252262534414</v>
          </cell>
          <cell r="CH884">
            <v>18.555263085067214</v>
          </cell>
          <cell r="CI884">
            <v>14.926604548033502</v>
          </cell>
          <cell r="CJ884">
            <v>22.183921622100925</v>
          </cell>
          <cell r="CU884">
            <v>8.4370082680879737</v>
          </cell>
          <cell r="CV884">
            <v>13.67289934744978</v>
          </cell>
          <cell r="CW884">
            <v>11.062153668663059</v>
          </cell>
          <cell r="CX884">
            <v>8.6510321273089765</v>
          </cell>
          <cell r="CY884">
            <v>13.473275210017142</v>
          </cell>
        </row>
        <row r="885">
          <cell r="A885">
            <v>40777</v>
          </cell>
          <cell r="CF885">
            <v>14.265028794927332</v>
          </cell>
          <cell r="CG885">
            <v>22.085252262534414</v>
          </cell>
          <cell r="CH885">
            <v>18.555263085067214</v>
          </cell>
          <cell r="CI885">
            <v>14.926604548033502</v>
          </cell>
          <cell r="CJ885">
            <v>22.183921622100925</v>
          </cell>
          <cell r="CU885">
            <v>8.5140554079491668</v>
          </cell>
          <cell r="CV885">
            <v>13.67289934744978</v>
          </cell>
          <cell r="CW885">
            <v>11.062153668663059</v>
          </cell>
          <cell r="CX885">
            <v>8.6510321273089765</v>
          </cell>
          <cell r="CY885">
            <v>13.473275210017142</v>
          </cell>
        </row>
        <row r="886">
          <cell r="A886">
            <v>40778</v>
          </cell>
          <cell r="CF886">
            <v>14.883824134923159</v>
          </cell>
          <cell r="CG886">
            <v>22.085252262534414</v>
          </cell>
          <cell r="CH886">
            <v>18.555263085067214</v>
          </cell>
          <cell r="CI886">
            <v>14.926604548033502</v>
          </cell>
          <cell r="CJ886">
            <v>22.183921622100925</v>
          </cell>
          <cell r="CU886">
            <v>8.8421314858102971</v>
          </cell>
          <cell r="CV886">
            <v>13.67289934744978</v>
          </cell>
          <cell r="CW886">
            <v>11.062153668663059</v>
          </cell>
          <cell r="CX886">
            <v>8.6510321273089765</v>
          </cell>
          <cell r="CY886">
            <v>13.473275210017142</v>
          </cell>
        </row>
        <row r="887">
          <cell r="A887">
            <v>40779</v>
          </cell>
          <cell r="CF887">
            <v>15.251816256262693</v>
          </cell>
          <cell r="CG887">
            <v>22.085252262534414</v>
          </cell>
          <cell r="CH887">
            <v>18.555263085067214</v>
          </cell>
          <cell r="CI887">
            <v>14.926604548033502</v>
          </cell>
          <cell r="CJ887">
            <v>22.183921622100925</v>
          </cell>
          <cell r="CU887">
            <v>9.0372354306035554</v>
          </cell>
          <cell r="CV887">
            <v>13.67289934744978</v>
          </cell>
          <cell r="CW887">
            <v>11.062153668663059</v>
          </cell>
          <cell r="CX887">
            <v>8.6510321273089765</v>
          </cell>
          <cell r="CY887">
            <v>13.473275210017142</v>
          </cell>
        </row>
        <row r="888">
          <cell r="A888">
            <v>40780</v>
          </cell>
          <cell r="CF888">
            <v>14.581457958472074</v>
          </cell>
          <cell r="CG888">
            <v>22.085252262534414</v>
          </cell>
          <cell r="CH888">
            <v>18.555263085067214</v>
          </cell>
          <cell r="CI888">
            <v>14.926604548033502</v>
          </cell>
          <cell r="CJ888">
            <v>22.183921622100925</v>
          </cell>
          <cell r="CU888">
            <v>8.6818214400872531</v>
          </cell>
          <cell r="CV888">
            <v>13.67289934744978</v>
          </cell>
          <cell r="CW888">
            <v>11.062153668663059</v>
          </cell>
          <cell r="CX888">
            <v>8.6510321273089765</v>
          </cell>
          <cell r="CY888">
            <v>13.473275210017142</v>
          </cell>
        </row>
        <row r="889">
          <cell r="A889">
            <v>40781</v>
          </cell>
          <cell r="CF889">
            <v>14.970547841925129</v>
          </cell>
          <cell r="CG889">
            <v>22.085252262534414</v>
          </cell>
          <cell r="CH889">
            <v>18.555263085067214</v>
          </cell>
          <cell r="CI889">
            <v>14.926604548033502</v>
          </cell>
          <cell r="CJ889">
            <v>22.183921622100925</v>
          </cell>
          <cell r="CU889">
            <v>8.8881111042912266</v>
          </cell>
          <cell r="CV889">
            <v>13.67289934744978</v>
          </cell>
          <cell r="CW889">
            <v>11.062153668663059</v>
          </cell>
          <cell r="CX889">
            <v>8.6510321273089765</v>
          </cell>
          <cell r="CY889">
            <v>13.473275210017142</v>
          </cell>
        </row>
        <row r="890">
          <cell r="A890">
            <v>40784</v>
          </cell>
          <cell r="CF890">
            <v>15.34557098802963</v>
          </cell>
          <cell r="CG890">
            <v>22.085252262534414</v>
          </cell>
          <cell r="CH890">
            <v>18.555263085067214</v>
          </cell>
          <cell r="CI890">
            <v>14.926604548033502</v>
          </cell>
          <cell r="CJ890">
            <v>22.183921622100925</v>
          </cell>
          <cell r="CU890">
            <v>9.0869427937508398</v>
          </cell>
          <cell r="CV890">
            <v>13.67289934744978</v>
          </cell>
          <cell r="CW890">
            <v>11.062153668663059</v>
          </cell>
          <cell r="CX890">
            <v>8.6510321273089765</v>
          </cell>
          <cell r="CY890">
            <v>13.473275210017142</v>
          </cell>
        </row>
        <row r="891">
          <cell r="A891">
            <v>40785</v>
          </cell>
          <cell r="CF891">
            <v>15.383074474594736</v>
          </cell>
          <cell r="CG891">
            <v>22.085252262534414</v>
          </cell>
          <cell r="CH891">
            <v>18.555263085067214</v>
          </cell>
          <cell r="CI891">
            <v>14.926604548033502</v>
          </cell>
          <cell r="CJ891">
            <v>22.183921622100925</v>
          </cell>
          <cell r="CU891">
            <v>9.1068265840497133</v>
          </cell>
          <cell r="CV891">
            <v>13.67289934744978</v>
          </cell>
          <cell r="CW891">
            <v>11.062153668663059</v>
          </cell>
          <cell r="CX891">
            <v>8.6510321273089765</v>
          </cell>
          <cell r="CY891">
            <v>13.473275210017142</v>
          </cell>
        </row>
        <row r="892">
          <cell r="A892">
            <v>40786</v>
          </cell>
          <cell r="CF892">
            <v>15.448703700956219</v>
          </cell>
          <cell r="CG892">
            <v>22.085252262534414</v>
          </cell>
          <cell r="CH892">
            <v>18.555263085067214</v>
          </cell>
          <cell r="CI892">
            <v>14.926604548033502</v>
          </cell>
          <cell r="CJ892">
            <v>22.183921622100925</v>
          </cell>
          <cell r="CU892">
            <v>9.141622222908083</v>
          </cell>
          <cell r="CV892">
            <v>13.67289934744978</v>
          </cell>
          <cell r="CW892">
            <v>11.062153668663059</v>
          </cell>
          <cell r="CX892">
            <v>8.6510321273089765</v>
          </cell>
          <cell r="CY892">
            <v>13.473275210017142</v>
          </cell>
        </row>
        <row r="893">
          <cell r="A893">
            <v>40787</v>
          </cell>
          <cell r="CF893">
            <v>15.167621178901038</v>
          </cell>
          <cell r="CG893">
            <v>22.085252262534414</v>
          </cell>
          <cell r="CH893">
            <v>18.555263085067214</v>
          </cell>
          <cell r="CI893">
            <v>14.926604548033502</v>
          </cell>
          <cell r="CJ893">
            <v>22.183921622100925</v>
          </cell>
          <cell r="CU893">
            <v>9.0036177559089197</v>
          </cell>
          <cell r="CV893">
            <v>13.67289934744978</v>
          </cell>
          <cell r="CW893">
            <v>11.062153668663059</v>
          </cell>
          <cell r="CX893">
            <v>8.6510321273089765</v>
          </cell>
          <cell r="CY893">
            <v>13.473275210017142</v>
          </cell>
        </row>
        <row r="894">
          <cell r="A894">
            <v>40788</v>
          </cell>
          <cell r="CF894">
            <v>14.749331260479009</v>
          </cell>
          <cell r="CG894">
            <v>22.085252262534414</v>
          </cell>
          <cell r="CH894">
            <v>18.555263085067214</v>
          </cell>
          <cell r="CI894">
            <v>14.926604548033502</v>
          </cell>
          <cell r="CJ894">
            <v>22.183921622100925</v>
          </cell>
          <cell r="CU894">
            <v>8.7813735117708891</v>
          </cell>
          <cell r="CV894">
            <v>13.67289934744978</v>
          </cell>
          <cell r="CW894">
            <v>11.062153668663059</v>
          </cell>
          <cell r="CX894">
            <v>8.6510321273089765</v>
          </cell>
          <cell r="CY894">
            <v>13.473275210017142</v>
          </cell>
        </row>
        <row r="895">
          <cell r="A895">
            <v>40791</v>
          </cell>
          <cell r="CF895">
            <v>14.749331260479009</v>
          </cell>
          <cell r="CG895">
            <v>22.085252262534414</v>
          </cell>
          <cell r="CH895">
            <v>18.555263085067214</v>
          </cell>
          <cell r="CI895">
            <v>14.926604548033502</v>
          </cell>
          <cell r="CJ895">
            <v>22.183921622100925</v>
          </cell>
          <cell r="CU895">
            <v>8.7813735117708891</v>
          </cell>
          <cell r="CV895">
            <v>13.67289934744978</v>
          </cell>
          <cell r="CW895">
            <v>11.062153668663059</v>
          </cell>
          <cell r="CX895">
            <v>8.6510321273089765</v>
          </cell>
          <cell r="CY895">
            <v>13.473275210017142</v>
          </cell>
        </row>
        <row r="896">
          <cell r="A896">
            <v>40792</v>
          </cell>
          <cell r="CF896">
            <v>14.598284085614459</v>
          </cell>
          <cell r="CG896">
            <v>22.085252262534414</v>
          </cell>
          <cell r="CH896">
            <v>18.555263085067214</v>
          </cell>
          <cell r="CI896">
            <v>14.926604548033502</v>
          </cell>
          <cell r="CJ896">
            <v>22.183921622100925</v>
          </cell>
          <cell r="CU896">
            <v>8.7011196884571564</v>
          </cell>
          <cell r="CV896">
            <v>13.67289934744978</v>
          </cell>
          <cell r="CW896">
            <v>11.062153668663059</v>
          </cell>
          <cell r="CX896">
            <v>8.6510321273089765</v>
          </cell>
          <cell r="CY896">
            <v>13.473275210017142</v>
          </cell>
        </row>
        <row r="897">
          <cell r="A897">
            <v>40793</v>
          </cell>
          <cell r="CF897">
            <v>15.149030092407008</v>
          </cell>
          <cell r="CG897">
            <v>22.085252262534414</v>
          </cell>
          <cell r="CH897">
            <v>18.555263085067214</v>
          </cell>
          <cell r="CI897">
            <v>14.926604548033502</v>
          </cell>
          <cell r="CJ897">
            <v>22.183921622100925</v>
          </cell>
          <cell r="CU897">
            <v>8.9937400089597279</v>
          </cell>
          <cell r="CV897">
            <v>13.67289934744978</v>
          </cell>
          <cell r="CW897">
            <v>11.062153668663059</v>
          </cell>
          <cell r="CX897">
            <v>8.6510321273089765</v>
          </cell>
          <cell r="CY897">
            <v>13.473275210017142</v>
          </cell>
        </row>
        <row r="898">
          <cell r="A898">
            <v>40794</v>
          </cell>
          <cell r="CF898">
            <v>14.844609126368587</v>
          </cell>
          <cell r="CG898">
            <v>22.085252262534414</v>
          </cell>
          <cell r="CH898">
            <v>18.555263085067214</v>
          </cell>
          <cell r="CI898">
            <v>14.926604548033502</v>
          </cell>
          <cell r="CJ898">
            <v>22.183921622100925</v>
          </cell>
          <cell r="CU898">
            <v>8.8319961932058018</v>
          </cell>
          <cell r="CV898">
            <v>13.67289934744978</v>
          </cell>
          <cell r="CW898">
            <v>11.062153668663059</v>
          </cell>
          <cell r="CX898">
            <v>8.6510321273089765</v>
          </cell>
          <cell r="CY898">
            <v>13.473275210017142</v>
          </cell>
        </row>
        <row r="899">
          <cell r="A899">
            <v>40795</v>
          </cell>
          <cell r="CF899">
            <v>14.126547291636891</v>
          </cell>
          <cell r="CG899">
            <v>22.085252262534414</v>
          </cell>
          <cell r="CH899">
            <v>18.555263085067214</v>
          </cell>
          <cell r="CI899">
            <v>14.926604548033502</v>
          </cell>
          <cell r="CJ899">
            <v>22.183921622100925</v>
          </cell>
          <cell r="CU899">
            <v>8.4504782491292687</v>
          </cell>
          <cell r="CV899">
            <v>13.67289934744978</v>
          </cell>
          <cell r="CW899">
            <v>11.062153668663059</v>
          </cell>
          <cell r="CX899">
            <v>8.6510321273089765</v>
          </cell>
          <cell r="CY899">
            <v>13.473275210017142</v>
          </cell>
        </row>
        <row r="900">
          <cell r="A900">
            <v>40798</v>
          </cell>
          <cell r="CF900">
            <v>14.232677471755471</v>
          </cell>
          <cell r="CG900">
            <v>22.085252262534414</v>
          </cell>
          <cell r="CH900">
            <v>18.555263085067214</v>
          </cell>
          <cell r="CI900">
            <v>14.926604548033502</v>
          </cell>
          <cell r="CJ900">
            <v>22.183921622100925</v>
          </cell>
          <cell r="CU900">
            <v>8.5283639216320815</v>
          </cell>
          <cell r="CV900">
            <v>13.67289934744978</v>
          </cell>
          <cell r="CW900">
            <v>11.062153668663059</v>
          </cell>
          <cell r="CX900">
            <v>8.6510321273089765</v>
          </cell>
          <cell r="CY900">
            <v>13.473275210017142</v>
          </cell>
        </row>
        <row r="901">
          <cell r="A901">
            <v>40799</v>
          </cell>
          <cell r="CF901">
            <v>14.492676299434095</v>
          </cell>
          <cell r="CG901">
            <v>22.085252262534414</v>
          </cell>
          <cell r="CH901">
            <v>18.555263085067214</v>
          </cell>
          <cell r="CI901">
            <v>14.926604548033502</v>
          </cell>
          <cell r="CJ901">
            <v>22.183921622100925</v>
          </cell>
          <cell r="CU901">
            <v>8.6668705003946975</v>
          </cell>
          <cell r="CV901">
            <v>13.67289934744978</v>
          </cell>
          <cell r="CW901">
            <v>11.062153668663059</v>
          </cell>
          <cell r="CX901">
            <v>8.6510321273089765</v>
          </cell>
          <cell r="CY901">
            <v>13.473275210017142</v>
          </cell>
        </row>
        <row r="902">
          <cell r="A902">
            <v>40800</v>
          </cell>
          <cell r="CF902">
            <v>14.824638945328619</v>
          </cell>
          <cell r="CG902">
            <v>22.085252262534414</v>
          </cell>
          <cell r="CH902">
            <v>18.555263085067214</v>
          </cell>
          <cell r="CI902">
            <v>14.926604548033502</v>
          </cell>
          <cell r="CJ902">
            <v>22.183921622100925</v>
          </cell>
          <cell r="CU902">
            <v>8.8437136453056056</v>
          </cell>
          <cell r="CV902">
            <v>13.67289934744978</v>
          </cell>
          <cell r="CW902">
            <v>11.062153668663059</v>
          </cell>
          <cell r="CX902">
            <v>8.6510321273089765</v>
          </cell>
          <cell r="CY902">
            <v>13.473275210017142</v>
          </cell>
        </row>
        <row r="903">
          <cell r="A903">
            <v>40801</v>
          </cell>
          <cell r="CF903">
            <v>14.855970041735219</v>
          </cell>
          <cell r="CG903">
            <v>22.085252262534414</v>
          </cell>
          <cell r="CH903">
            <v>18.555263085067214</v>
          </cell>
          <cell r="CI903">
            <v>14.926604548033502</v>
          </cell>
          <cell r="CJ903">
            <v>22.183921622100925</v>
          </cell>
          <cell r="CU903">
            <v>8.8498309829835033</v>
          </cell>
          <cell r="CV903">
            <v>13.67289934744978</v>
          </cell>
          <cell r="CW903">
            <v>11.062153668663059</v>
          </cell>
          <cell r="CX903">
            <v>8.6510321273089765</v>
          </cell>
          <cell r="CY903">
            <v>13.473275210017142</v>
          </cell>
        </row>
        <row r="904">
          <cell r="A904">
            <v>40802</v>
          </cell>
          <cell r="CF904">
            <v>15.151091947612539</v>
          </cell>
          <cell r="CG904">
            <v>22.085252262534414</v>
          </cell>
          <cell r="CH904">
            <v>18.555263085067214</v>
          </cell>
          <cell r="CI904">
            <v>14.926604548033502</v>
          </cell>
          <cell r="CJ904">
            <v>22.183921622100925</v>
          </cell>
          <cell r="CU904">
            <v>9.0068436773575424</v>
          </cell>
          <cell r="CV904">
            <v>13.67289934744978</v>
          </cell>
          <cell r="CW904">
            <v>11.062153668663059</v>
          </cell>
          <cell r="CX904">
            <v>8.6510321273089765</v>
          </cell>
          <cell r="CY904">
            <v>13.473275210017142</v>
          </cell>
        </row>
        <row r="905">
          <cell r="A905">
            <v>40805</v>
          </cell>
          <cell r="CF905">
            <v>15.048844845375198</v>
          </cell>
          <cell r="CG905">
            <v>22.085252262534414</v>
          </cell>
          <cell r="CH905">
            <v>18.555263085067214</v>
          </cell>
          <cell r="CI905">
            <v>14.926604548033502</v>
          </cell>
          <cell r="CJ905">
            <v>22.183921622100925</v>
          </cell>
          <cell r="CU905">
            <v>8.9524455025880414</v>
          </cell>
          <cell r="CV905">
            <v>13.67289934744978</v>
          </cell>
          <cell r="CW905">
            <v>11.062153668663059</v>
          </cell>
          <cell r="CX905">
            <v>8.6510321273089765</v>
          </cell>
          <cell r="CY905">
            <v>13.473275210017142</v>
          </cell>
        </row>
        <row r="906">
          <cell r="A906">
            <v>40806</v>
          </cell>
          <cell r="CF906">
            <v>15.10926215108335</v>
          </cell>
          <cell r="CG906">
            <v>22.085252262534414</v>
          </cell>
          <cell r="CH906">
            <v>18.555263085067214</v>
          </cell>
          <cell r="CI906">
            <v>14.926604548033502</v>
          </cell>
          <cell r="CJ906">
            <v>22.183921622100925</v>
          </cell>
          <cell r="CU906">
            <v>8.9845891143197996</v>
          </cell>
          <cell r="CV906">
            <v>13.67289934744978</v>
          </cell>
          <cell r="CW906">
            <v>11.062153668663059</v>
          </cell>
          <cell r="CX906">
            <v>8.6510321273089765</v>
          </cell>
          <cell r="CY906">
            <v>13.473275210017142</v>
          </cell>
        </row>
        <row r="907">
          <cell r="A907">
            <v>40807</v>
          </cell>
          <cell r="CF907">
            <v>14.82575964604073</v>
          </cell>
          <cell r="CG907">
            <v>22.085252262534414</v>
          </cell>
          <cell r="CH907">
            <v>18.555263085067214</v>
          </cell>
          <cell r="CI907">
            <v>14.926604548033502</v>
          </cell>
          <cell r="CJ907">
            <v>22.183921622100925</v>
          </cell>
          <cell r="CU907">
            <v>8.8337582498802245</v>
          </cell>
          <cell r="CV907">
            <v>13.67289934744978</v>
          </cell>
          <cell r="CW907">
            <v>11.062153668663059</v>
          </cell>
          <cell r="CX907">
            <v>8.6510321273089765</v>
          </cell>
          <cell r="CY907">
            <v>13.473275210017142</v>
          </cell>
        </row>
        <row r="908">
          <cell r="A908">
            <v>40808</v>
          </cell>
          <cell r="CF908">
            <v>14.323824396047701</v>
          </cell>
          <cell r="CG908">
            <v>22.085252262534414</v>
          </cell>
          <cell r="CH908">
            <v>18.555263085067214</v>
          </cell>
          <cell r="CI908">
            <v>14.926604548033502</v>
          </cell>
          <cell r="CJ908">
            <v>22.183921622100925</v>
          </cell>
          <cell r="CU908">
            <v>8.5667153620660184</v>
          </cell>
          <cell r="CV908">
            <v>13.67289934744978</v>
          </cell>
          <cell r="CW908">
            <v>11.062153668663059</v>
          </cell>
          <cell r="CX908">
            <v>8.6510321273089765</v>
          </cell>
          <cell r="CY908">
            <v>13.473275210017142</v>
          </cell>
        </row>
        <row r="909">
          <cell r="A909">
            <v>40809</v>
          </cell>
          <cell r="CF909">
            <v>14.549228502644469</v>
          </cell>
          <cell r="CG909">
            <v>22.085252262534414</v>
          </cell>
          <cell r="CH909">
            <v>18.555263085067214</v>
          </cell>
          <cell r="CI909">
            <v>14.926604548033502</v>
          </cell>
          <cell r="CJ909">
            <v>22.183921622100925</v>
          </cell>
          <cell r="CU909">
            <v>8.6866363350433442</v>
          </cell>
          <cell r="CV909">
            <v>13.67289934744978</v>
          </cell>
          <cell r="CW909">
            <v>11.062153668663059</v>
          </cell>
          <cell r="CX909">
            <v>8.6510321273089765</v>
          </cell>
          <cell r="CY909">
            <v>13.473275210017142</v>
          </cell>
        </row>
        <row r="910">
          <cell r="A910">
            <v>40812</v>
          </cell>
          <cell r="CF910">
            <v>14.670066367362873</v>
          </cell>
          <cell r="CG910">
            <v>22.085252262534414</v>
          </cell>
          <cell r="CH910">
            <v>18.555263085067214</v>
          </cell>
          <cell r="CI910">
            <v>14.926604548033502</v>
          </cell>
          <cell r="CJ910">
            <v>22.183921622100925</v>
          </cell>
          <cell r="CU910">
            <v>8.7509252893500076</v>
          </cell>
          <cell r="CV910">
            <v>13.67289934744978</v>
          </cell>
          <cell r="CW910">
            <v>11.062153668663059</v>
          </cell>
          <cell r="CX910">
            <v>8.6510321273089765</v>
          </cell>
          <cell r="CY910">
            <v>13.473275210017142</v>
          </cell>
        </row>
        <row r="911">
          <cell r="A911">
            <v>40813</v>
          </cell>
          <cell r="CF911">
            <v>15.195143038424801</v>
          </cell>
          <cell r="CG911">
            <v>22.085252262534414</v>
          </cell>
          <cell r="CH911">
            <v>18.555263085067214</v>
          </cell>
          <cell r="CI911">
            <v>14.926604548033502</v>
          </cell>
          <cell r="CJ911">
            <v>22.183921622100925</v>
          </cell>
          <cell r="CU911">
            <v>9.02909650955214</v>
          </cell>
          <cell r="CV911">
            <v>13.67289934744978</v>
          </cell>
          <cell r="CW911">
            <v>11.062153668663059</v>
          </cell>
          <cell r="CX911">
            <v>8.6510321273089765</v>
          </cell>
          <cell r="CY911">
            <v>13.473275210017142</v>
          </cell>
        </row>
        <row r="912">
          <cell r="A912">
            <v>40814</v>
          </cell>
          <cell r="CF912">
            <v>14.695457028045245</v>
          </cell>
          <cell r="CG912">
            <v>22.085252262534414</v>
          </cell>
          <cell r="CH912">
            <v>18.555263085067214</v>
          </cell>
          <cell r="CI912">
            <v>14.926604548033502</v>
          </cell>
          <cell r="CJ912">
            <v>22.183921622100925</v>
          </cell>
          <cell r="CU912">
            <v>8.7632891964822441</v>
          </cell>
          <cell r="CV912">
            <v>13.67289934744978</v>
          </cell>
          <cell r="CW912">
            <v>11.062153668663059</v>
          </cell>
          <cell r="CX912">
            <v>8.6510321273089765</v>
          </cell>
          <cell r="CY912">
            <v>13.473275210017142</v>
          </cell>
        </row>
        <row r="913">
          <cell r="A913">
            <v>40815</v>
          </cell>
          <cell r="CF913">
            <v>14.774476664598192</v>
          </cell>
          <cell r="CG913">
            <v>22.085252262534414</v>
          </cell>
          <cell r="CH913">
            <v>18.555263085067214</v>
          </cell>
          <cell r="CI913">
            <v>14.926604548033502</v>
          </cell>
          <cell r="CJ913">
            <v>22.183921622100925</v>
          </cell>
          <cell r="CU913">
            <v>8.8053235877511611</v>
          </cell>
          <cell r="CV913">
            <v>13.67289934744978</v>
          </cell>
          <cell r="CW913">
            <v>11.062153668663059</v>
          </cell>
          <cell r="CX913">
            <v>8.6510321273089765</v>
          </cell>
          <cell r="CY913">
            <v>13.473275210017142</v>
          </cell>
        </row>
        <row r="914">
          <cell r="A914">
            <v>40816</v>
          </cell>
          <cell r="CF914">
            <v>14.411913244970007</v>
          </cell>
          <cell r="CG914">
            <v>22.085252262534414</v>
          </cell>
          <cell r="CH914">
            <v>18.555263085067214</v>
          </cell>
          <cell r="CI914">
            <v>14.926604548033502</v>
          </cell>
          <cell r="CJ914">
            <v>22.183921622100925</v>
          </cell>
          <cell r="CU914">
            <v>8.6124584556743233</v>
          </cell>
          <cell r="CV914">
            <v>13.67289934744978</v>
          </cell>
          <cell r="CW914">
            <v>11.062153668663059</v>
          </cell>
          <cell r="CX914">
            <v>8.6510321273089765</v>
          </cell>
          <cell r="CY914">
            <v>13.473275210017142</v>
          </cell>
        </row>
        <row r="915">
          <cell r="A915">
            <v>40819</v>
          </cell>
          <cell r="CF915">
            <v>13.716047955479443</v>
          </cell>
          <cell r="CG915">
            <v>22.085252262534414</v>
          </cell>
          <cell r="CH915">
            <v>18.555263085067214</v>
          </cell>
          <cell r="CI915">
            <v>14.926604548033502</v>
          </cell>
          <cell r="CJ915">
            <v>22.183921622100925</v>
          </cell>
          <cell r="CU915">
            <v>8.2506824266987291</v>
          </cell>
          <cell r="CV915">
            <v>13.67289934744978</v>
          </cell>
          <cell r="CW915">
            <v>11.062153668663059</v>
          </cell>
          <cell r="CX915">
            <v>8.6510321273089765</v>
          </cell>
          <cell r="CY915">
            <v>13.473275210017142</v>
          </cell>
        </row>
        <row r="916">
          <cell r="A916">
            <v>40820</v>
          </cell>
          <cell r="CF916">
            <v>14.050191403273258</v>
          </cell>
          <cell r="CG916">
            <v>22.085252262534414</v>
          </cell>
          <cell r="CH916">
            <v>18.555263085067214</v>
          </cell>
          <cell r="CI916">
            <v>14.926604548033502</v>
          </cell>
          <cell r="CJ916">
            <v>22.183921622100925</v>
          </cell>
          <cell r="CU916">
            <v>8.4287836277872223</v>
          </cell>
          <cell r="CV916">
            <v>13.67289934744978</v>
          </cell>
          <cell r="CW916">
            <v>11.062153668663059</v>
          </cell>
          <cell r="CX916">
            <v>8.6510321273089765</v>
          </cell>
          <cell r="CY916">
            <v>13.473275210017142</v>
          </cell>
        </row>
        <row r="917">
          <cell r="A917">
            <v>40821</v>
          </cell>
          <cell r="CF917">
            <v>14.256874221626974</v>
          </cell>
          <cell r="CG917">
            <v>22.085252262534414</v>
          </cell>
          <cell r="CH917">
            <v>18.555263085067214</v>
          </cell>
          <cell r="CI917">
            <v>14.926604548033502</v>
          </cell>
          <cell r="CJ917">
            <v>22.183921622100925</v>
          </cell>
          <cell r="CU917">
            <v>8.5509190204577639</v>
          </cell>
          <cell r="CV917">
            <v>13.67289934744978</v>
          </cell>
          <cell r="CW917">
            <v>11.062153668663059</v>
          </cell>
          <cell r="CX917">
            <v>8.6510321273089765</v>
          </cell>
          <cell r="CY917">
            <v>13.473275210017142</v>
          </cell>
        </row>
        <row r="918">
          <cell r="A918">
            <v>40822</v>
          </cell>
          <cell r="CF918">
            <v>14.217631341119484</v>
          </cell>
          <cell r="CG918">
            <v>22.085252262534414</v>
          </cell>
          <cell r="CH918">
            <v>18.555263085067214</v>
          </cell>
          <cell r="CI918">
            <v>14.926604548033502</v>
          </cell>
          <cell r="CJ918">
            <v>22.183921622100925</v>
          </cell>
          <cell r="CU918">
            <v>8.5299769065077253</v>
          </cell>
          <cell r="CV918">
            <v>13.67289934744978</v>
          </cell>
          <cell r="CW918">
            <v>11.062153668663059</v>
          </cell>
          <cell r="CX918">
            <v>8.6510321273089765</v>
          </cell>
          <cell r="CY918">
            <v>13.473275210017142</v>
          </cell>
        </row>
        <row r="919">
          <cell r="A919">
            <v>40823</v>
          </cell>
          <cell r="CF919">
            <v>14.102209746431637</v>
          </cell>
          <cell r="CG919">
            <v>22.085252262534414</v>
          </cell>
          <cell r="CH919">
            <v>18.555263085067214</v>
          </cell>
          <cell r="CI919">
            <v>14.926604548033502</v>
          </cell>
          <cell r="CJ919">
            <v>22.183921622100925</v>
          </cell>
          <cell r="CU919">
            <v>8.4683817290643493</v>
          </cell>
          <cell r="CV919">
            <v>13.67289934744978</v>
          </cell>
          <cell r="CW919">
            <v>11.062153668663059</v>
          </cell>
          <cell r="CX919">
            <v>8.6510321273089765</v>
          </cell>
          <cell r="CY919">
            <v>13.473275210017142</v>
          </cell>
        </row>
        <row r="920">
          <cell r="A920">
            <v>40826</v>
          </cell>
          <cell r="CF920">
            <v>14.455399595333262</v>
          </cell>
          <cell r="CG920">
            <v>22.085252262534414</v>
          </cell>
          <cell r="CH920">
            <v>18.555263085067214</v>
          </cell>
          <cell r="CI920">
            <v>14.926604548033502</v>
          </cell>
          <cell r="CJ920">
            <v>22.183921622100925</v>
          </cell>
          <cell r="CU920">
            <v>8.6568628488507269</v>
          </cell>
          <cell r="CV920">
            <v>13.67289934744978</v>
          </cell>
          <cell r="CW920">
            <v>11.062153668663059</v>
          </cell>
          <cell r="CX920">
            <v>8.6510321273089765</v>
          </cell>
          <cell r="CY920">
            <v>13.473275210017142</v>
          </cell>
        </row>
        <row r="921">
          <cell r="A921">
            <v>40827</v>
          </cell>
          <cell r="CF921">
            <v>14.757803480885853</v>
          </cell>
          <cell r="CG921">
            <v>22.085252262534414</v>
          </cell>
          <cell r="CH921">
            <v>18.555263085067214</v>
          </cell>
          <cell r="CI921">
            <v>14.926604548033502</v>
          </cell>
          <cell r="CJ921">
            <v>22.183921622100925</v>
          </cell>
          <cell r="CU921">
            <v>8.8182418441813084</v>
          </cell>
          <cell r="CV921">
            <v>13.67289934744978</v>
          </cell>
          <cell r="CW921">
            <v>11.062153668663059</v>
          </cell>
          <cell r="CX921">
            <v>8.6510321273089765</v>
          </cell>
          <cell r="CY921">
            <v>13.473275210017142</v>
          </cell>
        </row>
        <row r="922">
          <cell r="A922">
            <v>40828</v>
          </cell>
          <cell r="CF922">
            <v>14.820132065390048</v>
          </cell>
          <cell r="CG922">
            <v>22.085252262534414</v>
          </cell>
          <cell r="CH922">
            <v>18.555263085067214</v>
          </cell>
          <cell r="CI922">
            <v>14.926604548033502</v>
          </cell>
          <cell r="CJ922">
            <v>22.183921622100925</v>
          </cell>
          <cell r="CU922">
            <v>8.8515037327621506</v>
          </cell>
          <cell r="CV922">
            <v>13.67289934744978</v>
          </cell>
          <cell r="CW922">
            <v>11.062153668663059</v>
          </cell>
          <cell r="CX922">
            <v>8.6510321273089765</v>
          </cell>
          <cell r="CY922">
            <v>13.473275210017142</v>
          </cell>
        </row>
        <row r="923">
          <cell r="A923">
            <v>40829</v>
          </cell>
          <cell r="CF923">
            <v>14.87091802873908</v>
          </cell>
          <cell r="CG923">
            <v>22.085252262534414</v>
          </cell>
          <cell r="CH923">
            <v>18.555263085067214</v>
          </cell>
          <cell r="CI923">
            <v>14.926604548033502</v>
          </cell>
          <cell r="CJ923">
            <v>22.183921622100925</v>
          </cell>
          <cell r="CU923">
            <v>8.8791049384531107</v>
          </cell>
          <cell r="CV923">
            <v>13.67289934744978</v>
          </cell>
          <cell r="CW923">
            <v>11.062153668663059</v>
          </cell>
          <cell r="CX923">
            <v>8.6510321273089765</v>
          </cell>
          <cell r="CY923">
            <v>13.473275210017142</v>
          </cell>
        </row>
        <row r="924">
          <cell r="A924">
            <v>40830</v>
          </cell>
          <cell r="CF924">
            <v>14.833982195066213</v>
          </cell>
          <cell r="CG924">
            <v>22.085252262534414</v>
          </cell>
          <cell r="CH924">
            <v>18.555263085067214</v>
          </cell>
          <cell r="CI924">
            <v>14.926604548033502</v>
          </cell>
          <cell r="CJ924">
            <v>22.183921622100925</v>
          </cell>
          <cell r="CU924">
            <v>8.8593928809244797</v>
          </cell>
          <cell r="CV924">
            <v>13.67289934744978</v>
          </cell>
          <cell r="CW924">
            <v>11.062153668663059</v>
          </cell>
          <cell r="CX924">
            <v>8.6510321273089765</v>
          </cell>
          <cell r="CY924">
            <v>13.473275210017142</v>
          </cell>
        </row>
        <row r="925">
          <cell r="A925">
            <v>40833</v>
          </cell>
          <cell r="CF925">
            <v>14.515417439511806</v>
          </cell>
          <cell r="CG925">
            <v>22.085252262534414</v>
          </cell>
          <cell r="CH925">
            <v>18.555263085067214</v>
          </cell>
          <cell r="CI925">
            <v>14.926604548033502</v>
          </cell>
          <cell r="CJ925">
            <v>22.183921622100925</v>
          </cell>
          <cell r="CU925">
            <v>8.6893800190597901</v>
          </cell>
          <cell r="CV925">
            <v>13.67289934744978</v>
          </cell>
          <cell r="CW925">
            <v>11.062153668663059</v>
          </cell>
          <cell r="CX925">
            <v>8.6510321273089765</v>
          </cell>
          <cell r="CY925">
            <v>13.473275210017142</v>
          </cell>
        </row>
        <row r="926">
          <cell r="A926">
            <v>40834</v>
          </cell>
          <cell r="CF926">
            <v>14.610064070528598</v>
          </cell>
          <cell r="CG926">
            <v>22.085252262534414</v>
          </cell>
          <cell r="CH926">
            <v>18.555263085067214</v>
          </cell>
          <cell r="CI926">
            <v>14.926604548033502</v>
          </cell>
          <cell r="CJ926">
            <v>22.183921622100925</v>
          </cell>
          <cell r="CU926">
            <v>8.739891396493908</v>
          </cell>
          <cell r="CV926">
            <v>13.67289934744978</v>
          </cell>
          <cell r="CW926">
            <v>11.062153668663059</v>
          </cell>
          <cell r="CX926">
            <v>8.6510321273089765</v>
          </cell>
          <cell r="CY926">
            <v>13.473275210017142</v>
          </cell>
        </row>
        <row r="927">
          <cell r="A927">
            <v>40835</v>
          </cell>
          <cell r="CF927">
            <v>14.676738420382648</v>
          </cell>
          <cell r="CG927">
            <v>22.085252262534414</v>
          </cell>
          <cell r="CH927">
            <v>18.555263085067214</v>
          </cell>
          <cell r="CI927">
            <v>14.926604548033502</v>
          </cell>
          <cell r="CJ927">
            <v>22.183921622100925</v>
          </cell>
          <cell r="CU927">
            <v>8.7774180079968467</v>
          </cell>
          <cell r="CV927">
            <v>13.67289934744978</v>
          </cell>
          <cell r="CW927">
            <v>11.062153668663059</v>
          </cell>
          <cell r="CX927">
            <v>8.6510321273089765</v>
          </cell>
          <cell r="CY927">
            <v>13.473275210017142</v>
          </cell>
        </row>
        <row r="928">
          <cell r="A928">
            <v>40836</v>
          </cell>
          <cell r="CF928">
            <v>14.93548033610559</v>
          </cell>
          <cell r="CG928">
            <v>22.085252262534414</v>
          </cell>
          <cell r="CH928">
            <v>18.555263085067214</v>
          </cell>
          <cell r="CI928">
            <v>14.926604548033502</v>
          </cell>
          <cell r="CJ928">
            <v>22.183921622100925</v>
          </cell>
          <cell r="CU928">
            <v>8.9155235680708849</v>
          </cell>
          <cell r="CV928">
            <v>13.67289934744978</v>
          </cell>
          <cell r="CW928">
            <v>11.062153668663059</v>
          </cell>
          <cell r="CX928">
            <v>8.6510321273089765</v>
          </cell>
          <cell r="CY928">
            <v>13.473275210017142</v>
          </cell>
        </row>
        <row r="929">
          <cell r="A929">
            <v>40837</v>
          </cell>
          <cell r="CF929">
            <v>15.21100956737375</v>
          </cell>
          <cell r="CG929">
            <v>22.085252262534414</v>
          </cell>
          <cell r="CH929">
            <v>18.555263085067214</v>
          </cell>
          <cell r="CI929">
            <v>14.926604548033502</v>
          </cell>
          <cell r="CJ929">
            <v>22.183921622100925</v>
          </cell>
          <cell r="CU929">
            <v>8.8769610008479152</v>
          </cell>
          <cell r="CV929">
            <v>13.67289934744978</v>
          </cell>
          <cell r="CW929">
            <v>11.062153668663059</v>
          </cell>
          <cell r="CX929">
            <v>8.6510321273089765</v>
          </cell>
          <cell r="CY929">
            <v>13.473275210017142</v>
          </cell>
        </row>
        <row r="930">
          <cell r="A930">
            <v>40840</v>
          </cell>
          <cell r="CF930">
            <v>15.548519970041797</v>
          </cell>
          <cell r="CG930">
            <v>22.085252262534414</v>
          </cell>
          <cell r="CH930">
            <v>18.555263085067214</v>
          </cell>
          <cell r="CI930">
            <v>14.926604548033502</v>
          </cell>
          <cell r="CJ930">
            <v>22.183921622100925</v>
          </cell>
          <cell r="CU930">
            <v>9.0594218140882177</v>
          </cell>
          <cell r="CV930">
            <v>13.67289934744978</v>
          </cell>
          <cell r="CW930">
            <v>11.062153668663059</v>
          </cell>
          <cell r="CX930">
            <v>8.6510321273089765</v>
          </cell>
          <cell r="CY930">
            <v>13.473275210017142</v>
          </cell>
        </row>
        <row r="931">
          <cell r="A931">
            <v>40841</v>
          </cell>
          <cell r="CF931">
            <v>15.289610277529228</v>
          </cell>
          <cell r="CG931">
            <v>22.085252262534414</v>
          </cell>
          <cell r="CH931">
            <v>18.555263085067214</v>
          </cell>
          <cell r="CI931">
            <v>14.926604548033502</v>
          </cell>
          <cell r="CJ931">
            <v>22.183921622100925</v>
          </cell>
          <cell r="CU931">
            <v>8.9242903999766465</v>
          </cell>
          <cell r="CV931">
            <v>13.67289934744978</v>
          </cell>
          <cell r="CW931">
            <v>11.062153668663059</v>
          </cell>
          <cell r="CX931">
            <v>8.6510321273089765</v>
          </cell>
          <cell r="CY931">
            <v>13.473275210017142</v>
          </cell>
        </row>
        <row r="932">
          <cell r="A932">
            <v>40842</v>
          </cell>
          <cell r="CF932">
            <v>15.495754334118732</v>
          </cell>
          <cell r="CG932">
            <v>22.085252262534414</v>
          </cell>
          <cell r="CH932">
            <v>18.555263085067214</v>
          </cell>
          <cell r="CI932">
            <v>14.926604548033502</v>
          </cell>
          <cell r="CJ932">
            <v>22.183921622100925</v>
          </cell>
          <cell r="CU932">
            <v>9.0292584173517216</v>
          </cell>
          <cell r="CV932">
            <v>13.67289934744978</v>
          </cell>
          <cell r="CW932">
            <v>11.062153668663059</v>
          </cell>
          <cell r="CX932">
            <v>8.6510321273089765</v>
          </cell>
          <cell r="CY932">
            <v>13.473275210017142</v>
          </cell>
        </row>
        <row r="933">
          <cell r="A933">
            <v>40843</v>
          </cell>
          <cell r="CF933">
            <v>16.102422878205569</v>
          </cell>
          <cell r="CG933">
            <v>22.085252262534414</v>
          </cell>
          <cell r="CH933">
            <v>18.555263085067214</v>
          </cell>
          <cell r="CI933">
            <v>14.926604548033502</v>
          </cell>
          <cell r="CJ933">
            <v>22.183921622100925</v>
          </cell>
          <cell r="CU933">
            <v>9.3357475387697004</v>
          </cell>
          <cell r="CV933">
            <v>13.67289934744978</v>
          </cell>
          <cell r="CW933">
            <v>11.062153668663059</v>
          </cell>
          <cell r="CX933">
            <v>8.6510321273089765</v>
          </cell>
          <cell r="CY933">
            <v>13.473275210017142</v>
          </cell>
        </row>
        <row r="934">
          <cell r="A934">
            <v>40844</v>
          </cell>
          <cell r="CF934">
            <v>16.412261796170878</v>
          </cell>
          <cell r="CG934">
            <v>22.085252262534414</v>
          </cell>
          <cell r="CH934">
            <v>18.555263085067214</v>
          </cell>
          <cell r="CI934">
            <v>14.926604548033502</v>
          </cell>
          <cell r="CJ934">
            <v>22.183921622100925</v>
          </cell>
          <cell r="CU934">
            <v>9.4972355201997409</v>
          </cell>
          <cell r="CV934">
            <v>13.67289934744978</v>
          </cell>
          <cell r="CW934">
            <v>11.062153668663059</v>
          </cell>
          <cell r="CX934">
            <v>8.6510321273089765</v>
          </cell>
          <cell r="CY934">
            <v>13.473275210017142</v>
          </cell>
        </row>
        <row r="935">
          <cell r="A935">
            <v>40847</v>
          </cell>
          <cell r="CF935">
            <v>16.028429655374065</v>
          </cell>
          <cell r="CG935">
            <v>22.085252262534414</v>
          </cell>
          <cell r="CH935">
            <v>18.555263085067214</v>
          </cell>
          <cell r="CI935">
            <v>14.926604548033502</v>
          </cell>
          <cell r="CJ935">
            <v>22.183921622100925</v>
          </cell>
          <cell r="CU935">
            <v>9.297182285982764</v>
          </cell>
          <cell r="CV935">
            <v>13.67289934744978</v>
          </cell>
          <cell r="CW935">
            <v>11.062153668663059</v>
          </cell>
          <cell r="CX935">
            <v>8.6510321273089765</v>
          </cell>
          <cell r="CY935">
            <v>13.473275210017142</v>
          </cell>
        </row>
        <row r="936">
          <cell r="A936">
            <v>40848</v>
          </cell>
          <cell r="CF936">
            <v>14.75623623052209</v>
          </cell>
          <cell r="CG936">
            <v>22.085252262534414</v>
          </cell>
          <cell r="CH936">
            <v>18.555263085067214</v>
          </cell>
          <cell r="CI936">
            <v>14.926604548033502</v>
          </cell>
          <cell r="CJ936">
            <v>22.183921622100925</v>
          </cell>
          <cell r="CU936">
            <v>8.691509181331897</v>
          </cell>
          <cell r="CV936">
            <v>13.67289934744978</v>
          </cell>
          <cell r="CW936">
            <v>11.062153668663059</v>
          </cell>
          <cell r="CX936">
            <v>8.6510321273089765</v>
          </cell>
          <cell r="CY936">
            <v>13.473275210017142</v>
          </cell>
        </row>
        <row r="937">
          <cell r="A937">
            <v>40849</v>
          </cell>
          <cell r="CF937">
            <v>15.012932263702709</v>
          </cell>
          <cell r="CG937">
            <v>22.085252262534414</v>
          </cell>
          <cell r="CH937">
            <v>18.555263085067214</v>
          </cell>
          <cell r="CI937">
            <v>14.926604548033502</v>
          </cell>
          <cell r="CJ937">
            <v>22.183921622100925</v>
          </cell>
          <cell r="CU937">
            <v>8.8867297174269702</v>
          </cell>
          <cell r="CV937">
            <v>13.67289934744978</v>
          </cell>
          <cell r="CW937">
            <v>11.062153668663059</v>
          </cell>
          <cell r="CX937">
            <v>8.6510321273089765</v>
          </cell>
          <cell r="CY937">
            <v>13.473275210017142</v>
          </cell>
        </row>
        <row r="938">
          <cell r="A938">
            <v>40850</v>
          </cell>
          <cell r="CF938">
            <v>15.211721316325175</v>
          </cell>
          <cell r="CG938">
            <v>22.085252262534414</v>
          </cell>
          <cell r="CH938">
            <v>18.555263085067214</v>
          </cell>
          <cell r="CI938">
            <v>14.926604548033502</v>
          </cell>
          <cell r="CJ938">
            <v>22.183921622100925</v>
          </cell>
          <cell r="CU938">
            <v>9.0040526686730811</v>
          </cell>
          <cell r="CV938">
            <v>13.67289934744978</v>
          </cell>
          <cell r="CW938">
            <v>11.062153668663059</v>
          </cell>
          <cell r="CX938">
            <v>8.6510321273089765</v>
          </cell>
          <cell r="CY938">
            <v>13.473275210017142</v>
          </cell>
        </row>
        <row r="939">
          <cell r="A939">
            <v>40851</v>
          </cell>
          <cell r="CF939">
            <v>15.221229312508447</v>
          </cell>
          <cell r="CG939">
            <v>22.085252262534414</v>
          </cell>
          <cell r="CH939">
            <v>18.555263085067214</v>
          </cell>
          <cell r="CI939">
            <v>14.926604548033502</v>
          </cell>
          <cell r="CJ939">
            <v>22.183921622100925</v>
          </cell>
          <cell r="CU939">
            <v>9.0470240679625746</v>
          </cell>
          <cell r="CV939">
            <v>13.67289934744978</v>
          </cell>
          <cell r="CW939">
            <v>11.062153668663059</v>
          </cell>
          <cell r="CX939">
            <v>8.6510321273089765</v>
          </cell>
          <cell r="CY939">
            <v>13.473275210017142</v>
          </cell>
        </row>
        <row r="940">
          <cell r="A940">
            <v>40854</v>
          </cell>
          <cell r="CF940">
            <v>15.512465897516801</v>
          </cell>
          <cell r="CG940">
            <v>22.085252262534414</v>
          </cell>
          <cell r="CH940">
            <v>18.555263085067214</v>
          </cell>
          <cell r="CI940">
            <v>14.926604548033502</v>
          </cell>
          <cell r="CJ940">
            <v>22.183921622100925</v>
          </cell>
          <cell r="CU940">
            <v>9.1944109185756808</v>
          </cell>
          <cell r="CV940">
            <v>13.67289934744978</v>
          </cell>
          <cell r="CW940">
            <v>11.062153668663059</v>
          </cell>
          <cell r="CX940">
            <v>8.6510321273089765</v>
          </cell>
          <cell r="CY940">
            <v>13.473275210017142</v>
          </cell>
        </row>
        <row r="941">
          <cell r="A941">
            <v>40855</v>
          </cell>
          <cell r="CF941">
            <v>15.669512168682237</v>
          </cell>
          <cell r="CG941">
            <v>22.085252262534414</v>
          </cell>
          <cell r="CH941">
            <v>18.555263085067214</v>
          </cell>
          <cell r="CI941">
            <v>14.926604548033502</v>
          </cell>
          <cell r="CJ941">
            <v>22.183921622100925</v>
          </cell>
          <cell r="CU941">
            <v>9.2772001532288133</v>
          </cell>
          <cell r="CV941">
            <v>13.67289934744978</v>
          </cell>
          <cell r="CW941">
            <v>11.062153668663059</v>
          </cell>
          <cell r="CX941">
            <v>8.6510321273089765</v>
          </cell>
          <cell r="CY941">
            <v>13.473275210017142</v>
          </cell>
        </row>
        <row r="942">
          <cell r="A942">
            <v>40856</v>
          </cell>
          <cell r="CF942">
            <v>15.091600968758328</v>
          </cell>
          <cell r="CG942">
            <v>22.085252262534414</v>
          </cell>
          <cell r="CH942">
            <v>18.555263085067214</v>
          </cell>
          <cell r="CI942">
            <v>14.926604548033502</v>
          </cell>
          <cell r="CJ942">
            <v>22.183921622100925</v>
          </cell>
          <cell r="CU942">
            <v>8.9719910445710731</v>
          </cell>
          <cell r="CV942">
            <v>13.67289934744978</v>
          </cell>
          <cell r="CW942">
            <v>11.062153668663059</v>
          </cell>
          <cell r="CX942">
            <v>8.6510321273089765</v>
          </cell>
          <cell r="CY942">
            <v>13.473275210017142</v>
          </cell>
        </row>
        <row r="943">
          <cell r="A943">
            <v>40857</v>
          </cell>
          <cell r="CF943">
            <v>15.222872600818269</v>
          </cell>
          <cell r="CG943">
            <v>22.085252262534414</v>
          </cell>
          <cell r="CH943">
            <v>18.555263085067214</v>
          </cell>
          <cell r="CI943">
            <v>14.926604548033502</v>
          </cell>
          <cell r="CJ943">
            <v>22.183921622100925</v>
          </cell>
          <cell r="CU943">
            <v>9.0411879762444265</v>
          </cell>
          <cell r="CV943">
            <v>13.67289934744978</v>
          </cell>
          <cell r="CW943">
            <v>11.062153668663059</v>
          </cell>
          <cell r="CX943">
            <v>8.6510321273089765</v>
          </cell>
          <cell r="CY943">
            <v>13.473275210017142</v>
          </cell>
        </row>
        <row r="944">
          <cell r="A944">
            <v>40858</v>
          </cell>
          <cell r="CF944">
            <v>15.445569156371198</v>
          </cell>
          <cell r="CG944">
            <v>22.085252262534414</v>
          </cell>
          <cell r="CH944">
            <v>18.555263085067214</v>
          </cell>
          <cell r="CI944">
            <v>14.926604548033502</v>
          </cell>
          <cell r="CJ944">
            <v>22.183921622100925</v>
          </cell>
          <cell r="CU944">
            <v>9.1585775302300956</v>
          </cell>
          <cell r="CV944">
            <v>13.67289934744978</v>
          </cell>
          <cell r="CW944">
            <v>11.062153668663059</v>
          </cell>
          <cell r="CX944">
            <v>8.6510321273089765</v>
          </cell>
          <cell r="CY944">
            <v>13.473275210017142</v>
          </cell>
        </row>
        <row r="945">
          <cell r="A945">
            <v>40861</v>
          </cell>
          <cell r="CF945">
            <v>15.234594027355316</v>
          </cell>
          <cell r="CG945">
            <v>22.085252262534414</v>
          </cell>
          <cell r="CH945">
            <v>18.555263085067214</v>
          </cell>
          <cell r="CI945">
            <v>14.926604548033502</v>
          </cell>
          <cell r="CJ945">
            <v>22.183921622100925</v>
          </cell>
          <cell r="CU945">
            <v>9.0473666664798618</v>
          </cell>
          <cell r="CV945">
            <v>13.67289934744978</v>
          </cell>
          <cell r="CW945">
            <v>11.062153668663059</v>
          </cell>
          <cell r="CX945">
            <v>8.6510321273089765</v>
          </cell>
          <cell r="CY945">
            <v>13.473275210017142</v>
          </cell>
        </row>
        <row r="946">
          <cell r="A946">
            <v>40862</v>
          </cell>
          <cell r="CF946">
            <v>15.204118974719499</v>
          </cell>
          <cell r="CG946">
            <v>22.085252262534414</v>
          </cell>
          <cell r="CH946">
            <v>18.555263085067214</v>
          </cell>
          <cell r="CI946">
            <v>14.926604548033502</v>
          </cell>
          <cell r="CJ946">
            <v>22.183921622100925</v>
          </cell>
          <cell r="CU946">
            <v>9.0313024178536256</v>
          </cell>
          <cell r="CV946">
            <v>13.67289934744978</v>
          </cell>
          <cell r="CW946">
            <v>11.062153668663059</v>
          </cell>
          <cell r="CX946">
            <v>8.6510321273089765</v>
          </cell>
          <cell r="CY946">
            <v>13.473275210017142</v>
          </cell>
        </row>
        <row r="947">
          <cell r="A947">
            <v>40863</v>
          </cell>
          <cell r="CF947">
            <v>14.753317719373564</v>
          </cell>
          <cell r="CG947">
            <v>22.085252262534414</v>
          </cell>
          <cell r="CH947">
            <v>18.555263085067214</v>
          </cell>
          <cell r="CI947">
            <v>14.926604548033502</v>
          </cell>
          <cell r="CJ947">
            <v>22.183921622100925</v>
          </cell>
          <cell r="CU947">
            <v>8.7952919707987078</v>
          </cell>
          <cell r="CV947">
            <v>13.67289934744978</v>
          </cell>
          <cell r="CW947">
            <v>11.062153668663059</v>
          </cell>
          <cell r="CX947">
            <v>8.6510321273089765</v>
          </cell>
          <cell r="CY947">
            <v>13.473275210017142</v>
          </cell>
        </row>
        <row r="948">
          <cell r="A948">
            <v>40864</v>
          </cell>
          <cell r="CF948">
            <v>14.467391377376224</v>
          </cell>
          <cell r="CG948">
            <v>22.085252262534414</v>
          </cell>
          <cell r="CH948">
            <v>18.555263085067214</v>
          </cell>
          <cell r="CI948">
            <v>14.926604548033502</v>
          </cell>
          <cell r="CJ948">
            <v>22.183921622100925</v>
          </cell>
          <cell r="CU948">
            <v>8.6445408505475196</v>
          </cell>
          <cell r="CV948">
            <v>13.67289934744978</v>
          </cell>
          <cell r="CW948">
            <v>11.062153668663059</v>
          </cell>
          <cell r="CX948">
            <v>8.6510321273089765</v>
          </cell>
          <cell r="CY948">
            <v>13.473275210017142</v>
          </cell>
        </row>
        <row r="949">
          <cell r="A949">
            <v>40865</v>
          </cell>
          <cell r="CF949">
            <v>14.289271130604789</v>
          </cell>
          <cell r="CG949">
            <v>22.085252262534414</v>
          </cell>
          <cell r="CH949">
            <v>18.555263085067214</v>
          </cell>
          <cell r="CI949">
            <v>14.926604548033502</v>
          </cell>
          <cell r="CJ949">
            <v>22.183921622100925</v>
          </cell>
          <cell r="CU949">
            <v>8.5506291579324269</v>
          </cell>
          <cell r="CV949">
            <v>13.67289934744978</v>
          </cell>
          <cell r="CW949">
            <v>11.062153668663059</v>
          </cell>
          <cell r="CX949">
            <v>8.6510321273089765</v>
          </cell>
          <cell r="CY949">
            <v>13.473275210017142</v>
          </cell>
        </row>
        <row r="950">
          <cell r="A950">
            <v>40868</v>
          </cell>
          <cell r="CF950">
            <v>14.474163032989031</v>
          </cell>
          <cell r="CG950">
            <v>22.085252262534414</v>
          </cell>
          <cell r="CH950">
            <v>18.555263085067214</v>
          </cell>
          <cell r="CI950">
            <v>14.926604548033502</v>
          </cell>
          <cell r="CJ950">
            <v>22.183921622100925</v>
          </cell>
          <cell r="CU950">
            <v>8.6487581359875314</v>
          </cell>
          <cell r="CV950">
            <v>13.67289934744978</v>
          </cell>
          <cell r="CW950">
            <v>11.062153668663059</v>
          </cell>
          <cell r="CX950">
            <v>8.6510321273089765</v>
          </cell>
          <cell r="CY950">
            <v>13.473275210017142</v>
          </cell>
        </row>
        <row r="951">
          <cell r="A951">
            <v>40869</v>
          </cell>
          <cell r="CF951">
            <v>14.270233209825779</v>
          </cell>
          <cell r="CG951">
            <v>22.085252262534414</v>
          </cell>
          <cell r="CH951">
            <v>18.555263085067214</v>
          </cell>
          <cell r="CI951">
            <v>14.926604548033502</v>
          </cell>
          <cell r="CJ951">
            <v>22.183921622100925</v>
          </cell>
          <cell r="CU951">
            <v>8.5412324399173123</v>
          </cell>
          <cell r="CV951">
            <v>13.67289934744978</v>
          </cell>
          <cell r="CW951">
            <v>11.062153668663059</v>
          </cell>
          <cell r="CX951">
            <v>8.6510321273089765</v>
          </cell>
          <cell r="CY951">
            <v>13.473275210017142</v>
          </cell>
        </row>
        <row r="952">
          <cell r="A952">
            <v>40870</v>
          </cell>
          <cell r="CF952">
            <v>14.171785930060123</v>
          </cell>
          <cell r="CG952">
            <v>22.085252262534414</v>
          </cell>
          <cell r="CH952">
            <v>18.555263085067214</v>
          </cell>
          <cell r="CI952">
            <v>14.926604548033502</v>
          </cell>
          <cell r="CJ952">
            <v>22.183921622100925</v>
          </cell>
          <cell r="CU952">
            <v>8.4893243270242404</v>
          </cell>
          <cell r="CV952">
            <v>13.67289934744978</v>
          </cell>
          <cell r="CW952">
            <v>11.062153668663059</v>
          </cell>
          <cell r="CX952">
            <v>8.6510321273089765</v>
          </cell>
          <cell r="CY952">
            <v>13.473275210017142</v>
          </cell>
        </row>
        <row r="953">
          <cell r="A953">
            <v>40871</v>
          </cell>
          <cell r="CF953">
            <v>14.171785930060123</v>
          </cell>
          <cell r="CG953">
            <v>22.085252262534414</v>
          </cell>
          <cell r="CH953">
            <v>18.555263085067214</v>
          </cell>
          <cell r="CI953">
            <v>14.926604548033502</v>
          </cell>
          <cell r="CJ953">
            <v>22.183921622100925</v>
          </cell>
          <cell r="CU953">
            <v>8.4893243270242404</v>
          </cell>
          <cell r="CV953">
            <v>13.67289934744978</v>
          </cell>
          <cell r="CW953">
            <v>11.062153668663059</v>
          </cell>
          <cell r="CX953">
            <v>8.6510321273089765</v>
          </cell>
          <cell r="CY953">
            <v>13.473275210017142</v>
          </cell>
        </row>
        <row r="954">
          <cell r="A954">
            <v>40872</v>
          </cell>
          <cell r="CF954">
            <v>14.061617977029064</v>
          </cell>
          <cell r="CG954">
            <v>22.085252262534414</v>
          </cell>
          <cell r="CH954">
            <v>18.555263085067214</v>
          </cell>
          <cell r="CI954">
            <v>14.926604548033502</v>
          </cell>
          <cell r="CJ954">
            <v>22.183921622100925</v>
          </cell>
          <cell r="CU954">
            <v>8.4312362766814886</v>
          </cell>
          <cell r="CV954">
            <v>13.67289934744978</v>
          </cell>
          <cell r="CW954">
            <v>11.062153668663059</v>
          </cell>
          <cell r="CX954">
            <v>8.6510321273089765</v>
          </cell>
          <cell r="CY954">
            <v>13.473275210017142</v>
          </cell>
        </row>
        <row r="955">
          <cell r="A955">
            <v>40875</v>
          </cell>
          <cell r="CF955">
            <v>14.483537602646381</v>
          </cell>
          <cell r="CG955">
            <v>22.085252262534414</v>
          </cell>
          <cell r="CH955">
            <v>18.555263085067214</v>
          </cell>
          <cell r="CI955">
            <v>14.926604548033502</v>
          </cell>
          <cell r="CJ955">
            <v>22.183921622100925</v>
          </cell>
          <cell r="CU955">
            <v>8.6537010477800766</v>
          </cell>
          <cell r="CV955">
            <v>13.67289934744978</v>
          </cell>
          <cell r="CW955">
            <v>11.062153668663059</v>
          </cell>
          <cell r="CX955">
            <v>8.6510321273089765</v>
          </cell>
          <cell r="CY955">
            <v>13.473275210017142</v>
          </cell>
        </row>
        <row r="956">
          <cell r="A956">
            <v>40876</v>
          </cell>
          <cell r="CF956">
            <v>14.630465832642178</v>
          </cell>
          <cell r="CG956">
            <v>22.085252262534414</v>
          </cell>
          <cell r="CH956">
            <v>18.555263085067214</v>
          </cell>
          <cell r="CI956">
            <v>14.926604548033502</v>
          </cell>
          <cell r="CJ956">
            <v>22.183921622100925</v>
          </cell>
          <cell r="CU956">
            <v>8.7308997338461545</v>
          </cell>
          <cell r="CV956">
            <v>13.67289934744978</v>
          </cell>
          <cell r="CW956">
            <v>11.062153668663059</v>
          </cell>
          <cell r="CX956">
            <v>8.6510321273089765</v>
          </cell>
          <cell r="CY956">
            <v>13.473275210017142</v>
          </cell>
        </row>
        <row r="957">
          <cell r="A957">
            <v>40877</v>
          </cell>
          <cell r="CF957">
            <v>15.087740467715983</v>
          </cell>
          <cell r="CG957">
            <v>22.085252262534414</v>
          </cell>
          <cell r="CH957">
            <v>18.555263085067214</v>
          </cell>
          <cell r="CI957">
            <v>14.926604548033502</v>
          </cell>
          <cell r="CJ957">
            <v>22.183921622100925</v>
          </cell>
          <cell r="CU957">
            <v>8.9719864939187666</v>
          </cell>
          <cell r="CV957">
            <v>13.67289934744978</v>
          </cell>
          <cell r="CW957">
            <v>11.062153668663059</v>
          </cell>
          <cell r="CX957">
            <v>8.6510321273089765</v>
          </cell>
          <cell r="CY957">
            <v>13.473275210017142</v>
          </cell>
        </row>
        <row r="958">
          <cell r="A958">
            <v>40878</v>
          </cell>
          <cell r="CF958">
            <v>15.044245691662788</v>
          </cell>
          <cell r="CG958">
            <v>22.085252262534414</v>
          </cell>
          <cell r="CH958">
            <v>18.555263085067214</v>
          </cell>
          <cell r="CI958">
            <v>14.926604548033502</v>
          </cell>
          <cell r="CJ958">
            <v>22.183921622100925</v>
          </cell>
          <cell r="CU958">
            <v>8.9624244181001202</v>
          </cell>
          <cell r="CV958">
            <v>13.67289934744978</v>
          </cell>
          <cell r="CW958">
            <v>11.062153668663059</v>
          </cell>
          <cell r="CX958">
            <v>8.6510321273089765</v>
          </cell>
          <cell r="CY958">
            <v>13.473275210017142</v>
          </cell>
        </row>
        <row r="959">
          <cell r="A959">
            <v>40879</v>
          </cell>
          <cell r="CF959">
            <v>14.920780772805735</v>
          </cell>
          <cell r="CG959">
            <v>22.085252262534414</v>
          </cell>
          <cell r="CH959">
            <v>18.555263085067214</v>
          </cell>
          <cell r="CI959">
            <v>14.926604548033502</v>
          </cell>
          <cell r="CJ959">
            <v>22.183921622100925</v>
          </cell>
          <cell r="CU959">
            <v>8.8975392173320316</v>
          </cell>
          <cell r="CV959">
            <v>13.67289934744978</v>
          </cell>
          <cell r="CW959">
            <v>11.062153668663059</v>
          </cell>
          <cell r="CX959">
            <v>8.6510321273089765</v>
          </cell>
          <cell r="CY959">
            <v>13.473275210017142</v>
          </cell>
        </row>
        <row r="960">
          <cell r="A960">
            <v>40882</v>
          </cell>
          <cell r="CF960">
            <v>15.14209105288783</v>
          </cell>
          <cell r="CG960">
            <v>22.085252262534414</v>
          </cell>
          <cell r="CH960">
            <v>18.555263085067214</v>
          </cell>
          <cell r="CI960">
            <v>14.926604548033502</v>
          </cell>
          <cell r="CJ960">
            <v>22.183921622100925</v>
          </cell>
          <cell r="CU960">
            <v>9.0144861601924688</v>
          </cell>
          <cell r="CV960">
            <v>13.67289934744978</v>
          </cell>
          <cell r="CW960">
            <v>11.062153668663059</v>
          </cell>
          <cell r="CX960">
            <v>8.6510321273089765</v>
          </cell>
          <cell r="CY960">
            <v>13.473275210017142</v>
          </cell>
        </row>
        <row r="961">
          <cell r="A961">
            <v>40883</v>
          </cell>
          <cell r="CF961">
            <v>15.018621510621594</v>
          </cell>
          <cell r="CG961">
            <v>22.085252262534414</v>
          </cell>
          <cell r="CH961">
            <v>18.555263085067214</v>
          </cell>
          <cell r="CI961">
            <v>14.926604548033502</v>
          </cell>
          <cell r="CJ961">
            <v>22.183921622100925</v>
          </cell>
          <cell r="CU961">
            <v>8.9492411769993829</v>
          </cell>
          <cell r="CV961">
            <v>13.67289934744978</v>
          </cell>
          <cell r="CW961">
            <v>11.062153668663059</v>
          </cell>
          <cell r="CX961">
            <v>8.6510321273089765</v>
          </cell>
          <cell r="CY961">
            <v>13.473275210017142</v>
          </cell>
        </row>
        <row r="962">
          <cell r="A962">
            <v>40884</v>
          </cell>
          <cell r="CF962">
            <v>14.91004133915575</v>
          </cell>
          <cell r="CG962">
            <v>22.085252262534414</v>
          </cell>
          <cell r="CH962">
            <v>18.555263085067214</v>
          </cell>
          <cell r="CI962">
            <v>14.926604548033502</v>
          </cell>
          <cell r="CJ962">
            <v>22.183921622100925</v>
          </cell>
          <cell r="CU962">
            <v>8.8938464488281319</v>
          </cell>
          <cell r="CV962">
            <v>13.67289934744978</v>
          </cell>
          <cell r="CW962">
            <v>11.062153668663059</v>
          </cell>
          <cell r="CX962">
            <v>8.6510321273089765</v>
          </cell>
          <cell r="CY962">
            <v>13.473275210017142</v>
          </cell>
        </row>
        <row r="963">
          <cell r="A963">
            <v>40885</v>
          </cell>
          <cell r="CF963">
            <v>14.504803260553128</v>
          </cell>
          <cell r="CG963">
            <v>22.085252262534414</v>
          </cell>
          <cell r="CH963">
            <v>18.555263085067214</v>
          </cell>
          <cell r="CI963">
            <v>14.926604548033502</v>
          </cell>
          <cell r="CJ963">
            <v>22.183921622100925</v>
          </cell>
          <cell r="CU963">
            <v>8.6796527038494666</v>
          </cell>
          <cell r="CV963">
            <v>13.67289934744978</v>
          </cell>
          <cell r="CW963">
            <v>11.062153668663059</v>
          </cell>
          <cell r="CX963">
            <v>8.6510321273089765</v>
          </cell>
          <cell r="CY963">
            <v>13.473275210017142</v>
          </cell>
        </row>
        <row r="964">
          <cell r="A964">
            <v>40886</v>
          </cell>
          <cell r="CF964">
            <v>14.784278544395924</v>
          </cell>
          <cell r="CG964">
            <v>22.085252262534414</v>
          </cell>
          <cell r="CH964">
            <v>18.555263085067214</v>
          </cell>
          <cell r="CI964">
            <v>14.926604548033502</v>
          </cell>
          <cell r="CJ964">
            <v>22.183921622100925</v>
          </cell>
          <cell r="CU964">
            <v>8.8273729227432209</v>
          </cell>
          <cell r="CV964">
            <v>13.67289934744978</v>
          </cell>
          <cell r="CW964">
            <v>11.062153668663059</v>
          </cell>
          <cell r="CX964">
            <v>8.6510321273089765</v>
          </cell>
          <cell r="CY964">
            <v>13.473275210017142</v>
          </cell>
        </row>
        <row r="965">
          <cell r="A965">
            <v>40889</v>
          </cell>
          <cell r="CF965">
            <v>14.572341892285298</v>
          </cell>
          <cell r="CG965">
            <v>22.085252262534414</v>
          </cell>
          <cell r="CH965">
            <v>18.555263085067214</v>
          </cell>
          <cell r="CI965">
            <v>14.926604548033502</v>
          </cell>
          <cell r="CJ965">
            <v>22.183921622100925</v>
          </cell>
          <cell r="CU965">
            <v>8.7153511073937047</v>
          </cell>
          <cell r="CV965">
            <v>13.67289934744978</v>
          </cell>
          <cell r="CW965">
            <v>11.062153668663059</v>
          </cell>
          <cell r="CX965">
            <v>8.6510321273089765</v>
          </cell>
          <cell r="CY965">
            <v>13.473275210017142</v>
          </cell>
        </row>
        <row r="966">
          <cell r="A966">
            <v>40890</v>
          </cell>
          <cell r="CF966">
            <v>14.402328267831148</v>
          </cell>
          <cell r="CG966">
            <v>22.085252262534414</v>
          </cell>
          <cell r="CH966">
            <v>18.555263085067214</v>
          </cell>
          <cell r="CI966">
            <v>14.926604548033502</v>
          </cell>
          <cell r="CJ966">
            <v>22.183921622100925</v>
          </cell>
          <cell r="CU966">
            <v>8.6254882419769032</v>
          </cell>
          <cell r="CV966">
            <v>13.67289934744978</v>
          </cell>
          <cell r="CW966">
            <v>11.062153668663059</v>
          </cell>
          <cell r="CX966">
            <v>8.6510321273089765</v>
          </cell>
          <cell r="CY966">
            <v>13.473275210017142</v>
          </cell>
        </row>
        <row r="967">
          <cell r="A967">
            <v>40891</v>
          </cell>
          <cell r="CF967">
            <v>14.297525473071325</v>
          </cell>
          <cell r="CG967">
            <v>22.085252262534414</v>
          </cell>
          <cell r="CH967">
            <v>18.555263085067214</v>
          </cell>
          <cell r="CI967">
            <v>14.926604548033502</v>
          </cell>
          <cell r="CJ967">
            <v>22.183921622100925</v>
          </cell>
          <cell r="CU967">
            <v>8.5700933907051642</v>
          </cell>
          <cell r="CV967">
            <v>13.67289934744978</v>
          </cell>
          <cell r="CW967">
            <v>11.062153668663059</v>
          </cell>
          <cell r="CX967">
            <v>8.6510321273089765</v>
          </cell>
          <cell r="CY967">
            <v>13.473275210017142</v>
          </cell>
        </row>
        <row r="968">
          <cell r="A968">
            <v>40892</v>
          </cell>
          <cell r="CF968">
            <v>14.497816593886462</v>
          </cell>
          <cell r="CG968">
            <v>22.085252262534414</v>
          </cell>
          <cell r="CH968">
            <v>18.555263085067214</v>
          </cell>
          <cell r="CI968">
            <v>14.926604548033502</v>
          </cell>
          <cell r="CJ968">
            <v>22.183921622100925</v>
          </cell>
          <cell r="CU968">
            <v>8.6759598122450754</v>
          </cell>
          <cell r="CV968">
            <v>13.67289934744978</v>
          </cell>
          <cell r="CW968">
            <v>11.062153668663059</v>
          </cell>
          <cell r="CX968">
            <v>8.6510321273089765</v>
          </cell>
          <cell r="CY968">
            <v>13.473275210017142</v>
          </cell>
        </row>
        <row r="969">
          <cell r="A969">
            <v>40893</v>
          </cell>
          <cell r="CF969">
            <v>14.542064163027655</v>
          </cell>
          <cell r="CG969">
            <v>22.085252262534414</v>
          </cell>
          <cell r="CH969">
            <v>18.555263085067214</v>
          </cell>
          <cell r="CI969">
            <v>14.926604548033502</v>
          </cell>
          <cell r="CJ969">
            <v>22.183921622100925</v>
          </cell>
          <cell r="CU969">
            <v>8.6993474281701051</v>
          </cell>
          <cell r="CV969">
            <v>13.67289934744978</v>
          </cell>
          <cell r="CW969">
            <v>11.062153668663059</v>
          </cell>
          <cell r="CX969">
            <v>8.6510321273089765</v>
          </cell>
          <cell r="CY969">
            <v>13.473275210017142</v>
          </cell>
        </row>
        <row r="970">
          <cell r="A970">
            <v>40896</v>
          </cell>
          <cell r="CF970">
            <v>14.420960465793303</v>
          </cell>
          <cell r="CG970">
            <v>22.085252262534414</v>
          </cell>
          <cell r="CH970">
            <v>18.555263085067214</v>
          </cell>
          <cell r="CI970">
            <v>14.926604548033502</v>
          </cell>
          <cell r="CJ970">
            <v>22.183921622100925</v>
          </cell>
          <cell r="CU970">
            <v>8.6353365273908977</v>
          </cell>
          <cell r="CV970">
            <v>13.67289934744978</v>
          </cell>
          <cell r="CW970">
            <v>11.062153668663059</v>
          </cell>
          <cell r="CX970">
            <v>8.6510321273089765</v>
          </cell>
          <cell r="CY970">
            <v>13.473275210017142</v>
          </cell>
        </row>
        <row r="971">
          <cell r="A971">
            <v>40897</v>
          </cell>
          <cell r="CF971">
            <v>14.965937700145561</v>
          </cell>
          <cell r="CG971">
            <v>22.085252262534414</v>
          </cell>
          <cell r="CH971">
            <v>18.555263085067214</v>
          </cell>
          <cell r="CI971">
            <v>14.926604548033502</v>
          </cell>
          <cell r="CJ971">
            <v>22.183921622100925</v>
          </cell>
          <cell r="CU971">
            <v>8.9233911819696274</v>
          </cell>
          <cell r="CV971">
            <v>13.67289934744978</v>
          </cell>
          <cell r="CW971">
            <v>11.062153668663059</v>
          </cell>
          <cell r="CX971">
            <v>8.6510321273089765</v>
          </cell>
          <cell r="CY971">
            <v>13.473275210017142</v>
          </cell>
        </row>
        <row r="972">
          <cell r="A972">
            <v>40898</v>
          </cell>
          <cell r="CF972">
            <v>15.007857467248908</v>
          </cell>
          <cell r="CG972">
            <v>22.085252262534414</v>
          </cell>
          <cell r="CH972">
            <v>18.555263085067214</v>
          </cell>
          <cell r="CI972">
            <v>14.926604548033502</v>
          </cell>
          <cell r="CJ972">
            <v>22.183921622100925</v>
          </cell>
          <cell r="CU972">
            <v>8.9455484084954815</v>
          </cell>
          <cell r="CV972">
            <v>13.67289934744978</v>
          </cell>
          <cell r="CW972">
            <v>11.062153668663059</v>
          </cell>
          <cell r="CX972">
            <v>8.6510321273089765</v>
          </cell>
          <cell r="CY972">
            <v>13.473275210017142</v>
          </cell>
        </row>
        <row r="973">
          <cell r="A973">
            <v>40899</v>
          </cell>
          <cell r="CF973">
            <v>15.056767161572054</v>
          </cell>
          <cell r="CG973">
            <v>22.085252262534414</v>
          </cell>
          <cell r="CH973">
            <v>18.555263085067214</v>
          </cell>
          <cell r="CI973">
            <v>14.926604548033502</v>
          </cell>
          <cell r="CJ973">
            <v>22.183921622100925</v>
          </cell>
          <cell r="CU973">
            <v>8.9714002500325858</v>
          </cell>
          <cell r="CV973">
            <v>13.67289934744978</v>
          </cell>
          <cell r="CW973">
            <v>11.062153668663059</v>
          </cell>
          <cell r="CX973">
            <v>8.6510321273089765</v>
          </cell>
          <cell r="CY973">
            <v>13.473275210017142</v>
          </cell>
        </row>
        <row r="974">
          <cell r="A974">
            <v>40900</v>
          </cell>
          <cell r="CF974">
            <v>15.168556622998546</v>
          </cell>
          <cell r="CG974">
            <v>22.085252262534414</v>
          </cell>
          <cell r="CH974">
            <v>18.555263085067214</v>
          </cell>
          <cell r="CI974">
            <v>14.926604548033502</v>
          </cell>
          <cell r="CJ974">
            <v>22.183921622100925</v>
          </cell>
          <cell r="CU974">
            <v>9.0304879929087178</v>
          </cell>
          <cell r="CV974">
            <v>13.67289934744978</v>
          </cell>
          <cell r="CW974">
            <v>11.062153668663059</v>
          </cell>
          <cell r="CX974">
            <v>8.6510321273089765</v>
          </cell>
          <cell r="CY974">
            <v>13.473275210017142</v>
          </cell>
        </row>
        <row r="975">
          <cell r="A975">
            <v>40903</v>
          </cell>
          <cell r="CF975">
            <v>15.168556622998546</v>
          </cell>
          <cell r="CG975">
            <v>22.085252262534414</v>
          </cell>
          <cell r="CH975">
            <v>18.555263085067214</v>
          </cell>
          <cell r="CI975">
            <v>14.926604548033502</v>
          </cell>
          <cell r="CJ975">
            <v>22.183921622100925</v>
          </cell>
          <cell r="CU975">
            <v>9.0304879929087178</v>
          </cell>
          <cell r="CV975">
            <v>13.67289934744978</v>
          </cell>
          <cell r="CW975">
            <v>11.062153668663059</v>
          </cell>
          <cell r="CX975">
            <v>8.6510321273089765</v>
          </cell>
          <cell r="CY975">
            <v>13.473275210017142</v>
          </cell>
        </row>
        <row r="976">
          <cell r="A976">
            <v>40904</v>
          </cell>
          <cell r="CF976">
            <v>15.201162154294034</v>
          </cell>
          <cell r="CG976">
            <v>22.085252262534414</v>
          </cell>
          <cell r="CH976">
            <v>18.555263085067214</v>
          </cell>
          <cell r="CI976">
            <v>14.926604548033502</v>
          </cell>
          <cell r="CJ976">
            <v>22.183921622100925</v>
          </cell>
          <cell r="CU976">
            <v>9.0477220615314931</v>
          </cell>
          <cell r="CV976">
            <v>13.67289934744978</v>
          </cell>
          <cell r="CW976">
            <v>11.062153668663059</v>
          </cell>
          <cell r="CX976">
            <v>8.6510321273089765</v>
          </cell>
          <cell r="CY976">
            <v>13.473275210017142</v>
          </cell>
        </row>
        <row r="977">
          <cell r="A977">
            <v>40905</v>
          </cell>
          <cell r="CF977">
            <v>14.933332401746725</v>
          </cell>
          <cell r="CG977">
            <v>22.085252262534414</v>
          </cell>
          <cell r="CH977">
            <v>18.555263085067214</v>
          </cell>
          <cell r="CI977">
            <v>14.926604548033502</v>
          </cell>
          <cell r="CJ977">
            <v>22.183921622100925</v>
          </cell>
          <cell r="CU977">
            <v>8.906157236447342</v>
          </cell>
          <cell r="CV977">
            <v>13.67289934744978</v>
          </cell>
          <cell r="CW977">
            <v>11.062153668663059</v>
          </cell>
          <cell r="CX977">
            <v>8.6510321273089765</v>
          </cell>
          <cell r="CY977">
            <v>13.473275210017142</v>
          </cell>
        </row>
        <row r="978">
          <cell r="A978">
            <v>40906</v>
          </cell>
          <cell r="CF978">
            <v>15.089372692867538</v>
          </cell>
          <cell r="CG978">
            <v>22.085252262534414</v>
          </cell>
          <cell r="CH978">
            <v>18.555263085067214</v>
          </cell>
          <cell r="CI978">
            <v>14.926604548033502</v>
          </cell>
          <cell r="CJ978">
            <v>22.183921622100925</v>
          </cell>
          <cell r="CU978">
            <v>8.988634318655361</v>
          </cell>
          <cell r="CV978">
            <v>13.67289934744978</v>
          </cell>
          <cell r="CW978">
            <v>11.062153668663059</v>
          </cell>
          <cell r="CX978">
            <v>8.6510321273089765</v>
          </cell>
          <cell r="CY978">
            <v>13.473275210017142</v>
          </cell>
        </row>
        <row r="979">
          <cell r="A979">
            <v>40907</v>
          </cell>
          <cell r="CF979">
            <v>15.005529665211061</v>
          </cell>
          <cell r="CG979">
            <v>22.085252262534414</v>
          </cell>
          <cell r="CH979">
            <v>18.555263085067214</v>
          </cell>
          <cell r="CI979">
            <v>14.926604548033502</v>
          </cell>
          <cell r="CJ979">
            <v>22.183921622100925</v>
          </cell>
          <cell r="CU979">
            <v>8.9443180190963041</v>
          </cell>
          <cell r="CV979">
            <v>13.67289934744978</v>
          </cell>
          <cell r="CW979">
            <v>11.062153668663059</v>
          </cell>
          <cell r="CX979">
            <v>8.6510321273089765</v>
          </cell>
          <cell r="CY979">
            <v>13.473275210017142</v>
          </cell>
        </row>
        <row r="980">
          <cell r="A980">
            <v>40910</v>
          </cell>
          <cell r="CF980">
            <v>14.856991468510259</v>
          </cell>
          <cell r="CG980">
            <v>22.085252262534414</v>
          </cell>
          <cell r="CH980">
            <v>18.555263085067214</v>
          </cell>
          <cell r="CI980">
            <v>14.926604548033502</v>
          </cell>
          <cell r="CJ980">
            <v>22.183921622100925</v>
          </cell>
          <cell r="CU980">
            <v>8.9013669346877542</v>
          </cell>
          <cell r="CV980">
            <v>13.67289934744978</v>
          </cell>
          <cell r="CW980">
            <v>11.062153668663059</v>
          </cell>
          <cell r="CX980">
            <v>8.6510321273089765</v>
          </cell>
          <cell r="CY980">
            <v>13.473275210017142</v>
          </cell>
        </row>
        <row r="981">
          <cell r="A981">
            <v>40911</v>
          </cell>
          <cell r="CF981">
            <v>15.171153043864331</v>
          </cell>
          <cell r="CG981">
            <v>22.085252262534414</v>
          </cell>
          <cell r="CH981">
            <v>18.555263085067214</v>
          </cell>
          <cell r="CI981">
            <v>14.926604548033502</v>
          </cell>
          <cell r="CJ981">
            <v>22.183921622100925</v>
          </cell>
          <cell r="CU981">
            <v>9.0702831544337617</v>
          </cell>
          <cell r="CV981">
            <v>13.67289934744978</v>
          </cell>
          <cell r="CW981">
            <v>11.062153668663059</v>
          </cell>
          <cell r="CX981">
            <v>8.6510321273089765</v>
          </cell>
          <cell r="CY981">
            <v>13.473275210017142</v>
          </cell>
        </row>
        <row r="982">
          <cell r="A982">
            <v>40912</v>
          </cell>
          <cell r="CF982">
            <v>15.125012756059961</v>
          </cell>
          <cell r="CG982">
            <v>22.085252262534414</v>
          </cell>
          <cell r="CH982">
            <v>18.555263085067214</v>
          </cell>
          <cell r="CI982">
            <v>14.926604548033502</v>
          </cell>
          <cell r="CJ982">
            <v>22.183921622100925</v>
          </cell>
          <cell r="CU982">
            <v>9.0457654905049107</v>
          </cell>
          <cell r="CV982">
            <v>13.67289934744978</v>
          </cell>
          <cell r="CW982">
            <v>11.062153668663059</v>
          </cell>
          <cell r="CX982">
            <v>8.6510321273089765</v>
          </cell>
          <cell r="CY982">
            <v>13.473275210017142</v>
          </cell>
        </row>
        <row r="983">
          <cell r="A983">
            <v>40913</v>
          </cell>
          <cell r="CF983">
            <v>15.268322259584627</v>
          </cell>
          <cell r="CG983">
            <v>22.085252262534414</v>
          </cell>
          <cell r="CH983">
            <v>18.555263085067214</v>
          </cell>
          <cell r="CI983">
            <v>14.926604548033502</v>
          </cell>
          <cell r="CJ983">
            <v>22.183921622100925</v>
          </cell>
          <cell r="CU983">
            <v>9.131215815016624</v>
          </cell>
          <cell r="CV983">
            <v>13.67289934744978</v>
          </cell>
          <cell r="CW983">
            <v>11.062153668663059</v>
          </cell>
          <cell r="CX983">
            <v>8.6510321273089765</v>
          </cell>
          <cell r="CY983">
            <v>13.473275210017142</v>
          </cell>
        </row>
        <row r="984">
          <cell r="A984">
            <v>40914</v>
          </cell>
          <cell r="CF984">
            <v>15.248304366624998</v>
          </cell>
          <cell r="CG984">
            <v>22.085252262534414</v>
          </cell>
          <cell r="CH984">
            <v>18.555263085067214</v>
          </cell>
          <cell r="CI984">
            <v>14.926604548033502</v>
          </cell>
          <cell r="CJ984">
            <v>22.183921622100925</v>
          </cell>
          <cell r="CU984">
            <v>9.1740414255373324</v>
          </cell>
          <cell r="CV984">
            <v>13.67289934744978</v>
          </cell>
          <cell r="CW984">
            <v>11.062153668663059</v>
          </cell>
          <cell r="CX984">
            <v>8.6510321273089765</v>
          </cell>
          <cell r="CY984">
            <v>13.473275210017142</v>
          </cell>
        </row>
        <row r="985">
          <cell r="A985">
            <v>40917</v>
          </cell>
          <cell r="CF985">
            <v>15.19296728635406</v>
          </cell>
          <cell r="CG985">
            <v>22.085252262534414</v>
          </cell>
          <cell r="CH985">
            <v>18.555263085067214</v>
          </cell>
          <cell r="CI985">
            <v>14.926604548033502</v>
          </cell>
          <cell r="CJ985">
            <v>22.183921622100925</v>
          </cell>
          <cell r="CU985">
            <v>9.1444325277468277</v>
          </cell>
          <cell r="CV985">
            <v>13.67289934744978</v>
          </cell>
          <cell r="CW985">
            <v>11.062153668663059</v>
          </cell>
          <cell r="CX985">
            <v>8.6510321273089765</v>
          </cell>
          <cell r="CY985">
            <v>13.473275210017142</v>
          </cell>
        </row>
        <row r="986">
          <cell r="A986">
            <v>40918</v>
          </cell>
          <cell r="CF986">
            <v>15.378528430010155</v>
          </cell>
          <cell r="CG986">
            <v>22.085252262534414</v>
          </cell>
          <cell r="CH986">
            <v>18.555263085067214</v>
          </cell>
          <cell r="CI986">
            <v>14.926604548033502</v>
          </cell>
          <cell r="CJ986">
            <v>22.183921622100925</v>
          </cell>
          <cell r="CU986">
            <v>9.237791852893757</v>
          </cell>
          <cell r="CV986">
            <v>13.67289934744978</v>
          </cell>
          <cell r="CW986">
            <v>11.062153668663059</v>
          </cell>
          <cell r="CX986">
            <v>8.6510321273089765</v>
          </cell>
          <cell r="CY986">
            <v>13.473275210017142</v>
          </cell>
        </row>
        <row r="987">
          <cell r="A987">
            <v>40919</v>
          </cell>
          <cell r="CF987">
            <v>15.664864671743784</v>
          </cell>
          <cell r="CG987">
            <v>22.085252262534414</v>
          </cell>
          <cell r="CH987">
            <v>18.555263085067214</v>
          </cell>
          <cell r="CI987">
            <v>14.926604548033502</v>
          </cell>
          <cell r="CJ987">
            <v>22.183921622100925</v>
          </cell>
          <cell r="CU987">
            <v>9.3931338703537044</v>
          </cell>
          <cell r="CV987">
            <v>13.67289934744978</v>
          </cell>
          <cell r="CW987">
            <v>11.062153668663059</v>
          </cell>
          <cell r="CX987">
            <v>8.6510321273089765</v>
          </cell>
          <cell r="CY987">
            <v>13.473275210017142</v>
          </cell>
        </row>
        <row r="988">
          <cell r="A988">
            <v>40920</v>
          </cell>
          <cell r="CF988">
            <v>15.674086566675541</v>
          </cell>
          <cell r="CG988">
            <v>22.085252262534414</v>
          </cell>
          <cell r="CH988">
            <v>18.555263085067214</v>
          </cell>
          <cell r="CI988">
            <v>14.926604548033502</v>
          </cell>
          <cell r="CJ988">
            <v>22.183921622100925</v>
          </cell>
          <cell r="CU988">
            <v>9.398066368843411</v>
          </cell>
          <cell r="CV988">
            <v>13.67289934744978</v>
          </cell>
          <cell r="CW988">
            <v>11.062153668663059</v>
          </cell>
          <cell r="CX988">
            <v>8.6510321273089765</v>
          </cell>
          <cell r="CY988">
            <v>13.473275210017142</v>
          </cell>
        </row>
        <row r="989">
          <cell r="A989">
            <v>40921</v>
          </cell>
          <cell r="CF989">
            <v>15.655646234331122</v>
          </cell>
          <cell r="CG989">
            <v>22.085252262534414</v>
          </cell>
          <cell r="CH989">
            <v>18.555263085067214</v>
          </cell>
          <cell r="CI989">
            <v>14.926604548033502</v>
          </cell>
          <cell r="CJ989">
            <v>22.183921622100925</v>
          </cell>
          <cell r="CU989">
            <v>9.3882032211810689</v>
          </cell>
          <cell r="CV989">
            <v>13.67289934744978</v>
          </cell>
          <cell r="CW989">
            <v>11.062153668663059</v>
          </cell>
          <cell r="CX989">
            <v>8.6510321273089765</v>
          </cell>
          <cell r="CY989">
            <v>13.473275210017142</v>
          </cell>
        </row>
        <row r="990">
          <cell r="A990">
            <v>40924</v>
          </cell>
          <cell r="CF990">
            <v>15.655646234331122</v>
          </cell>
          <cell r="CG990">
            <v>22.085252262534414</v>
          </cell>
          <cell r="CH990">
            <v>18.555263085067214</v>
          </cell>
          <cell r="CI990">
            <v>14.926604548033502</v>
          </cell>
          <cell r="CJ990">
            <v>22.183921622100925</v>
          </cell>
          <cell r="CU990">
            <v>9.3882032211810689</v>
          </cell>
          <cell r="CV990">
            <v>13.67289934744978</v>
          </cell>
          <cell r="CW990">
            <v>11.062153668663059</v>
          </cell>
          <cell r="CX990">
            <v>8.6510321273089765</v>
          </cell>
          <cell r="CY990">
            <v>13.473275210017142</v>
          </cell>
        </row>
        <row r="991">
          <cell r="A991">
            <v>40925</v>
          </cell>
          <cell r="CF991">
            <v>15.701745797435171</v>
          </cell>
          <cell r="CG991">
            <v>22.085252262534414</v>
          </cell>
          <cell r="CH991">
            <v>18.555263085067214</v>
          </cell>
          <cell r="CI991">
            <v>14.926604548033502</v>
          </cell>
          <cell r="CJ991">
            <v>22.183921622100925</v>
          </cell>
          <cell r="CU991">
            <v>9.4128604122539983</v>
          </cell>
          <cell r="CV991">
            <v>13.67289934744978</v>
          </cell>
          <cell r="CW991">
            <v>11.062153668663059</v>
          </cell>
          <cell r="CX991">
            <v>8.6510321273089765</v>
          </cell>
          <cell r="CY991">
            <v>13.473275210017142</v>
          </cell>
        </row>
        <row r="992">
          <cell r="A992">
            <v>40926</v>
          </cell>
          <cell r="CF992">
            <v>15.836448689486451</v>
          </cell>
          <cell r="CG992">
            <v>22.085252262534414</v>
          </cell>
          <cell r="CH992">
            <v>18.555263085067214</v>
          </cell>
          <cell r="CI992">
            <v>14.926604548033502</v>
          </cell>
          <cell r="CJ992">
            <v>22.183921622100925</v>
          </cell>
          <cell r="CU992">
            <v>9.486831862184987</v>
          </cell>
          <cell r="CV992">
            <v>13.67289934744978</v>
          </cell>
          <cell r="CW992">
            <v>11.062153668663059</v>
          </cell>
          <cell r="CX992">
            <v>8.6510321273089765</v>
          </cell>
          <cell r="CY992">
            <v>13.473275210017142</v>
          </cell>
        </row>
        <row r="993">
          <cell r="A993">
            <v>40927</v>
          </cell>
          <cell r="CF993">
            <v>15.860335506281217</v>
          </cell>
          <cell r="CG993">
            <v>22.085252262534414</v>
          </cell>
          <cell r="CH993">
            <v>18.555263085067214</v>
          </cell>
          <cell r="CI993">
            <v>14.926604548033502</v>
          </cell>
          <cell r="CJ993">
            <v>22.183921622100925</v>
          </cell>
          <cell r="CU993">
            <v>9.5040921548404267</v>
          </cell>
          <cell r="CV993">
            <v>13.67289934744978</v>
          </cell>
          <cell r="CW993">
            <v>11.062153668663059</v>
          </cell>
          <cell r="CX993">
            <v>8.6510321273089765</v>
          </cell>
          <cell r="CY993">
            <v>13.473275210017142</v>
          </cell>
        </row>
        <row r="994">
          <cell r="A994">
            <v>40928</v>
          </cell>
          <cell r="CF994">
            <v>15.990859920331312</v>
          </cell>
          <cell r="CG994">
            <v>22.085252262534414</v>
          </cell>
          <cell r="CH994">
            <v>18.555263085067214</v>
          </cell>
          <cell r="CI994">
            <v>14.926604548033502</v>
          </cell>
          <cell r="CJ994">
            <v>22.183921622100925</v>
          </cell>
          <cell r="CU994">
            <v>9.5769628942682559</v>
          </cell>
          <cell r="CV994">
            <v>13.67289934744978</v>
          </cell>
          <cell r="CW994">
            <v>11.062153668663059</v>
          </cell>
          <cell r="CX994">
            <v>8.6510321273089765</v>
          </cell>
          <cell r="CY994">
            <v>13.473275210017142</v>
          </cell>
        </row>
        <row r="995">
          <cell r="A995">
            <v>40931</v>
          </cell>
          <cell r="CF995">
            <v>15.933297427130876</v>
          </cell>
          <cell r="CG995">
            <v>22.085252262534414</v>
          </cell>
          <cell r="CH995">
            <v>18.555263085067214</v>
          </cell>
          <cell r="CI995">
            <v>14.926604548033502</v>
          </cell>
          <cell r="CJ995">
            <v>22.183921622100925</v>
          </cell>
          <cell r="CU995">
            <v>9.5461405260641286</v>
          </cell>
          <cell r="CV995">
            <v>13.67289934744978</v>
          </cell>
          <cell r="CW995">
            <v>11.062153668663059</v>
          </cell>
          <cell r="CX995">
            <v>8.6510321273089765</v>
          </cell>
          <cell r="CY995">
            <v>13.473275210017142</v>
          </cell>
        </row>
        <row r="996">
          <cell r="A996">
            <v>40932</v>
          </cell>
          <cell r="CF996">
            <v>16.006975806677627</v>
          </cell>
          <cell r="CG996">
            <v>22.085252262534414</v>
          </cell>
          <cell r="CH996">
            <v>18.555263085067214</v>
          </cell>
          <cell r="CI996">
            <v>14.926604548033502</v>
          </cell>
          <cell r="CJ996">
            <v>22.183921622100925</v>
          </cell>
          <cell r="CU996">
            <v>9.5855922943391025</v>
          </cell>
          <cell r="CV996">
            <v>13.67289934744978</v>
          </cell>
          <cell r="CW996">
            <v>11.062153668663059</v>
          </cell>
          <cell r="CX996">
            <v>8.6510321273089765</v>
          </cell>
          <cell r="CY996">
            <v>13.473275210017142</v>
          </cell>
        </row>
        <row r="997">
          <cell r="A997">
            <v>40933</v>
          </cell>
          <cell r="CF997">
            <v>16.262553276487566</v>
          </cell>
          <cell r="CG997">
            <v>22.085252262534414</v>
          </cell>
          <cell r="CH997">
            <v>18.555263085067214</v>
          </cell>
          <cell r="CI997">
            <v>14.926604548033502</v>
          </cell>
          <cell r="CJ997">
            <v>22.183921622100925</v>
          </cell>
          <cell r="CU997">
            <v>9.722443609165424</v>
          </cell>
          <cell r="CV997">
            <v>13.67289934744978</v>
          </cell>
          <cell r="CW997">
            <v>11.062153668663059</v>
          </cell>
          <cell r="CX997">
            <v>8.6510321273089765</v>
          </cell>
          <cell r="CY997">
            <v>13.473275210017142</v>
          </cell>
        </row>
        <row r="998">
          <cell r="A998">
            <v>40934</v>
          </cell>
          <cell r="CF998">
            <v>16.232623082523066</v>
          </cell>
          <cell r="CG998">
            <v>22.085252262534414</v>
          </cell>
          <cell r="CH998">
            <v>18.555263085067214</v>
          </cell>
          <cell r="CI998">
            <v>14.926604548033502</v>
          </cell>
          <cell r="CJ998">
            <v>22.183921622100925</v>
          </cell>
          <cell r="CU998">
            <v>9.7064172105940063</v>
          </cell>
          <cell r="CV998">
            <v>13.67289934744978</v>
          </cell>
          <cell r="CW998">
            <v>11.062153668663059</v>
          </cell>
          <cell r="CX998">
            <v>8.6510321273089765</v>
          </cell>
          <cell r="CY998">
            <v>13.473275210017142</v>
          </cell>
        </row>
        <row r="999">
          <cell r="A999">
            <v>40935</v>
          </cell>
          <cell r="CF999">
            <v>16.352096724573062</v>
          </cell>
          <cell r="CG999">
            <v>22.085252262534414</v>
          </cell>
          <cell r="CH999">
            <v>18.555263085067214</v>
          </cell>
          <cell r="CI999">
            <v>14.926604548033502</v>
          </cell>
          <cell r="CJ999">
            <v>22.183921622100925</v>
          </cell>
          <cell r="CU999">
            <v>9.7680619470022574</v>
          </cell>
          <cell r="CV999">
            <v>13.67289934744978</v>
          </cell>
          <cell r="CW999">
            <v>11.062153668663059</v>
          </cell>
          <cell r="CX999">
            <v>8.6510321273089765</v>
          </cell>
          <cell r="CY999">
            <v>13.473275210017142</v>
          </cell>
        </row>
        <row r="1000">
          <cell r="A1000">
            <v>40938</v>
          </cell>
          <cell r="CF1000">
            <v>16.331366181217071</v>
          </cell>
          <cell r="CG1000">
            <v>22.085252262534414</v>
          </cell>
          <cell r="CH1000">
            <v>18.555263085067214</v>
          </cell>
          <cell r="CI1000">
            <v>14.926604548033502</v>
          </cell>
          <cell r="CJ1000">
            <v>22.183921622100925</v>
          </cell>
          <cell r="CU1000">
            <v>9.7569645382645724</v>
          </cell>
          <cell r="CV1000">
            <v>13.67289934744978</v>
          </cell>
          <cell r="CW1000">
            <v>11.062153668663059</v>
          </cell>
          <cell r="CX1000">
            <v>8.6510321273089765</v>
          </cell>
          <cell r="CY1000">
            <v>13.473275210017142</v>
          </cell>
        </row>
        <row r="1001">
          <cell r="A1001">
            <v>40939</v>
          </cell>
          <cell r="CF1001">
            <v>16.326762490211049</v>
          </cell>
          <cell r="CG1001">
            <v>22.085252262534414</v>
          </cell>
          <cell r="CH1001">
            <v>18.555263085067214</v>
          </cell>
          <cell r="CI1001">
            <v>14.926604548033502</v>
          </cell>
          <cell r="CJ1001">
            <v>22.183921622100925</v>
          </cell>
          <cell r="CU1001">
            <v>9.7578318573977025</v>
          </cell>
          <cell r="CV1001">
            <v>13.67289934744978</v>
          </cell>
          <cell r="CW1001">
            <v>11.062153668663059</v>
          </cell>
          <cell r="CX1001">
            <v>8.6510321273089765</v>
          </cell>
          <cell r="CY1001">
            <v>13.473275210017142</v>
          </cell>
        </row>
        <row r="1002">
          <cell r="A1002">
            <v>40940</v>
          </cell>
          <cell r="CF1002">
            <v>16.592926452624926</v>
          </cell>
          <cell r="CG1002">
            <v>22.085252262534414</v>
          </cell>
          <cell r="CH1002">
            <v>18.555263085067214</v>
          </cell>
          <cell r="CI1002">
            <v>14.926604548033502</v>
          </cell>
          <cell r="CJ1002">
            <v>22.183921622100925</v>
          </cell>
          <cell r="CU1002">
            <v>9.916409346736307</v>
          </cell>
          <cell r="CV1002">
            <v>13.67289934744978</v>
          </cell>
          <cell r="CW1002">
            <v>11.062153668663059</v>
          </cell>
          <cell r="CX1002">
            <v>8.6510321273089765</v>
          </cell>
          <cell r="CY1002">
            <v>13.473275210017142</v>
          </cell>
        </row>
        <row r="1003">
          <cell r="A1003">
            <v>40941</v>
          </cell>
          <cell r="CF1003">
            <v>16.684236412909801</v>
          </cell>
          <cell r="CG1003">
            <v>22.085252262534414</v>
          </cell>
          <cell r="CH1003">
            <v>18.555263085067214</v>
          </cell>
          <cell r="CI1003">
            <v>14.926604548033502</v>
          </cell>
          <cell r="CJ1003">
            <v>22.183921622100925</v>
          </cell>
          <cell r="CU1003">
            <v>9.9654295936174861</v>
          </cell>
          <cell r="CV1003">
            <v>13.67289934744978</v>
          </cell>
          <cell r="CW1003">
            <v>11.062153668663059</v>
          </cell>
          <cell r="CX1003">
            <v>8.6510321273089765</v>
          </cell>
          <cell r="CY1003">
            <v>13.473275210017142</v>
          </cell>
        </row>
        <row r="1004">
          <cell r="A1004">
            <v>40942</v>
          </cell>
          <cell r="CF1004">
            <v>16.700213470276658</v>
          </cell>
          <cell r="CG1004">
            <v>22.085252262534414</v>
          </cell>
          <cell r="CH1004">
            <v>18.555263085067214</v>
          </cell>
          <cell r="CI1004">
            <v>14.926604548033502</v>
          </cell>
          <cell r="CJ1004">
            <v>22.183921622100925</v>
          </cell>
          <cell r="CU1004">
            <v>9.9740069634259356</v>
          </cell>
          <cell r="CV1004">
            <v>13.67289934744978</v>
          </cell>
          <cell r="CW1004">
            <v>11.062153668663059</v>
          </cell>
          <cell r="CX1004">
            <v>8.6510321273089765</v>
          </cell>
          <cell r="CY1004">
            <v>13.473275210017142</v>
          </cell>
        </row>
        <row r="1005">
          <cell r="A1005">
            <v>40945</v>
          </cell>
          <cell r="CF1005">
            <v>16.647195874276147</v>
          </cell>
          <cell r="CG1005">
            <v>22.085252262534414</v>
          </cell>
          <cell r="CH1005">
            <v>18.555263085067214</v>
          </cell>
          <cell r="CI1005">
            <v>14.926604548033502</v>
          </cell>
          <cell r="CJ1005">
            <v>22.183921622100925</v>
          </cell>
          <cell r="CU1005">
            <v>9.8850539624349967</v>
          </cell>
          <cell r="CV1005">
            <v>13.67289934744978</v>
          </cell>
          <cell r="CW1005">
            <v>11.062153668663059</v>
          </cell>
          <cell r="CX1005">
            <v>8.6510321273089765</v>
          </cell>
          <cell r="CY1005">
            <v>13.473275210017142</v>
          </cell>
        </row>
        <row r="1006">
          <cell r="A1006">
            <v>40946</v>
          </cell>
          <cell r="CF1006">
            <v>16.553684191321743</v>
          </cell>
          <cell r="CG1006">
            <v>22.085252262534414</v>
          </cell>
          <cell r="CH1006">
            <v>18.555263085067214</v>
          </cell>
          <cell r="CI1006">
            <v>14.926604548033502</v>
          </cell>
          <cell r="CJ1006">
            <v>22.183921622100925</v>
          </cell>
          <cell r="CU1006">
            <v>9.8356676191278449</v>
          </cell>
          <cell r="CV1006">
            <v>13.67289934744978</v>
          </cell>
          <cell r="CW1006">
            <v>11.062153668663059</v>
          </cell>
          <cell r="CX1006">
            <v>8.6510321273089765</v>
          </cell>
          <cell r="CY1006">
            <v>13.473275210017142</v>
          </cell>
        </row>
        <row r="1007">
          <cell r="A1007">
            <v>40947</v>
          </cell>
          <cell r="CF1007">
            <v>16.407716387156086</v>
          </cell>
          <cell r="CG1007">
            <v>22.085252262534414</v>
          </cell>
          <cell r="CH1007">
            <v>18.555263085067214</v>
          </cell>
          <cell r="CI1007">
            <v>14.926604548033502</v>
          </cell>
          <cell r="CJ1007">
            <v>22.183921622100925</v>
          </cell>
          <cell r="CU1007">
            <v>9.7578215150453591</v>
          </cell>
          <cell r="CV1007">
            <v>13.67289934744978</v>
          </cell>
          <cell r="CW1007">
            <v>11.062153668663059</v>
          </cell>
          <cell r="CX1007">
            <v>8.6510321273089765</v>
          </cell>
          <cell r="CY1007">
            <v>13.473275210017142</v>
          </cell>
        </row>
        <row r="1008">
          <cell r="A1008">
            <v>40948</v>
          </cell>
          <cell r="CF1008">
            <v>16.251045665742868</v>
          </cell>
          <cell r="CG1008">
            <v>22.085252262534414</v>
          </cell>
          <cell r="CH1008">
            <v>18.555263085067214</v>
          </cell>
          <cell r="CI1008">
            <v>14.926604548033502</v>
          </cell>
          <cell r="CJ1008">
            <v>22.183921622100925</v>
          </cell>
          <cell r="CU1008">
            <v>10.17030141791553</v>
          </cell>
          <cell r="CV1008">
            <v>13.67289934744978</v>
          </cell>
          <cell r="CW1008">
            <v>11.062153668663059</v>
          </cell>
          <cell r="CX1008">
            <v>8.6510321273089765</v>
          </cell>
          <cell r="CY1008">
            <v>13.473275210017142</v>
          </cell>
        </row>
        <row r="1009">
          <cell r="A1009">
            <v>40949</v>
          </cell>
          <cell r="CF1009">
            <v>16.244205267435998</v>
          </cell>
          <cell r="CG1009">
            <v>22.085252262534414</v>
          </cell>
          <cell r="CH1009">
            <v>18.555263085067214</v>
          </cell>
          <cell r="CI1009">
            <v>14.926604548033502</v>
          </cell>
          <cell r="CJ1009">
            <v>22.183921622100925</v>
          </cell>
          <cell r="CU1009">
            <v>10.166466220924578</v>
          </cell>
          <cell r="CV1009">
            <v>13.67289934744978</v>
          </cell>
          <cell r="CW1009">
            <v>11.062153668663059</v>
          </cell>
          <cell r="CX1009">
            <v>8.6510321273089765</v>
          </cell>
          <cell r="CY1009">
            <v>13.473275210017142</v>
          </cell>
        </row>
        <row r="1010">
          <cell r="A1010">
            <v>40952</v>
          </cell>
          <cell r="CF1010">
            <v>16.442582290836281</v>
          </cell>
          <cell r="CG1010">
            <v>22.085252262534414</v>
          </cell>
          <cell r="CH1010">
            <v>18.555263085067214</v>
          </cell>
          <cell r="CI1010">
            <v>14.926604548033502</v>
          </cell>
          <cell r="CJ1010">
            <v>22.183921622100925</v>
          </cell>
          <cell r="CU1010">
            <v>10.285504181955517</v>
          </cell>
          <cell r="CV1010">
            <v>13.67289934744978</v>
          </cell>
          <cell r="CW1010">
            <v>11.062153668663059</v>
          </cell>
          <cell r="CX1010">
            <v>8.6510321273089765</v>
          </cell>
          <cell r="CY1010">
            <v>13.473275210017142</v>
          </cell>
        </row>
        <row r="1011">
          <cell r="A1011">
            <v>40953</v>
          </cell>
          <cell r="CF1011">
            <v>16.67972582769854</v>
          </cell>
          <cell r="CG1011">
            <v>22.085252262534414</v>
          </cell>
          <cell r="CH1011">
            <v>18.555263085067214</v>
          </cell>
          <cell r="CI1011">
            <v>14.926604548033502</v>
          </cell>
          <cell r="CJ1011">
            <v>22.183921622100925</v>
          </cell>
          <cell r="CU1011">
            <v>10.418564221692966</v>
          </cell>
          <cell r="CV1011">
            <v>13.67289934744978</v>
          </cell>
          <cell r="CW1011">
            <v>11.062153668663059</v>
          </cell>
          <cell r="CX1011">
            <v>8.6510321273089765</v>
          </cell>
          <cell r="CY1011">
            <v>13.473275210017142</v>
          </cell>
        </row>
        <row r="1012">
          <cell r="A1012">
            <v>40954</v>
          </cell>
          <cell r="CF1012">
            <v>16.662411253795401</v>
          </cell>
          <cell r="CG1012">
            <v>22.085252262534414</v>
          </cell>
          <cell r="CH1012">
            <v>18.555263085067214</v>
          </cell>
          <cell r="CI1012">
            <v>14.926604548033502</v>
          </cell>
          <cell r="CJ1012">
            <v>22.183921622100925</v>
          </cell>
          <cell r="CU1012">
            <v>10.352075208637356</v>
          </cell>
          <cell r="CV1012">
            <v>13.67289934744978</v>
          </cell>
          <cell r="CW1012">
            <v>11.062153668663059</v>
          </cell>
          <cell r="CX1012">
            <v>8.6510321273089765</v>
          </cell>
          <cell r="CY1012">
            <v>13.473275210017142</v>
          </cell>
        </row>
        <row r="1013">
          <cell r="A1013">
            <v>40955</v>
          </cell>
          <cell r="CF1013">
            <v>17.218767857997985</v>
          </cell>
          <cell r="CG1013">
            <v>22.085252262534414</v>
          </cell>
          <cell r="CH1013">
            <v>18.555263085067214</v>
          </cell>
          <cell r="CI1013">
            <v>14.926604548033502</v>
          </cell>
          <cell r="CJ1013">
            <v>22.183921622100925</v>
          </cell>
          <cell r="CU1013">
            <v>10.72316409201337</v>
          </cell>
          <cell r="CV1013">
            <v>13.67289934744978</v>
          </cell>
          <cell r="CW1013">
            <v>11.062153668663059</v>
          </cell>
          <cell r="CX1013">
            <v>8.6510321273089765</v>
          </cell>
          <cell r="CY1013">
            <v>13.473275210017142</v>
          </cell>
        </row>
        <row r="1014">
          <cell r="A1014">
            <v>40956</v>
          </cell>
          <cell r="CF1014">
            <v>17.018522027297266</v>
          </cell>
          <cell r="CG1014">
            <v>22.085252262534414</v>
          </cell>
          <cell r="CH1014">
            <v>18.555263085067214</v>
          </cell>
          <cell r="CI1014">
            <v>14.926604548033502</v>
          </cell>
          <cell r="CJ1014">
            <v>22.183921622100925</v>
          </cell>
          <cell r="CU1014">
            <v>10.525142099650184</v>
          </cell>
          <cell r="CV1014">
            <v>13.67289934744978</v>
          </cell>
          <cell r="CW1014">
            <v>11.062153668663059</v>
          </cell>
          <cell r="CX1014">
            <v>8.6510321273089765</v>
          </cell>
          <cell r="CY1014">
            <v>13.473275210017142</v>
          </cell>
        </row>
        <row r="1015">
          <cell r="A1015">
            <v>40959</v>
          </cell>
          <cell r="CF1015">
            <v>17.018522027297266</v>
          </cell>
          <cell r="CG1015">
            <v>22.085252262534414</v>
          </cell>
          <cell r="CH1015">
            <v>18.555263085067214</v>
          </cell>
          <cell r="CI1015">
            <v>14.926604548033502</v>
          </cell>
          <cell r="CJ1015">
            <v>22.183921622100925</v>
          </cell>
          <cell r="CU1015">
            <v>10.525142099650184</v>
          </cell>
          <cell r="CV1015">
            <v>13.67289934744978</v>
          </cell>
          <cell r="CW1015">
            <v>11.062153668663059</v>
          </cell>
          <cell r="CX1015">
            <v>8.6510321273089765</v>
          </cell>
          <cell r="CY1015">
            <v>13.473275210017142</v>
          </cell>
        </row>
        <row r="1016">
          <cell r="A1016">
            <v>40960</v>
          </cell>
          <cell r="CF1016">
            <v>16.900194707625566</v>
          </cell>
          <cell r="CG1016">
            <v>22.085252262534414</v>
          </cell>
          <cell r="CH1016">
            <v>18.555263085067214</v>
          </cell>
          <cell r="CI1016">
            <v>14.926604548033502</v>
          </cell>
          <cell r="CJ1016">
            <v>22.183921622100925</v>
          </cell>
          <cell r="CU1016">
            <v>10.458849229631479</v>
          </cell>
          <cell r="CV1016">
            <v>13.67289934744978</v>
          </cell>
          <cell r="CW1016">
            <v>11.062153668663059</v>
          </cell>
          <cell r="CX1016">
            <v>8.6510321273089765</v>
          </cell>
          <cell r="CY1016">
            <v>13.473275210017142</v>
          </cell>
        </row>
        <row r="1017">
          <cell r="A1017">
            <v>40961</v>
          </cell>
          <cell r="CF1017">
            <v>16.841032640645228</v>
          </cell>
          <cell r="CG1017">
            <v>22.085252262534414</v>
          </cell>
          <cell r="CH1017">
            <v>18.555263085067214</v>
          </cell>
          <cell r="CI1017">
            <v>14.926604548033502</v>
          </cell>
          <cell r="CJ1017">
            <v>22.183921622100925</v>
          </cell>
          <cell r="CU1017">
            <v>10.425703687019281</v>
          </cell>
          <cell r="CV1017">
            <v>13.67289934744978</v>
          </cell>
          <cell r="CW1017">
            <v>11.062153668663059</v>
          </cell>
          <cell r="CX1017">
            <v>8.6510321273089765</v>
          </cell>
          <cell r="CY1017">
            <v>13.473275210017142</v>
          </cell>
        </row>
        <row r="1018">
          <cell r="A1018">
            <v>40962</v>
          </cell>
          <cell r="CF1018">
            <v>16.868337597384034</v>
          </cell>
          <cell r="CG1018">
            <v>22.085252262534414</v>
          </cell>
          <cell r="CH1018">
            <v>18.555263085067214</v>
          </cell>
          <cell r="CI1018">
            <v>14.926604548033502</v>
          </cell>
          <cell r="CJ1018">
            <v>22.183921622100925</v>
          </cell>
          <cell r="CU1018">
            <v>10.441001286533698</v>
          </cell>
          <cell r="CV1018">
            <v>13.67289934744978</v>
          </cell>
          <cell r="CW1018">
            <v>11.062153668663059</v>
          </cell>
          <cell r="CX1018">
            <v>8.6510321273089765</v>
          </cell>
          <cell r="CY1018">
            <v>13.473275210017142</v>
          </cell>
        </row>
        <row r="1019">
          <cell r="A1019">
            <v>40963</v>
          </cell>
          <cell r="CF1019">
            <v>17.007143805272928</v>
          </cell>
          <cell r="CG1019">
            <v>22.085252262534414</v>
          </cell>
          <cell r="CH1019">
            <v>18.555263085067214</v>
          </cell>
          <cell r="CI1019">
            <v>14.926604548033502</v>
          </cell>
          <cell r="CJ1019">
            <v>22.183921622100925</v>
          </cell>
          <cell r="CU1019">
            <v>10.518767451802198</v>
          </cell>
          <cell r="CV1019">
            <v>13.67289934744978</v>
          </cell>
          <cell r="CW1019">
            <v>11.062153668663059</v>
          </cell>
          <cell r="CX1019">
            <v>8.6510321273089765</v>
          </cell>
          <cell r="CY1019">
            <v>13.473275210017142</v>
          </cell>
        </row>
        <row r="1020">
          <cell r="A1020">
            <v>40966</v>
          </cell>
          <cell r="CF1020">
            <v>16.909298559529443</v>
          </cell>
          <cell r="CG1020">
            <v>22.085252262534414</v>
          </cell>
          <cell r="CH1020">
            <v>18.555263085067214</v>
          </cell>
          <cell r="CI1020">
            <v>14.926604548033502</v>
          </cell>
          <cell r="CJ1020">
            <v>22.183921622100925</v>
          </cell>
          <cell r="CU1020">
            <v>10.454225866209665</v>
          </cell>
          <cell r="CV1020">
            <v>13.67289934744978</v>
          </cell>
          <cell r="CW1020">
            <v>11.062153668663059</v>
          </cell>
          <cell r="CX1020">
            <v>8.6510321273089765</v>
          </cell>
          <cell r="CY1020">
            <v>13.473275210017142</v>
          </cell>
        </row>
        <row r="1021">
          <cell r="A1021">
            <v>40967</v>
          </cell>
          <cell r="CF1021">
            <v>17.084510162799216</v>
          </cell>
          <cell r="CG1021">
            <v>22.085252262534414</v>
          </cell>
          <cell r="CH1021">
            <v>18.555263085067214</v>
          </cell>
          <cell r="CI1021">
            <v>14.926604548033502</v>
          </cell>
          <cell r="CJ1021">
            <v>22.183921622100925</v>
          </cell>
          <cell r="CU1021">
            <v>10.552296932007552</v>
          </cell>
          <cell r="CV1021">
            <v>13.67289934744978</v>
          </cell>
          <cell r="CW1021">
            <v>11.062153668663059</v>
          </cell>
          <cell r="CX1021">
            <v>8.6510321273089765</v>
          </cell>
          <cell r="CY1021">
            <v>13.473275210017142</v>
          </cell>
        </row>
        <row r="1022">
          <cell r="A1022">
            <v>40968</v>
          </cell>
          <cell r="CF1022">
            <v>16.843307010765685</v>
          </cell>
          <cell r="CG1022">
            <v>22.085252262534414</v>
          </cell>
          <cell r="CH1022">
            <v>18.555263085067214</v>
          </cell>
          <cell r="CI1022">
            <v>14.926604548033502</v>
          </cell>
          <cell r="CJ1022">
            <v>22.183921622100925</v>
          </cell>
          <cell r="CU1022">
            <v>10.417288463662469</v>
          </cell>
          <cell r="CV1022">
            <v>13.67289934744978</v>
          </cell>
          <cell r="CW1022">
            <v>11.062153668663059</v>
          </cell>
          <cell r="CX1022">
            <v>8.6510321273089765</v>
          </cell>
          <cell r="CY1022">
            <v>13.473275210017142</v>
          </cell>
        </row>
        <row r="1023">
          <cell r="A1023">
            <v>40969</v>
          </cell>
          <cell r="CF1023">
            <v>16.661869779770466</v>
          </cell>
          <cell r="CG1023">
            <v>22.085252262534414</v>
          </cell>
          <cell r="CH1023">
            <v>18.555263085067214</v>
          </cell>
          <cell r="CI1023">
            <v>14.926604548033502</v>
          </cell>
          <cell r="CJ1023">
            <v>22.183921622100925</v>
          </cell>
          <cell r="CU1023">
            <v>10.287495507595741</v>
          </cell>
          <cell r="CV1023">
            <v>13.67289934744978</v>
          </cell>
          <cell r="CW1023">
            <v>11.062153668663059</v>
          </cell>
          <cell r="CX1023">
            <v>8.6510321273089765</v>
          </cell>
          <cell r="CY1023">
            <v>13.473275210017142</v>
          </cell>
        </row>
        <row r="1024">
          <cell r="A1024">
            <v>40970</v>
          </cell>
          <cell r="CF1024">
            <v>16.494937484138397</v>
          </cell>
          <cell r="CG1024">
            <v>22.085252262534414</v>
          </cell>
          <cell r="CH1024">
            <v>18.555263085067214</v>
          </cell>
          <cell r="CI1024">
            <v>14.926604548033502</v>
          </cell>
          <cell r="CJ1024">
            <v>22.183921622100925</v>
          </cell>
          <cell r="CU1024">
            <v>10.194237178506155</v>
          </cell>
          <cell r="CV1024">
            <v>13.67289934744978</v>
          </cell>
          <cell r="CW1024">
            <v>11.062153668663059</v>
          </cell>
          <cell r="CX1024">
            <v>8.6510321273089765</v>
          </cell>
          <cell r="CY1024">
            <v>13.473275210017142</v>
          </cell>
        </row>
        <row r="1025">
          <cell r="A1025">
            <v>40973</v>
          </cell>
          <cell r="CF1025">
            <v>16.497192002932636</v>
          </cell>
          <cell r="CG1025">
            <v>22.085252262534414</v>
          </cell>
          <cell r="CH1025">
            <v>18.555263085067214</v>
          </cell>
          <cell r="CI1025">
            <v>14.926604548033502</v>
          </cell>
          <cell r="CJ1025">
            <v>22.183921622100925</v>
          </cell>
          <cell r="CU1025">
            <v>10.195496687068328</v>
          </cell>
          <cell r="CV1025">
            <v>13.67289934744978</v>
          </cell>
          <cell r="CW1025">
            <v>11.062153668663059</v>
          </cell>
          <cell r="CX1025">
            <v>8.6510321273089765</v>
          </cell>
          <cell r="CY1025">
            <v>13.473275210017142</v>
          </cell>
        </row>
        <row r="1026">
          <cell r="A1026">
            <v>40974</v>
          </cell>
          <cell r="CF1026">
            <v>16.251302822660236</v>
          </cell>
          <cell r="CG1026">
            <v>22.085252262534414</v>
          </cell>
          <cell r="CH1026">
            <v>18.555263085067214</v>
          </cell>
          <cell r="CI1026">
            <v>14.926604548033502</v>
          </cell>
          <cell r="CJ1026">
            <v>22.183921622100925</v>
          </cell>
          <cell r="CU1026">
            <v>10.056219027307677</v>
          </cell>
          <cell r="CV1026">
            <v>13.67289934744978</v>
          </cell>
          <cell r="CW1026">
            <v>11.062153668663059</v>
          </cell>
          <cell r="CX1026">
            <v>8.6510321273089765</v>
          </cell>
          <cell r="CY1026">
            <v>13.473275210017142</v>
          </cell>
        </row>
        <row r="1027">
          <cell r="A1027">
            <v>40975</v>
          </cell>
          <cell r="CF1027">
            <v>16.29416484786961</v>
          </cell>
          <cell r="CG1027">
            <v>22.085252262534414</v>
          </cell>
          <cell r="CH1027">
            <v>18.555263085067214</v>
          </cell>
          <cell r="CI1027">
            <v>14.926604548033502</v>
          </cell>
          <cell r="CJ1027">
            <v>22.183921622100925</v>
          </cell>
          <cell r="CU1027">
            <v>10.080159763586918</v>
          </cell>
          <cell r="CV1027">
            <v>13.67289934744978</v>
          </cell>
          <cell r="CW1027">
            <v>11.062153668663059</v>
          </cell>
          <cell r="CX1027">
            <v>8.6510321273089765</v>
          </cell>
          <cell r="CY1027">
            <v>13.473275210017142</v>
          </cell>
        </row>
        <row r="1028">
          <cell r="A1028">
            <v>40976</v>
          </cell>
          <cell r="CF1028">
            <v>16.526519470997943</v>
          </cell>
          <cell r="CG1028">
            <v>22.085252262534414</v>
          </cell>
          <cell r="CH1028">
            <v>18.555263085067214</v>
          </cell>
          <cell r="CI1028">
            <v>14.926604548033502</v>
          </cell>
          <cell r="CJ1028">
            <v>22.183921622100925</v>
          </cell>
          <cell r="CU1028">
            <v>10.209942262859988</v>
          </cell>
          <cell r="CV1028">
            <v>13.67289934744978</v>
          </cell>
          <cell r="CW1028">
            <v>11.062153668663059</v>
          </cell>
          <cell r="CX1028">
            <v>8.6510321273089765</v>
          </cell>
          <cell r="CY1028">
            <v>13.473275210017142</v>
          </cell>
        </row>
        <row r="1029">
          <cell r="A1029">
            <v>40977</v>
          </cell>
          <cell r="CF1029">
            <v>16.677662465104472</v>
          </cell>
          <cell r="CG1029">
            <v>22.085252262534414</v>
          </cell>
          <cell r="CH1029">
            <v>18.555263085067214</v>
          </cell>
          <cell r="CI1029">
            <v>14.926604548033502</v>
          </cell>
          <cell r="CJ1029">
            <v>22.183921622100925</v>
          </cell>
          <cell r="CU1029">
            <v>10.294363718558447</v>
          </cell>
          <cell r="CV1029">
            <v>13.67289934744978</v>
          </cell>
          <cell r="CW1029">
            <v>11.062153668663059</v>
          </cell>
          <cell r="CX1029">
            <v>8.6510321273089765</v>
          </cell>
          <cell r="CY1029">
            <v>13.473275210017142</v>
          </cell>
        </row>
        <row r="1030">
          <cell r="A1030">
            <v>40980</v>
          </cell>
          <cell r="CF1030">
            <v>16.580661534557144</v>
          </cell>
          <cell r="CG1030">
            <v>22.085252262534414</v>
          </cell>
          <cell r="CH1030">
            <v>18.555263085067214</v>
          </cell>
          <cell r="CI1030">
            <v>14.926604548033502</v>
          </cell>
          <cell r="CJ1030">
            <v>22.183921622100925</v>
          </cell>
          <cell r="CU1030">
            <v>10.240183504587439</v>
          </cell>
          <cell r="CV1030">
            <v>13.67289934744978</v>
          </cell>
          <cell r="CW1030">
            <v>11.062153668663059</v>
          </cell>
          <cell r="CX1030">
            <v>8.6510321273089765</v>
          </cell>
          <cell r="CY1030">
            <v>13.473275210017142</v>
          </cell>
        </row>
        <row r="1031">
          <cell r="A1031">
            <v>40981</v>
          </cell>
          <cell r="CF1031">
            <v>16.977693934523305</v>
          </cell>
          <cell r="CG1031">
            <v>22.085252262534414</v>
          </cell>
          <cell r="CH1031">
            <v>18.555263085067214</v>
          </cell>
          <cell r="CI1031">
            <v>14.926604548033502</v>
          </cell>
          <cell r="CJ1031">
            <v>22.183921622100925</v>
          </cell>
          <cell r="CU1031">
            <v>10.461947360482549</v>
          </cell>
          <cell r="CV1031">
            <v>13.67289934744978</v>
          </cell>
          <cell r="CW1031">
            <v>11.062153668663059</v>
          </cell>
          <cell r="CX1031">
            <v>8.6510321273089765</v>
          </cell>
          <cell r="CY1031">
            <v>13.473275210017142</v>
          </cell>
        </row>
        <row r="1032">
          <cell r="A1032">
            <v>40982</v>
          </cell>
          <cell r="CF1032">
            <v>17.057149685801189</v>
          </cell>
          <cell r="CG1032">
            <v>22.085252262534414</v>
          </cell>
          <cell r="CH1032">
            <v>18.555263085067214</v>
          </cell>
          <cell r="CI1032">
            <v>14.926604548033502</v>
          </cell>
          <cell r="CJ1032">
            <v>22.183921622100925</v>
          </cell>
          <cell r="CU1032">
            <v>10.5110882285164</v>
          </cell>
          <cell r="CV1032">
            <v>13.67289934744978</v>
          </cell>
          <cell r="CW1032">
            <v>11.062153668663059</v>
          </cell>
          <cell r="CX1032">
            <v>8.6510321273089765</v>
          </cell>
          <cell r="CY1032">
            <v>13.473275210017142</v>
          </cell>
        </row>
        <row r="1033">
          <cell r="A1033">
            <v>40983</v>
          </cell>
          <cell r="CF1033">
            <v>17.224002218669742</v>
          </cell>
          <cell r="CG1033">
            <v>22.085252262534414</v>
          </cell>
          <cell r="CH1033">
            <v>18.555263085067214</v>
          </cell>
          <cell r="CI1033">
            <v>14.926604548033502</v>
          </cell>
          <cell r="CJ1033">
            <v>22.183921622100925</v>
          </cell>
          <cell r="CU1033">
            <v>10.604330870652038</v>
          </cell>
          <cell r="CV1033">
            <v>13.67289934744978</v>
          </cell>
          <cell r="CW1033">
            <v>11.062153668663059</v>
          </cell>
          <cell r="CX1033">
            <v>8.6510321273089765</v>
          </cell>
          <cell r="CY1033">
            <v>13.473275210017142</v>
          </cell>
        </row>
        <row r="1034">
          <cell r="A1034">
            <v>40984</v>
          </cell>
          <cell r="CF1034">
            <v>17.196943015812529</v>
          </cell>
          <cell r="CG1034">
            <v>22.085252262534414</v>
          </cell>
          <cell r="CH1034">
            <v>18.555263085067214</v>
          </cell>
          <cell r="CI1034">
            <v>14.926604548033502</v>
          </cell>
          <cell r="CJ1034">
            <v>22.183921622100925</v>
          </cell>
          <cell r="CU1034">
            <v>10.638545242574834</v>
          </cell>
          <cell r="CV1034">
            <v>13.67289934744978</v>
          </cell>
          <cell r="CW1034">
            <v>11.062153668663059</v>
          </cell>
          <cell r="CX1034">
            <v>8.6510321273089765</v>
          </cell>
          <cell r="CY1034">
            <v>13.473275210017142</v>
          </cell>
        </row>
        <row r="1035">
          <cell r="A1035">
            <v>40987</v>
          </cell>
          <cell r="CF1035">
            <v>17.302916288057286</v>
          </cell>
          <cell r="CG1035">
            <v>22.085252262534414</v>
          </cell>
          <cell r="CH1035">
            <v>18.555263085067214</v>
          </cell>
          <cell r="CI1035">
            <v>14.926604548033502</v>
          </cell>
          <cell r="CJ1035">
            <v>22.183921622100925</v>
          </cell>
          <cell r="CU1035">
            <v>10.698070590946962</v>
          </cell>
          <cell r="CV1035">
            <v>13.67289934744978</v>
          </cell>
          <cell r="CW1035">
            <v>11.062153668663059</v>
          </cell>
          <cell r="CX1035">
            <v>8.6510321273089765</v>
          </cell>
          <cell r="CY1035">
            <v>13.473275210017142</v>
          </cell>
        </row>
        <row r="1036">
          <cell r="A1036">
            <v>40988</v>
          </cell>
          <cell r="CF1036">
            <v>17.176650981152576</v>
          </cell>
          <cell r="CG1036">
            <v>22.085252262534414</v>
          </cell>
          <cell r="CH1036">
            <v>18.555263085067214</v>
          </cell>
          <cell r="CI1036">
            <v>14.926604548033502</v>
          </cell>
          <cell r="CJ1036">
            <v>22.183921622100925</v>
          </cell>
          <cell r="CU1036">
            <v>10.627147175810194</v>
          </cell>
          <cell r="CV1036">
            <v>13.67289934744978</v>
          </cell>
          <cell r="CW1036">
            <v>11.062153668663059</v>
          </cell>
          <cell r="CX1036">
            <v>8.6510321273089765</v>
          </cell>
          <cell r="CY1036">
            <v>13.473275210017142</v>
          </cell>
        </row>
        <row r="1037">
          <cell r="A1037">
            <v>40989</v>
          </cell>
          <cell r="CF1037">
            <v>17.106754541621477</v>
          </cell>
          <cell r="CG1037">
            <v>22.085252262534414</v>
          </cell>
          <cell r="CH1037">
            <v>18.555263085067214</v>
          </cell>
          <cell r="CI1037">
            <v>14.926604548033502</v>
          </cell>
          <cell r="CJ1037">
            <v>22.183921622100925</v>
          </cell>
          <cell r="CU1037">
            <v>10.587886239303007</v>
          </cell>
          <cell r="CV1037">
            <v>13.67289934744978</v>
          </cell>
          <cell r="CW1037">
            <v>11.062153668663059</v>
          </cell>
          <cell r="CX1037">
            <v>8.6510321273089765</v>
          </cell>
          <cell r="CY1037">
            <v>13.473275210017142</v>
          </cell>
        </row>
        <row r="1038">
          <cell r="A1038">
            <v>40990</v>
          </cell>
          <cell r="CF1038">
            <v>16.937648615924363</v>
          </cell>
          <cell r="CG1038">
            <v>22.085252262534414</v>
          </cell>
          <cell r="CH1038">
            <v>18.555263085067214</v>
          </cell>
          <cell r="CI1038">
            <v>14.926604548033502</v>
          </cell>
          <cell r="CJ1038">
            <v>22.183921622100925</v>
          </cell>
          <cell r="CU1038">
            <v>10.492899183362493</v>
          </cell>
          <cell r="CV1038">
            <v>13.67289934744978</v>
          </cell>
          <cell r="CW1038">
            <v>11.062153668663059</v>
          </cell>
          <cell r="CX1038">
            <v>8.6510321273089765</v>
          </cell>
          <cell r="CY1038">
            <v>13.473275210017142</v>
          </cell>
        </row>
        <row r="1039">
          <cell r="A1039">
            <v>40991</v>
          </cell>
          <cell r="CF1039">
            <v>16.996270650651958</v>
          </cell>
          <cell r="CG1039">
            <v>22.085252262534414</v>
          </cell>
          <cell r="CH1039">
            <v>18.555263085067214</v>
          </cell>
          <cell r="CI1039">
            <v>14.926604548033502</v>
          </cell>
          <cell r="CJ1039">
            <v>22.183921622100925</v>
          </cell>
          <cell r="CU1039">
            <v>10.525827269525424</v>
          </cell>
          <cell r="CV1039">
            <v>13.67289934744978</v>
          </cell>
          <cell r="CW1039">
            <v>11.062153668663059</v>
          </cell>
          <cell r="CX1039">
            <v>8.6510321273089765</v>
          </cell>
          <cell r="CY1039">
            <v>13.473275210017142</v>
          </cell>
        </row>
        <row r="1040">
          <cell r="A1040">
            <v>40994</v>
          </cell>
          <cell r="CF1040">
            <v>17.262337023814087</v>
          </cell>
          <cell r="CG1040">
            <v>22.085252262534414</v>
          </cell>
          <cell r="CH1040">
            <v>18.555263085067214</v>
          </cell>
          <cell r="CI1040">
            <v>14.926604548033502</v>
          </cell>
          <cell r="CJ1040">
            <v>22.183921622100925</v>
          </cell>
          <cell r="CU1040">
            <v>10.740664593381467</v>
          </cell>
          <cell r="CV1040">
            <v>13.67289934744978</v>
          </cell>
          <cell r="CW1040">
            <v>11.062153668663059</v>
          </cell>
          <cell r="CX1040">
            <v>8.6510321273089765</v>
          </cell>
          <cell r="CY1040">
            <v>13.473275210017142</v>
          </cell>
        </row>
        <row r="1041">
          <cell r="A1041">
            <v>40995</v>
          </cell>
          <cell r="CF1041">
            <v>17.237614327527108</v>
          </cell>
          <cell r="CG1041">
            <v>22.085252262534414</v>
          </cell>
          <cell r="CH1041">
            <v>18.555263085067214</v>
          </cell>
          <cell r="CI1041">
            <v>14.926604548033502</v>
          </cell>
          <cell r="CJ1041">
            <v>22.183921622100925</v>
          </cell>
          <cell r="CU1041">
            <v>10.677500707757323</v>
          </cell>
          <cell r="CV1041">
            <v>13.67289934744978</v>
          </cell>
          <cell r="CW1041">
            <v>11.062153668663059</v>
          </cell>
          <cell r="CX1041">
            <v>8.6510321273089765</v>
          </cell>
          <cell r="CY1041">
            <v>13.473275210017142</v>
          </cell>
        </row>
        <row r="1042">
          <cell r="A1042">
            <v>40996</v>
          </cell>
          <cell r="CF1042">
            <v>17.194745460319357</v>
          </cell>
          <cell r="CG1042">
            <v>22.085252262534414</v>
          </cell>
          <cell r="CH1042">
            <v>18.555263085067214</v>
          </cell>
          <cell r="CI1042">
            <v>14.926604548033502</v>
          </cell>
          <cell r="CJ1042">
            <v>22.183921622100925</v>
          </cell>
          <cell r="CU1042">
            <v>10.653386273555885</v>
          </cell>
          <cell r="CV1042">
            <v>13.67289934744978</v>
          </cell>
          <cell r="CW1042">
            <v>11.062153668663059</v>
          </cell>
          <cell r="CX1042">
            <v>8.6510321273089765</v>
          </cell>
          <cell r="CY1042">
            <v>13.473275210017142</v>
          </cell>
        </row>
        <row r="1043">
          <cell r="A1043">
            <v>40997</v>
          </cell>
          <cell r="CF1043">
            <v>17.113520867611616</v>
          </cell>
          <cell r="CG1043">
            <v>22.085252262534414</v>
          </cell>
          <cell r="CH1043">
            <v>18.555263085067214</v>
          </cell>
          <cell r="CI1043">
            <v>14.926604548033502</v>
          </cell>
          <cell r="CJ1043">
            <v>22.183921622100925</v>
          </cell>
          <cell r="CU1043">
            <v>10.607696120678803</v>
          </cell>
          <cell r="CV1043">
            <v>13.67289934744978</v>
          </cell>
          <cell r="CW1043">
            <v>11.062153668663059</v>
          </cell>
          <cell r="CX1043">
            <v>8.6510321273089765</v>
          </cell>
          <cell r="CY1043">
            <v>13.473275210017142</v>
          </cell>
        </row>
        <row r="1044">
          <cell r="A1044">
            <v>40998</v>
          </cell>
          <cell r="CF1044">
            <v>17.075165367734858</v>
          </cell>
          <cell r="CG1044">
            <v>22.085252262534414</v>
          </cell>
          <cell r="CH1044">
            <v>18.555263085067214</v>
          </cell>
          <cell r="CI1044">
            <v>14.926604548033502</v>
          </cell>
          <cell r="CJ1044">
            <v>22.183921622100925</v>
          </cell>
          <cell r="CU1044">
            <v>10.586120528919894</v>
          </cell>
          <cell r="CV1044">
            <v>13.67289934744978</v>
          </cell>
          <cell r="CW1044">
            <v>11.062153668663059</v>
          </cell>
          <cell r="CX1044">
            <v>8.6510321273089765</v>
          </cell>
          <cell r="CY1044">
            <v>13.473275210017142</v>
          </cell>
        </row>
        <row r="1045">
          <cell r="A1045">
            <v>41001</v>
          </cell>
          <cell r="CF1045">
            <v>17.049926936337904</v>
          </cell>
          <cell r="CG1045">
            <v>22.085252262534414</v>
          </cell>
          <cell r="CH1045">
            <v>18.555263085067214</v>
          </cell>
          <cell r="CI1045">
            <v>14.926604548033502</v>
          </cell>
          <cell r="CJ1045">
            <v>22.183921622100925</v>
          </cell>
          <cell r="CU1045">
            <v>10.527650265390811</v>
          </cell>
          <cell r="CV1045">
            <v>13.67289934744978</v>
          </cell>
          <cell r="CW1045">
            <v>11.062153668663059</v>
          </cell>
          <cell r="CX1045">
            <v>8.6510321273089765</v>
          </cell>
          <cell r="CY1045">
            <v>13.473275210017142</v>
          </cell>
        </row>
        <row r="1046">
          <cell r="A1046">
            <v>41002</v>
          </cell>
          <cell r="CF1046">
            <v>17.150969406013164</v>
          </cell>
          <cell r="CG1046">
            <v>22.085252262534414</v>
          </cell>
          <cell r="CH1046">
            <v>18.555263085067214</v>
          </cell>
          <cell r="CI1046">
            <v>14.926604548033502</v>
          </cell>
          <cell r="CJ1046">
            <v>22.183921622100925</v>
          </cell>
          <cell r="CU1046">
            <v>10.597816089331401</v>
          </cell>
          <cell r="CV1046">
            <v>13.67289934744978</v>
          </cell>
          <cell r="CW1046">
            <v>11.062153668663059</v>
          </cell>
          <cell r="CX1046">
            <v>8.6510321273089765</v>
          </cell>
          <cell r="CY1046">
            <v>13.473275210017142</v>
          </cell>
        </row>
        <row r="1047">
          <cell r="A1047">
            <v>41003</v>
          </cell>
          <cell r="CF1047">
            <v>17.007839635020783</v>
          </cell>
          <cell r="CG1047">
            <v>22.085252262534414</v>
          </cell>
          <cell r="CH1047">
            <v>18.555263085067214</v>
          </cell>
          <cell r="CI1047">
            <v>14.926604548033502</v>
          </cell>
          <cell r="CJ1047">
            <v>22.183921622100925</v>
          </cell>
          <cell r="CU1047">
            <v>10.517472501980192</v>
          </cell>
          <cell r="CV1047">
            <v>13.67289934744978</v>
          </cell>
          <cell r="CW1047">
            <v>11.062153668663059</v>
          </cell>
          <cell r="CX1047">
            <v>8.6510321273089765</v>
          </cell>
          <cell r="CY1047">
            <v>13.473275210017142</v>
          </cell>
        </row>
        <row r="1048">
          <cell r="A1048">
            <v>41004</v>
          </cell>
          <cell r="CF1048">
            <v>17.016787258470213</v>
          </cell>
          <cell r="CG1048">
            <v>22.085252262534414</v>
          </cell>
          <cell r="CH1048">
            <v>18.555263085067214</v>
          </cell>
          <cell r="CI1048">
            <v>14.926604548033502</v>
          </cell>
          <cell r="CJ1048">
            <v>22.183921622100925</v>
          </cell>
          <cell r="CU1048">
            <v>10.52249510602134</v>
          </cell>
          <cell r="CV1048">
            <v>13.67289934744978</v>
          </cell>
          <cell r="CW1048">
            <v>11.062153668663059</v>
          </cell>
          <cell r="CX1048">
            <v>8.6510321273089765</v>
          </cell>
          <cell r="CY1048">
            <v>13.473275210017142</v>
          </cell>
        </row>
        <row r="1049">
          <cell r="A1049">
            <v>41005</v>
          </cell>
          <cell r="CF1049">
            <v>17.016787258470213</v>
          </cell>
          <cell r="CG1049">
            <v>22.085252262534414</v>
          </cell>
          <cell r="CH1049">
            <v>18.555263085067214</v>
          </cell>
          <cell r="CI1049">
            <v>14.926604548033502</v>
          </cell>
          <cell r="CJ1049">
            <v>22.183921622100925</v>
          </cell>
          <cell r="CU1049">
            <v>10.52249510602134</v>
          </cell>
          <cell r="CV1049">
            <v>13.67289934744978</v>
          </cell>
          <cell r="CW1049">
            <v>11.062153668663059</v>
          </cell>
          <cell r="CX1049">
            <v>8.6510321273089765</v>
          </cell>
          <cell r="CY1049">
            <v>13.473275210017142</v>
          </cell>
        </row>
        <row r="1050">
          <cell r="A1050">
            <v>41008</v>
          </cell>
          <cell r="CF1050">
            <v>16.748419608780299</v>
          </cell>
          <cell r="CG1050">
            <v>22.085252262534414</v>
          </cell>
          <cell r="CH1050">
            <v>18.555263085067214</v>
          </cell>
          <cell r="CI1050">
            <v>14.926604548033502</v>
          </cell>
          <cell r="CJ1050">
            <v>22.183921622100925</v>
          </cell>
          <cell r="CU1050">
            <v>10.245855001952529</v>
          </cell>
          <cell r="CV1050">
            <v>13.67289934744978</v>
          </cell>
          <cell r="CW1050">
            <v>11.062153668663059</v>
          </cell>
          <cell r="CX1050">
            <v>8.6510321273089765</v>
          </cell>
          <cell r="CY1050">
            <v>13.473275210017142</v>
          </cell>
        </row>
        <row r="1051">
          <cell r="A1051">
            <v>41009</v>
          </cell>
          <cell r="CF1051">
            <v>16.502413973045542</v>
          </cell>
          <cell r="CG1051">
            <v>22.085252262534414</v>
          </cell>
          <cell r="CH1051">
            <v>18.555263085067214</v>
          </cell>
          <cell r="CI1051">
            <v>14.926604548033502</v>
          </cell>
          <cell r="CJ1051">
            <v>22.183921622100925</v>
          </cell>
          <cell r="CU1051">
            <v>10.109441227767761</v>
          </cell>
          <cell r="CV1051">
            <v>13.67289934744978</v>
          </cell>
          <cell r="CW1051">
            <v>11.062153668663059</v>
          </cell>
          <cell r="CX1051">
            <v>8.6510321273089765</v>
          </cell>
          <cell r="CY1051">
            <v>13.473275210017142</v>
          </cell>
        </row>
        <row r="1052">
          <cell r="A1052">
            <v>41010</v>
          </cell>
          <cell r="CF1052">
            <v>16.600816137883339</v>
          </cell>
          <cell r="CG1052">
            <v>22.085252262534414</v>
          </cell>
          <cell r="CH1052">
            <v>18.555263085067214</v>
          </cell>
          <cell r="CI1052">
            <v>14.926604548033502</v>
          </cell>
          <cell r="CJ1052">
            <v>22.183921622100925</v>
          </cell>
          <cell r="CU1052">
            <v>10.322749615614004</v>
          </cell>
          <cell r="CV1052">
            <v>13.67289934744978</v>
          </cell>
          <cell r="CW1052">
            <v>11.062153668663059</v>
          </cell>
          <cell r="CX1052">
            <v>8.6510321273089765</v>
          </cell>
          <cell r="CY1052">
            <v>13.473275210017142</v>
          </cell>
        </row>
        <row r="1053">
          <cell r="A1053">
            <v>41011</v>
          </cell>
          <cell r="CF1053">
            <v>16.793104916464902</v>
          </cell>
          <cell r="CG1053">
            <v>22.085252262534414</v>
          </cell>
          <cell r="CH1053">
            <v>18.555263085067214</v>
          </cell>
          <cell r="CI1053">
            <v>14.926604548033502</v>
          </cell>
          <cell r="CJ1053">
            <v>22.183921622100925</v>
          </cell>
          <cell r="CU1053">
            <v>10.22993575800686</v>
          </cell>
          <cell r="CV1053">
            <v>13.67289934744978</v>
          </cell>
          <cell r="CW1053">
            <v>11.062153668663059</v>
          </cell>
          <cell r="CX1053">
            <v>8.6510321273089765</v>
          </cell>
          <cell r="CY1053">
            <v>13.473275210017142</v>
          </cell>
        </row>
        <row r="1054">
          <cell r="A1054">
            <v>41012</v>
          </cell>
          <cell r="CF1054">
            <v>16.479927238075867</v>
          </cell>
          <cell r="CG1054">
            <v>22.085252262534414</v>
          </cell>
          <cell r="CH1054">
            <v>18.555263085067214</v>
          </cell>
          <cell r="CI1054">
            <v>14.926604548033502</v>
          </cell>
          <cell r="CJ1054">
            <v>22.183921622100925</v>
          </cell>
          <cell r="CU1054">
            <v>10.05696649445083</v>
          </cell>
          <cell r="CV1054">
            <v>13.67289934744978</v>
          </cell>
          <cell r="CW1054">
            <v>11.062153668663059</v>
          </cell>
          <cell r="CX1054">
            <v>8.6510321273089765</v>
          </cell>
          <cell r="CY1054">
            <v>13.473275210017142</v>
          </cell>
        </row>
        <row r="1055">
          <cell r="A1055">
            <v>41015</v>
          </cell>
          <cell r="CF1055">
            <v>16.500059280316261</v>
          </cell>
          <cell r="CG1055">
            <v>22.085252262534414</v>
          </cell>
          <cell r="CH1055">
            <v>18.555263085067214</v>
          </cell>
          <cell r="CI1055">
            <v>14.926604548033502</v>
          </cell>
          <cell r="CJ1055">
            <v>22.183921622100925</v>
          </cell>
          <cell r="CU1055">
            <v>10.06808550056299</v>
          </cell>
          <cell r="CV1055">
            <v>13.67289934744978</v>
          </cell>
          <cell r="CW1055">
            <v>11.062153668663059</v>
          </cell>
          <cell r="CX1055">
            <v>8.6510321273089765</v>
          </cell>
          <cell r="CY1055">
            <v>13.473275210017142</v>
          </cell>
        </row>
        <row r="1056">
          <cell r="A1056">
            <v>41016</v>
          </cell>
          <cell r="CF1056">
            <v>16.826658245632462</v>
          </cell>
          <cell r="CG1056">
            <v>22.085252262534414</v>
          </cell>
          <cell r="CH1056">
            <v>18.555263085067214</v>
          </cell>
          <cell r="CI1056">
            <v>14.926604548033502</v>
          </cell>
          <cell r="CJ1056">
            <v>22.183921622100925</v>
          </cell>
          <cell r="CU1056">
            <v>10.350961893782786</v>
          </cell>
          <cell r="CV1056">
            <v>13.67289934744978</v>
          </cell>
          <cell r="CW1056">
            <v>11.062153668663059</v>
          </cell>
          <cell r="CX1056">
            <v>8.6510321273089765</v>
          </cell>
          <cell r="CY1056">
            <v>13.473275210017142</v>
          </cell>
        </row>
        <row r="1057">
          <cell r="A1057">
            <v>41017</v>
          </cell>
          <cell r="CF1057">
            <v>16.72823346153956</v>
          </cell>
          <cell r="CG1057">
            <v>22.085252262534414</v>
          </cell>
          <cell r="CH1057">
            <v>18.555263085067214</v>
          </cell>
          <cell r="CI1057">
            <v>14.926604548033502</v>
          </cell>
          <cell r="CJ1057">
            <v>22.183921622100925</v>
          </cell>
          <cell r="CU1057">
            <v>10.29459151961183</v>
          </cell>
          <cell r="CV1057">
            <v>13.67289934744978</v>
          </cell>
          <cell r="CW1057">
            <v>11.062153668663059</v>
          </cell>
          <cell r="CX1057">
            <v>8.6510321273089765</v>
          </cell>
          <cell r="CY1057">
            <v>13.473275210017142</v>
          </cell>
        </row>
        <row r="1058">
          <cell r="A1058">
            <v>41018</v>
          </cell>
          <cell r="CF1058">
            <v>16.585066132971505</v>
          </cell>
          <cell r="CG1058">
            <v>22.085252262534414</v>
          </cell>
          <cell r="CH1058">
            <v>18.555263085067214</v>
          </cell>
          <cell r="CI1058">
            <v>14.926604548033502</v>
          </cell>
          <cell r="CJ1058">
            <v>22.183921622100925</v>
          </cell>
          <cell r="CU1058">
            <v>10.214740220058992</v>
          </cell>
          <cell r="CV1058">
            <v>13.67289934744978</v>
          </cell>
          <cell r="CW1058">
            <v>11.062153668663059</v>
          </cell>
          <cell r="CX1058">
            <v>8.6510321273089765</v>
          </cell>
          <cell r="CY1058">
            <v>13.473275210017142</v>
          </cell>
        </row>
        <row r="1059">
          <cell r="A1059">
            <v>41019</v>
          </cell>
          <cell r="CF1059">
            <v>16.649937364197548</v>
          </cell>
          <cell r="CG1059">
            <v>22.085252262534414</v>
          </cell>
          <cell r="CH1059">
            <v>18.555263085067214</v>
          </cell>
          <cell r="CI1059">
            <v>14.926604548033502</v>
          </cell>
          <cell r="CJ1059">
            <v>22.183921622100925</v>
          </cell>
          <cell r="CU1059">
            <v>10.250922023329348</v>
          </cell>
          <cell r="CV1059">
            <v>13.67289934744978</v>
          </cell>
          <cell r="CW1059">
            <v>11.062153668663059</v>
          </cell>
          <cell r="CX1059">
            <v>8.6510321273089765</v>
          </cell>
          <cell r="CY1059">
            <v>13.473275210017142</v>
          </cell>
        </row>
        <row r="1060">
          <cell r="A1060">
            <v>41022</v>
          </cell>
          <cell r="CF1060">
            <v>16.394920385420619</v>
          </cell>
          <cell r="CG1060">
            <v>22.085252262534414</v>
          </cell>
          <cell r="CH1060">
            <v>18.555263085067214</v>
          </cell>
          <cell r="CI1060">
            <v>14.926604548033502</v>
          </cell>
          <cell r="CJ1060">
            <v>22.183921622100925</v>
          </cell>
          <cell r="CU1060">
            <v>10.108686798525978</v>
          </cell>
          <cell r="CV1060">
            <v>13.67289934744978</v>
          </cell>
          <cell r="CW1060">
            <v>11.062153668663059</v>
          </cell>
          <cell r="CX1060">
            <v>8.6510321273089765</v>
          </cell>
          <cell r="CY1060">
            <v>13.473275210017142</v>
          </cell>
        </row>
        <row r="1061">
          <cell r="A1061">
            <v>41023</v>
          </cell>
          <cell r="CF1061">
            <v>16.598487419898667</v>
          </cell>
          <cell r="CG1061">
            <v>22.085252262534414</v>
          </cell>
          <cell r="CH1061">
            <v>18.555263085067214</v>
          </cell>
          <cell r="CI1061">
            <v>14.926604548033502</v>
          </cell>
          <cell r="CJ1061">
            <v>22.183921622100925</v>
          </cell>
          <cell r="CU1061">
            <v>10.222225916785506</v>
          </cell>
          <cell r="CV1061">
            <v>13.67289934744978</v>
          </cell>
          <cell r="CW1061">
            <v>11.062153668663059</v>
          </cell>
          <cell r="CX1061">
            <v>8.6510321273089765</v>
          </cell>
          <cell r="CY1061">
            <v>13.473275210017142</v>
          </cell>
        </row>
        <row r="1062">
          <cell r="A1062">
            <v>41024</v>
          </cell>
          <cell r="CF1062">
            <v>16.920615083598122</v>
          </cell>
          <cell r="CG1062">
            <v>22.085252262534414</v>
          </cell>
          <cell r="CH1062">
            <v>18.555263085067214</v>
          </cell>
          <cell r="CI1062">
            <v>14.926604548033502</v>
          </cell>
          <cell r="CJ1062">
            <v>22.183921622100925</v>
          </cell>
          <cell r="CU1062">
            <v>10.363050906831056</v>
          </cell>
          <cell r="CV1062">
            <v>13.67289934744978</v>
          </cell>
          <cell r="CW1062">
            <v>11.062153668663059</v>
          </cell>
          <cell r="CX1062">
            <v>8.6510321273089765</v>
          </cell>
          <cell r="CY1062">
            <v>13.473275210017142</v>
          </cell>
        </row>
        <row r="1063">
          <cell r="A1063">
            <v>41025</v>
          </cell>
          <cell r="CF1063">
            <v>17.090785554563425</v>
          </cell>
          <cell r="CG1063">
            <v>22.085252262534414</v>
          </cell>
          <cell r="CH1063">
            <v>18.555263085067214</v>
          </cell>
          <cell r="CI1063">
            <v>14.926604548033502</v>
          </cell>
          <cell r="CJ1063">
            <v>22.183921622100925</v>
          </cell>
          <cell r="CU1063">
            <v>10.461210974479313</v>
          </cell>
          <cell r="CV1063">
            <v>13.67289934744978</v>
          </cell>
          <cell r="CW1063">
            <v>11.062153668663059</v>
          </cell>
          <cell r="CX1063">
            <v>8.6510321273089765</v>
          </cell>
          <cell r="CY1063">
            <v>13.473275210017142</v>
          </cell>
        </row>
        <row r="1064">
          <cell r="A1064">
            <v>41026</v>
          </cell>
          <cell r="CF1064">
            <v>17.283093470484733</v>
          </cell>
          <cell r="CG1064">
            <v>22.085252262534414</v>
          </cell>
          <cell r="CH1064">
            <v>18.555263085067214</v>
          </cell>
          <cell r="CI1064">
            <v>14.926604548033502</v>
          </cell>
          <cell r="CJ1064">
            <v>22.183921622100925</v>
          </cell>
          <cell r="CU1064">
            <v>10.568069840744672</v>
          </cell>
          <cell r="CV1064">
            <v>13.67289934744978</v>
          </cell>
          <cell r="CW1064">
            <v>11.062153668663059</v>
          </cell>
          <cell r="CX1064">
            <v>8.6510321273089765</v>
          </cell>
          <cell r="CY1064">
            <v>13.473275210017142</v>
          </cell>
        </row>
        <row r="1065">
          <cell r="A1065">
            <v>41029</v>
          </cell>
          <cell r="CF1065">
            <v>17.160105322005293</v>
          </cell>
          <cell r="CG1065">
            <v>22.085252262534414</v>
          </cell>
          <cell r="CH1065">
            <v>18.555263085067214</v>
          </cell>
          <cell r="CI1065">
            <v>14.926604548033502</v>
          </cell>
          <cell r="CJ1065">
            <v>22.183921622100925</v>
          </cell>
          <cell r="CU1065">
            <v>10.499729574835044</v>
          </cell>
          <cell r="CV1065">
            <v>13.67289934744978</v>
          </cell>
          <cell r="CW1065">
            <v>11.062153668663059</v>
          </cell>
          <cell r="CX1065">
            <v>8.6510321273089765</v>
          </cell>
          <cell r="CY1065">
            <v>13.473275210017142</v>
          </cell>
        </row>
        <row r="1066">
          <cell r="A1066">
            <v>41030</v>
          </cell>
          <cell r="CF1066">
            <v>16.957817731735489</v>
          </cell>
          <cell r="CG1066">
            <v>22.085252262534414</v>
          </cell>
          <cell r="CH1066">
            <v>18.555263085067214</v>
          </cell>
          <cell r="CI1066">
            <v>14.926604548033502</v>
          </cell>
          <cell r="CJ1066">
            <v>22.183921622100925</v>
          </cell>
          <cell r="CU1066">
            <v>10.326029710225118</v>
          </cell>
          <cell r="CV1066">
            <v>13.67289934744978</v>
          </cell>
          <cell r="CW1066">
            <v>11.062153668663059</v>
          </cell>
          <cell r="CX1066">
            <v>8.6510321273089765</v>
          </cell>
          <cell r="CY1066">
            <v>13.473275210017142</v>
          </cell>
        </row>
        <row r="1067">
          <cell r="A1067">
            <v>41031</v>
          </cell>
          <cell r="CF1067">
            <v>17.015488732313322</v>
          </cell>
          <cell r="CG1067">
            <v>22.085252262534414</v>
          </cell>
          <cell r="CH1067">
            <v>18.555263085067214</v>
          </cell>
          <cell r="CI1067">
            <v>14.926604548033502</v>
          </cell>
          <cell r="CJ1067">
            <v>22.183921622100925</v>
          </cell>
          <cell r="CU1067">
            <v>10.357910189035675</v>
          </cell>
          <cell r="CV1067">
            <v>13.67289934744978</v>
          </cell>
          <cell r="CW1067">
            <v>11.062153668663059</v>
          </cell>
          <cell r="CX1067">
            <v>8.6510321273089765</v>
          </cell>
          <cell r="CY1067">
            <v>13.473275210017142</v>
          </cell>
        </row>
        <row r="1068">
          <cell r="A1068">
            <v>41032</v>
          </cell>
          <cell r="CF1068">
            <v>16.933417993034503</v>
          </cell>
          <cell r="CG1068">
            <v>22.085252262534414</v>
          </cell>
          <cell r="CH1068">
            <v>18.555263085067214</v>
          </cell>
          <cell r="CI1068">
            <v>14.926604548033502</v>
          </cell>
          <cell r="CJ1068">
            <v>22.183921622100925</v>
          </cell>
          <cell r="CU1068">
            <v>10.312541555956146</v>
          </cell>
          <cell r="CV1068">
            <v>13.67289934744978</v>
          </cell>
          <cell r="CW1068">
            <v>11.062153668663059</v>
          </cell>
          <cell r="CX1068">
            <v>8.6510321273089765</v>
          </cell>
          <cell r="CY1068">
            <v>13.473275210017142</v>
          </cell>
        </row>
        <row r="1069">
          <cell r="A1069">
            <v>41033</v>
          </cell>
          <cell r="CF1069">
            <v>16.609565363019911</v>
          </cell>
          <cell r="CG1069">
            <v>22.085252262534414</v>
          </cell>
          <cell r="CH1069">
            <v>18.555263085067214</v>
          </cell>
          <cell r="CI1069">
            <v>14.926604548033502</v>
          </cell>
          <cell r="CJ1069">
            <v>22.183921622100925</v>
          </cell>
          <cell r="CU1069">
            <v>10.133516104594529</v>
          </cell>
          <cell r="CV1069">
            <v>13.67289934744978</v>
          </cell>
          <cell r="CW1069">
            <v>11.062153668663059</v>
          </cell>
          <cell r="CX1069">
            <v>8.6510321273089765</v>
          </cell>
          <cell r="CY1069">
            <v>13.473275210017142</v>
          </cell>
        </row>
        <row r="1070">
          <cell r="A1070">
            <v>41036</v>
          </cell>
          <cell r="CF1070">
            <v>16.576294322958862</v>
          </cell>
          <cell r="CG1070">
            <v>22.085252262534414</v>
          </cell>
          <cell r="CH1070">
            <v>18.555263085067214</v>
          </cell>
          <cell r="CI1070">
            <v>14.926604548033502</v>
          </cell>
          <cell r="CJ1070">
            <v>22.183921622100925</v>
          </cell>
          <cell r="CU1070">
            <v>10.115123902672526</v>
          </cell>
          <cell r="CV1070">
            <v>13.67289934744978</v>
          </cell>
          <cell r="CW1070">
            <v>11.062153668663059</v>
          </cell>
          <cell r="CX1070">
            <v>8.6510321273089765</v>
          </cell>
          <cell r="CY1070">
            <v>13.473275210017142</v>
          </cell>
        </row>
        <row r="1071">
          <cell r="A1071">
            <v>41037</v>
          </cell>
          <cell r="CF1071">
            <v>17.137438218574651</v>
          </cell>
          <cell r="CG1071">
            <v>22.085252262534414</v>
          </cell>
          <cell r="CH1071">
            <v>18.555263085067214</v>
          </cell>
          <cell r="CI1071">
            <v>14.926604548033502</v>
          </cell>
          <cell r="CJ1071">
            <v>22.183921622100925</v>
          </cell>
          <cell r="CU1071">
            <v>10.514140474572208</v>
          </cell>
          <cell r="CV1071">
            <v>13.67289934744978</v>
          </cell>
          <cell r="CW1071">
            <v>11.062153668663059</v>
          </cell>
          <cell r="CX1071">
            <v>8.6510321273089765</v>
          </cell>
          <cell r="CY1071">
            <v>13.473275210017142</v>
          </cell>
        </row>
        <row r="1072">
          <cell r="A1072">
            <v>41038</v>
          </cell>
          <cell r="CF1072">
            <v>16.854986533000694</v>
          </cell>
          <cell r="CG1072">
            <v>22.085252262534414</v>
          </cell>
          <cell r="CH1072">
            <v>18.555263085067214</v>
          </cell>
          <cell r="CI1072">
            <v>14.926604548033502</v>
          </cell>
          <cell r="CJ1072">
            <v>22.183921622100925</v>
          </cell>
          <cell r="CU1072">
            <v>10.274934658626259</v>
          </cell>
          <cell r="CV1072">
            <v>13.67289934744978</v>
          </cell>
          <cell r="CW1072">
            <v>11.062153668663059</v>
          </cell>
          <cell r="CX1072">
            <v>8.6510321273089765</v>
          </cell>
          <cell r="CY1072">
            <v>13.473275210017142</v>
          </cell>
        </row>
        <row r="1073">
          <cell r="A1073">
            <v>41039</v>
          </cell>
          <cell r="CF1073">
            <v>16.677574180543989</v>
          </cell>
          <cell r="CG1073">
            <v>22.085252262534414</v>
          </cell>
          <cell r="CH1073">
            <v>18.555263085067214</v>
          </cell>
          <cell r="CI1073">
            <v>14.926604548033502</v>
          </cell>
          <cell r="CJ1073">
            <v>22.183921622100925</v>
          </cell>
          <cell r="CU1073">
            <v>10.159872704219842</v>
          </cell>
          <cell r="CV1073">
            <v>13.67289934744978</v>
          </cell>
          <cell r="CW1073">
            <v>11.062153668663059</v>
          </cell>
          <cell r="CX1073">
            <v>8.6510321273089765</v>
          </cell>
          <cell r="CY1073">
            <v>13.473275210017142</v>
          </cell>
        </row>
        <row r="1074">
          <cell r="A1074">
            <v>41040</v>
          </cell>
          <cell r="CF1074">
            <v>16.778373054243286</v>
          </cell>
          <cell r="CG1074">
            <v>22.085252262534414</v>
          </cell>
          <cell r="CH1074">
            <v>18.555263085067214</v>
          </cell>
          <cell r="CI1074">
            <v>14.926604548033502</v>
          </cell>
          <cell r="CJ1074">
            <v>22.183921622100925</v>
          </cell>
          <cell r="CU1074">
            <v>10.215212526629553</v>
          </cell>
          <cell r="CV1074">
            <v>13.67289934744978</v>
          </cell>
          <cell r="CW1074">
            <v>11.062153668663059</v>
          </cell>
          <cell r="CX1074">
            <v>8.6510321273089765</v>
          </cell>
          <cell r="CY1074">
            <v>13.473275210017142</v>
          </cell>
        </row>
        <row r="1075">
          <cell r="A1075">
            <v>41043</v>
          </cell>
          <cell r="CF1075">
            <v>16.633749907558492</v>
          </cell>
          <cell r="CG1075">
            <v>22.085252262534414</v>
          </cell>
          <cell r="CH1075">
            <v>18.555263085067214</v>
          </cell>
          <cell r="CI1075">
            <v>14.926604548033502</v>
          </cell>
          <cell r="CJ1075">
            <v>22.183921622100925</v>
          </cell>
          <cell r="CU1075">
            <v>10.135812638911105</v>
          </cell>
          <cell r="CV1075">
            <v>13.67289934744978</v>
          </cell>
          <cell r="CW1075">
            <v>11.062153668663059</v>
          </cell>
          <cell r="CX1075">
            <v>8.6510321273089765</v>
          </cell>
          <cell r="CY1075">
            <v>13.473275210017142</v>
          </cell>
        </row>
        <row r="1076">
          <cell r="A1076">
            <v>41044</v>
          </cell>
          <cell r="CF1076">
            <v>16.686572898826068</v>
          </cell>
          <cell r="CG1076">
            <v>22.085252262534414</v>
          </cell>
          <cell r="CH1076">
            <v>18.555263085067214</v>
          </cell>
          <cell r="CI1076">
            <v>14.926604548033502</v>
          </cell>
          <cell r="CJ1076">
            <v>22.183921622100925</v>
          </cell>
          <cell r="CU1076">
            <v>10.169497115310154</v>
          </cell>
          <cell r="CV1076">
            <v>13.67289934744978</v>
          </cell>
          <cell r="CW1076">
            <v>11.062153668663059</v>
          </cell>
          <cell r="CX1076">
            <v>8.6510321273089765</v>
          </cell>
          <cell r="CY1076">
            <v>13.473275210017142</v>
          </cell>
        </row>
        <row r="1077">
          <cell r="A1077">
            <v>41045</v>
          </cell>
          <cell r="CF1077">
            <v>16.551882076278336</v>
          </cell>
          <cell r="CG1077">
            <v>22.085252262534414</v>
          </cell>
          <cell r="CH1077">
            <v>18.555263085067214</v>
          </cell>
          <cell r="CI1077">
            <v>14.926604548033502</v>
          </cell>
          <cell r="CJ1077">
            <v>22.183921622100925</v>
          </cell>
          <cell r="CU1077">
            <v>10.095512387417813</v>
          </cell>
          <cell r="CV1077">
            <v>13.67289934744978</v>
          </cell>
          <cell r="CW1077">
            <v>11.062153668663059</v>
          </cell>
          <cell r="CX1077">
            <v>8.6510321273089765</v>
          </cell>
          <cell r="CY1077">
            <v>13.473275210017142</v>
          </cell>
        </row>
        <row r="1078">
          <cell r="A1078">
            <v>41046</v>
          </cell>
          <cell r="CF1078">
            <v>16.141233315114349</v>
          </cell>
          <cell r="CG1078">
            <v>22.085252262534414</v>
          </cell>
          <cell r="CH1078">
            <v>18.555263085067214</v>
          </cell>
          <cell r="CI1078">
            <v>14.926604548033502</v>
          </cell>
          <cell r="CJ1078">
            <v>22.183921622100925</v>
          </cell>
          <cell r="CU1078">
            <v>9.8699458916509801</v>
          </cell>
          <cell r="CV1078">
            <v>13.67289934744978</v>
          </cell>
          <cell r="CW1078">
            <v>11.062153668663059</v>
          </cell>
          <cell r="CX1078">
            <v>8.6510321273089765</v>
          </cell>
          <cell r="CY1078">
            <v>13.473275210017142</v>
          </cell>
        </row>
        <row r="1079">
          <cell r="A1079">
            <v>41047</v>
          </cell>
          <cell r="CF1079">
            <v>15.99011413298066</v>
          </cell>
          <cell r="CG1079">
            <v>22.085252262534414</v>
          </cell>
          <cell r="CH1079">
            <v>18.555263085067214</v>
          </cell>
          <cell r="CI1079">
            <v>14.926604548033502</v>
          </cell>
          <cell r="CJ1079">
            <v>22.183921622100925</v>
          </cell>
          <cell r="CU1079">
            <v>9.7869371806045251</v>
          </cell>
          <cell r="CV1079">
            <v>13.67289934744978</v>
          </cell>
          <cell r="CW1079">
            <v>11.062153668663059</v>
          </cell>
          <cell r="CX1079">
            <v>8.6510321273089765</v>
          </cell>
          <cell r="CY1079">
            <v>13.473275210017142</v>
          </cell>
        </row>
        <row r="1080">
          <cell r="A1080">
            <v>41050</v>
          </cell>
          <cell r="CF1080">
            <v>16.333962276893921</v>
          </cell>
          <cell r="CG1080">
            <v>22.085252262534414</v>
          </cell>
          <cell r="CH1080">
            <v>18.555263085067214</v>
          </cell>
          <cell r="CI1080">
            <v>14.926604548033502</v>
          </cell>
          <cell r="CJ1080">
            <v>22.183921622100925</v>
          </cell>
          <cell r="CU1080">
            <v>9.9758105639762373</v>
          </cell>
          <cell r="CV1080">
            <v>13.67289934744978</v>
          </cell>
          <cell r="CW1080">
            <v>11.062153668663059</v>
          </cell>
          <cell r="CX1080">
            <v>8.6510321273089765</v>
          </cell>
          <cell r="CY1080">
            <v>13.473275210017142</v>
          </cell>
        </row>
        <row r="1081">
          <cell r="A1081">
            <v>41051</v>
          </cell>
          <cell r="CF1081">
            <v>16.241977392418534</v>
          </cell>
          <cell r="CG1081">
            <v>22.085252262534414</v>
          </cell>
          <cell r="CH1081">
            <v>18.555263085067214</v>
          </cell>
          <cell r="CI1081">
            <v>14.926604548033502</v>
          </cell>
          <cell r="CJ1081">
            <v>22.183921622100925</v>
          </cell>
          <cell r="CU1081">
            <v>9.9252839095287282</v>
          </cell>
          <cell r="CV1081">
            <v>13.67289934744978</v>
          </cell>
          <cell r="CW1081">
            <v>11.062153668663059</v>
          </cell>
          <cell r="CX1081">
            <v>8.6510321273089765</v>
          </cell>
          <cell r="CY1081">
            <v>13.473275210017142</v>
          </cell>
        </row>
        <row r="1082">
          <cell r="A1082">
            <v>41052</v>
          </cell>
          <cell r="CF1082">
            <v>16.329584432580905</v>
          </cell>
          <cell r="CG1082">
            <v>22.085252262534414</v>
          </cell>
          <cell r="CH1082">
            <v>18.555263085067214</v>
          </cell>
          <cell r="CI1082">
            <v>14.926604548033502</v>
          </cell>
          <cell r="CJ1082">
            <v>22.183921622100925</v>
          </cell>
          <cell r="CU1082">
            <v>9.9734058446781635</v>
          </cell>
          <cell r="CV1082">
            <v>13.67289934744978</v>
          </cell>
          <cell r="CW1082">
            <v>11.062153668663059</v>
          </cell>
          <cell r="CX1082">
            <v>8.6510321273089765</v>
          </cell>
          <cell r="CY1082">
            <v>13.473275210017142</v>
          </cell>
        </row>
        <row r="1083">
          <cell r="A1083">
            <v>41053</v>
          </cell>
          <cell r="CF1083">
            <v>16.436898452038367</v>
          </cell>
          <cell r="CG1083">
            <v>22.085252262534414</v>
          </cell>
          <cell r="CH1083">
            <v>18.555263085067214</v>
          </cell>
          <cell r="CI1083">
            <v>14.926604548033502</v>
          </cell>
          <cell r="CJ1083">
            <v>22.183921622100925</v>
          </cell>
          <cell r="CU1083">
            <v>10.03235268588392</v>
          </cell>
          <cell r="CV1083">
            <v>13.67289934744978</v>
          </cell>
          <cell r="CW1083">
            <v>11.062153668663059</v>
          </cell>
          <cell r="CX1083">
            <v>8.6510321273089765</v>
          </cell>
          <cell r="CY1083">
            <v>13.473275210017142</v>
          </cell>
        </row>
        <row r="1084">
          <cell r="A1084">
            <v>41054</v>
          </cell>
          <cell r="CF1084">
            <v>16.542026944035747</v>
          </cell>
          <cell r="CG1084">
            <v>22.085252262534414</v>
          </cell>
          <cell r="CH1084">
            <v>18.555263085067214</v>
          </cell>
          <cell r="CI1084">
            <v>14.926604548033502</v>
          </cell>
          <cell r="CJ1084">
            <v>22.183921622100925</v>
          </cell>
          <cell r="CU1084">
            <v>10.090099032123671</v>
          </cell>
          <cell r="CV1084">
            <v>13.67289934744978</v>
          </cell>
          <cell r="CW1084">
            <v>11.062153668663059</v>
          </cell>
          <cell r="CX1084">
            <v>8.6510321273089765</v>
          </cell>
          <cell r="CY1084">
            <v>13.473275210017142</v>
          </cell>
        </row>
        <row r="1085">
          <cell r="A1085">
            <v>41057</v>
          </cell>
          <cell r="CF1085">
            <v>16.542026944035747</v>
          </cell>
          <cell r="CG1085">
            <v>22.085252262534414</v>
          </cell>
          <cell r="CH1085">
            <v>18.555263085067214</v>
          </cell>
          <cell r="CI1085">
            <v>14.926604548033502</v>
          </cell>
          <cell r="CJ1085">
            <v>22.183921622100925</v>
          </cell>
          <cell r="CU1085">
            <v>10.090099032123671</v>
          </cell>
          <cell r="CV1085">
            <v>13.67289934744978</v>
          </cell>
          <cell r="CW1085">
            <v>11.062153668663059</v>
          </cell>
          <cell r="CX1085">
            <v>8.6510321273089765</v>
          </cell>
          <cell r="CY1085">
            <v>13.473275210017142</v>
          </cell>
        </row>
        <row r="1086">
          <cell r="A1086">
            <v>41058</v>
          </cell>
          <cell r="CF1086">
            <v>16.706286448501341</v>
          </cell>
          <cell r="CG1086">
            <v>22.085252262534414</v>
          </cell>
          <cell r="CH1086">
            <v>18.555263085067214</v>
          </cell>
          <cell r="CI1086">
            <v>14.926604548033502</v>
          </cell>
          <cell r="CJ1086">
            <v>22.183921622100925</v>
          </cell>
          <cell r="CU1086">
            <v>10.180325630430406</v>
          </cell>
          <cell r="CV1086">
            <v>13.67289934744978</v>
          </cell>
          <cell r="CW1086">
            <v>11.062153668663059</v>
          </cell>
          <cell r="CX1086">
            <v>8.6510321273089765</v>
          </cell>
          <cell r="CY1086">
            <v>13.473275210017142</v>
          </cell>
        </row>
        <row r="1087">
          <cell r="A1087">
            <v>41059</v>
          </cell>
          <cell r="CF1087">
            <v>16.390907761902053</v>
          </cell>
          <cell r="CG1087">
            <v>22.085252262534414</v>
          </cell>
          <cell r="CH1087">
            <v>18.555263085067214</v>
          </cell>
          <cell r="CI1087">
            <v>14.926604548033502</v>
          </cell>
          <cell r="CJ1087">
            <v>22.183921622100925</v>
          </cell>
          <cell r="CU1087">
            <v>10.007090321077214</v>
          </cell>
          <cell r="CV1087">
            <v>13.67289934744978</v>
          </cell>
          <cell r="CW1087">
            <v>11.062153668663059</v>
          </cell>
          <cell r="CX1087">
            <v>8.6510321273089765</v>
          </cell>
          <cell r="CY1087">
            <v>13.473275210017142</v>
          </cell>
        </row>
        <row r="1088">
          <cell r="A1088">
            <v>41060</v>
          </cell>
          <cell r="CF1088">
            <v>16.274831264425707</v>
          </cell>
          <cell r="CG1088">
            <v>22.085252262534414</v>
          </cell>
          <cell r="CH1088">
            <v>18.555263085067214</v>
          </cell>
          <cell r="CI1088">
            <v>14.926604548033502</v>
          </cell>
          <cell r="CJ1088">
            <v>22.183921622100925</v>
          </cell>
          <cell r="CU1088">
            <v>9.9433303119092535</v>
          </cell>
          <cell r="CV1088">
            <v>13.67289934744978</v>
          </cell>
          <cell r="CW1088">
            <v>11.062153668663059</v>
          </cell>
          <cell r="CX1088">
            <v>8.6510321273089765</v>
          </cell>
          <cell r="CY1088">
            <v>13.473275210017142</v>
          </cell>
        </row>
        <row r="1089">
          <cell r="A1089">
            <v>41061</v>
          </cell>
          <cell r="CF1089">
            <v>15.719966075448465</v>
          </cell>
          <cell r="CG1089">
            <v>22.085252262534414</v>
          </cell>
          <cell r="CH1089">
            <v>18.555263085067214</v>
          </cell>
          <cell r="CI1089">
            <v>14.926604548033502</v>
          </cell>
          <cell r="CJ1089">
            <v>22.183921622100925</v>
          </cell>
          <cell r="CU1089">
            <v>9.613869865497275</v>
          </cell>
          <cell r="CV1089">
            <v>13.67289934744978</v>
          </cell>
          <cell r="CW1089">
            <v>11.062153668663059</v>
          </cell>
          <cell r="CX1089">
            <v>8.6510321273089765</v>
          </cell>
          <cell r="CY1089">
            <v>13.473275210017142</v>
          </cell>
        </row>
        <row r="1090">
          <cell r="A1090">
            <v>41064</v>
          </cell>
          <cell r="CF1090">
            <v>15.861256345480889</v>
          </cell>
          <cell r="CG1090">
            <v>22.085252262534414</v>
          </cell>
          <cell r="CH1090">
            <v>18.555263085067214</v>
          </cell>
          <cell r="CI1090">
            <v>14.926604548033502</v>
          </cell>
          <cell r="CJ1090">
            <v>22.183921622100925</v>
          </cell>
          <cell r="CU1090">
            <v>9.6900919882933199</v>
          </cell>
          <cell r="CV1090">
            <v>13.67289934744978</v>
          </cell>
          <cell r="CW1090">
            <v>11.062153668663059</v>
          </cell>
          <cell r="CX1090">
            <v>8.6510321273089765</v>
          </cell>
          <cell r="CY1090">
            <v>13.473275210017142</v>
          </cell>
        </row>
        <row r="1091">
          <cell r="A1091">
            <v>41065</v>
          </cell>
          <cell r="CF1091">
            <v>16.117575108554696</v>
          </cell>
          <cell r="CG1091">
            <v>22.085252262534414</v>
          </cell>
          <cell r="CH1091">
            <v>18.555263085067214</v>
          </cell>
          <cell r="CI1091">
            <v>14.926604548033502</v>
          </cell>
          <cell r="CJ1091">
            <v>22.183921622100925</v>
          </cell>
          <cell r="CU1091">
            <v>9.8306273608779904</v>
          </cell>
          <cell r="CV1091">
            <v>13.67289934744978</v>
          </cell>
          <cell r="CW1091">
            <v>11.062153668663059</v>
          </cell>
          <cell r="CX1091">
            <v>8.6510321273089765</v>
          </cell>
          <cell r="CY1091">
            <v>13.473275210017142</v>
          </cell>
        </row>
        <row r="1092">
          <cell r="A1092">
            <v>41066</v>
          </cell>
          <cell r="CF1092">
            <v>16.167534380179291</v>
          </cell>
          <cell r="CG1092">
            <v>22.085252262534414</v>
          </cell>
          <cell r="CH1092">
            <v>18.555263085067214</v>
          </cell>
          <cell r="CI1092">
            <v>14.926604548033502</v>
          </cell>
          <cell r="CJ1092">
            <v>22.183921622100925</v>
          </cell>
          <cell r="CU1092">
            <v>9.8580192098695516</v>
          </cell>
          <cell r="CV1092">
            <v>13.67289934744978</v>
          </cell>
          <cell r="CW1092">
            <v>11.062153668663059</v>
          </cell>
          <cell r="CX1092">
            <v>8.6510321273089765</v>
          </cell>
          <cell r="CY1092">
            <v>13.473275210017142</v>
          </cell>
        </row>
        <row r="1093">
          <cell r="A1093">
            <v>41067</v>
          </cell>
          <cell r="CF1093">
            <v>16.082819576555224</v>
          </cell>
          <cell r="CG1093">
            <v>22.085252262534414</v>
          </cell>
          <cell r="CH1093">
            <v>18.555263085067214</v>
          </cell>
          <cell r="CI1093">
            <v>14.926604548033502</v>
          </cell>
          <cell r="CJ1093">
            <v>22.183921622100925</v>
          </cell>
          <cell r="CU1093">
            <v>9.8115714728877794</v>
          </cell>
          <cell r="CV1093">
            <v>13.67289934744978</v>
          </cell>
          <cell r="CW1093">
            <v>11.062153668663059</v>
          </cell>
          <cell r="CX1093">
            <v>8.6510321273089765</v>
          </cell>
          <cell r="CY1093">
            <v>13.473275210017142</v>
          </cell>
        </row>
        <row r="1094">
          <cell r="A1094">
            <v>41068</v>
          </cell>
          <cell r="CF1094">
            <v>16.136472404393238</v>
          </cell>
          <cell r="CG1094">
            <v>22.085252262534414</v>
          </cell>
          <cell r="CH1094">
            <v>18.555263085067214</v>
          </cell>
          <cell r="CI1094">
            <v>14.926604548033502</v>
          </cell>
          <cell r="CJ1094">
            <v>22.183921622100925</v>
          </cell>
          <cell r="CU1094">
            <v>9.9017793051702085</v>
          </cell>
          <cell r="CV1094">
            <v>13.67289934744978</v>
          </cell>
          <cell r="CW1094">
            <v>11.062153668663059</v>
          </cell>
          <cell r="CX1094">
            <v>8.6510321273089765</v>
          </cell>
          <cell r="CY1094">
            <v>13.473275210017142</v>
          </cell>
        </row>
        <row r="1095">
          <cell r="A1095">
            <v>41071</v>
          </cell>
          <cell r="CF1095">
            <v>15.994139030182669</v>
          </cell>
          <cell r="CG1095">
            <v>22.085252262534414</v>
          </cell>
          <cell r="CH1095">
            <v>18.555263085067214</v>
          </cell>
          <cell r="CI1095">
            <v>14.926604548033502</v>
          </cell>
          <cell r="CJ1095">
            <v>22.183921622100925</v>
          </cell>
          <cell r="CU1095">
            <v>9.8167311667539483</v>
          </cell>
          <cell r="CV1095">
            <v>13.67289934744978</v>
          </cell>
          <cell r="CW1095">
            <v>11.062153668663059</v>
          </cell>
          <cell r="CX1095">
            <v>8.6510321273089765</v>
          </cell>
          <cell r="CY1095">
            <v>13.473275210017142</v>
          </cell>
        </row>
        <row r="1096">
          <cell r="A1096">
            <v>41072</v>
          </cell>
          <cell r="CF1096">
            <v>16.174483683193873</v>
          </cell>
          <cell r="CG1096">
            <v>22.085252262534414</v>
          </cell>
          <cell r="CH1096">
            <v>18.555263085067214</v>
          </cell>
          <cell r="CI1096">
            <v>14.926604548033502</v>
          </cell>
          <cell r="CJ1096">
            <v>22.183921622100925</v>
          </cell>
          <cell r="CU1096">
            <v>9.9161528977816342</v>
          </cell>
          <cell r="CV1096">
            <v>13.67289934744978</v>
          </cell>
          <cell r="CW1096">
            <v>11.062153668663059</v>
          </cell>
          <cell r="CX1096">
            <v>8.6510321273089765</v>
          </cell>
          <cell r="CY1096">
            <v>13.473275210017142</v>
          </cell>
        </row>
        <row r="1097">
          <cell r="A1097">
            <v>41073</v>
          </cell>
          <cell r="CF1097">
            <v>16.126681166631542</v>
          </cell>
          <cell r="CG1097">
            <v>22.085252262534414</v>
          </cell>
          <cell r="CH1097">
            <v>18.555263085067214</v>
          </cell>
          <cell r="CI1097">
            <v>14.926604548033502</v>
          </cell>
          <cell r="CJ1097">
            <v>22.183921622100925</v>
          </cell>
          <cell r="CU1097">
            <v>9.8897999737289766</v>
          </cell>
          <cell r="CV1097">
            <v>13.67289934744978</v>
          </cell>
          <cell r="CW1097">
            <v>11.062153668663059</v>
          </cell>
          <cell r="CX1097">
            <v>8.6510321273089765</v>
          </cell>
          <cell r="CY1097">
            <v>13.473275210017142</v>
          </cell>
        </row>
        <row r="1098">
          <cell r="A1098">
            <v>41074</v>
          </cell>
          <cell r="CF1098">
            <v>16.439568173373804</v>
          </cell>
          <cell r="CG1098">
            <v>22.085252262534414</v>
          </cell>
          <cell r="CH1098">
            <v>18.555263085067214</v>
          </cell>
          <cell r="CI1098">
            <v>14.926604548033502</v>
          </cell>
          <cell r="CJ1098">
            <v>22.183921622100925</v>
          </cell>
          <cell r="CU1098">
            <v>10.062290631516623</v>
          </cell>
          <cell r="CV1098">
            <v>13.67289934744978</v>
          </cell>
          <cell r="CW1098">
            <v>11.062153668663059</v>
          </cell>
          <cell r="CX1098">
            <v>8.6510321273089765</v>
          </cell>
          <cell r="CY1098">
            <v>13.473275210017142</v>
          </cell>
        </row>
        <row r="1099">
          <cell r="A1099">
            <v>41075</v>
          </cell>
          <cell r="CF1099">
            <v>16.915973989133516</v>
          </cell>
          <cell r="CG1099">
            <v>22.085252262534414</v>
          </cell>
          <cell r="CH1099">
            <v>18.555263085067214</v>
          </cell>
          <cell r="CI1099">
            <v>14.926604548033502</v>
          </cell>
          <cell r="CJ1099">
            <v>22.183921622100925</v>
          </cell>
          <cell r="CU1099">
            <v>10.319183402405921</v>
          </cell>
          <cell r="CV1099">
            <v>13.67289934744978</v>
          </cell>
          <cell r="CW1099">
            <v>11.062153668663059</v>
          </cell>
          <cell r="CX1099">
            <v>8.6510321273089765</v>
          </cell>
          <cell r="CY1099">
            <v>13.473275210017142</v>
          </cell>
        </row>
        <row r="1100">
          <cell r="A1100">
            <v>41078</v>
          </cell>
          <cell r="CF1100">
            <v>17.202908017481146</v>
          </cell>
          <cell r="CG1100">
            <v>22.085252262534414</v>
          </cell>
          <cell r="CH1100">
            <v>18.555263085067214</v>
          </cell>
          <cell r="CI1100">
            <v>14.926604548033502</v>
          </cell>
          <cell r="CJ1100">
            <v>22.183921622100925</v>
          </cell>
          <cell r="CU1100">
            <v>10.477272110859824</v>
          </cell>
          <cell r="CV1100">
            <v>13.67289934744978</v>
          </cell>
          <cell r="CW1100">
            <v>11.062153668663059</v>
          </cell>
          <cell r="CX1100">
            <v>8.6510321273089765</v>
          </cell>
          <cell r="CY1100">
            <v>13.473275210017142</v>
          </cell>
        </row>
        <row r="1101">
          <cell r="A1101">
            <v>41079</v>
          </cell>
          <cell r="CF1101">
            <v>17.331157283575177</v>
          </cell>
          <cell r="CG1101">
            <v>22.085252262534414</v>
          </cell>
          <cell r="CH1101">
            <v>18.555263085067214</v>
          </cell>
          <cell r="CI1101">
            <v>14.926604548033502</v>
          </cell>
          <cell r="CJ1101">
            <v>22.183921622100925</v>
          </cell>
          <cell r="CU1101">
            <v>10.547932119202937</v>
          </cell>
          <cell r="CV1101">
            <v>13.67289934744978</v>
          </cell>
          <cell r="CW1101">
            <v>11.062153668663059</v>
          </cell>
          <cell r="CX1101">
            <v>8.6510321273089765</v>
          </cell>
          <cell r="CY1101">
            <v>13.473275210017142</v>
          </cell>
        </row>
        <row r="1102">
          <cell r="A1102">
            <v>41080</v>
          </cell>
          <cell r="CF1102">
            <v>16.95510267075473</v>
          </cell>
          <cell r="CG1102">
            <v>22.085252262534414</v>
          </cell>
          <cell r="CH1102">
            <v>18.555263085067214</v>
          </cell>
          <cell r="CI1102">
            <v>14.926604548033502</v>
          </cell>
          <cell r="CJ1102">
            <v>22.183921622100925</v>
          </cell>
          <cell r="CU1102">
            <v>10.340741677583752</v>
          </cell>
          <cell r="CV1102">
            <v>13.67289934744978</v>
          </cell>
          <cell r="CW1102">
            <v>11.062153668663059</v>
          </cell>
          <cell r="CX1102">
            <v>8.6510321273089765</v>
          </cell>
          <cell r="CY1102">
            <v>13.473275210017142</v>
          </cell>
        </row>
        <row r="1103">
          <cell r="A1103">
            <v>41081</v>
          </cell>
          <cell r="CF1103">
            <v>16.60513196178146</v>
          </cell>
          <cell r="CG1103">
            <v>22.085252262534414</v>
          </cell>
          <cell r="CH1103">
            <v>18.555263085067214</v>
          </cell>
          <cell r="CI1103">
            <v>14.926604548033502</v>
          </cell>
          <cell r="CJ1103">
            <v>22.183921622100925</v>
          </cell>
          <cell r="CU1103">
            <v>10.14792238146579</v>
          </cell>
          <cell r="CV1103">
            <v>13.67289934744978</v>
          </cell>
          <cell r="CW1103">
            <v>11.062153668663059</v>
          </cell>
          <cell r="CX1103">
            <v>8.6510321273089765</v>
          </cell>
          <cell r="CY1103">
            <v>13.473275210017142</v>
          </cell>
        </row>
        <row r="1104">
          <cell r="A1104">
            <v>41082</v>
          </cell>
          <cell r="CF1104">
            <v>16.785548600823628</v>
          </cell>
          <cell r="CG1104">
            <v>22.085252262534414</v>
          </cell>
          <cell r="CH1104">
            <v>18.555263085067214</v>
          </cell>
          <cell r="CI1104">
            <v>14.926604548033502</v>
          </cell>
          <cell r="CJ1104">
            <v>22.183921622100925</v>
          </cell>
          <cell r="CU1104">
            <v>10.247324441284276</v>
          </cell>
          <cell r="CV1104">
            <v>13.67289934744978</v>
          </cell>
          <cell r="CW1104">
            <v>11.062153668663059</v>
          </cell>
          <cell r="CX1104">
            <v>8.6510321273089765</v>
          </cell>
          <cell r="CY1104">
            <v>13.473275210017142</v>
          </cell>
        </row>
        <row r="1105">
          <cell r="A1105">
            <v>41085</v>
          </cell>
          <cell r="CF1105">
            <v>16.535571044597354</v>
          </cell>
          <cell r="CG1105">
            <v>22.085252262534414</v>
          </cell>
          <cell r="CH1105">
            <v>18.555263085067214</v>
          </cell>
          <cell r="CI1105">
            <v>14.926604548033502</v>
          </cell>
          <cell r="CJ1105">
            <v>22.183921622100925</v>
          </cell>
          <cell r="CU1105">
            <v>10.109597210973355</v>
          </cell>
          <cell r="CV1105">
            <v>13.67289934744978</v>
          </cell>
          <cell r="CW1105">
            <v>11.062153668663059</v>
          </cell>
          <cell r="CX1105">
            <v>8.6510321273089765</v>
          </cell>
          <cell r="CY1105">
            <v>13.473275210017142</v>
          </cell>
        </row>
        <row r="1106">
          <cell r="A1106">
            <v>41086</v>
          </cell>
          <cell r="CF1106">
            <v>16.50731145328054</v>
          </cell>
          <cell r="CG1106">
            <v>22.085252262534414</v>
          </cell>
          <cell r="CH1106">
            <v>18.555263085067214</v>
          </cell>
          <cell r="CI1106">
            <v>14.926604548033502</v>
          </cell>
          <cell r="CJ1106">
            <v>22.183921622100925</v>
          </cell>
          <cell r="CU1106">
            <v>10.094027352220674</v>
          </cell>
          <cell r="CV1106">
            <v>13.67289934744978</v>
          </cell>
          <cell r="CW1106">
            <v>11.062153668663059</v>
          </cell>
          <cell r="CX1106">
            <v>8.6510321273089765</v>
          </cell>
          <cell r="CY1106">
            <v>13.473275210017142</v>
          </cell>
        </row>
        <row r="1107">
          <cell r="A1107">
            <v>41087</v>
          </cell>
          <cell r="CF1107">
            <v>16.792072837382086</v>
          </cell>
          <cell r="CG1107">
            <v>22.085252262534414</v>
          </cell>
          <cell r="CH1107">
            <v>18.555263085067214</v>
          </cell>
          <cell r="CI1107">
            <v>14.926604548033502</v>
          </cell>
          <cell r="CJ1107">
            <v>22.183921622100925</v>
          </cell>
          <cell r="CU1107">
            <v>10.250919024112653</v>
          </cell>
          <cell r="CV1107">
            <v>13.67289934744978</v>
          </cell>
          <cell r="CW1107">
            <v>11.062153668663059</v>
          </cell>
          <cell r="CX1107">
            <v>8.6510321273089765</v>
          </cell>
          <cell r="CY1107">
            <v>13.473275210017142</v>
          </cell>
        </row>
        <row r="1108">
          <cell r="A1108">
            <v>41088</v>
          </cell>
          <cell r="CF1108">
            <v>16.874672445893115</v>
          </cell>
          <cell r="CG1108">
            <v>22.085252262534414</v>
          </cell>
          <cell r="CH1108">
            <v>18.555263085067214</v>
          </cell>
          <cell r="CI1108">
            <v>14.926604548033502</v>
          </cell>
          <cell r="CJ1108">
            <v>22.183921622100925</v>
          </cell>
          <cell r="CU1108">
            <v>10.296427970902631</v>
          </cell>
          <cell r="CV1108">
            <v>13.67289934744978</v>
          </cell>
          <cell r="CW1108">
            <v>11.062153668663059</v>
          </cell>
          <cell r="CX1108">
            <v>8.6510321273089765</v>
          </cell>
          <cell r="CY1108">
            <v>13.473275210017142</v>
          </cell>
        </row>
        <row r="1109">
          <cell r="A1109">
            <v>41089</v>
          </cell>
          <cell r="CF1109">
            <v>17.061613538866855</v>
          </cell>
          <cell r="CG1109">
            <v>22.085252262534414</v>
          </cell>
          <cell r="CH1109">
            <v>18.555263085067214</v>
          </cell>
          <cell r="CI1109">
            <v>14.926604548033502</v>
          </cell>
          <cell r="CJ1109">
            <v>22.183921622100925</v>
          </cell>
          <cell r="CU1109">
            <v>10.399424733313028</v>
          </cell>
          <cell r="CV1109">
            <v>13.67289934744978</v>
          </cell>
          <cell r="CW1109">
            <v>11.062153668663059</v>
          </cell>
          <cell r="CX1109">
            <v>8.6510321273089765</v>
          </cell>
          <cell r="CY1109">
            <v>13.473275210017142</v>
          </cell>
        </row>
        <row r="1110">
          <cell r="A1110">
            <v>41092</v>
          </cell>
          <cell r="CF1110">
            <v>17.010456082275279</v>
          </cell>
          <cell r="CG1110">
            <v>22.085252262534414</v>
          </cell>
          <cell r="CH1110">
            <v>18.555263085067214</v>
          </cell>
          <cell r="CI1110">
            <v>14.926604548033502</v>
          </cell>
          <cell r="CJ1110">
            <v>22.183921622100925</v>
          </cell>
          <cell r="CU1110">
            <v>10.34120282015666</v>
          </cell>
          <cell r="CV1110">
            <v>13.67289934744978</v>
          </cell>
          <cell r="CW1110">
            <v>11.062153668663059</v>
          </cell>
          <cell r="CX1110">
            <v>8.6510321273089765</v>
          </cell>
          <cell r="CY1110">
            <v>13.473275210017142</v>
          </cell>
        </row>
        <row r="1111">
          <cell r="A1111">
            <v>41093</v>
          </cell>
          <cell r="CF1111">
            <v>17.14814795508503</v>
          </cell>
          <cell r="CG1111">
            <v>22.085252262534414</v>
          </cell>
          <cell r="CH1111">
            <v>18.555263085067214</v>
          </cell>
          <cell r="CI1111">
            <v>14.926604548033502</v>
          </cell>
          <cell r="CJ1111">
            <v>22.183921622100925</v>
          </cell>
          <cell r="CU1111">
            <v>10.384271710241297</v>
          </cell>
          <cell r="CV1111">
            <v>13.67289934744978</v>
          </cell>
          <cell r="CW1111">
            <v>11.062153668663059</v>
          </cell>
          <cell r="CX1111">
            <v>8.6510321273089765</v>
          </cell>
          <cell r="CY1111">
            <v>13.473275210017142</v>
          </cell>
        </row>
        <row r="1112">
          <cell r="A1112">
            <v>41094</v>
          </cell>
          <cell r="CF1112">
            <v>17.14814795508503</v>
          </cell>
          <cell r="CG1112">
            <v>22.085252262534414</v>
          </cell>
          <cell r="CH1112">
            <v>18.555263085067214</v>
          </cell>
          <cell r="CI1112">
            <v>14.926604548033502</v>
          </cell>
          <cell r="CJ1112">
            <v>22.183921622100925</v>
          </cell>
          <cell r="CU1112">
            <v>10.384271710241297</v>
          </cell>
          <cell r="CV1112">
            <v>13.67289934744978</v>
          </cell>
          <cell r="CW1112">
            <v>11.062153668663059</v>
          </cell>
          <cell r="CX1112">
            <v>8.6510321273089765</v>
          </cell>
          <cell r="CY1112">
            <v>13.473275210017142</v>
          </cell>
        </row>
        <row r="1113">
          <cell r="A1113">
            <v>41095</v>
          </cell>
          <cell r="CF1113">
            <v>17.083437315701765</v>
          </cell>
          <cell r="CG1113">
            <v>22.085252262534414</v>
          </cell>
          <cell r="CH1113">
            <v>18.555263085067214</v>
          </cell>
          <cell r="CI1113">
            <v>14.926604548033502</v>
          </cell>
          <cell r="CJ1113">
            <v>22.183921622100925</v>
          </cell>
          <cell r="CU1113">
            <v>10.348807152970577</v>
          </cell>
          <cell r="CV1113">
            <v>13.67289934744978</v>
          </cell>
          <cell r="CW1113">
            <v>11.062153668663059</v>
          </cell>
          <cell r="CX1113">
            <v>8.6510321273089765</v>
          </cell>
          <cell r="CY1113">
            <v>13.473275210017142</v>
          </cell>
        </row>
        <row r="1114">
          <cell r="A1114">
            <v>41096</v>
          </cell>
          <cell r="CF1114">
            <v>16.809497485569064</v>
          </cell>
          <cell r="CG1114">
            <v>22.085252262534414</v>
          </cell>
          <cell r="CH1114">
            <v>18.555263085067214</v>
          </cell>
          <cell r="CI1114">
            <v>14.926604548033502</v>
          </cell>
          <cell r="CJ1114">
            <v>22.183921622100925</v>
          </cell>
          <cell r="CU1114">
            <v>10.198674888986407</v>
          </cell>
          <cell r="CV1114">
            <v>13.67289934744978</v>
          </cell>
          <cell r="CW1114">
            <v>11.062153668663059</v>
          </cell>
          <cell r="CX1114">
            <v>8.6510321273089765</v>
          </cell>
          <cell r="CY1114">
            <v>13.473275210017142</v>
          </cell>
        </row>
        <row r="1115">
          <cell r="A1115">
            <v>41099</v>
          </cell>
          <cell r="CF1115">
            <v>16.897935337822858</v>
          </cell>
          <cell r="CG1115">
            <v>22.085252262534414</v>
          </cell>
          <cell r="CH1115">
            <v>18.555263085067214</v>
          </cell>
          <cell r="CI1115">
            <v>14.926604548033502</v>
          </cell>
          <cell r="CJ1115">
            <v>22.183921622100925</v>
          </cell>
          <cell r="CU1115">
            <v>10.247143105434988</v>
          </cell>
          <cell r="CV1115">
            <v>13.67289934744978</v>
          </cell>
          <cell r="CW1115">
            <v>11.062153668663059</v>
          </cell>
          <cell r="CX1115">
            <v>8.6510321273089765</v>
          </cell>
          <cell r="CY1115">
            <v>13.473275210017142</v>
          </cell>
        </row>
        <row r="1116">
          <cell r="A1116">
            <v>41100</v>
          </cell>
          <cell r="CF1116">
            <v>16.939186163815453</v>
          </cell>
          <cell r="CG1116">
            <v>22.085252262534414</v>
          </cell>
          <cell r="CH1116">
            <v>18.555263085067214</v>
          </cell>
          <cell r="CI1116">
            <v>14.926604548033502</v>
          </cell>
          <cell r="CJ1116">
            <v>22.183921622100925</v>
          </cell>
          <cell r="CU1116">
            <v>10.248238950166142</v>
          </cell>
          <cell r="CV1116">
            <v>13.67289934744978</v>
          </cell>
          <cell r="CW1116">
            <v>11.062153668663059</v>
          </cell>
          <cell r="CX1116">
            <v>8.6510321273089765</v>
          </cell>
          <cell r="CY1116">
            <v>13.473275210017142</v>
          </cell>
        </row>
        <row r="1117">
          <cell r="A1117">
            <v>41101</v>
          </cell>
          <cell r="CF1117">
            <v>16.949972864935919</v>
          </cell>
          <cell r="CG1117">
            <v>22.085252262534414</v>
          </cell>
          <cell r="CH1117">
            <v>18.555263085067214</v>
          </cell>
          <cell r="CI1117">
            <v>14.926604548033502</v>
          </cell>
          <cell r="CJ1117">
            <v>22.183921622100925</v>
          </cell>
          <cell r="CU1117">
            <v>10.254137975321537</v>
          </cell>
          <cell r="CV1117">
            <v>13.67289934744978</v>
          </cell>
          <cell r="CW1117">
            <v>11.062153668663059</v>
          </cell>
          <cell r="CX1117">
            <v>8.6510321273089765</v>
          </cell>
          <cell r="CY1117">
            <v>13.473275210017142</v>
          </cell>
        </row>
        <row r="1118">
          <cell r="A1118">
            <v>41102</v>
          </cell>
          <cell r="CF1118">
            <v>16.549126669582737</v>
          </cell>
          <cell r="CG1118">
            <v>22.085252262534414</v>
          </cell>
          <cell r="CH1118">
            <v>18.555263085067214</v>
          </cell>
          <cell r="CI1118">
            <v>14.926604548033502</v>
          </cell>
          <cell r="CJ1118">
            <v>22.183921622100925</v>
          </cell>
          <cell r="CU1118">
            <v>10.035974099928378</v>
          </cell>
          <cell r="CV1118">
            <v>13.67289934744978</v>
          </cell>
          <cell r="CW1118">
            <v>11.062153668663059</v>
          </cell>
          <cell r="CX1118">
            <v>8.6510321273089765</v>
          </cell>
          <cell r="CY1118">
            <v>13.473275210017142</v>
          </cell>
        </row>
        <row r="1119">
          <cell r="A1119">
            <v>41103</v>
          </cell>
          <cell r="CF1119">
            <v>16.790391959251366</v>
          </cell>
          <cell r="CG1119">
            <v>22.085252262534414</v>
          </cell>
          <cell r="CH1119">
            <v>18.555263085067214</v>
          </cell>
          <cell r="CI1119">
            <v>14.926604548033502</v>
          </cell>
          <cell r="CJ1119">
            <v>22.183921622100925</v>
          </cell>
          <cell r="CU1119">
            <v>10.144059244513404</v>
          </cell>
          <cell r="CV1119">
            <v>13.67289934744978</v>
          </cell>
          <cell r="CW1119">
            <v>11.062153668663059</v>
          </cell>
          <cell r="CX1119">
            <v>8.6510321273089765</v>
          </cell>
          <cell r="CY1119">
            <v>13.473275210017142</v>
          </cell>
        </row>
        <row r="1120">
          <cell r="A1120">
            <v>41106</v>
          </cell>
          <cell r="CF1120">
            <v>16.708416087398838</v>
          </cell>
          <cell r="CG1120">
            <v>22.085252262534414</v>
          </cell>
          <cell r="CH1120">
            <v>18.555263085067214</v>
          </cell>
          <cell r="CI1120">
            <v>14.926604548033502</v>
          </cell>
          <cell r="CJ1120">
            <v>22.183921622100925</v>
          </cell>
          <cell r="CU1120">
            <v>10.251197692070987</v>
          </cell>
          <cell r="CV1120">
            <v>13.67289934744978</v>
          </cell>
          <cell r="CW1120">
            <v>11.062153668663059</v>
          </cell>
          <cell r="CX1120">
            <v>8.6510321273089765</v>
          </cell>
          <cell r="CY1120">
            <v>13.473275210017142</v>
          </cell>
        </row>
        <row r="1121">
          <cell r="A1121">
            <v>41107</v>
          </cell>
          <cell r="CF1121">
            <v>16.879444545862494</v>
          </cell>
          <cell r="CG1121">
            <v>22.085252262534414</v>
          </cell>
          <cell r="CH1121">
            <v>18.555263085067214</v>
          </cell>
          <cell r="CI1121">
            <v>14.926604548033502</v>
          </cell>
          <cell r="CJ1121">
            <v>22.183921622100925</v>
          </cell>
          <cell r="CU1121">
            <v>10.188274178662164</v>
          </cell>
          <cell r="CV1121">
            <v>13.67289934744978</v>
          </cell>
          <cell r="CW1121">
            <v>11.062153668663059</v>
          </cell>
          <cell r="CX1121">
            <v>8.6510321273089765</v>
          </cell>
          <cell r="CY1121">
            <v>13.473275210017142</v>
          </cell>
        </row>
        <row r="1122">
          <cell r="A1122">
            <v>41108</v>
          </cell>
          <cell r="CF1122">
            <v>16.97518793408058</v>
          </cell>
          <cell r="CG1122">
            <v>22.085252262534414</v>
          </cell>
          <cell r="CH1122">
            <v>18.555263085067214</v>
          </cell>
          <cell r="CI1122">
            <v>14.926604548033502</v>
          </cell>
          <cell r="CJ1122">
            <v>22.183921622100925</v>
          </cell>
          <cell r="CU1122">
            <v>10.237712739835105</v>
          </cell>
          <cell r="CV1122">
            <v>13.67289934744978</v>
          </cell>
          <cell r="CW1122">
            <v>11.062153668663059</v>
          </cell>
          <cell r="CX1122">
            <v>8.6510321273089765</v>
          </cell>
          <cell r="CY1122">
            <v>13.473275210017142</v>
          </cell>
        </row>
        <row r="1123">
          <cell r="A1123">
            <v>41109</v>
          </cell>
          <cell r="CF1123">
            <v>17.056507417423337</v>
          </cell>
          <cell r="CG1123">
            <v>22.085252262534414</v>
          </cell>
          <cell r="CH1123">
            <v>18.555263085067214</v>
          </cell>
          <cell r="CI1123">
            <v>14.926604548033502</v>
          </cell>
          <cell r="CJ1123">
            <v>22.183921622100925</v>
          </cell>
          <cell r="CU1123">
            <v>10.281267142521784</v>
          </cell>
          <cell r="CV1123">
            <v>13.67289934744978</v>
          </cell>
          <cell r="CW1123">
            <v>11.062153668663059</v>
          </cell>
          <cell r="CX1123">
            <v>8.6510321273089765</v>
          </cell>
          <cell r="CY1123">
            <v>13.473275210017142</v>
          </cell>
        </row>
        <row r="1124">
          <cell r="A1124">
            <v>41110</v>
          </cell>
          <cell r="CF1124">
            <v>16.831964326712203</v>
          </cell>
          <cell r="CG1124">
            <v>22.085252262534414</v>
          </cell>
          <cell r="CH1124">
            <v>18.555263085067214</v>
          </cell>
          <cell r="CI1124">
            <v>14.926604548033502</v>
          </cell>
          <cell r="CJ1124">
            <v>22.183921622100925</v>
          </cell>
          <cell r="CU1124">
            <v>10.158846323545626</v>
          </cell>
          <cell r="CV1124">
            <v>13.67289934744978</v>
          </cell>
          <cell r="CW1124">
            <v>11.062153668663059</v>
          </cell>
          <cell r="CX1124">
            <v>8.6510321273089765</v>
          </cell>
          <cell r="CY1124">
            <v>13.473275210017142</v>
          </cell>
        </row>
        <row r="1125">
          <cell r="A1125">
            <v>41113</v>
          </cell>
          <cell r="CF1125">
            <v>16.456288057783581</v>
          </cell>
          <cell r="CG1125">
            <v>22.085252262534414</v>
          </cell>
          <cell r="CH1125">
            <v>18.555263085067214</v>
          </cell>
          <cell r="CI1125">
            <v>14.926604548033502</v>
          </cell>
          <cell r="CJ1125">
            <v>22.183921622100925</v>
          </cell>
          <cell r="CU1125">
            <v>9.8206817008673486</v>
          </cell>
          <cell r="CV1125">
            <v>13.67289934744978</v>
          </cell>
          <cell r="CW1125">
            <v>11.062153668663059</v>
          </cell>
          <cell r="CX1125">
            <v>8.6510321273089765</v>
          </cell>
          <cell r="CY1125">
            <v>13.473275210017142</v>
          </cell>
        </row>
        <row r="1126">
          <cell r="A1126">
            <v>41114</v>
          </cell>
          <cell r="CF1126">
            <v>16.115160932107315</v>
          </cell>
          <cell r="CG1126">
            <v>22.085252262534414</v>
          </cell>
          <cell r="CH1126">
            <v>18.555263085067214</v>
          </cell>
          <cell r="CI1126">
            <v>14.926604548033502</v>
          </cell>
          <cell r="CJ1126">
            <v>22.183921622100925</v>
          </cell>
          <cell r="CU1126">
            <v>9.6374634729850204</v>
          </cell>
          <cell r="CV1126">
            <v>13.67289934744978</v>
          </cell>
          <cell r="CW1126">
            <v>11.062153668663059</v>
          </cell>
          <cell r="CX1126">
            <v>8.6510321273089765</v>
          </cell>
          <cell r="CY1126">
            <v>13.473275210017142</v>
          </cell>
        </row>
        <row r="1127">
          <cell r="A1127">
            <v>41115</v>
          </cell>
          <cell r="CF1127">
            <v>16.264132683796248</v>
          </cell>
          <cell r="CG1127">
            <v>22.085252262534414</v>
          </cell>
          <cell r="CH1127">
            <v>18.555263085067214</v>
          </cell>
          <cell r="CI1127">
            <v>14.926604548033502</v>
          </cell>
          <cell r="CJ1127">
            <v>22.183921622100925</v>
          </cell>
          <cell r="CU1127">
            <v>9.7174756980312189</v>
          </cell>
          <cell r="CV1127">
            <v>13.67289934744978</v>
          </cell>
          <cell r="CW1127">
            <v>11.062153668663059</v>
          </cell>
          <cell r="CX1127">
            <v>8.6510321273089765</v>
          </cell>
          <cell r="CY1127">
            <v>13.473275210017142</v>
          </cell>
        </row>
        <row r="1128">
          <cell r="A1128">
            <v>41116</v>
          </cell>
          <cell r="CF1128">
            <v>16.456288057783581</v>
          </cell>
          <cell r="CG1128">
            <v>22.085252262534414</v>
          </cell>
          <cell r="CH1128">
            <v>18.555263085067214</v>
          </cell>
          <cell r="CI1128">
            <v>14.926604548033502</v>
          </cell>
          <cell r="CJ1128">
            <v>22.183921622100925</v>
          </cell>
          <cell r="CU1128">
            <v>9.8206817008673486</v>
          </cell>
          <cell r="CV1128">
            <v>13.67289934744978</v>
          </cell>
          <cell r="CW1128">
            <v>11.062153668663059</v>
          </cell>
          <cell r="CX1128">
            <v>8.6510321273089765</v>
          </cell>
          <cell r="CY1128">
            <v>13.473275210017142</v>
          </cell>
        </row>
        <row r="1129">
          <cell r="A1129">
            <v>41117</v>
          </cell>
          <cell r="CF1129">
            <v>16.875144710433247</v>
          </cell>
          <cell r="CG1129">
            <v>22.085252262534414</v>
          </cell>
          <cell r="CH1129">
            <v>18.555263085067214</v>
          </cell>
          <cell r="CI1129">
            <v>14.926604548033502</v>
          </cell>
          <cell r="CJ1129">
            <v>22.183921622100925</v>
          </cell>
          <cell r="CU1129">
            <v>10.045648195346665</v>
          </cell>
          <cell r="CV1129">
            <v>13.67289934744978</v>
          </cell>
          <cell r="CW1129">
            <v>11.062153668663059</v>
          </cell>
          <cell r="CX1129">
            <v>8.6510321273089765</v>
          </cell>
          <cell r="CY1129">
            <v>13.473275210017142</v>
          </cell>
        </row>
        <row r="1130">
          <cell r="A1130">
            <v>41120</v>
          </cell>
          <cell r="CF1130">
            <v>16.581513480759789</v>
          </cell>
          <cell r="CG1130">
            <v>22.085252262534414</v>
          </cell>
          <cell r="CH1130">
            <v>18.555263085067214</v>
          </cell>
          <cell r="CI1130">
            <v>14.926604548033502</v>
          </cell>
          <cell r="CJ1130">
            <v>22.183921622100925</v>
          </cell>
          <cell r="CU1130">
            <v>9.8879398529068006</v>
          </cell>
          <cell r="CV1130">
            <v>13.67289934744978</v>
          </cell>
          <cell r="CW1130">
            <v>11.062153668663059</v>
          </cell>
          <cell r="CX1130">
            <v>8.6510321273089765</v>
          </cell>
          <cell r="CY1130">
            <v>13.473275210017142</v>
          </cell>
        </row>
        <row r="1131">
          <cell r="A1131">
            <v>41121</v>
          </cell>
          <cell r="CF1131">
            <v>16.151864377018036</v>
          </cell>
          <cell r="CG1131">
            <v>22.085252262534414</v>
          </cell>
          <cell r="CH1131">
            <v>18.555263085067214</v>
          </cell>
          <cell r="CI1131">
            <v>14.926604548033502</v>
          </cell>
          <cell r="CJ1131">
            <v>22.183921622100925</v>
          </cell>
          <cell r="CU1131">
            <v>9.6571767693708974</v>
          </cell>
          <cell r="CV1131">
            <v>13.67289934744978</v>
          </cell>
          <cell r="CW1131">
            <v>11.062153668663059</v>
          </cell>
          <cell r="CX1131">
            <v>8.6510321273089765</v>
          </cell>
          <cell r="CY1131">
            <v>13.473275210017142</v>
          </cell>
        </row>
        <row r="1132">
          <cell r="A1132">
            <v>41122</v>
          </cell>
          <cell r="CF1132">
            <v>16.066392409989049</v>
          </cell>
          <cell r="CG1132">
            <v>22.085252262534414</v>
          </cell>
          <cell r="CH1132">
            <v>18.555263085067214</v>
          </cell>
          <cell r="CI1132">
            <v>14.926604548033502</v>
          </cell>
          <cell r="CJ1132">
            <v>22.183921622100925</v>
          </cell>
          <cell r="CU1132">
            <v>9.589252757291316</v>
          </cell>
          <cell r="CV1132">
            <v>13.67289934744978</v>
          </cell>
          <cell r="CW1132">
            <v>11.062153668663059</v>
          </cell>
          <cell r="CX1132">
            <v>8.6510321273089765</v>
          </cell>
          <cell r="CY1132">
            <v>13.473275210017142</v>
          </cell>
        </row>
        <row r="1133">
          <cell r="A1133">
            <v>41123</v>
          </cell>
          <cell r="CF1133">
            <v>16.037480511494202</v>
          </cell>
          <cell r="CG1133">
            <v>22.085252262534414</v>
          </cell>
          <cell r="CH1133">
            <v>18.555263085067214</v>
          </cell>
          <cell r="CI1133">
            <v>14.926604548033502</v>
          </cell>
          <cell r="CJ1133">
            <v>22.183921622100925</v>
          </cell>
          <cell r="CU1133">
            <v>9.6603276836073384</v>
          </cell>
          <cell r="CV1133">
            <v>13.67289934744978</v>
          </cell>
          <cell r="CW1133">
            <v>11.062153668663059</v>
          </cell>
          <cell r="CX1133">
            <v>8.6510321273089765</v>
          </cell>
          <cell r="CY1133">
            <v>13.473275210017142</v>
          </cell>
        </row>
        <row r="1134">
          <cell r="A1134">
            <v>41124</v>
          </cell>
          <cell r="CF1134">
            <v>16.376140298726675</v>
          </cell>
          <cell r="CG1134">
            <v>22.085252262534414</v>
          </cell>
          <cell r="CH1134">
            <v>18.555263085067214</v>
          </cell>
          <cell r="CI1134">
            <v>14.926604548033502</v>
          </cell>
          <cell r="CJ1134">
            <v>22.183921622100925</v>
          </cell>
          <cell r="CU1134">
            <v>9.8714659273651328</v>
          </cell>
          <cell r="CV1134">
            <v>13.67289934744978</v>
          </cell>
          <cell r="CW1134">
            <v>11.062153668663059</v>
          </cell>
          <cell r="CX1134">
            <v>8.6510321273089765</v>
          </cell>
          <cell r="CY1134">
            <v>13.473275210017142</v>
          </cell>
        </row>
        <row r="1135">
          <cell r="A1135">
            <v>41127</v>
          </cell>
          <cell r="CF1135">
            <v>16.408295329332343</v>
          </cell>
          <cell r="CG1135">
            <v>22.085252262534414</v>
          </cell>
          <cell r="CH1135">
            <v>18.555263085067214</v>
          </cell>
          <cell r="CI1135">
            <v>14.926604548033502</v>
          </cell>
          <cell r="CJ1135">
            <v>22.183921622100925</v>
          </cell>
          <cell r="CU1135">
            <v>9.8871179302640151</v>
          </cell>
          <cell r="CV1135">
            <v>13.67289934744978</v>
          </cell>
          <cell r="CW1135">
            <v>11.062153668663059</v>
          </cell>
          <cell r="CX1135">
            <v>8.6510321273089765</v>
          </cell>
          <cell r="CY1135">
            <v>13.473275210017142</v>
          </cell>
        </row>
        <row r="1136">
          <cell r="A1136">
            <v>41128</v>
          </cell>
          <cell r="CF1136">
            <v>16.609808677062201</v>
          </cell>
          <cell r="CG1136">
            <v>22.085252262534414</v>
          </cell>
          <cell r="CH1136">
            <v>18.555263085067214</v>
          </cell>
          <cell r="CI1136">
            <v>14.926604548033502</v>
          </cell>
          <cell r="CJ1136">
            <v>22.183921622100925</v>
          </cell>
          <cell r="CU1136">
            <v>9.9956123671435222</v>
          </cell>
          <cell r="CV1136">
            <v>13.67289934744978</v>
          </cell>
          <cell r="CW1136">
            <v>11.062153668663059</v>
          </cell>
          <cell r="CX1136">
            <v>8.6510321273089765</v>
          </cell>
          <cell r="CY1136">
            <v>13.473275210017142</v>
          </cell>
        </row>
        <row r="1137">
          <cell r="A1137">
            <v>41129</v>
          </cell>
          <cell r="CF1137">
            <v>16.519771418609725</v>
          </cell>
          <cell r="CG1137">
            <v>22.085252262534414</v>
          </cell>
          <cell r="CH1137">
            <v>18.555263085067214</v>
          </cell>
          <cell r="CI1137">
            <v>14.926604548033502</v>
          </cell>
          <cell r="CJ1137">
            <v>22.183921622100925</v>
          </cell>
          <cell r="CU1137">
            <v>9.7837054364985558</v>
          </cell>
          <cell r="CV1137">
            <v>13.67289934744978</v>
          </cell>
          <cell r="CW1137">
            <v>11.062153668663059</v>
          </cell>
          <cell r="CX1137">
            <v>8.6510321273089765</v>
          </cell>
          <cell r="CY1137">
            <v>13.473275210017142</v>
          </cell>
        </row>
        <row r="1138">
          <cell r="A1138">
            <v>41130</v>
          </cell>
          <cell r="CF1138">
            <v>16.432420754637693</v>
          </cell>
          <cell r="CG1138">
            <v>22.085252262534414</v>
          </cell>
          <cell r="CH1138">
            <v>18.555263085067214</v>
          </cell>
          <cell r="CI1138">
            <v>14.926604548033502</v>
          </cell>
          <cell r="CJ1138">
            <v>22.183921622100925</v>
          </cell>
          <cell r="CU1138">
            <v>9.7337550750010831</v>
          </cell>
          <cell r="CV1138">
            <v>13.67289934744978</v>
          </cell>
          <cell r="CW1138">
            <v>11.062153668663059</v>
          </cell>
          <cell r="CX1138">
            <v>8.6510321273089765</v>
          </cell>
          <cell r="CY1138">
            <v>13.473275210017142</v>
          </cell>
        </row>
        <row r="1139">
          <cell r="A1139">
            <v>41131</v>
          </cell>
          <cell r="CF1139">
            <v>16.548231151972601</v>
          </cell>
          <cell r="CG1139">
            <v>22.085252262534414</v>
          </cell>
          <cell r="CH1139">
            <v>18.555263085067214</v>
          </cell>
          <cell r="CI1139">
            <v>14.926604548033502</v>
          </cell>
          <cell r="CJ1139">
            <v>22.183921622100925</v>
          </cell>
          <cell r="CU1139">
            <v>9.7950567180756725</v>
          </cell>
          <cell r="CV1139">
            <v>13.67289934744978</v>
          </cell>
          <cell r="CW1139">
            <v>11.062153668663059</v>
          </cell>
          <cell r="CX1139">
            <v>8.6510321273089765</v>
          </cell>
          <cell r="CY1139">
            <v>13.473275210017142</v>
          </cell>
        </row>
        <row r="1140">
          <cell r="A1140">
            <v>41134</v>
          </cell>
          <cell r="CF1140">
            <v>16.548231151972601</v>
          </cell>
          <cell r="CG1140">
            <v>22.085252262534414</v>
          </cell>
          <cell r="CH1140">
            <v>18.555263085067214</v>
          </cell>
          <cell r="CI1140">
            <v>14.926604548033502</v>
          </cell>
          <cell r="CJ1140">
            <v>22.183921622100925</v>
          </cell>
          <cell r="CU1140">
            <v>9.7960574664104598</v>
          </cell>
          <cell r="CV1140">
            <v>13.67289934744978</v>
          </cell>
          <cell r="CW1140">
            <v>11.062153668663059</v>
          </cell>
          <cell r="CX1140">
            <v>8.6510321273089765</v>
          </cell>
          <cell r="CY1140">
            <v>13.473275210017142</v>
          </cell>
        </row>
        <row r="1141">
          <cell r="A1141">
            <v>41135</v>
          </cell>
          <cell r="CF1141">
            <v>16.467744495737236</v>
          </cell>
          <cell r="CG1141">
            <v>22.085252262534414</v>
          </cell>
          <cell r="CH1141">
            <v>18.555263085067214</v>
          </cell>
          <cell r="CI1141">
            <v>14.926604548033502</v>
          </cell>
          <cell r="CJ1141">
            <v>22.183921622100925</v>
          </cell>
          <cell r="CU1141">
            <v>9.751779073720062</v>
          </cell>
          <cell r="CV1141">
            <v>13.67289934744978</v>
          </cell>
          <cell r="CW1141">
            <v>11.062153668663059</v>
          </cell>
          <cell r="CX1141">
            <v>8.6510321273089765</v>
          </cell>
          <cell r="CY1141">
            <v>13.473275210017142</v>
          </cell>
        </row>
        <row r="1142">
          <cell r="A1142">
            <v>41136</v>
          </cell>
          <cell r="CF1142">
            <v>16.684399078477121</v>
          </cell>
          <cell r="CG1142">
            <v>22.085252262534414</v>
          </cell>
          <cell r="CH1142">
            <v>18.555263085067214</v>
          </cell>
          <cell r="CI1142">
            <v>14.926604548033502</v>
          </cell>
          <cell r="CJ1142">
            <v>22.183921622100925</v>
          </cell>
          <cell r="CU1142">
            <v>9.8664500731914337</v>
          </cell>
          <cell r="CV1142">
            <v>13.67289934744978</v>
          </cell>
          <cell r="CW1142">
            <v>11.062153668663059</v>
          </cell>
          <cell r="CX1142">
            <v>8.6510321273089765</v>
          </cell>
          <cell r="CY1142">
            <v>13.473275210017142</v>
          </cell>
        </row>
        <row r="1143">
          <cell r="A1143">
            <v>41137</v>
          </cell>
          <cell r="CF1143">
            <v>16.628625178042952</v>
          </cell>
          <cell r="CG1143">
            <v>22.085252262534414</v>
          </cell>
          <cell r="CH1143">
            <v>18.555263085067214</v>
          </cell>
          <cell r="CI1143">
            <v>14.926604548033502</v>
          </cell>
          <cell r="CJ1143">
            <v>22.183921622100925</v>
          </cell>
          <cell r="CU1143">
            <v>9.8369300472297336</v>
          </cell>
          <cell r="CV1143">
            <v>13.67289934744978</v>
          </cell>
          <cell r="CW1143">
            <v>11.062153668663059</v>
          </cell>
          <cell r="CX1143">
            <v>8.6510321273089765</v>
          </cell>
          <cell r="CY1143">
            <v>13.473275210017142</v>
          </cell>
        </row>
        <row r="1144">
          <cell r="A1144">
            <v>41138</v>
          </cell>
          <cell r="CF1144">
            <v>16.75733101093298</v>
          </cell>
          <cell r="CG1144">
            <v>22.085252262534414</v>
          </cell>
          <cell r="CH1144">
            <v>18.555263085067214</v>
          </cell>
          <cell r="CI1144">
            <v>14.926604548033502</v>
          </cell>
          <cell r="CJ1144">
            <v>22.183921622100925</v>
          </cell>
          <cell r="CU1144">
            <v>9.9050515072452576</v>
          </cell>
          <cell r="CV1144">
            <v>13.67289934744978</v>
          </cell>
          <cell r="CW1144">
            <v>11.062153668663059</v>
          </cell>
          <cell r="CX1144">
            <v>8.6510321273089765</v>
          </cell>
          <cell r="CY1144">
            <v>13.473275210017142</v>
          </cell>
        </row>
        <row r="1145">
          <cell r="A1145">
            <v>41141</v>
          </cell>
          <cell r="CF1145">
            <v>16.658656024232439</v>
          </cell>
          <cell r="CG1145">
            <v>22.085252262534414</v>
          </cell>
          <cell r="CH1145">
            <v>18.555263085067214</v>
          </cell>
          <cell r="CI1145">
            <v>14.926604548033502</v>
          </cell>
          <cell r="CJ1145">
            <v>22.183921622100925</v>
          </cell>
          <cell r="CU1145">
            <v>9.852824782083573</v>
          </cell>
          <cell r="CV1145">
            <v>13.67289934744978</v>
          </cell>
          <cell r="CW1145">
            <v>11.062153668663059</v>
          </cell>
          <cell r="CX1145">
            <v>8.6510321273089765</v>
          </cell>
          <cell r="CY1145">
            <v>13.473275210017142</v>
          </cell>
        </row>
        <row r="1146">
          <cell r="A1146">
            <v>41142</v>
          </cell>
          <cell r="CF1146">
            <v>16.705847905549692</v>
          </cell>
          <cell r="CG1146">
            <v>22.085252262534414</v>
          </cell>
          <cell r="CH1146">
            <v>18.555263085067214</v>
          </cell>
          <cell r="CI1146">
            <v>14.926604548033502</v>
          </cell>
          <cell r="CJ1146">
            <v>22.183921622100925</v>
          </cell>
          <cell r="CU1146">
            <v>9.8778025145143751</v>
          </cell>
          <cell r="CV1146">
            <v>13.67289934744978</v>
          </cell>
          <cell r="CW1146">
            <v>11.062153668663059</v>
          </cell>
          <cell r="CX1146">
            <v>8.6510321273089765</v>
          </cell>
          <cell r="CY1146">
            <v>13.473275210017142</v>
          </cell>
        </row>
        <row r="1147">
          <cell r="A1147">
            <v>41143</v>
          </cell>
          <cell r="CF1147">
            <v>16.59215910456123</v>
          </cell>
          <cell r="CG1147">
            <v>22.085252262534414</v>
          </cell>
          <cell r="CH1147">
            <v>18.555263085067214</v>
          </cell>
          <cell r="CI1147">
            <v>14.926604548033502</v>
          </cell>
          <cell r="CJ1147">
            <v>22.183921622100925</v>
          </cell>
          <cell r="CU1147">
            <v>9.8176292734355055</v>
          </cell>
          <cell r="CV1147">
            <v>13.67289934744978</v>
          </cell>
          <cell r="CW1147">
            <v>11.062153668663059</v>
          </cell>
          <cell r="CX1147">
            <v>8.6510321273089765</v>
          </cell>
          <cell r="CY1147">
            <v>13.473275210017142</v>
          </cell>
        </row>
        <row r="1148">
          <cell r="A1148">
            <v>41144</v>
          </cell>
          <cell r="CF1148">
            <v>16.313298611708596</v>
          </cell>
          <cell r="CG1148">
            <v>22.085252262534414</v>
          </cell>
          <cell r="CH1148">
            <v>18.555263085067214</v>
          </cell>
          <cell r="CI1148">
            <v>14.926604548033502</v>
          </cell>
          <cell r="CJ1148">
            <v>22.183921622100925</v>
          </cell>
          <cell r="CU1148">
            <v>9.6700339120815162</v>
          </cell>
          <cell r="CV1148">
            <v>13.67289934744978</v>
          </cell>
          <cell r="CW1148">
            <v>11.062153668663059</v>
          </cell>
          <cell r="CX1148">
            <v>8.6510321273089765</v>
          </cell>
          <cell r="CY1148">
            <v>13.473275210017142</v>
          </cell>
        </row>
        <row r="1149">
          <cell r="A1149">
            <v>41145</v>
          </cell>
          <cell r="CF1149">
            <v>16.356202701081035</v>
          </cell>
          <cell r="CG1149">
            <v>22.085252262534414</v>
          </cell>
          <cell r="CH1149">
            <v>18.555263085067214</v>
          </cell>
          <cell r="CI1149">
            <v>14.926604548033502</v>
          </cell>
          <cell r="CJ1149">
            <v>22.183921622100925</v>
          </cell>
          <cell r="CU1149">
            <v>9.6927422007663377</v>
          </cell>
          <cell r="CV1149">
            <v>13.67289934744978</v>
          </cell>
          <cell r="CW1149">
            <v>11.062153668663059</v>
          </cell>
          <cell r="CX1149">
            <v>8.6510321273089765</v>
          </cell>
          <cell r="CY1149">
            <v>13.473275210017142</v>
          </cell>
        </row>
        <row r="1150">
          <cell r="A1150">
            <v>41148</v>
          </cell>
          <cell r="CF1150">
            <v>16.302575806979132</v>
          </cell>
          <cell r="CG1150">
            <v>22.085252262534414</v>
          </cell>
          <cell r="CH1150">
            <v>18.555263085067214</v>
          </cell>
          <cell r="CI1150">
            <v>14.926604548033502</v>
          </cell>
          <cell r="CJ1150">
            <v>22.183921622100925</v>
          </cell>
          <cell r="CU1150">
            <v>9.6643585429297811</v>
          </cell>
          <cell r="CV1150">
            <v>13.67289934744978</v>
          </cell>
          <cell r="CW1150">
            <v>11.062153668663059</v>
          </cell>
          <cell r="CX1150">
            <v>8.6510321273089765</v>
          </cell>
          <cell r="CY1150">
            <v>13.473275210017142</v>
          </cell>
        </row>
        <row r="1151">
          <cell r="A1151">
            <v>41149</v>
          </cell>
          <cell r="CF1151">
            <v>16.343329672405662</v>
          </cell>
          <cell r="CG1151">
            <v>22.085252262534414</v>
          </cell>
          <cell r="CH1151">
            <v>18.555263085067214</v>
          </cell>
          <cell r="CI1151">
            <v>14.926604548033502</v>
          </cell>
          <cell r="CJ1151">
            <v>22.183921622100925</v>
          </cell>
          <cell r="CU1151">
            <v>9.6859287604699862</v>
          </cell>
          <cell r="CV1151">
            <v>13.67289934744978</v>
          </cell>
          <cell r="CW1151">
            <v>11.062153668663059</v>
          </cell>
          <cell r="CX1151">
            <v>8.6510321273089765</v>
          </cell>
          <cell r="CY1151">
            <v>13.473275210017142</v>
          </cell>
        </row>
        <row r="1152">
          <cell r="A1152">
            <v>41150</v>
          </cell>
          <cell r="CF1152">
            <v>16.469891502069498</v>
          </cell>
          <cell r="CG1152">
            <v>22.085252262534414</v>
          </cell>
          <cell r="CH1152">
            <v>18.555263085067214</v>
          </cell>
          <cell r="CI1152">
            <v>14.926604548033502</v>
          </cell>
          <cell r="CJ1152">
            <v>22.183921622100925</v>
          </cell>
          <cell r="CU1152">
            <v>9.7529154418452073</v>
          </cell>
          <cell r="CV1152">
            <v>13.67289934744978</v>
          </cell>
          <cell r="CW1152">
            <v>11.062153668663059</v>
          </cell>
          <cell r="CX1152">
            <v>8.6510321273089765</v>
          </cell>
          <cell r="CY1152">
            <v>13.473275210017142</v>
          </cell>
        </row>
        <row r="1153">
          <cell r="A1153">
            <v>41151</v>
          </cell>
          <cell r="CF1153">
            <v>16.405538585624484</v>
          </cell>
          <cell r="CG1153">
            <v>22.085252262534414</v>
          </cell>
          <cell r="CH1153">
            <v>18.555263085067214</v>
          </cell>
          <cell r="CI1153">
            <v>14.926604548033502</v>
          </cell>
          <cell r="CJ1153">
            <v>22.183921622100925</v>
          </cell>
          <cell r="CU1153">
            <v>9.7188547118374444</v>
          </cell>
          <cell r="CV1153">
            <v>13.67289934744978</v>
          </cell>
          <cell r="CW1153">
            <v>11.062153668663059</v>
          </cell>
          <cell r="CX1153">
            <v>8.6510321273089765</v>
          </cell>
          <cell r="CY1153">
            <v>13.473275210017142</v>
          </cell>
        </row>
        <row r="1154">
          <cell r="A1154">
            <v>41152</v>
          </cell>
          <cell r="CF1154">
            <v>16.476326514854147</v>
          </cell>
          <cell r="CG1154">
            <v>22.085252262534414</v>
          </cell>
          <cell r="CH1154">
            <v>18.555263085067214</v>
          </cell>
          <cell r="CI1154">
            <v>14.926604548033502</v>
          </cell>
          <cell r="CJ1154">
            <v>22.183921622100925</v>
          </cell>
          <cell r="CU1154">
            <v>9.7563213672509601</v>
          </cell>
          <cell r="CV1154">
            <v>13.67289934744978</v>
          </cell>
          <cell r="CW1154">
            <v>11.062153668663059</v>
          </cell>
          <cell r="CX1154">
            <v>8.6510321273089765</v>
          </cell>
          <cell r="CY1154">
            <v>13.473275210017142</v>
          </cell>
        </row>
        <row r="1155">
          <cell r="A1155">
            <v>41155</v>
          </cell>
          <cell r="CF1155">
            <v>16.345291471709356</v>
          </cell>
          <cell r="CG1155">
            <v>22.085252262534414</v>
          </cell>
          <cell r="CH1155">
            <v>18.555263085067214</v>
          </cell>
          <cell r="CI1155">
            <v>14.926604548033502</v>
          </cell>
          <cell r="CJ1155">
            <v>22.183921622100925</v>
          </cell>
          <cell r="CU1155">
            <v>9.7024713546752857</v>
          </cell>
          <cell r="CV1155">
            <v>13.67289934744978</v>
          </cell>
          <cell r="CW1155">
            <v>11.062153668663059</v>
          </cell>
          <cell r="CX1155">
            <v>8.6510321273089765</v>
          </cell>
          <cell r="CY1155">
            <v>13.473275210017142</v>
          </cell>
        </row>
        <row r="1156">
          <cell r="A1156">
            <v>41156</v>
          </cell>
          <cell r="CF1156">
            <v>16.43041084011417</v>
          </cell>
          <cell r="CG1156">
            <v>22.085252262534414</v>
          </cell>
          <cell r="CH1156">
            <v>18.555263085067214</v>
          </cell>
          <cell r="CI1156">
            <v>14.926604548033502</v>
          </cell>
          <cell r="CJ1156">
            <v>22.183921622100925</v>
          </cell>
          <cell r="CU1156">
            <v>9.7476338680217758</v>
          </cell>
          <cell r="CV1156">
            <v>13.67289934744978</v>
          </cell>
          <cell r="CW1156">
            <v>11.062153668663059</v>
          </cell>
          <cell r="CX1156">
            <v>8.6510321273089765</v>
          </cell>
          <cell r="CY1156">
            <v>13.473275210017142</v>
          </cell>
        </row>
        <row r="1157">
          <cell r="A1157">
            <v>41157</v>
          </cell>
          <cell r="CF1157">
            <v>16.379337176175799</v>
          </cell>
          <cell r="CG1157">
            <v>22.085252262534414</v>
          </cell>
          <cell r="CH1157">
            <v>18.555263085067214</v>
          </cell>
          <cell r="CI1157">
            <v>14.926604548033502</v>
          </cell>
          <cell r="CJ1157">
            <v>22.183921622100925</v>
          </cell>
          <cell r="CU1157">
            <v>9.7205352760973049</v>
          </cell>
          <cell r="CV1157">
            <v>13.67289934744978</v>
          </cell>
          <cell r="CW1157">
            <v>11.062153668663059</v>
          </cell>
          <cell r="CX1157">
            <v>8.6510321273089765</v>
          </cell>
          <cell r="CY1157">
            <v>13.473275210017142</v>
          </cell>
        </row>
        <row r="1158">
          <cell r="A1158">
            <v>41158</v>
          </cell>
          <cell r="CF1158">
            <v>16.583628214301864</v>
          </cell>
          <cell r="CG1158">
            <v>22.085252262534414</v>
          </cell>
          <cell r="CH1158">
            <v>18.555263085067214</v>
          </cell>
          <cell r="CI1158">
            <v>14.926604548033502</v>
          </cell>
          <cell r="CJ1158">
            <v>22.183921622100925</v>
          </cell>
          <cell r="CU1158">
            <v>9.8289277243595858</v>
          </cell>
          <cell r="CV1158">
            <v>13.67289934744978</v>
          </cell>
          <cell r="CW1158">
            <v>11.062153668663059</v>
          </cell>
          <cell r="CX1158">
            <v>8.6510321273089765</v>
          </cell>
          <cell r="CY1158">
            <v>13.473275210017142</v>
          </cell>
        </row>
        <row r="1159">
          <cell r="A1159">
            <v>41159</v>
          </cell>
          <cell r="CF1159">
            <v>16.673004466173854</v>
          </cell>
          <cell r="CG1159">
            <v>22.085252262534414</v>
          </cell>
          <cell r="CH1159">
            <v>18.555263085067214</v>
          </cell>
          <cell r="CI1159">
            <v>14.926604548033502</v>
          </cell>
          <cell r="CJ1159">
            <v>22.183921622100925</v>
          </cell>
          <cell r="CU1159">
            <v>9.8763488488776989</v>
          </cell>
          <cell r="CV1159">
            <v>13.67289934744978</v>
          </cell>
          <cell r="CW1159">
            <v>11.062153668663059</v>
          </cell>
          <cell r="CX1159">
            <v>8.6510321273089765</v>
          </cell>
          <cell r="CY1159">
            <v>13.473275210017142</v>
          </cell>
        </row>
        <row r="1160">
          <cell r="A1160">
            <v>41162</v>
          </cell>
          <cell r="CF1160">
            <v>16.564476920335057</v>
          </cell>
          <cell r="CG1160">
            <v>22.085252262534414</v>
          </cell>
          <cell r="CH1160">
            <v>18.555263085067214</v>
          </cell>
          <cell r="CI1160">
            <v>14.926604548033502</v>
          </cell>
          <cell r="CJ1160">
            <v>22.183921622100925</v>
          </cell>
          <cell r="CU1160">
            <v>9.8187664580627629</v>
          </cell>
          <cell r="CV1160">
            <v>13.67289934744978</v>
          </cell>
          <cell r="CW1160">
            <v>11.062153668663059</v>
          </cell>
          <cell r="CX1160">
            <v>8.6510321273089765</v>
          </cell>
          <cell r="CY1160">
            <v>13.473275210017142</v>
          </cell>
        </row>
        <row r="1161">
          <cell r="A1161">
            <v>41163</v>
          </cell>
          <cell r="CF1161">
            <v>16.404875710557885</v>
          </cell>
          <cell r="CG1161">
            <v>22.085252262534414</v>
          </cell>
          <cell r="CH1161">
            <v>18.555263085067214</v>
          </cell>
          <cell r="CI1161">
            <v>14.926604548033502</v>
          </cell>
          <cell r="CJ1161">
            <v>22.183921622100925</v>
          </cell>
          <cell r="CU1161">
            <v>9.7340854753233561</v>
          </cell>
          <cell r="CV1161">
            <v>13.67289934744978</v>
          </cell>
          <cell r="CW1161">
            <v>11.062153668663059</v>
          </cell>
          <cell r="CX1161">
            <v>8.6510321273089765</v>
          </cell>
          <cell r="CY1161">
            <v>13.473275210017142</v>
          </cell>
        </row>
        <row r="1162">
          <cell r="A1162">
            <v>41164</v>
          </cell>
          <cell r="CF1162">
            <v>16.38146732032229</v>
          </cell>
          <cell r="CG1162">
            <v>22.085252262534414</v>
          </cell>
          <cell r="CH1162">
            <v>18.555263085067214</v>
          </cell>
          <cell r="CI1162">
            <v>14.926604548033502</v>
          </cell>
          <cell r="CJ1162">
            <v>22.183921622100925</v>
          </cell>
          <cell r="CU1162">
            <v>9.7216654849469339</v>
          </cell>
          <cell r="CV1162">
            <v>13.67289934744978</v>
          </cell>
          <cell r="CW1162">
            <v>11.062153668663059</v>
          </cell>
          <cell r="CX1162">
            <v>8.6510321273089765</v>
          </cell>
          <cell r="CY1162">
            <v>13.473275210017142</v>
          </cell>
        </row>
        <row r="1163">
          <cell r="A1163">
            <v>41165</v>
          </cell>
          <cell r="CF1163">
            <v>16.490361649589389</v>
          </cell>
          <cell r="CG1163">
            <v>22.085252262534414</v>
          </cell>
          <cell r="CH1163">
            <v>18.555263085067214</v>
          </cell>
          <cell r="CI1163">
            <v>14.926604548033502</v>
          </cell>
          <cell r="CJ1163">
            <v>22.183921622100925</v>
          </cell>
          <cell r="CU1163">
            <v>9.7803780846114972</v>
          </cell>
          <cell r="CV1163">
            <v>13.67289934744978</v>
          </cell>
          <cell r="CW1163">
            <v>11.062153668663059</v>
          </cell>
          <cell r="CX1163">
            <v>8.6510321273089765</v>
          </cell>
          <cell r="CY1163">
            <v>13.473275210017142</v>
          </cell>
        </row>
        <row r="1164">
          <cell r="A1164">
            <v>41166</v>
          </cell>
          <cell r="CF1164">
            <v>16.398865250339647</v>
          </cell>
          <cell r="CG1164">
            <v>22.085252262534414</v>
          </cell>
          <cell r="CH1164">
            <v>18.555263085067214</v>
          </cell>
          <cell r="CI1164">
            <v>14.926604548033502</v>
          </cell>
          <cell r="CJ1164">
            <v>22.183921622100925</v>
          </cell>
          <cell r="CU1164">
            <v>9.7318268641517314</v>
          </cell>
          <cell r="CV1164">
            <v>13.67289934744978</v>
          </cell>
          <cell r="CW1164">
            <v>11.062153668663059</v>
          </cell>
          <cell r="CX1164">
            <v>8.6510321273089765</v>
          </cell>
          <cell r="CY1164">
            <v>13.473275210017142</v>
          </cell>
        </row>
        <row r="1165">
          <cell r="A1165">
            <v>41169</v>
          </cell>
          <cell r="CF1165">
            <v>16.379715791276706</v>
          </cell>
          <cell r="CG1165">
            <v>22.085252262534414</v>
          </cell>
          <cell r="CH1165">
            <v>18.555263085067214</v>
          </cell>
          <cell r="CI1165">
            <v>14.926604548033502</v>
          </cell>
          <cell r="CJ1165">
            <v>22.183921622100925</v>
          </cell>
          <cell r="CU1165">
            <v>9.7216654849469339</v>
          </cell>
          <cell r="CV1165">
            <v>13.67289934744978</v>
          </cell>
          <cell r="CW1165">
            <v>11.062153668663059</v>
          </cell>
          <cell r="CX1165">
            <v>8.6510321273089765</v>
          </cell>
          <cell r="CY1165">
            <v>13.473275210017142</v>
          </cell>
        </row>
        <row r="1166">
          <cell r="A1166">
            <v>41170</v>
          </cell>
          <cell r="CF1166">
            <v>16.437166934590714</v>
          </cell>
          <cell r="CG1166">
            <v>22.085252262534414</v>
          </cell>
          <cell r="CH1166">
            <v>18.555263085067214</v>
          </cell>
          <cell r="CI1166">
            <v>14.926604548033502</v>
          </cell>
          <cell r="CJ1166">
            <v>22.183921622100925</v>
          </cell>
          <cell r="CU1166">
            <v>9.7521510903650288</v>
          </cell>
          <cell r="CV1166">
            <v>13.67289934744978</v>
          </cell>
          <cell r="CW1166">
            <v>11.062153668663059</v>
          </cell>
          <cell r="CX1166">
            <v>8.6510321273089765</v>
          </cell>
          <cell r="CY1166">
            <v>13.473275210017142</v>
          </cell>
        </row>
        <row r="1167">
          <cell r="A1167">
            <v>41171</v>
          </cell>
          <cell r="CF1167">
            <v>16.688244499932441</v>
          </cell>
          <cell r="CG1167">
            <v>22.085252262534414</v>
          </cell>
          <cell r="CH1167">
            <v>18.555263085067214</v>
          </cell>
          <cell r="CI1167">
            <v>14.926604548033502</v>
          </cell>
          <cell r="CJ1167">
            <v>22.183921622100925</v>
          </cell>
          <cell r="CU1167">
            <v>9.8853817128525225</v>
          </cell>
          <cell r="CV1167">
            <v>13.67289934744978</v>
          </cell>
          <cell r="CW1167">
            <v>11.062153668663059</v>
          </cell>
          <cell r="CX1167">
            <v>8.6510321273089765</v>
          </cell>
          <cell r="CY1167">
            <v>13.473275210017142</v>
          </cell>
        </row>
        <row r="1168">
          <cell r="A1168">
            <v>41172</v>
          </cell>
          <cell r="CF1168">
            <v>16.8393189799807</v>
          </cell>
          <cell r="CG1168">
            <v>22.085252262534414</v>
          </cell>
          <cell r="CH1168">
            <v>18.555263085067214</v>
          </cell>
          <cell r="CI1168">
            <v>14.926604548033502</v>
          </cell>
          <cell r="CJ1168">
            <v>22.183921622100925</v>
          </cell>
          <cell r="CU1168">
            <v>9.9655471668683351</v>
          </cell>
          <cell r="CV1168">
            <v>13.67289934744978</v>
          </cell>
          <cell r="CW1168">
            <v>11.062153668663059</v>
          </cell>
          <cell r="CX1168">
            <v>8.6510321273089765</v>
          </cell>
          <cell r="CY1168">
            <v>13.473275210017142</v>
          </cell>
        </row>
        <row r="1169">
          <cell r="A1169">
            <v>41173</v>
          </cell>
          <cell r="CF1169">
            <v>16.96698438096778</v>
          </cell>
          <cell r="CG1169">
            <v>22.085252262534414</v>
          </cell>
          <cell r="CH1169">
            <v>18.555263085067214</v>
          </cell>
          <cell r="CI1169">
            <v>14.926604548033502</v>
          </cell>
          <cell r="CJ1169">
            <v>22.183921622100925</v>
          </cell>
          <cell r="CU1169">
            <v>10.033290936888069</v>
          </cell>
          <cell r="CV1169">
            <v>13.67289934744978</v>
          </cell>
          <cell r="CW1169">
            <v>11.062153668663059</v>
          </cell>
          <cell r="CX1169">
            <v>8.6510321273089765</v>
          </cell>
          <cell r="CY1169">
            <v>13.473275210017142</v>
          </cell>
        </row>
        <row r="1170">
          <cell r="A1170">
            <v>41176</v>
          </cell>
          <cell r="CF1170">
            <v>16.9903900555672</v>
          </cell>
          <cell r="CG1170">
            <v>22.085252262534414</v>
          </cell>
          <cell r="CH1170">
            <v>18.555263085067214</v>
          </cell>
          <cell r="CI1170">
            <v>14.926604548033502</v>
          </cell>
          <cell r="CJ1170">
            <v>22.183921622100925</v>
          </cell>
          <cell r="CU1170">
            <v>10.045710814356514</v>
          </cell>
          <cell r="CV1170">
            <v>13.67289934744978</v>
          </cell>
          <cell r="CW1170">
            <v>11.062153668663059</v>
          </cell>
          <cell r="CX1170">
            <v>8.6510321273089765</v>
          </cell>
          <cell r="CY1170">
            <v>13.473275210017142</v>
          </cell>
        </row>
        <row r="1171">
          <cell r="A1171">
            <v>41177</v>
          </cell>
          <cell r="CF1171">
            <v>17.07869519747474</v>
          </cell>
          <cell r="CG1171">
            <v>22.085252262534414</v>
          </cell>
          <cell r="CH1171">
            <v>18.555263085067214</v>
          </cell>
          <cell r="CI1171">
            <v>14.926604548033502</v>
          </cell>
          <cell r="CJ1171">
            <v>22.183921622100925</v>
          </cell>
          <cell r="CU1171">
            <v>10.092568640977447</v>
          </cell>
          <cell r="CV1171">
            <v>13.67289934744978</v>
          </cell>
          <cell r="CW1171">
            <v>11.062153668663059</v>
          </cell>
          <cell r="CX1171">
            <v>8.6510321273089765</v>
          </cell>
          <cell r="CY1171">
            <v>13.473275210017142</v>
          </cell>
        </row>
        <row r="1172">
          <cell r="A1172">
            <v>41178</v>
          </cell>
          <cell r="CF1172">
            <v>16.877617685327724</v>
          </cell>
          <cell r="CG1172">
            <v>22.085252262534414</v>
          </cell>
          <cell r="CH1172">
            <v>18.555263085067214</v>
          </cell>
          <cell r="CI1172">
            <v>14.926604548033502</v>
          </cell>
          <cell r="CJ1172">
            <v>22.183921622100925</v>
          </cell>
          <cell r="CU1172">
            <v>9.9858698123699536</v>
          </cell>
          <cell r="CV1172">
            <v>13.67289934744978</v>
          </cell>
          <cell r="CW1172">
            <v>11.062153668663059</v>
          </cell>
          <cell r="CX1172">
            <v>8.6510321273089765</v>
          </cell>
          <cell r="CY1172">
            <v>13.473275210017142</v>
          </cell>
        </row>
        <row r="1173">
          <cell r="A1173">
            <v>41179</v>
          </cell>
          <cell r="CF1173">
            <v>16.937195340568522</v>
          </cell>
          <cell r="CG1173">
            <v>22.085252262534414</v>
          </cell>
          <cell r="CH1173">
            <v>18.555263085067214</v>
          </cell>
          <cell r="CI1173">
            <v>14.926604548033502</v>
          </cell>
          <cell r="CJ1173">
            <v>22.183921622100925</v>
          </cell>
          <cell r="CU1173">
            <v>10.017483820110044</v>
          </cell>
          <cell r="CV1173">
            <v>13.67289934744978</v>
          </cell>
          <cell r="CW1173">
            <v>11.062153668663059</v>
          </cell>
          <cell r="CX1173">
            <v>8.6510321273089765</v>
          </cell>
          <cell r="CY1173">
            <v>13.473275210017142</v>
          </cell>
        </row>
        <row r="1174">
          <cell r="A1174">
            <v>41180</v>
          </cell>
          <cell r="CF1174">
            <v>16.856338309876236</v>
          </cell>
          <cell r="CG1174">
            <v>22.085252262534414</v>
          </cell>
          <cell r="CH1174">
            <v>18.555263085067214</v>
          </cell>
          <cell r="CI1174">
            <v>14.926604548033502</v>
          </cell>
          <cell r="CJ1174">
            <v>22.183921622100925</v>
          </cell>
          <cell r="CU1174">
            <v>9.974578224315529</v>
          </cell>
          <cell r="CV1174">
            <v>13.67289934744978</v>
          </cell>
          <cell r="CW1174">
            <v>11.062153668663059</v>
          </cell>
          <cell r="CX1174">
            <v>8.6510321273089765</v>
          </cell>
          <cell r="CY1174">
            <v>13.473275210017142</v>
          </cell>
        </row>
        <row r="1175">
          <cell r="A1175">
            <v>41183</v>
          </cell>
          <cell r="CF1175">
            <v>16.719989543629502</v>
          </cell>
          <cell r="CG1175">
            <v>22.085252262534414</v>
          </cell>
          <cell r="CH1175">
            <v>18.555263085067214</v>
          </cell>
          <cell r="CI1175">
            <v>14.926604548033502</v>
          </cell>
          <cell r="CJ1175">
            <v>22.183921622100925</v>
          </cell>
          <cell r="CU1175">
            <v>9.9181415386124208</v>
          </cell>
          <cell r="CV1175">
            <v>13.67289934744978</v>
          </cell>
          <cell r="CW1175">
            <v>11.062153668663059</v>
          </cell>
          <cell r="CX1175">
            <v>8.6510321273089765</v>
          </cell>
          <cell r="CY1175">
            <v>13.473275210017142</v>
          </cell>
        </row>
        <row r="1176">
          <cell r="A1176">
            <v>41184</v>
          </cell>
          <cell r="CF1176">
            <v>16.716823289424259</v>
          </cell>
          <cell r="CG1176">
            <v>22.085252262534414</v>
          </cell>
          <cell r="CH1176">
            <v>18.555263085067214</v>
          </cell>
          <cell r="CI1176">
            <v>14.926604548033502</v>
          </cell>
          <cell r="CJ1176">
            <v>22.183921622100925</v>
          </cell>
          <cell r="CU1176">
            <v>9.9164573278662687</v>
          </cell>
          <cell r="CV1176">
            <v>13.67289934744978</v>
          </cell>
          <cell r="CW1176">
            <v>11.062153668663059</v>
          </cell>
          <cell r="CX1176">
            <v>8.6510321273089765</v>
          </cell>
          <cell r="CY1176">
            <v>13.473275210017142</v>
          </cell>
        </row>
        <row r="1177">
          <cell r="A1177">
            <v>41185</v>
          </cell>
          <cell r="CF1177">
            <v>16.674604385344935</v>
          </cell>
          <cell r="CG1177">
            <v>22.085252262534414</v>
          </cell>
          <cell r="CH1177">
            <v>18.555263085067214</v>
          </cell>
          <cell r="CI1177">
            <v>14.926604548033502</v>
          </cell>
          <cell r="CJ1177">
            <v>22.183921622100925</v>
          </cell>
          <cell r="CU1177">
            <v>9.8940000242728114</v>
          </cell>
          <cell r="CV1177">
            <v>13.67289934744978</v>
          </cell>
          <cell r="CW1177">
            <v>11.062153668663059</v>
          </cell>
          <cell r="CX1177">
            <v>8.6510321273089765</v>
          </cell>
          <cell r="CY1177">
            <v>13.473275210017142</v>
          </cell>
        </row>
        <row r="1178">
          <cell r="A1178">
            <v>41186</v>
          </cell>
          <cell r="CF1178">
            <v>16.784376026903885</v>
          </cell>
          <cell r="CG1178">
            <v>22.085252262534414</v>
          </cell>
          <cell r="CH1178">
            <v>18.555263085067214</v>
          </cell>
          <cell r="CI1178">
            <v>14.926604548033502</v>
          </cell>
          <cell r="CJ1178">
            <v>22.183921622100925</v>
          </cell>
          <cell r="CU1178">
            <v>9.9523903386165848</v>
          </cell>
          <cell r="CV1178">
            <v>13.67289934744978</v>
          </cell>
          <cell r="CW1178">
            <v>11.062153668663059</v>
          </cell>
          <cell r="CX1178">
            <v>8.6510321273089765</v>
          </cell>
          <cell r="CY1178">
            <v>13.473275210017142</v>
          </cell>
        </row>
        <row r="1179">
          <cell r="A1179">
            <v>41187</v>
          </cell>
          <cell r="CF1179">
            <v>16.733711526568587</v>
          </cell>
          <cell r="CG1179">
            <v>22.085252262534414</v>
          </cell>
          <cell r="CH1179">
            <v>18.555263085067214</v>
          </cell>
          <cell r="CI1179">
            <v>14.926604548033502</v>
          </cell>
          <cell r="CJ1179">
            <v>22.183921622100925</v>
          </cell>
          <cell r="CU1179">
            <v>9.9254406086258982</v>
          </cell>
          <cell r="CV1179">
            <v>13.67289934744978</v>
          </cell>
          <cell r="CW1179">
            <v>11.062153668663059</v>
          </cell>
          <cell r="CX1179">
            <v>8.6510321273089765</v>
          </cell>
          <cell r="CY1179">
            <v>13.473275210017142</v>
          </cell>
        </row>
        <row r="1180">
          <cell r="A1180">
            <v>41190</v>
          </cell>
          <cell r="CF1180">
            <v>16.788598825031873</v>
          </cell>
          <cell r="CG1180">
            <v>22.085252262534414</v>
          </cell>
          <cell r="CH1180">
            <v>18.555263085067214</v>
          </cell>
          <cell r="CI1180">
            <v>14.926604548033502</v>
          </cell>
          <cell r="CJ1180">
            <v>22.183921622100925</v>
          </cell>
          <cell r="CU1180">
            <v>9.9546365518151987</v>
          </cell>
          <cell r="CV1180">
            <v>13.67289934744978</v>
          </cell>
          <cell r="CW1180">
            <v>11.062153668663059</v>
          </cell>
          <cell r="CX1180">
            <v>8.6510321273089765</v>
          </cell>
          <cell r="CY1180">
            <v>13.473275210017142</v>
          </cell>
        </row>
        <row r="1181">
          <cell r="A1181">
            <v>41191</v>
          </cell>
          <cell r="CF1181">
            <v>16.336849986245021</v>
          </cell>
          <cell r="CG1181">
            <v>22.085252262534414</v>
          </cell>
          <cell r="CH1181">
            <v>18.555263085067214</v>
          </cell>
          <cell r="CI1181">
            <v>14.926604548033502</v>
          </cell>
          <cell r="CJ1181">
            <v>22.183921622100925</v>
          </cell>
          <cell r="CU1181">
            <v>9.7143399112021314</v>
          </cell>
          <cell r="CV1181">
            <v>13.67289934744978</v>
          </cell>
          <cell r="CW1181">
            <v>11.062153668663059</v>
          </cell>
          <cell r="CX1181">
            <v>8.6510321273089765</v>
          </cell>
          <cell r="CY1181">
            <v>13.473275210017142</v>
          </cell>
        </row>
        <row r="1182">
          <cell r="A1182">
            <v>41192</v>
          </cell>
          <cell r="CF1182">
            <v>16.273520046893381</v>
          </cell>
          <cell r="CG1182">
            <v>22.085252262534414</v>
          </cell>
          <cell r="CH1182">
            <v>18.555263085067214</v>
          </cell>
          <cell r="CI1182">
            <v>14.926604548033502</v>
          </cell>
          <cell r="CJ1182">
            <v>22.183921622100925</v>
          </cell>
          <cell r="CU1182">
            <v>9.6815024635822038</v>
          </cell>
          <cell r="CV1182">
            <v>13.67289934744978</v>
          </cell>
          <cell r="CW1182">
            <v>11.062153668663059</v>
          </cell>
          <cell r="CX1182">
            <v>8.6510321273089765</v>
          </cell>
          <cell r="CY1182">
            <v>13.473275210017142</v>
          </cell>
        </row>
        <row r="1183">
          <cell r="A1183">
            <v>41193</v>
          </cell>
          <cell r="CF1183">
            <v>16.400176759131359</v>
          </cell>
          <cell r="CG1183">
            <v>22.085252262534414</v>
          </cell>
          <cell r="CH1183">
            <v>18.555263085067214</v>
          </cell>
          <cell r="CI1183">
            <v>14.926604548033502</v>
          </cell>
          <cell r="CJ1183">
            <v>22.183921622100925</v>
          </cell>
          <cell r="CU1183">
            <v>9.7488802853612544</v>
          </cell>
          <cell r="CV1183">
            <v>13.67289934744978</v>
          </cell>
          <cell r="CW1183">
            <v>11.062153668663059</v>
          </cell>
          <cell r="CX1183">
            <v>8.6510321273089765</v>
          </cell>
          <cell r="CY1183">
            <v>13.473275210017142</v>
          </cell>
        </row>
        <row r="1184">
          <cell r="A1184">
            <v>41194</v>
          </cell>
          <cell r="CF1184">
            <v>16.26085460787704</v>
          </cell>
          <cell r="CG1184">
            <v>22.085252262534414</v>
          </cell>
          <cell r="CH1184">
            <v>18.555263085067214</v>
          </cell>
          <cell r="CI1184">
            <v>14.926604548033502</v>
          </cell>
          <cell r="CJ1184">
            <v>22.183921622100925</v>
          </cell>
          <cell r="CU1184">
            <v>9.674764804932158</v>
          </cell>
          <cell r="CV1184">
            <v>13.67289934744978</v>
          </cell>
          <cell r="CW1184">
            <v>11.062153668663059</v>
          </cell>
          <cell r="CX1184">
            <v>8.6510321273089765</v>
          </cell>
          <cell r="CY1184">
            <v>13.473275210017142</v>
          </cell>
        </row>
        <row r="1185">
          <cell r="A1185">
            <v>41197</v>
          </cell>
          <cell r="CF1185">
            <v>16.286185274812038</v>
          </cell>
          <cell r="CG1185">
            <v>22.085252262534414</v>
          </cell>
          <cell r="CH1185">
            <v>18.555263085067214</v>
          </cell>
          <cell r="CI1185">
            <v>14.926604548033502</v>
          </cell>
          <cell r="CJ1185">
            <v>22.183921622100925</v>
          </cell>
          <cell r="CU1185">
            <v>9.6882400099341943</v>
          </cell>
          <cell r="CV1185">
            <v>13.67289934744978</v>
          </cell>
          <cell r="CW1185">
            <v>11.062153668663059</v>
          </cell>
          <cell r="CX1185">
            <v>8.6510321273089765</v>
          </cell>
          <cell r="CY1185">
            <v>13.473275210017142</v>
          </cell>
        </row>
        <row r="1186">
          <cell r="A1186">
            <v>41198</v>
          </cell>
          <cell r="CF1186">
            <v>16.28829519619222</v>
          </cell>
          <cell r="CG1186">
            <v>22.085252262534414</v>
          </cell>
          <cell r="CH1186">
            <v>18.555263085067214</v>
          </cell>
          <cell r="CI1186">
            <v>14.926604548033502</v>
          </cell>
          <cell r="CJ1186">
            <v>22.183921622100925</v>
          </cell>
          <cell r="CU1186">
            <v>9.6893624289849498</v>
          </cell>
          <cell r="CV1186">
            <v>13.67289934744978</v>
          </cell>
          <cell r="CW1186">
            <v>11.062153668663059</v>
          </cell>
          <cell r="CX1186">
            <v>8.6510321273089765</v>
          </cell>
          <cell r="CY1186">
            <v>13.473275210017142</v>
          </cell>
        </row>
        <row r="1187">
          <cell r="A1187">
            <v>41199</v>
          </cell>
          <cell r="CF1187">
            <v>16.336849986245021</v>
          </cell>
          <cell r="CG1187">
            <v>22.085252262534414</v>
          </cell>
          <cell r="CH1187">
            <v>18.555263085067214</v>
          </cell>
          <cell r="CI1187">
            <v>14.926604548033502</v>
          </cell>
          <cell r="CJ1187">
            <v>22.183921622100925</v>
          </cell>
          <cell r="CU1187">
            <v>9.7151922167071341</v>
          </cell>
          <cell r="CV1187">
            <v>13.67289934744978</v>
          </cell>
          <cell r="CW1187">
            <v>11.062153668663059</v>
          </cell>
          <cell r="CX1187">
            <v>8.6510321273089765</v>
          </cell>
          <cell r="CY1187">
            <v>13.473275210017142</v>
          </cell>
        </row>
        <row r="1188">
          <cell r="A1188">
            <v>41200</v>
          </cell>
          <cell r="CF1188">
            <v>15.950540797092309</v>
          </cell>
          <cell r="CG1188">
            <v>22.085252262534414</v>
          </cell>
          <cell r="CH1188">
            <v>18.555263085067214</v>
          </cell>
          <cell r="CI1188">
            <v>14.926604548033502</v>
          </cell>
          <cell r="CJ1188">
            <v>22.183921622100925</v>
          </cell>
          <cell r="CU1188">
            <v>9.5096865531033323</v>
          </cell>
          <cell r="CV1188">
            <v>13.67289934744978</v>
          </cell>
          <cell r="CW1188">
            <v>11.062153668663059</v>
          </cell>
          <cell r="CX1188">
            <v>8.6510321273089765</v>
          </cell>
          <cell r="CY1188">
            <v>13.473275210017142</v>
          </cell>
        </row>
        <row r="1189">
          <cell r="A1189">
            <v>41201</v>
          </cell>
          <cell r="CF1189">
            <v>15.829215558312773</v>
          </cell>
          <cell r="CG1189">
            <v>22.085252262534414</v>
          </cell>
          <cell r="CH1189">
            <v>18.555263085067214</v>
          </cell>
          <cell r="CI1189">
            <v>14.926604548033502</v>
          </cell>
          <cell r="CJ1189">
            <v>22.183921622100925</v>
          </cell>
          <cell r="CU1189">
            <v>9.4456232829219111</v>
          </cell>
          <cell r="CV1189">
            <v>13.67289934744978</v>
          </cell>
          <cell r="CW1189">
            <v>11.062153668663059</v>
          </cell>
          <cell r="CX1189">
            <v>8.6510321273089765</v>
          </cell>
          <cell r="CY1189">
            <v>13.473275210017142</v>
          </cell>
        </row>
        <row r="1190">
          <cell r="A1190">
            <v>41204</v>
          </cell>
          <cell r="CF1190">
            <v>15.866312438895639</v>
          </cell>
          <cell r="CG1190">
            <v>22.085252262534414</v>
          </cell>
          <cell r="CH1190">
            <v>18.555263085067214</v>
          </cell>
          <cell r="CI1190">
            <v>14.926604548033502</v>
          </cell>
          <cell r="CJ1190">
            <v>22.183921622100925</v>
          </cell>
          <cell r="CU1190">
            <v>9.4674875791924649</v>
          </cell>
          <cell r="CV1190">
            <v>13.67289934744978</v>
          </cell>
          <cell r="CW1190">
            <v>11.062153668663059</v>
          </cell>
          <cell r="CX1190">
            <v>8.6510321273089765</v>
          </cell>
          <cell r="CY1190">
            <v>13.473275210017142</v>
          </cell>
        </row>
        <row r="1191">
          <cell r="A1191">
            <v>41205</v>
          </cell>
          <cell r="CF1191">
            <v>15.62817489831335</v>
          </cell>
          <cell r="CG1191">
            <v>22.085252262534414</v>
          </cell>
          <cell r="CH1191">
            <v>18.555263085067214</v>
          </cell>
          <cell r="CI1191">
            <v>14.926604548033502</v>
          </cell>
          <cell r="CJ1191">
            <v>22.183921622100925</v>
          </cell>
          <cell r="CU1191">
            <v>9.3418338012645048</v>
          </cell>
          <cell r="CV1191">
            <v>13.67289934744978</v>
          </cell>
          <cell r="CW1191">
            <v>11.062153668663059</v>
          </cell>
          <cell r="CX1191">
            <v>8.6510321273089765</v>
          </cell>
          <cell r="CY1191">
            <v>13.473275210017142</v>
          </cell>
        </row>
        <row r="1192">
          <cell r="A1192">
            <v>41206</v>
          </cell>
          <cell r="CF1192">
            <v>15.763465482405799</v>
          </cell>
          <cell r="CG1192">
            <v>22.085252262534414</v>
          </cell>
          <cell r="CH1192">
            <v>18.555263085067214</v>
          </cell>
          <cell r="CI1192">
            <v>14.926604548033502</v>
          </cell>
          <cell r="CJ1192">
            <v>22.183921622100925</v>
          </cell>
          <cell r="CU1192">
            <v>9.4138216375184545</v>
          </cell>
          <cell r="CV1192">
            <v>13.67289934744978</v>
          </cell>
          <cell r="CW1192">
            <v>11.062153668663059</v>
          </cell>
          <cell r="CX1192">
            <v>8.6510321273089765</v>
          </cell>
          <cell r="CY1192">
            <v>13.473275210017142</v>
          </cell>
        </row>
        <row r="1193">
          <cell r="A1193">
            <v>41207</v>
          </cell>
          <cell r="CF1193">
            <v>15.814200508398153</v>
          </cell>
          <cell r="CG1193">
            <v>22.085252262534414</v>
          </cell>
          <cell r="CH1193">
            <v>18.555263085067214</v>
          </cell>
          <cell r="CI1193">
            <v>14.926604548033502</v>
          </cell>
          <cell r="CJ1193">
            <v>22.183921622100925</v>
          </cell>
          <cell r="CU1193">
            <v>9.440817638518654</v>
          </cell>
          <cell r="CV1193">
            <v>13.67289934744978</v>
          </cell>
          <cell r="CW1193">
            <v>11.062153668663059</v>
          </cell>
          <cell r="CX1193">
            <v>8.6510321273089765</v>
          </cell>
          <cell r="CY1193">
            <v>13.473275210017142</v>
          </cell>
        </row>
        <row r="1194">
          <cell r="A1194">
            <v>41208</v>
          </cell>
          <cell r="CF1194">
            <v>15.694359755185257</v>
          </cell>
          <cell r="CG1194">
            <v>22.085252262534414</v>
          </cell>
          <cell r="CH1194">
            <v>18.555263085067214</v>
          </cell>
          <cell r="CI1194">
            <v>14.926604548033502</v>
          </cell>
          <cell r="CJ1194">
            <v>22.183921622100925</v>
          </cell>
          <cell r="CU1194">
            <v>9.3823019000203267</v>
          </cell>
          <cell r="CV1194">
            <v>13.67289934744978</v>
          </cell>
          <cell r="CW1194">
            <v>11.062153668663059</v>
          </cell>
          <cell r="CX1194">
            <v>8.6510321273089765</v>
          </cell>
          <cell r="CY1194">
            <v>13.473275210017142</v>
          </cell>
        </row>
        <row r="1195">
          <cell r="A1195">
            <v>41211</v>
          </cell>
          <cell r="CF1195">
            <v>15.694359755185257</v>
          </cell>
          <cell r="CG1195">
            <v>22.085252262534414</v>
          </cell>
          <cell r="CH1195">
            <v>18.555263085067214</v>
          </cell>
          <cell r="CI1195">
            <v>14.926604548033502</v>
          </cell>
          <cell r="CJ1195">
            <v>22.183921622100925</v>
          </cell>
          <cell r="CU1195">
            <v>9.3823019000203267</v>
          </cell>
          <cell r="CV1195">
            <v>13.67289934744978</v>
          </cell>
          <cell r="CW1195">
            <v>11.062153668663059</v>
          </cell>
          <cell r="CX1195">
            <v>8.6510321273089765</v>
          </cell>
          <cell r="CY1195">
            <v>13.473275210017142</v>
          </cell>
        </row>
        <row r="1196">
          <cell r="A1196">
            <v>41212</v>
          </cell>
          <cell r="CF1196">
            <v>15.694359755185257</v>
          </cell>
          <cell r="CG1196">
            <v>22.085252262534414</v>
          </cell>
          <cell r="CH1196">
            <v>18.555263085067214</v>
          </cell>
          <cell r="CI1196">
            <v>14.926604548033502</v>
          </cell>
          <cell r="CJ1196">
            <v>22.183921622100925</v>
          </cell>
          <cell r="CU1196">
            <v>9.3823019000203267</v>
          </cell>
          <cell r="CV1196">
            <v>13.67289934744978</v>
          </cell>
          <cell r="CW1196">
            <v>11.062153668663059</v>
          </cell>
          <cell r="CX1196">
            <v>8.6510321273089765</v>
          </cell>
          <cell r="CY1196">
            <v>13.473275210017142</v>
          </cell>
        </row>
        <row r="1197">
          <cell r="A1197">
            <v>41213</v>
          </cell>
          <cell r="CF1197">
            <v>15.603385564419138</v>
          </cell>
          <cell r="CG1197">
            <v>22.085252262534414</v>
          </cell>
          <cell r="CH1197">
            <v>18.555263085067214</v>
          </cell>
          <cell r="CI1197">
            <v>14.926604548033502</v>
          </cell>
          <cell r="CJ1197">
            <v>22.183921622100925</v>
          </cell>
          <cell r="CU1197">
            <v>9.2836514285190148</v>
          </cell>
          <cell r="CV1197">
            <v>13.67289934744978</v>
          </cell>
          <cell r="CW1197">
            <v>11.062153668663059</v>
          </cell>
          <cell r="CX1197">
            <v>8.6510321273089765</v>
          </cell>
          <cell r="CY1197">
            <v>13.473275210017142</v>
          </cell>
        </row>
        <row r="1198">
          <cell r="A1198">
            <v>41214</v>
          </cell>
          <cell r="CF1198">
            <v>15.962835176963644</v>
          </cell>
          <cell r="CG1198">
            <v>22.085252262534414</v>
          </cell>
          <cell r="CH1198">
            <v>18.555263085067214</v>
          </cell>
          <cell r="CI1198">
            <v>14.926604548033502</v>
          </cell>
          <cell r="CJ1198">
            <v>22.183921622100925</v>
          </cell>
          <cell r="CU1198">
            <v>9.4792974592923009</v>
          </cell>
          <cell r="CV1198">
            <v>13.67289934744978</v>
          </cell>
          <cell r="CW1198">
            <v>11.062153668663059</v>
          </cell>
          <cell r="CX1198">
            <v>8.6510321273089765</v>
          </cell>
          <cell r="CY1198">
            <v>13.473275210017142</v>
          </cell>
        </row>
        <row r="1199">
          <cell r="A1199">
            <v>41215</v>
          </cell>
          <cell r="CF1199">
            <v>15.659896476524823</v>
          </cell>
          <cell r="CG1199">
            <v>22.085252262534414</v>
          </cell>
          <cell r="CH1199">
            <v>18.555263085067214</v>
          </cell>
          <cell r="CI1199">
            <v>14.926604548033502</v>
          </cell>
          <cell r="CJ1199">
            <v>22.183921622100925</v>
          </cell>
          <cell r="CU1199">
            <v>9.3301871917883155</v>
          </cell>
          <cell r="CV1199">
            <v>13.67289934744978</v>
          </cell>
          <cell r="CW1199">
            <v>11.062153668663059</v>
          </cell>
          <cell r="CX1199">
            <v>8.6510321273089765</v>
          </cell>
          <cell r="CY1199">
            <v>13.473275210017142</v>
          </cell>
        </row>
        <row r="1200">
          <cell r="A1200">
            <v>41218</v>
          </cell>
          <cell r="CF1200">
            <v>15.941563782549705</v>
          </cell>
          <cell r="CG1200">
            <v>22.085252262534414</v>
          </cell>
          <cell r="CH1200">
            <v>18.555263085067214</v>
          </cell>
          <cell r="CI1200">
            <v>14.926604548033502</v>
          </cell>
          <cell r="CJ1200">
            <v>22.183921622100925</v>
          </cell>
          <cell r="CU1200">
            <v>9.479598209931364</v>
          </cell>
          <cell r="CV1200">
            <v>13.67289934744978</v>
          </cell>
          <cell r="CW1200">
            <v>11.062153668663059</v>
          </cell>
          <cell r="CX1200">
            <v>8.6510321273089765</v>
          </cell>
          <cell r="CY1200">
            <v>13.473275210017142</v>
          </cell>
        </row>
        <row r="1201">
          <cell r="A1201">
            <v>41219</v>
          </cell>
          <cell r="CF1201">
            <v>16.227435718228548</v>
          </cell>
          <cell r="CG1201">
            <v>22.085252262534414</v>
          </cell>
          <cell r="CH1201">
            <v>18.555263085067214</v>
          </cell>
          <cell r="CI1201">
            <v>14.926604548033502</v>
          </cell>
          <cell r="CJ1201">
            <v>22.183921622100925</v>
          </cell>
          <cell r="CU1201">
            <v>9.5265973003159612</v>
          </cell>
          <cell r="CV1201">
            <v>13.67289934744978</v>
          </cell>
          <cell r="CW1201">
            <v>11.062153668663059</v>
          </cell>
          <cell r="CX1201">
            <v>8.6510321273089765</v>
          </cell>
          <cell r="CY1201">
            <v>13.473275210017142</v>
          </cell>
        </row>
        <row r="1202">
          <cell r="A1202">
            <v>41220</v>
          </cell>
          <cell r="CF1202">
            <v>16.367479202905134</v>
          </cell>
          <cell r="CG1202">
            <v>22.085252262534414</v>
          </cell>
          <cell r="CH1202">
            <v>18.555263085067214</v>
          </cell>
          <cell r="CI1202">
            <v>14.926604548033502</v>
          </cell>
          <cell r="CJ1202">
            <v>22.183921622100925</v>
          </cell>
          <cell r="CU1202">
            <v>9.7143019078664494</v>
          </cell>
          <cell r="CV1202">
            <v>13.67289934744978</v>
          </cell>
          <cell r="CW1202">
            <v>11.062153668663059</v>
          </cell>
          <cell r="CX1202">
            <v>8.6510321273089765</v>
          </cell>
          <cell r="CY1202">
            <v>13.473275210017142</v>
          </cell>
        </row>
        <row r="1203">
          <cell r="A1203">
            <v>41221</v>
          </cell>
          <cell r="CF1203">
            <v>15.98492058324708</v>
          </cell>
          <cell r="CG1203">
            <v>22.085252262534414</v>
          </cell>
          <cell r="CH1203">
            <v>18.555263085067214</v>
          </cell>
          <cell r="CI1203">
            <v>14.926604548033502</v>
          </cell>
          <cell r="CJ1203">
            <v>22.183921622100925</v>
          </cell>
          <cell r="CU1203">
            <v>9.6052203781592844</v>
          </cell>
          <cell r="CV1203">
            <v>13.67289934744978</v>
          </cell>
          <cell r="CW1203">
            <v>11.062153668663059</v>
          </cell>
          <cell r="CX1203">
            <v>8.6510321273089765</v>
          </cell>
          <cell r="CY1203">
            <v>13.473275210017142</v>
          </cell>
        </row>
        <row r="1204">
          <cell r="A1204">
            <v>41222</v>
          </cell>
          <cell r="CF1204">
            <v>16.064096167901603</v>
          </cell>
          <cell r="CG1204">
            <v>22.085252262534414</v>
          </cell>
          <cell r="CH1204">
            <v>18.555263085067214</v>
          </cell>
          <cell r="CI1204">
            <v>14.926604548033502</v>
          </cell>
          <cell r="CJ1204">
            <v>22.183921622100925</v>
          </cell>
          <cell r="CU1204">
            <v>9.6472157121667248</v>
          </cell>
          <cell r="CV1204">
            <v>13.67289934744978</v>
          </cell>
          <cell r="CW1204">
            <v>11.062153668663059</v>
          </cell>
          <cell r="CX1204">
            <v>8.6510321273089765</v>
          </cell>
          <cell r="CY1204">
            <v>13.473275210017142</v>
          </cell>
        </row>
        <row r="1205">
          <cell r="A1205">
            <v>41225</v>
          </cell>
          <cell r="CF1205">
            <v>16.057845962803071</v>
          </cell>
          <cell r="CG1205">
            <v>22.085252262534414</v>
          </cell>
          <cell r="CH1205">
            <v>18.555263085067214</v>
          </cell>
          <cell r="CI1205">
            <v>14.926604548033502</v>
          </cell>
          <cell r="CJ1205">
            <v>22.183921622100925</v>
          </cell>
          <cell r="CU1205">
            <v>9.6439005557094273</v>
          </cell>
          <cell r="CV1205">
            <v>13.67289934744978</v>
          </cell>
          <cell r="CW1205">
            <v>11.062153668663059</v>
          </cell>
          <cell r="CX1205">
            <v>8.6510321273089765</v>
          </cell>
          <cell r="CY1205">
            <v>13.473275210017142</v>
          </cell>
        </row>
        <row r="1206">
          <cell r="A1206">
            <v>41226</v>
          </cell>
          <cell r="CF1206">
            <v>16.173720461420405</v>
          </cell>
          <cell r="CG1206">
            <v>22.085252262534414</v>
          </cell>
          <cell r="CH1206">
            <v>18.555263085067214</v>
          </cell>
          <cell r="CI1206">
            <v>14.926604548033502</v>
          </cell>
          <cell r="CJ1206">
            <v>22.183921622100925</v>
          </cell>
          <cell r="CU1206">
            <v>9.6947965926367772</v>
          </cell>
          <cell r="CV1206">
            <v>13.67289934744978</v>
          </cell>
          <cell r="CW1206">
            <v>11.062153668663059</v>
          </cell>
          <cell r="CX1206">
            <v>8.6510321273089765</v>
          </cell>
          <cell r="CY1206">
            <v>13.473275210017142</v>
          </cell>
        </row>
        <row r="1207">
          <cell r="A1207">
            <v>41227</v>
          </cell>
          <cell r="CF1207">
            <v>16.177888169082227</v>
          </cell>
          <cell r="CG1207">
            <v>22.085252262534414</v>
          </cell>
          <cell r="CH1207">
            <v>18.555263085067214</v>
          </cell>
          <cell r="CI1207">
            <v>14.926604548033502</v>
          </cell>
          <cell r="CJ1207">
            <v>22.183921622100925</v>
          </cell>
          <cell r="CU1207">
            <v>9.6970047829879782</v>
          </cell>
          <cell r="CV1207">
            <v>13.67289934744978</v>
          </cell>
          <cell r="CW1207">
            <v>11.062153668663059</v>
          </cell>
          <cell r="CX1207">
            <v>8.6510321273089765</v>
          </cell>
          <cell r="CY1207">
            <v>13.473275210017142</v>
          </cell>
        </row>
        <row r="1208">
          <cell r="A1208">
            <v>41228</v>
          </cell>
          <cell r="CF1208">
            <v>16.315395853926951</v>
          </cell>
          <cell r="CG1208">
            <v>22.085252262534414</v>
          </cell>
          <cell r="CH1208">
            <v>18.555263085067214</v>
          </cell>
          <cell r="CI1208">
            <v>14.926604548033502</v>
          </cell>
          <cell r="CJ1208">
            <v>22.183921622100925</v>
          </cell>
          <cell r="CU1208">
            <v>9.769860934985326</v>
          </cell>
          <cell r="CV1208">
            <v>13.67289934744978</v>
          </cell>
          <cell r="CW1208">
            <v>11.062153668663059</v>
          </cell>
          <cell r="CX1208">
            <v>8.6510321273089765</v>
          </cell>
          <cell r="CY1208">
            <v>13.473275210017142</v>
          </cell>
        </row>
        <row r="1209">
          <cell r="A1209">
            <v>41229</v>
          </cell>
          <cell r="CF1209">
            <v>16.323728144094883</v>
          </cell>
          <cell r="CG1209">
            <v>22.085252262534414</v>
          </cell>
          <cell r="CH1209">
            <v>18.555263085067214</v>
          </cell>
          <cell r="CI1209">
            <v>14.926604548033502</v>
          </cell>
          <cell r="CJ1209">
            <v>22.183921622100925</v>
          </cell>
          <cell r="CU1209">
            <v>9.77427565987613</v>
          </cell>
          <cell r="CV1209">
            <v>13.67289934744978</v>
          </cell>
          <cell r="CW1209">
            <v>11.062153668663059</v>
          </cell>
          <cell r="CX1209">
            <v>8.6510321273089765</v>
          </cell>
          <cell r="CY1209">
            <v>13.473275210017142</v>
          </cell>
        </row>
        <row r="1210">
          <cell r="A1210">
            <v>41232</v>
          </cell>
          <cell r="CF1210">
            <v>16.561239978451933</v>
          </cell>
          <cell r="CG1210">
            <v>22.085252262534414</v>
          </cell>
          <cell r="CH1210">
            <v>18.555263085067214</v>
          </cell>
          <cell r="CI1210">
            <v>14.926604548033502</v>
          </cell>
          <cell r="CJ1210">
            <v>22.183921622100925</v>
          </cell>
          <cell r="CU1210">
            <v>9.9001173415583263</v>
          </cell>
          <cell r="CV1210">
            <v>13.67289934744978</v>
          </cell>
          <cell r="CW1210">
            <v>11.062153668663059</v>
          </cell>
          <cell r="CX1210">
            <v>8.6510321273089765</v>
          </cell>
          <cell r="CY1210">
            <v>13.473275210017142</v>
          </cell>
        </row>
        <row r="1211">
          <cell r="A1211">
            <v>41233</v>
          </cell>
          <cell r="CF1211">
            <v>16.593245506257229</v>
          </cell>
          <cell r="CG1211">
            <v>22.085252262534414</v>
          </cell>
          <cell r="CH1211">
            <v>18.555263085067214</v>
          </cell>
          <cell r="CI1211">
            <v>14.926604548033502</v>
          </cell>
          <cell r="CJ1211">
            <v>22.183921622100925</v>
          </cell>
          <cell r="CU1211">
            <v>9.9221944984104251</v>
          </cell>
          <cell r="CV1211">
            <v>13.67289934744978</v>
          </cell>
          <cell r="CW1211">
            <v>11.062153668663059</v>
          </cell>
          <cell r="CX1211">
            <v>8.6510321273089765</v>
          </cell>
          <cell r="CY1211">
            <v>13.473275210017142</v>
          </cell>
        </row>
        <row r="1212">
          <cell r="A1212">
            <v>41234</v>
          </cell>
          <cell r="CF1212">
            <v>16.63489249734722</v>
          </cell>
          <cell r="CG1212">
            <v>22.085252262534414</v>
          </cell>
          <cell r="CH1212">
            <v>18.555263085067214</v>
          </cell>
          <cell r="CI1212">
            <v>14.926604548033502</v>
          </cell>
          <cell r="CJ1212">
            <v>22.183921622100925</v>
          </cell>
          <cell r="CU1212">
            <v>9.9442733110741255</v>
          </cell>
          <cell r="CV1212">
            <v>13.67289934744978</v>
          </cell>
          <cell r="CW1212">
            <v>11.062153668663059</v>
          </cell>
          <cell r="CX1212">
            <v>8.6510321273089765</v>
          </cell>
          <cell r="CY1212">
            <v>13.473275210017142</v>
          </cell>
        </row>
        <row r="1213">
          <cell r="A1213">
            <v>41235</v>
          </cell>
          <cell r="CF1213">
            <v>16.63489249734722</v>
          </cell>
          <cell r="CG1213">
            <v>22.085252262534414</v>
          </cell>
          <cell r="CH1213">
            <v>18.555263085067214</v>
          </cell>
          <cell r="CI1213">
            <v>14.926604548033502</v>
          </cell>
          <cell r="CJ1213">
            <v>22.183921622100925</v>
          </cell>
          <cell r="CU1213">
            <v>9.9442733110741255</v>
          </cell>
          <cell r="CV1213">
            <v>13.67289934744978</v>
          </cell>
          <cell r="CW1213">
            <v>11.062153668663059</v>
          </cell>
          <cell r="CX1213">
            <v>8.6510321273089765</v>
          </cell>
          <cell r="CY1213">
            <v>13.473275210017142</v>
          </cell>
        </row>
        <row r="1214">
          <cell r="A1214">
            <v>41236</v>
          </cell>
          <cell r="CF1214">
            <v>16.813963814755137</v>
          </cell>
          <cell r="CG1214">
            <v>22.085252262534414</v>
          </cell>
          <cell r="CH1214">
            <v>18.555263085067214</v>
          </cell>
          <cell r="CI1214">
            <v>14.926604548033502</v>
          </cell>
          <cell r="CJ1214">
            <v>22.183921622100925</v>
          </cell>
          <cell r="CU1214">
            <v>10.039206509536134</v>
          </cell>
          <cell r="CV1214">
            <v>13.67289934744978</v>
          </cell>
          <cell r="CW1214">
            <v>11.062153668663059</v>
          </cell>
          <cell r="CX1214">
            <v>8.6510321273089765</v>
          </cell>
          <cell r="CY1214">
            <v>13.473275210017142</v>
          </cell>
        </row>
        <row r="1215">
          <cell r="A1215">
            <v>41239</v>
          </cell>
          <cell r="CF1215">
            <v>16.778563289305751</v>
          </cell>
          <cell r="CG1215">
            <v>22.085252262534414</v>
          </cell>
          <cell r="CH1215">
            <v>18.555263085067214</v>
          </cell>
          <cell r="CI1215">
            <v>14.926604548033502</v>
          </cell>
          <cell r="CJ1215">
            <v>22.183921622100925</v>
          </cell>
          <cell r="CU1215">
            <v>10.020439209687156</v>
          </cell>
          <cell r="CV1215">
            <v>13.67289934744978</v>
          </cell>
          <cell r="CW1215">
            <v>11.062153668663059</v>
          </cell>
          <cell r="CX1215">
            <v>8.6510321273089765</v>
          </cell>
          <cell r="CY1215">
            <v>13.473275210017142</v>
          </cell>
        </row>
        <row r="1216">
          <cell r="A1216">
            <v>41240</v>
          </cell>
          <cell r="CF1216">
            <v>16.666124617327782</v>
          </cell>
          <cell r="CG1216">
            <v>22.085252262534414</v>
          </cell>
          <cell r="CH1216">
            <v>18.555263085067214</v>
          </cell>
          <cell r="CI1216">
            <v>14.926604548033502</v>
          </cell>
          <cell r="CJ1216">
            <v>22.183921622100925</v>
          </cell>
          <cell r="CU1216">
            <v>9.9608307647603009</v>
          </cell>
          <cell r="CV1216">
            <v>13.67289934744978</v>
          </cell>
          <cell r="CW1216">
            <v>11.062153668663059</v>
          </cell>
          <cell r="CX1216">
            <v>8.6510321273089765</v>
          </cell>
          <cell r="CY1216">
            <v>13.473275210017142</v>
          </cell>
        </row>
        <row r="1217">
          <cell r="A1217">
            <v>41241</v>
          </cell>
          <cell r="CF1217">
            <v>16.682782830740884</v>
          </cell>
          <cell r="CG1217">
            <v>22.085252262534414</v>
          </cell>
          <cell r="CH1217">
            <v>18.555263085067214</v>
          </cell>
          <cell r="CI1217">
            <v>14.926604548033502</v>
          </cell>
          <cell r="CJ1217">
            <v>22.183921622100925</v>
          </cell>
          <cell r="CU1217">
            <v>9.9696619807409501</v>
          </cell>
          <cell r="CV1217">
            <v>13.67289934744978</v>
          </cell>
          <cell r="CW1217">
            <v>11.062153668663059</v>
          </cell>
          <cell r="CX1217">
            <v>8.6510321273089765</v>
          </cell>
          <cell r="CY1217">
            <v>13.473275210017142</v>
          </cell>
        </row>
        <row r="1218">
          <cell r="A1218">
            <v>41242</v>
          </cell>
          <cell r="CF1218">
            <v>16.816044998263852</v>
          </cell>
          <cell r="CG1218">
            <v>22.085252262534414</v>
          </cell>
          <cell r="CH1218">
            <v>18.555263085067214</v>
          </cell>
          <cell r="CI1218">
            <v>14.926604548033502</v>
          </cell>
          <cell r="CJ1218">
            <v>22.183921622100925</v>
          </cell>
          <cell r="CU1218">
            <v>10.040309831999656</v>
          </cell>
          <cell r="CV1218">
            <v>13.67289934744978</v>
          </cell>
          <cell r="CW1218">
            <v>11.062153668663059</v>
          </cell>
          <cell r="CX1218">
            <v>8.6510321273089765</v>
          </cell>
          <cell r="CY1218">
            <v>13.473275210017142</v>
          </cell>
        </row>
        <row r="1219">
          <cell r="A1219">
            <v>41243</v>
          </cell>
          <cell r="CF1219">
            <v>16.818126181772563</v>
          </cell>
          <cell r="CG1219">
            <v>22.085252262534414</v>
          </cell>
          <cell r="CH1219">
            <v>18.555263085067214</v>
          </cell>
          <cell r="CI1219">
            <v>14.926604548033502</v>
          </cell>
          <cell r="CJ1219">
            <v>22.183921622100925</v>
          </cell>
          <cell r="CU1219">
            <v>10.041413154463177</v>
          </cell>
          <cell r="CV1219">
            <v>13.67289934744978</v>
          </cell>
          <cell r="CW1219">
            <v>11.062153668663059</v>
          </cell>
          <cell r="CX1219">
            <v>8.6510321273089765</v>
          </cell>
          <cell r="CY1219">
            <v>13.473275210017142</v>
          </cell>
        </row>
        <row r="1220">
          <cell r="A1220">
            <v>41246</v>
          </cell>
          <cell r="CF1220">
            <v>16.660470673275508</v>
          </cell>
          <cell r="CG1220">
            <v>22.085252262534414</v>
          </cell>
          <cell r="CH1220">
            <v>18.555263085067214</v>
          </cell>
          <cell r="CI1220">
            <v>14.926604548033502</v>
          </cell>
          <cell r="CJ1220">
            <v>22.183921622100925</v>
          </cell>
          <cell r="CU1220">
            <v>9.9691244934216687</v>
          </cell>
          <cell r="CV1220">
            <v>13.67289934744978</v>
          </cell>
          <cell r="CW1220">
            <v>11.062153668663059</v>
          </cell>
          <cell r="CX1220">
            <v>8.6510321273089765</v>
          </cell>
          <cell r="CY1220">
            <v>13.473275210017142</v>
          </cell>
        </row>
        <row r="1221">
          <cell r="A1221">
            <v>41247</v>
          </cell>
          <cell r="CF1221">
            <v>16.648076414704668</v>
          </cell>
          <cell r="CG1221">
            <v>22.085252262534414</v>
          </cell>
          <cell r="CH1221">
            <v>18.555263085067214</v>
          </cell>
          <cell r="CI1221">
            <v>14.926604548033502</v>
          </cell>
          <cell r="CJ1221">
            <v>22.183921622100925</v>
          </cell>
          <cell r="CU1221">
            <v>9.9625402658772941</v>
          </cell>
          <cell r="CV1221">
            <v>13.67289934744978</v>
          </cell>
          <cell r="CW1221">
            <v>11.062153668663059</v>
          </cell>
          <cell r="CX1221">
            <v>8.6510321273089765</v>
          </cell>
          <cell r="CY1221">
            <v>13.473275210017142</v>
          </cell>
        </row>
        <row r="1222">
          <cell r="A1222">
            <v>41248</v>
          </cell>
          <cell r="CF1222">
            <v>16.530172242874848</v>
          </cell>
          <cell r="CG1222">
            <v>22.085252262534414</v>
          </cell>
          <cell r="CH1222">
            <v>18.555263085067214</v>
          </cell>
          <cell r="CI1222">
            <v>14.926604548033502</v>
          </cell>
          <cell r="CJ1222">
            <v>22.183921622100925</v>
          </cell>
          <cell r="CU1222">
            <v>9.8999057894927915</v>
          </cell>
          <cell r="CV1222">
            <v>13.67289934744978</v>
          </cell>
          <cell r="CW1222">
            <v>11.062153668663059</v>
          </cell>
          <cell r="CX1222">
            <v>8.6510321273089765</v>
          </cell>
          <cell r="CY1222">
            <v>13.473275210017142</v>
          </cell>
        </row>
        <row r="1223">
          <cell r="A1223">
            <v>41249</v>
          </cell>
          <cell r="CF1223">
            <v>16.46013981825692</v>
          </cell>
          <cell r="CG1223">
            <v>22.085252262534414</v>
          </cell>
          <cell r="CH1223">
            <v>18.555263085067214</v>
          </cell>
          <cell r="CI1223">
            <v>14.926604548033502</v>
          </cell>
          <cell r="CJ1223">
            <v>22.183921622100925</v>
          </cell>
          <cell r="CU1223">
            <v>9.8627023201175756</v>
          </cell>
          <cell r="CV1223">
            <v>13.67289934744978</v>
          </cell>
          <cell r="CW1223">
            <v>11.062153668663059</v>
          </cell>
          <cell r="CX1223">
            <v>8.6510321273089765</v>
          </cell>
          <cell r="CY1223">
            <v>13.473275210017142</v>
          </cell>
        </row>
        <row r="1224">
          <cell r="A1224">
            <v>41250</v>
          </cell>
          <cell r="CF1224">
            <v>16.499380421313507</v>
          </cell>
          <cell r="CG1224">
            <v>22.085252262534414</v>
          </cell>
          <cell r="CH1224">
            <v>18.555263085067214</v>
          </cell>
          <cell r="CI1224">
            <v>14.926604548033502</v>
          </cell>
          <cell r="CJ1224">
            <v>22.183921622100925</v>
          </cell>
          <cell r="CU1224">
            <v>9.8835481866150641</v>
          </cell>
          <cell r="CV1224">
            <v>13.67289934744978</v>
          </cell>
          <cell r="CW1224">
            <v>11.062153668663059</v>
          </cell>
          <cell r="CX1224">
            <v>8.6510321273089765</v>
          </cell>
          <cell r="CY1224">
            <v>13.473275210017142</v>
          </cell>
        </row>
        <row r="1225">
          <cell r="A1225">
            <v>41253</v>
          </cell>
          <cell r="CF1225">
            <v>16.509704254440315</v>
          </cell>
          <cell r="CG1225">
            <v>22.085252262534414</v>
          </cell>
          <cell r="CH1225">
            <v>18.555263085067214</v>
          </cell>
          <cell r="CI1225">
            <v>14.926604548033502</v>
          </cell>
          <cell r="CJ1225">
            <v>22.183921622100925</v>
          </cell>
          <cell r="CU1225">
            <v>9.8890325377804498</v>
          </cell>
          <cell r="CV1225">
            <v>13.67289934744978</v>
          </cell>
          <cell r="CW1225">
            <v>11.062153668663059</v>
          </cell>
          <cell r="CX1225">
            <v>8.6510321273089765</v>
          </cell>
          <cell r="CY1225">
            <v>13.473275210017142</v>
          </cell>
        </row>
        <row r="1226">
          <cell r="A1226">
            <v>41254</v>
          </cell>
          <cell r="CF1226">
            <v>16.732752994630321</v>
          </cell>
          <cell r="CG1226">
            <v>22.085252262534414</v>
          </cell>
          <cell r="CH1226">
            <v>18.555263085067214</v>
          </cell>
          <cell r="CI1226">
            <v>14.926604548033502</v>
          </cell>
          <cell r="CJ1226">
            <v>22.183921622100925</v>
          </cell>
          <cell r="CU1226">
            <v>10.007523180080945</v>
          </cell>
          <cell r="CV1226">
            <v>13.67289934744978</v>
          </cell>
          <cell r="CW1226">
            <v>11.062153668663059</v>
          </cell>
          <cell r="CX1226">
            <v>8.6510321273089765</v>
          </cell>
          <cell r="CY1226">
            <v>13.473275210017142</v>
          </cell>
        </row>
        <row r="1227">
          <cell r="A1227">
            <v>41255</v>
          </cell>
          <cell r="CF1227">
            <v>16.707970673275508</v>
          </cell>
          <cell r="CG1227">
            <v>22.085252262534414</v>
          </cell>
          <cell r="CH1227">
            <v>18.555263085067214</v>
          </cell>
          <cell r="CI1227">
            <v>14.926604548033502</v>
          </cell>
          <cell r="CJ1227">
            <v>22.183921622100925</v>
          </cell>
          <cell r="CU1227">
            <v>9.9943580163928321</v>
          </cell>
          <cell r="CV1227">
            <v>13.67289934744978</v>
          </cell>
          <cell r="CW1227">
            <v>11.062153668663059</v>
          </cell>
          <cell r="CX1227">
            <v>8.6510321273089765</v>
          </cell>
          <cell r="CY1227">
            <v>13.473275210017142</v>
          </cell>
        </row>
        <row r="1228">
          <cell r="A1228">
            <v>41256</v>
          </cell>
          <cell r="CF1228">
            <v>16.699707971912435</v>
          </cell>
          <cell r="CG1228">
            <v>22.085252262534414</v>
          </cell>
          <cell r="CH1228">
            <v>18.555263085067214</v>
          </cell>
          <cell r="CI1228">
            <v>14.926604548033502</v>
          </cell>
          <cell r="CJ1228">
            <v>22.183921622100925</v>
          </cell>
          <cell r="CU1228">
            <v>9.989968604505485</v>
          </cell>
          <cell r="CV1228">
            <v>13.67289934744978</v>
          </cell>
          <cell r="CW1228">
            <v>11.062153668663059</v>
          </cell>
          <cell r="CX1228">
            <v>8.6510321273089765</v>
          </cell>
          <cell r="CY1228">
            <v>13.473275210017142</v>
          </cell>
        </row>
        <row r="1229">
          <cell r="A1229">
            <v>41257</v>
          </cell>
          <cell r="CF1229">
            <v>16.794711482858325</v>
          </cell>
          <cell r="CG1229">
            <v>22.085252262534414</v>
          </cell>
          <cell r="CH1229">
            <v>18.555263085067214</v>
          </cell>
          <cell r="CI1229">
            <v>14.926604548033502</v>
          </cell>
          <cell r="CJ1229">
            <v>22.183921622100925</v>
          </cell>
          <cell r="CU1229">
            <v>10.040437515574839</v>
          </cell>
          <cell r="CV1229">
            <v>13.67289934744978</v>
          </cell>
          <cell r="CW1229">
            <v>11.062153668663059</v>
          </cell>
          <cell r="CX1229">
            <v>8.6510321273089765</v>
          </cell>
          <cell r="CY1229">
            <v>13.473275210017142</v>
          </cell>
        </row>
        <row r="1230">
          <cell r="A1230">
            <v>41260</v>
          </cell>
          <cell r="CF1230">
            <v>16.943410574142916</v>
          </cell>
          <cell r="CG1230">
            <v>22.085252262534414</v>
          </cell>
          <cell r="CH1230">
            <v>18.555263085067214</v>
          </cell>
          <cell r="CI1230">
            <v>14.926604548033502</v>
          </cell>
          <cell r="CJ1230">
            <v>22.183921622100925</v>
          </cell>
          <cell r="CU1230">
            <v>10.119431240537383</v>
          </cell>
          <cell r="CV1230">
            <v>13.67289934744978</v>
          </cell>
          <cell r="CW1230">
            <v>11.062153668663059</v>
          </cell>
          <cell r="CX1230">
            <v>8.6510321273089765</v>
          </cell>
          <cell r="CY1230">
            <v>13.473275210017142</v>
          </cell>
        </row>
        <row r="1231">
          <cell r="A1231">
            <v>41261</v>
          </cell>
          <cell r="CF1231">
            <v>16.983104708798017</v>
          </cell>
          <cell r="CG1231">
            <v>22.085252262534414</v>
          </cell>
          <cell r="CH1231">
            <v>18.555263085067214</v>
          </cell>
          <cell r="CI1231">
            <v>14.926604548033502</v>
          </cell>
          <cell r="CJ1231">
            <v>22.183921622100925</v>
          </cell>
          <cell r="CU1231">
            <v>10.140518037561382</v>
          </cell>
          <cell r="CV1231">
            <v>13.67289934744978</v>
          </cell>
          <cell r="CW1231">
            <v>11.062153668663059</v>
          </cell>
          <cell r="CX1231">
            <v>8.6510321273089765</v>
          </cell>
          <cell r="CY1231">
            <v>13.473275210017142</v>
          </cell>
        </row>
        <row r="1232">
          <cell r="A1232">
            <v>41262</v>
          </cell>
          <cell r="CF1232">
            <v>16.854602643535731</v>
          </cell>
          <cell r="CG1232">
            <v>22.085252262534414</v>
          </cell>
          <cell r="CH1232">
            <v>18.555263085067214</v>
          </cell>
          <cell r="CI1232">
            <v>14.926604548033502</v>
          </cell>
          <cell r="CJ1232">
            <v>22.183921622100925</v>
          </cell>
          <cell r="CU1232">
            <v>10.072253620390059</v>
          </cell>
          <cell r="CV1232">
            <v>13.67289934744978</v>
          </cell>
          <cell r="CW1232">
            <v>11.062153668663059</v>
          </cell>
          <cell r="CX1232">
            <v>8.6510321273089765</v>
          </cell>
          <cell r="CY1232">
            <v>13.473275210017142</v>
          </cell>
        </row>
        <row r="1233">
          <cell r="A1233">
            <v>41263</v>
          </cell>
          <cell r="CF1233">
            <v>16.937214993804215</v>
          </cell>
          <cell r="CG1233">
            <v>22.085252262534414</v>
          </cell>
          <cell r="CH1233">
            <v>18.555263085067214</v>
          </cell>
          <cell r="CI1233">
            <v>14.926604548033502</v>
          </cell>
          <cell r="CJ1233">
            <v>22.183921622100925</v>
          </cell>
          <cell r="CU1233">
            <v>10.116139949615356</v>
          </cell>
          <cell r="CV1233">
            <v>13.67289934744978</v>
          </cell>
          <cell r="CW1233">
            <v>11.062153668663059</v>
          </cell>
          <cell r="CX1233">
            <v>8.6510321273089765</v>
          </cell>
          <cell r="CY1233">
            <v>13.473275210017142</v>
          </cell>
        </row>
        <row r="1234">
          <cell r="A1234">
            <v>41264</v>
          </cell>
          <cell r="CF1234">
            <v>16.716230483271378</v>
          </cell>
          <cell r="CG1234">
            <v>22.085252262534414</v>
          </cell>
          <cell r="CH1234">
            <v>18.555263085067214</v>
          </cell>
          <cell r="CI1234">
            <v>14.926604548033502</v>
          </cell>
          <cell r="CJ1234">
            <v>22.183921622100925</v>
          </cell>
          <cell r="CU1234">
            <v>9.9987458922932149</v>
          </cell>
          <cell r="CV1234">
            <v>13.67289934744978</v>
          </cell>
          <cell r="CW1234">
            <v>11.062153668663059</v>
          </cell>
          <cell r="CX1234">
            <v>8.6510321273089765</v>
          </cell>
          <cell r="CY1234">
            <v>13.473275210017142</v>
          </cell>
        </row>
        <row r="1235">
          <cell r="A1235">
            <v>41267</v>
          </cell>
          <cell r="CF1235">
            <v>16.75728491101367</v>
          </cell>
          <cell r="CG1235">
            <v>22.085252262534414</v>
          </cell>
          <cell r="CH1235">
            <v>18.555263085067214</v>
          </cell>
          <cell r="CI1235">
            <v>14.926604548033502</v>
          </cell>
          <cell r="CJ1235">
            <v>22.183921622100925</v>
          </cell>
          <cell r="CU1235">
            <v>10.02836893686508</v>
          </cell>
          <cell r="CV1235">
            <v>13.67289934744978</v>
          </cell>
          <cell r="CW1235">
            <v>11.062153668663059</v>
          </cell>
          <cell r="CX1235">
            <v>8.6510321273089765</v>
          </cell>
          <cell r="CY1235">
            <v>13.473275210017142</v>
          </cell>
        </row>
        <row r="1236">
          <cell r="A1236">
            <v>41268</v>
          </cell>
          <cell r="CF1236">
            <v>16.75728491101367</v>
          </cell>
          <cell r="CG1236">
            <v>22.085252262534414</v>
          </cell>
          <cell r="CH1236">
            <v>18.555263085067214</v>
          </cell>
          <cell r="CI1236">
            <v>14.926604548033502</v>
          </cell>
          <cell r="CJ1236">
            <v>22.183921622100925</v>
          </cell>
          <cell r="CU1236">
            <v>10.02836893686508</v>
          </cell>
          <cell r="CV1236">
            <v>13.67289934744978</v>
          </cell>
          <cell r="CW1236">
            <v>11.062153668663059</v>
          </cell>
          <cell r="CX1236">
            <v>8.6510321273089765</v>
          </cell>
          <cell r="CY1236">
            <v>13.473275210017142</v>
          </cell>
        </row>
        <row r="1237">
          <cell r="A1237">
            <v>41269</v>
          </cell>
          <cell r="CF1237">
            <v>16.612843951508896</v>
          </cell>
          <cell r="CG1237">
            <v>22.085252262534414</v>
          </cell>
          <cell r="CH1237">
            <v>18.555263085067214</v>
          </cell>
          <cell r="CI1237">
            <v>14.926604548033502</v>
          </cell>
          <cell r="CJ1237">
            <v>22.183921622100925</v>
          </cell>
          <cell r="CU1237">
            <v>9.9515699178462089</v>
          </cell>
          <cell r="CV1237">
            <v>13.67289934744978</v>
          </cell>
          <cell r="CW1237">
            <v>11.062153668663059</v>
          </cell>
          <cell r="CX1237">
            <v>8.6510321273089765</v>
          </cell>
          <cell r="CY1237">
            <v>13.473275210017142</v>
          </cell>
        </row>
        <row r="1238">
          <cell r="A1238">
            <v>41270</v>
          </cell>
          <cell r="CF1238">
            <v>16.553002011864844</v>
          </cell>
          <cell r="CG1238">
            <v>22.085252262534414</v>
          </cell>
          <cell r="CH1238">
            <v>18.555263085067214</v>
          </cell>
          <cell r="CI1238">
            <v>14.926604548033502</v>
          </cell>
          <cell r="CJ1238">
            <v>22.183921622100925</v>
          </cell>
          <cell r="CU1238">
            <v>9.9197520576173144</v>
          </cell>
          <cell r="CV1238">
            <v>13.67289934744978</v>
          </cell>
          <cell r="CW1238">
            <v>11.062153668663059</v>
          </cell>
          <cell r="CX1238">
            <v>8.6510321273089765</v>
          </cell>
          <cell r="CY1238">
            <v>13.473275210017142</v>
          </cell>
        </row>
        <row r="1239">
          <cell r="A1239">
            <v>41271</v>
          </cell>
          <cell r="CF1239">
            <v>16.499353520763474</v>
          </cell>
          <cell r="CG1239">
            <v>22.085252262534414</v>
          </cell>
          <cell r="CH1239">
            <v>18.555263085067214</v>
          </cell>
          <cell r="CI1239">
            <v>14.926604548033502</v>
          </cell>
          <cell r="CJ1239">
            <v>22.183921622100925</v>
          </cell>
          <cell r="CU1239">
            <v>9.8912272437241224</v>
          </cell>
          <cell r="CV1239">
            <v>13.67289934744978</v>
          </cell>
          <cell r="CW1239">
            <v>11.062153668663059</v>
          </cell>
          <cell r="CX1239">
            <v>8.6510321273089765</v>
          </cell>
          <cell r="CY1239">
            <v>13.473275210017142</v>
          </cell>
        </row>
        <row r="1240">
          <cell r="A1240">
            <v>41274</v>
          </cell>
          <cell r="CF1240">
            <v>16.594273716791331</v>
          </cell>
          <cell r="CG1240">
            <v>22.085252262534414</v>
          </cell>
          <cell r="CH1240">
            <v>18.555263085067214</v>
          </cell>
          <cell r="CI1240">
            <v>14.926604548033502</v>
          </cell>
          <cell r="CJ1240">
            <v>22.183921622100925</v>
          </cell>
          <cell r="CU1240">
            <v>9.9273194691376947</v>
          </cell>
          <cell r="CV1240">
            <v>13.67289934744978</v>
          </cell>
          <cell r="CW1240">
            <v>11.062153668663059</v>
          </cell>
          <cell r="CX1240">
            <v>8.6510321273089765</v>
          </cell>
          <cell r="CY1240">
            <v>13.473275210017142</v>
          </cell>
        </row>
        <row r="1241">
          <cell r="A1241">
            <v>41275</v>
          </cell>
          <cell r="CF1241">
            <v>16.440299449777037</v>
          </cell>
          <cell r="CG1241">
            <v>22.085252262534414</v>
          </cell>
          <cell r="CH1241">
            <v>18.555263085067214</v>
          </cell>
          <cell r="CI1241">
            <v>14.926604548033502</v>
          </cell>
          <cell r="CJ1241">
            <v>22.183921622100925</v>
          </cell>
          <cell r="CU1241">
            <v>9.8578108872048986</v>
          </cell>
          <cell r="CV1241">
            <v>13.67289934744978</v>
          </cell>
          <cell r="CW1241">
            <v>11.062153668663059</v>
          </cell>
          <cell r="CX1241">
            <v>8.6510321273089765</v>
          </cell>
          <cell r="CY1241">
            <v>13.473275210017142</v>
          </cell>
        </row>
        <row r="1242">
          <cell r="A1242">
            <v>41276</v>
          </cell>
          <cell r="CF1242">
            <v>16.844170270817447</v>
          </cell>
          <cell r="CG1242">
            <v>22.085252262534414</v>
          </cell>
          <cell r="CH1242">
            <v>18.555263085067214</v>
          </cell>
          <cell r="CI1242">
            <v>14.926604548033502</v>
          </cell>
          <cell r="CJ1242">
            <v>22.183921622100925</v>
          </cell>
          <cell r="CU1242">
            <v>10.07321042596995</v>
          </cell>
          <cell r="CV1242">
            <v>13.67289934744978</v>
          </cell>
          <cell r="CW1242">
            <v>11.062153668663059</v>
          </cell>
          <cell r="CX1242">
            <v>8.6510321273089765</v>
          </cell>
          <cell r="CY1242">
            <v>13.473275210017142</v>
          </cell>
        </row>
        <row r="1243">
          <cell r="A1243">
            <v>41277</v>
          </cell>
          <cell r="CF1243">
            <v>16.850238627453212</v>
          </cell>
          <cell r="CG1243">
            <v>22.085252262534414</v>
          </cell>
          <cell r="CH1243">
            <v>18.555263085067214</v>
          </cell>
          <cell r="CI1243">
            <v>14.926604548033502</v>
          </cell>
          <cell r="CJ1243">
            <v>22.183921622100925</v>
          </cell>
          <cell r="CU1243">
            <v>10.076439379215387</v>
          </cell>
          <cell r="CV1243">
            <v>13.67289934744978</v>
          </cell>
          <cell r="CW1243">
            <v>11.062153668663059</v>
          </cell>
          <cell r="CX1243">
            <v>8.6510321273089765</v>
          </cell>
          <cell r="CY1243">
            <v>13.473275210017142</v>
          </cell>
        </row>
        <row r="1244">
          <cell r="A1244">
            <v>41278</v>
          </cell>
          <cell r="CF1244">
            <v>16.833951160695261</v>
          </cell>
          <cell r="CG1244">
            <v>22.085252262534414</v>
          </cell>
          <cell r="CH1244">
            <v>18.555263085067214</v>
          </cell>
          <cell r="CI1244">
            <v>14.926604548033502</v>
          </cell>
          <cell r="CJ1244">
            <v>22.183921622100925</v>
          </cell>
          <cell r="CU1244">
            <v>10.067772870009573</v>
          </cell>
          <cell r="CV1244">
            <v>13.67289934744978</v>
          </cell>
          <cell r="CW1244">
            <v>11.062153668663059</v>
          </cell>
          <cell r="CX1244">
            <v>8.6510321273089765</v>
          </cell>
          <cell r="CY1244">
            <v>13.473275210017142</v>
          </cell>
        </row>
        <row r="1245">
          <cell r="A1245">
            <v>41281</v>
          </cell>
          <cell r="CF1245">
            <v>16.979051978941424</v>
          </cell>
          <cell r="CG1245">
            <v>22.085252262534414</v>
          </cell>
          <cell r="CH1245">
            <v>18.555263085067214</v>
          </cell>
          <cell r="CI1245">
            <v>14.926604548033502</v>
          </cell>
          <cell r="CJ1245">
            <v>22.183921622100925</v>
          </cell>
          <cell r="CU1245">
            <v>10.152722064873611</v>
          </cell>
          <cell r="CV1245">
            <v>13.67289934744978</v>
          </cell>
          <cell r="CW1245">
            <v>11.062153668663059</v>
          </cell>
          <cell r="CX1245">
            <v>8.6510321273089765</v>
          </cell>
          <cell r="CY1245">
            <v>13.473275210017142</v>
          </cell>
        </row>
        <row r="1246">
          <cell r="A1246">
            <v>41282</v>
          </cell>
          <cell r="CF1246">
            <v>16.889131862041808</v>
          </cell>
          <cell r="CG1246">
            <v>22.085252262534414</v>
          </cell>
          <cell r="CH1246">
            <v>18.555263085067214</v>
          </cell>
          <cell r="CI1246">
            <v>14.926604548033502</v>
          </cell>
          <cell r="CJ1246">
            <v>22.183921622100925</v>
          </cell>
          <cell r="CU1246">
            <v>10.104839346099155</v>
          </cell>
          <cell r="CV1246">
            <v>13.67289934744978</v>
          </cell>
          <cell r="CW1246">
            <v>11.062153668663059</v>
          </cell>
          <cell r="CX1246">
            <v>8.6510321273089765</v>
          </cell>
          <cell r="CY1246">
            <v>13.473275210017142</v>
          </cell>
        </row>
        <row r="1247">
          <cell r="A1247">
            <v>41283</v>
          </cell>
          <cell r="CF1247">
            <v>16.979051978941424</v>
          </cell>
          <cell r="CG1247">
            <v>22.085252262534414</v>
          </cell>
          <cell r="CH1247">
            <v>18.555263085067214</v>
          </cell>
          <cell r="CI1247">
            <v>14.926604548033502</v>
          </cell>
          <cell r="CJ1247">
            <v>22.183921622100925</v>
          </cell>
          <cell r="CU1247">
            <v>10.152722064873611</v>
          </cell>
          <cell r="CV1247">
            <v>13.67289934744978</v>
          </cell>
          <cell r="CW1247">
            <v>11.062153668663059</v>
          </cell>
          <cell r="CX1247">
            <v>8.6510321273089765</v>
          </cell>
          <cell r="CY1247">
            <v>13.473275210017142</v>
          </cell>
        </row>
        <row r="1248">
          <cell r="A1248">
            <v>41284</v>
          </cell>
          <cell r="CF1248">
            <v>17.036275357840744</v>
          </cell>
          <cell r="CG1248">
            <v>22.085252262534414</v>
          </cell>
          <cell r="CH1248">
            <v>18.555263085067214</v>
          </cell>
          <cell r="CI1248">
            <v>14.926604548033502</v>
          </cell>
          <cell r="CJ1248">
            <v>22.183921622100925</v>
          </cell>
          <cell r="CU1248">
            <v>10.183193677385185</v>
          </cell>
          <cell r="CV1248">
            <v>13.67289934744978</v>
          </cell>
          <cell r="CW1248">
            <v>11.062153668663059</v>
          </cell>
          <cell r="CX1248">
            <v>8.6510321273089765</v>
          </cell>
          <cell r="CY1248">
            <v>13.473275210017142</v>
          </cell>
        </row>
        <row r="1249">
          <cell r="A1249">
            <v>41285</v>
          </cell>
          <cell r="CF1249">
            <v>16.977009505758588</v>
          </cell>
          <cell r="CG1249">
            <v>22.085252262534414</v>
          </cell>
          <cell r="CH1249">
            <v>18.555263085067214</v>
          </cell>
          <cell r="CI1249">
            <v>14.926604548033502</v>
          </cell>
          <cell r="CJ1249">
            <v>22.183921622100925</v>
          </cell>
          <cell r="CU1249">
            <v>10.151634442076958</v>
          </cell>
          <cell r="CV1249">
            <v>13.67289934744978</v>
          </cell>
          <cell r="CW1249">
            <v>11.062153668663059</v>
          </cell>
          <cell r="CX1249">
            <v>8.6510321273089765</v>
          </cell>
          <cell r="CY1249">
            <v>13.473275210017142</v>
          </cell>
        </row>
        <row r="1250">
          <cell r="A1250">
            <v>41288</v>
          </cell>
          <cell r="CF1250">
            <v>17.177291025351302</v>
          </cell>
          <cell r="CG1250">
            <v>22.085252262534414</v>
          </cell>
          <cell r="CH1250">
            <v>18.555263085067214</v>
          </cell>
          <cell r="CI1250">
            <v>14.926604548033502</v>
          </cell>
          <cell r="CJ1250">
            <v>22.183921622100925</v>
          </cell>
          <cell r="CU1250">
            <v>10.258284922626093</v>
          </cell>
          <cell r="CV1250">
            <v>13.67289934744978</v>
          </cell>
          <cell r="CW1250">
            <v>11.062153668663059</v>
          </cell>
          <cell r="CX1250">
            <v>8.6510321273089765</v>
          </cell>
          <cell r="CY1250">
            <v>13.473275210017142</v>
          </cell>
        </row>
        <row r="1251">
          <cell r="A1251">
            <v>41289</v>
          </cell>
          <cell r="CF1251">
            <v>17.163554441402258</v>
          </cell>
          <cell r="CG1251">
            <v>22.085252262534414</v>
          </cell>
          <cell r="CH1251">
            <v>18.555263085067214</v>
          </cell>
          <cell r="CI1251">
            <v>14.926604548033502</v>
          </cell>
          <cell r="CJ1251">
            <v>22.183921622100925</v>
          </cell>
          <cell r="CU1251">
            <v>10.255020312994908</v>
          </cell>
          <cell r="CV1251">
            <v>13.67289934744978</v>
          </cell>
          <cell r="CW1251">
            <v>11.062153668663059</v>
          </cell>
          <cell r="CX1251">
            <v>8.6510321273089765</v>
          </cell>
          <cell r="CY1251">
            <v>13.473275210017142</v>
          </cell>
        </row>
        <row r="1252">
          <cell r="A1252">
            <v>41290</v>
          </cell>
          <cell r="CF1252">
            <v>17.151298085035453</v>
          </cell>
          <cell r="CG1252">
            <v>22.085252262534414</v>
          </cell>
          <cell r="CH1252">
            <v>18.555263085067214</v>
          </cell>
          <cell r="CI1252">
            <v>14.926604548033502</v>
          </cell>
          <cell r="CJ1252">
            <v>22.183921622100925</v>
          </cell>
          <cell r="CU1252">
            <v>10.248490876077385</v>
          </cell>
          <cell r="CV1252">
            <v>13.67289934744978</v>
          </cell>
          <cell r="CW1252">
            <v>11.062153668663059</v>
          </cell>
          <cell r="CX1252">
            <v>8.6510321273089765</v>
          </cell>
          <cell r="CY1252">
            <v>13.473275210017142</v>
          </cell>
        </row>
        <row r="1253">
          <cell r="A1253">
            <v>41291</v>
          </cell>
          <cell r="CF1253">
            <v>17.284078479386665</v>
          </cell>
          <cell r="CG1253">
            <v>22.085252262534414</v>
          </cell>
          <cell r="CH1253">
            <v>18.555263085067214</v>
          </cell>
          <cell r="CI1253">
            <v>14.926604548033502</v>
          </cell>
          <cell r="CJ1253">
            <v>22.183921622100925</v>
          </cell>
          <cell r="CU1253">
            <v>10.319228147649239</v>
          </cell>
          <cell r="CV1253">
            <v>13.67289934744978</v>
          </cell>
          <cell r="CW1253">
            <v>11.062153668663059</v>
          </cell>
          <cell r="CX1253">
            <v>8.6510321273089765</v>
          </cell>
          <cell r="CY1253">
            <v>13.473275210017142</v>
          </cell>
        </row>
        <row r="1254">
          <cell r="A1254">
            <v>41292</v>
          </cell>
          <cell r="CF1254">
            <v>17.357619068940473</v>
          </cell>
          <cell r="CG1254">
            <v>22.085252262534414</v>
          </cell>
          <cell r="CH1254">
            <v>18.555263085067214</v>
          </cell>
          <cell r="CI1254">
            <v>14.926604548033502</v>
          </cell>
          <cell r="CJ1254">
            <v>22.183921622100925</v>
          </cell>
          <cell r="CU1254">
            <v>10.358406075085284</v>
          </cell>
          <cell r="CV1254">
            <v>13.67289934744978</v>
          </cell>
          <cell r="CW1254">
            <v>11.062153668663059</v>
          </cell>
          <cell r="CX1254">
            <v>8.6510321273089765</v>
          </cell>
          <cell r="CY1254">
            <v>13.473275210017142</v>
          </cell>
        </row>
        <row r="1255">
          <cell r="A1255">
            <v>41295</v>
          </cell>
          <cell r="CF1255">
            <v>17.357619068940473</v>
          </cell>
          <cell r="CG1255">
            <v>22.085252262534414</v>
          </cell>
          <cell r="CH1255">
            <v>18.555263085067214</v>
          </cell>
          <cell r="CI1255">
            <v>14.926604548033502</v>
          </cell>
          <cell r="CJ1255">
            <v>22.183921622100925</v>
          </cell>
          <cell r="CU1255">
            <v>10.358406075085284</v>
          </cell>
          <cell r="CV1255">
            <v>13.67289934744978</v>
          </cell>
          <cell r="CW1255">
            <v>11.062153668663059</v>
          </cell>
          <cell r="CX1255">
            <v>8.6510321273089765</v>
          </cell>
          <cell r="CY1255">
            <v>13.473275210017142</v>
          </cell>
        </row>
        <row r="1256">
          <cell r="A1256">
            <v>41296</v>
          </cell>
          <cell r="CF1256">
            <v>17.4413744463833</v>
          </cell>
          <cell r="CG1256">
            <v>22.085252262534414</v>
          </cell>
          <cell r="CH1256">
            <v>18.555263085067214</v>
          </cell>
          <cell r="CI1256">
            <v>14.926604548033502</v>
          </cell>
          <cell r="CJ1256">
            <v>22.183921622100925</v>
          </cell>
          <cell r="CU1256">
            <v>10.4030258166422</v>
          </cell>
          <cell r="CV1256">
            <v>13.67289934744978</v>
          </cell>
          <cell r="CW1256">
            <v>11.062153668663059</v>
          </cell>
          <cell r="CX1256">
            <v>8.6510321273089765</v>
          </cell>
          <cell r="CY1256">
            <v>13.473275210017142</v>
          </cell>
        </row>
        <row r="1257">
          <cell r="A1257">
            <v>41297</v>
          </cell>
          <cell r="CF1257">
            <v>17.521043418399923</v>
          </cell>
          <cell r="CG1257">
            <v>22.085252262534414</v>
          </cell>
          <cell r="CH1257">
            <v>18.555263085067214</v>
          </cell>
          <cell r="CI1257">
            <v>14.926604548033502</v>
          </cell>
          <cell r="CJ1257">
            <v>22.183921622100925</v>
          </cell>
          <cell r="CU1257">
            <v>10.445468571364584</v>
          </cell>
          <cell r="CV1257">
            <v>13.67289934744978</v>
          </cell>
          <cell r="CW1257">
            <v>11.062153668663059</v>
          </cell>
          <cell r="CX1257">
            <v>8.6510321273089765</v>
          </cell>
          <cell r="CY1257">
            <v>13.473275210017142</v>
          </cell>
        </row>
        <row r="1258">
          <cell r="A1258">
            <v>41298</v>
          </cell>
          <cell r="CF1258">
            <v>17.784565498536377</v>
          </cell>
          <cell r="CG1258">
            <v>22.085252262534414</v>
          </cell>
          <cell r="CH1258">
            <v>18.555263085067214</v>
          </cell>
          <cell r="CI1258">
            <v>14.926604548033502</v>
          </cell>
          <cell r="CJ1258">
            <v>22.183921622100925</v>
          </cell>
          <cell r="CU1258">
            <v>10.585857015297696</v>
          </cell>
          <cell r="CV1258">
            <v>13.67289934744978</v>
          </cell>
          <cell r="CW1258">
            <v>11.062153668663059</v>
          </cell>
          <cell r="CX1258">
            <v>8.6510321273089765</v>
          </cell>
          <cell r="CY1258">
            <v>13.473275210017142</v>
          </cell>
        </row>
        <row r="1259">
          <cell r="A1259">
            <v>41299</v>
          </cell>
          <cell r="CF1259">
            <v>17.933688654680598</v>
          </cell>
          <cell r="CG1259">
            <v>22.085252262534414</v>
          </cell>
          <cell r="CH1259">
            <v>18.555263085067214</v>
          </cell>
          <cell r="CI1259">
            <v>14.926604548033502</v>
          </cell>
          <cell r="CJ1259">
            <v>22.183921622100925</v>
          </cell>
          <cell r="CU1259">
            <v>10.665300710621599</v>
          </cell>
          <cell r="CV1259">
            <v>13.67289934744978</v>
          </cell>
          <cell r="CW1259">
            <v>11.062153668663059</v>
          </cell>
          <cell r="CX1259">
            <v>8.6510321273089765</v>
          </cell>
          <cell r="CY1259">
            <v>13.473275210017142</v>
          </cell>
        </row>
        <row r="1260">
          <cell r="A1260">
            <v>41302</v>
          </cell>
          <cell r="CF1260">
            <v>17.804991601564364</v>
          </cell>
          <cell r="CG1260">
            <v>22.085252262534414</v>
          </cell>
          <cell r="CH1260">
            <v>18.555263085067214</v>
          </cell>
          <cell r="CI1260">
            <v>14.926604548033502</v>
          </cell>
          <cell r="CJ1260">
            <v>22.183921622100925</v>
          </cell>
          <cell r="CU1260">
            <v>10.596738793470635</v>
          </cell>
          <cell r="CV1260">
            <v>13.67289934744978</v>
          </cell>
          <cell r="CW1260">
            <v>11.062153668663059</v>
          </cell>
          <cell r="CX1260">
            <v>8.6510321273089765</v>
          </cell>
          <cell r="CY1260">
            <v>13.473275210017142</v>
          </cell>
        </row>
        <row r="1261">
          <cell r="A1261">
            <v>41303</v>
          </cell>
          <cell r="CF1261">
            <v>17.772309142169576</v>
          </cell>
          <cell r="CG1261">
            <v>22.085252262534414</v>
          </cell>
          <cell r="CH1261">
            <v>18.555263085067214</v>
          </cell>
          <cell r="CI1261">
            <v>14.926604548033502</v>
          </cell>
          <cell r="CJ1261">
            <v>22.183921622100925</v>
          </cell>
          <cell r="CU1261">
            <v>10.579327578380173</v>
          </cell>
          <cell r="CV1261">
            <v>13.67289934744978</v>
          </cell>
          <cell r="CW1261">
            <v>11.062153668663059</v>
          </cell>
          <cell r="CX1261">
            <v>8.6510321273089765</v>
          </cell>
          <cell r="CY1261">
            <v>13.473275210017142</v>
          </cell>
        </row>
        <row r="1262">
          <cell r="A1262">
            <v>41304</v>
          </cell>
          <cell r="CF1262">
            <v>17.717152882886559</v>
          </cell>
          <cell r="CG1262">
            <v>22.085252262534414</v>
          </cell>
          <cell r="CH1262">
            <v>18.555263085067214</v>
          </cell>
          <cell r="CI1262">
            <v>14.926604548033502</v>
          </cell>
          <cell r="CJ1262">
            <v>22.183921622100925</v>
          </cell>
          <cell r="CU1262">
            <v>10.549943697492834</v>
          </cell>
          <cell r="CV1262">
            <v>13.67289934744978</v>
          </cell>
          <cell r="CW1262">
            <v>11.062153668663059</v>
          </cell>
          <cell r="CX1262">
            <v>8.6510321273089765</v>
          </cell>
          <cell r="CY1262">
            <v>13.473275210017142</v>
          </cell>
        </row>
        <row r="1263">
          <cell r="A1263">
            <v>41305</v>
          </cell>
          <cell r="CF1263">
            <v>17.637484115149352</v>
          </cell>
          <cell r="CG1263">
            <v>22.085252262534414</v>
          </cell>
          <cell r="CH1263">
            <v>18.555263085067214</v>
          </cell>
          <cell r="CI1263">
            <v>14.926604548033502</v>
          </cell>
          <cell r="CJ1263">
            <v>22.183921622100925</v>
          </cell>
          <cell r="CU1263">
            <v>10.507501051598023</v>
          </cell>
          <cell r="CV1263">
            <v>13.67289934744978</v>
          </cell>
          <cell r="CW1263">
            <v>11.062153668663059</v>
          </cell>
          <cell r="CX1263">
            <v>8.6510321273089765</v>
          </cell>
          <cell r="CY1263">
            <v>13.473275210017142</v>
          </cell>
        </row>
        <row r="1264">
          <cell r="A1264">
            <v>41306</v>
          </cell>
          <cell r="CF1264">
            <v>17.718574755835967</v>
          </cell>
          <cell r="CG1264">
            <v>22.085252262534414</v>
          </cell>
          <cell r="CH1264">
            <v>18.555263085067214</v>
          </cell>
          <cell r="CI1264">
            <v>14.926604548033502</v>
          </cell>
          <cell r="CJ1264">
            <v>22.183921622100925</v>
          </cell>
          <cell r="CU1264">
            <v>10.569362461733238</v>
          </cell>
          <cell r="CV1264">
            <v>13.67289934744978</v>
          </cell>
          <cell r="CW1264">
            <v>11.062153668663059</v>
          </cell>
          <cell r="CX1264">
            <v>8.6510321273089765</v>
          </cell>
          <cell r="CY1264">
            <v>13.473275210017142</v>
          </cell>
        </row>
        <row r="1265">
          <cell r="A1265">
            <v>41309</v>
          </cell>
          <cell r="CF1265">
            <v>17.636593874621617</v>
          </cell>
          <cell r="CG1265">
            <v>22.085252262534414</v>
          </cell>
          <cell r="CH1265">
            <v>18.555263085067214</v>
          </cell>
          <cell r="CI1265">
            <v>14.926604548033502</v>
          </cell>
          <cell r="CJ1265">
            <v>22.183921622100925</v>
          </cell>
          <cell r="CU1265">
            <v>10.495292437290265</v>
          </cell>
          <cell r="CV1265">
            <v>13.67289934744978</v>
          </cell>
          <cell r="CW1265">
            <v>11.062153668663059</v>
          </cell>
          <cell r="CX1265">
            <v>8.6510321273089765</v>
          </cell>
          <cell r="CY1265">
            <v>13.473275210017142</v>
          </cell>
        </row>
        <row r="1266">
          <cell r="A1266">
            <v>41310</v>
          </cell>
          <cell r="CF1266">
            <v>17.770171339828451</v>
          </cell>
          <cell r="CG1266">
            <v>22.085252262534414</v>
          </cell>
          <cell r="CH1266">
            <v>18.555263085067214</v>
          </cell>
          <cell r="CI1266">
            <v>14.926604548033502</v>
          </cell>
          <cell r="CJ1266">
            <v>22.183921622100925</v>
          </cell>
          <cell r="CU1266">
            <v>10.566420701397863</v>
          </cell>
          <cell r="CV1266">
            <v>13.67289934744978</v>
          </cell>
          <cell r="CW1266">
            <v>11.062153668663059</v>
          </cell>
          <cell r="CX1266">
            <v>8.6510321273089765</v>
          </cell>
          <cell r="CY1266">
            <v>13.473275210017142</v>
          </cell>
        </row>
        <row r="1267">
          <cell r="A1267">
            <v>41311</v>
          </cell>
          <cell r="CF1267">
            <v>17.942207266073481</v>
          </cell>
          <cell r="CG1267">
            <v>22.085252262534414</v>
          </cell>
          <cell r="CH1267">
            <v>18.555263085067214</v>
          </cell>
          <cell r="CI1267">
            <v>14.926604548033502</v>
          </cell>
          <cell r="CJ1267">
            <v>22.183921622100925</v>
          </cell>
          <cell r="CU1267">
            <v>10.658027596161162</v>
          </cell>
          <cell r="CV1267">
            <v>13.67289934744978</v>
          </cell>
          <cell r="CW1267">
            <v>11.062153668663059</v>
          </cell>
          <cell r="CX1267">
            <v>8.6510321273089765</v>
          </cell>
          <cell r="CY1267">
            <v>13.473275210017142</v>
          </cell>
        </row>
        <row r="1268">
          <cell r="A1268">
            <v>41312</v>
          </cell>
          <cell r="CF1268">
            <v>17.940184542649302</v>
          </cell>
          <cell r="CG1268">
            <v>22.085252262534414</v>
          </cell>
          <cell r="CH1268">
            <v>18.555263085067214</v>
          </cell>
          <cell r="CI1268">
            <v>14.926604548033502</v>
          </cell>
          <cell r="CJ1268">
            <v>22.183921622100925</v>
          </cell>
          <cell r="CU1268">
            <v>10.656950522227254</v>
          </cell>
          <cell r="CV1268">
            <v>13.67289934744978</v>
          </cell>
          <cell r="CW1268">
            <v>11.062153668663059</v>
          </cell>
          <cell r="CX1268">
            <v>8.6510321273089765</v>
          </cell>
          <cell r="CY1268">
            <v>13.473275210017142</v>
          </cell>
        </row>
        <row r="1269">
          <cell r="A1269">
            <v>41313</v>
          </cell>
          <cell r="CF1269">
            <v>18.035306785118408</v>
          </cell>
          <cell r="CG1269">
            <v>22.085252262534414</v>
          </cell>
          <cell r="CH1269">
            <v>18.555263085067214</v>
          </cell>
          <cell r="CI1269">
            <v>14.926604548033502</v>
          </cell>
          <cell r="CJ1269">
            <v>22.183921622100925</v>
          </cell>
          <cell r="CU1269">
            <v>10.707601880032055</v>
          </cell>
          <cell r="CV1269">
            <v>13.67289934744978</v>
          </cell>
          <cell r="CW1269">
            <v>11.062153668663059</v>
          </cell>
          <cell r="CX1269">
            <v>8.6510321273089765</v>
          </cell>
          <cell r="CY1269">
            <v>13.473275210017142</v>
          </cell>
        </row>
        <row r="1270">
          <cell r="A1270">
            <v>41316</v>
          </cell>
          <cell r="CF1270">
            <v>18.104122896202913</v>
          </cell>
          <cell r="CG1270">
            <v>22.085252262534414</v>
          </cell>
          <cell r="CH1270">
            <v>18.555263085067214</v>
          </cell>
          <cell r="CI1270">
            <v>14.926604548033502</v>
          </cell>
          <cell r="CJ1270">
            <v>22.183921622100925</v>
          </cell>
          <cell r="CU1270">
            <v>10.744245564777058</v>
          </cell>
          <cell r="CV1270">
            <v>13.67289934744978</v>
          </cell>
          <cell r="CW1270">
            <v>11.062153668663059</v>
          </cell>
          <cell r="CX1270">
            <v>8.6510321273089765</v>
          </cell>
          <cell r="CY1270">
            <v>13.473275210017142</v>
          </cell>
        </row>
        <row r="1271">
          <cell r="A1271">
            <v>41317</v>
          </cell>
          <cell r="CF1271">
            <v>18.287863572574118</v>
          </cell>
          <cell r="CG1271">
            <v>22.085252262534414</v>
          </cell>
          <cell r="CH1271">
            <v>18.555263085067214</v>
          </cell>
          <cell r="CI1271">
            <v>14.926604548033502</v>
          </cell>
          <cell r="CJ1271">
            <v>22.183921622100925</v>
          </cell>
          <cell r="CU1271">
            <v>10.843013222544471</v>
          </cell>
          <cell r="CV1271">
            <v>13.67289934744978</v>
          </cell>
          <cell r="CW1271">
            <v>11.062153668663059</v>
          </cell>
          <cell r="CX1271">
            <v>8.6510321273089765</v>
          </cell>
          <cell r="CY1271">
            <v>13.473275210017142</v>
          </cell>
        </row>
        <row r="1272">
          <cell r="A1272">
            <v>41318</v>
          </cell>
          <cell r="CF1272">
            <v>18.019436763892767</v>
          </cell>
          <cell r="CG1272">
            <v>22.085252262534414</v>
          </cell>
          <cell r="CH1272">
            <v>18.555263085067214</v>
          </cell>
          <cell r="CI1272">
            <v>14.926604548033502</v>
          </cell>
          <cell r="CJ1272">
            <v>22.183921622100925</v>
          </cell>
          <cell r="CU1272">
            <v>10.60759395755597</v>
          </cell>
          <cell r="CV1272">
            <v>13.67289934744978</v>
          </cell>
          <cell r="CW1272">
            <v>11.062153668663059</v>
          </cell>
          <cell r="CX1272">
            <v>8.6510321273089765</v>
          </cell>
          <cell r="CY1272">
            <v>13.473275210017142</v>
          </cell>
        </row>
        <row r="1273">
          <cell r="A1273">
            <v>41319</v>
          </cell>
          <cell r="CF1273">
            <v>17.83060200809625</v>
          </cell>
          <cell r="CG1273">
            <v>22.085252262534414</v>
          </cell>
          <cell r="CH1273">
            <v>18.555263085067214</v>
          </cell>
          <cell r="CI1273">
            <v>14.926604548033502</v>
          </cell>
          <cell r="CJ1273">
            <v>22.183921622100925</v>
          </cell>
          <cell r="CU1273">
            <v>10.513807669527662</v>
          </cell>
          <cell r="CV1273">
            <v>13.67289934744978</v>
          </cell>
          <cell r="CW1273">
            <v>11.062153668663059</v>
          </cell>
          <cell r="CX1273">
            <v>8.6510321273089765</v>
          </cell>
          <cell r="CY1273">
            <v>13.473275210017142</v>
          </cell>
        </row>
        <row r="1274">
          <cell r="A1274">
            <v>41320</v>
          </cell>
          <cell r="CF1274">
            <v>17.88707883016102</v>
          </cell>
          <cell r="CG1274">
            <v>22.085252262534414</v>
          </cell>
          <cell r="CH1274">
            <v>18.555263085067214</v>
          </cell>
          <cell r="CI1274">
            <v>14.926604548033502</v>
          </cell>
          <cell r="CJ1274">
            <v>22.183921622100925</v>
          </cell>
          <cell r="CU1274">
            <v>10.528377370375745</v>
          </cell>
          <cell r="CV1274">
            <v>13.67289934744978</v>
          </cell>
          <cell r="CW1274">
            <v>11.062153668663059</v>
          </cell>
          <cell r="CX1274">
            <v>8.6510321273089765</v>
          </cell>
          <cell r="CY1274">
            <v>13.473275210017142</v>
          </cell>
        </row>
        <row r="1275">
          <cell r="A1275">
            <v>41323</v>
          </cell>
          <cell r="CF1275">
            <v>17.871524326141781</v>
          </cell>
          <cell r="CG1275">
            <v>22.085252262534414</v>
          </cell>
          <cell r="CH1275">
            <v>18.555263085067214</v>
          </cell>
          <cell r="CI1275">
            <v>14.926604548033502</v>
          </cell>
          <cell r="CJ1275">
            <v>22.183921622100925</v>
          </cell>
          <cell r="CU1275">
            <v>10.528377370375745</v>
          </cell>
          <cell r="CV1275">
            <v>13.67289934744978</v>
          </cell>
          <cell r="CW1275">
            <v>11.062153668663059</v>
          </cell>
          <cell r="CX1275">
            <v>8.6510321273089765</v>
          </cell>
          <cell r="CY1275">
            <v>13.473275210017142</v>
          </cell>
        </row>
        <row r="1276">
          <cell r="A1276">
            <v>41324</v>
          </cell>
          <cell r="CF1276">
            <v>17.996470837183864</v>
          </cell>
          <cell r="CG1276">
            <v>22.085252262534414</v>
          </cell>
          <cell r="CH1276">
            <v>18.555263085067214</v>
          </cell>
          <cell r="CI1276">
            <v>14.926604548033502</v>
          </cell>
          <cell r="CJ1276">
            <v>22.183921622100925</v>
          </cell>
          <cell r="CU1276">
            <v>10.594733887100675</v>
          </cell>
          <cell r="CV1276">
            <v>13.67289934744978</v>
          </cell>
          <cell r="CW1276">
            <v>11.062153668663059</v>
          </cell>
          <cell r="CX1276">
            <v>8.6510321273089765</v>
          </cell>
          <cell r="CY1276">
            <v>13.473275210017142</v>
          </cell>
        </row>
        <row r="1277">
          <cell r="A1277">
            <v>41325</v>
          </cell>
          <cell r="CF1277">
            <v>17.819128188766683</v>
          </cell>
          <cell r="CG1277">
            <v>22.085252262534414</v>
          </cell>
          <cell r="CH1277">
            <v>18.555263085067214</v>
          </cell>
          <cell r="CI1277">
            <v>14.926604548033502</v>
          </cell>
          <cell r="CJ1277">
            <v>22.183921622100925</v>
          </cell>
          <cell r="CU1277">
            <v>10.517936532397988</v>
          </cell>
          <cell r="CV1277">
            <v>13.67289934744978</v>
          </cell>
          <cell r="CW1277">
            <v>11.062153668663059</v>
          </cell>
          <cell r="CX1277">
            <v>8.6510321273089765</v>
          </cell>
          <cell r="CY1277">
            <v>13.473275210017142</v>
          </cell>
        </row>
        <row r="1278">
          <cell r="A1278">
            <v>41326</v>
          </cell>
          <cell r="CF1278">
            <v>17.604336894846419</v>
          </cell>
          <cell r="CG1278">
            <v>22.085252262534414</v>
          </cell>
          <cell r="CH1278">
            <v>18.555263085067214</v>
          </cell>
          <cell r="CI1278">
            <v>14.926604548033502</v>
          </cell>
          <cell r="CJ1278">
            <v>22.183921622100925</v>
          </cell>
          <cell r="CU1278">
            <v>10.406086504936406</v>
          </cell>
          <cell r="CV1278">
            <v>13.67289934744978</v>
          </cell>
          <cell r="CW1278">
            <v>11.062153668663059</v>
          </cell>
          <cell r="CX1278">
            <v>8.6510321273089765</v>
          </cell>
          <cell r="CY1278">
            <v>13.473275210017142</v>
          </cell>
        </row>
        <row r="1279">
          <cell r="A1279">
            <v>41327</v>
          </cell>
          <cell r="CF1279">
            <v>17.690999819625414</v>
          </cell>
          <cell r="CG1279">
            <v>22.085252262534414</v>
          </cell>
          <cell r="CH1279">
            <v>18.555263085067214</v>
          </cell>
          <cell r="CI1279">
            <v>14.926604548033502</v>
          </cell>
          <cell r="CJ1279">
            <v>22.183921622100925</v>
          </cell>
          <cell r="CU1279">
            <v>10.452198059475036</v>
          </cell>
          <cell r="CV1279">
            <v>13.67289934744978</v>
          </cell>
          <cell r="CW1279">
            <v>11.062153668663059</v>
          </cell>
          <cell r="CX1279">
            <v>8.6510321273089765</v>
          </cell>
          <cell r="CY1279">
            <v>13.473275210017142</v>
          </cell>
        </row>
        <row r="1280">
          <cell r="A1280">
            <v>41330</v>
          </cell>
          <cell r="CF1280">
            <v>17.620543385827304</v>
          </cell>
          <cell r="CG1280">
            <v>22.085252262534414</v>
          </cell>
          <cell r="CH1280">
            <v>18.555263085067214</v>
          </cell>
          <cell r="CI1280">
            <v>14.926604548033502</v>
          </cell>
          <cell r="CJ1280">
            <v>22.183921622100925</v>
          </cell>
          <cell r="CU1280">
            <v>10.412868706049093</v>
          </cell>
          <cell r="CV1280">
            <v>13.67289934744978</v>
          </cell>
          <cell r="CW1280">
            <v>11.062153668663059</v>
          </cell>
          <cell r="CX1280">
            <v>8.6510321273089765</v>
          </cell>
          <cell r="CY1280">
            <v>13.473275210017142</v>
          </cell>
        </row>
        <row r="1281">
          <cell r="A1281">
            <v>41331</v>
          </cell>
          <cell r="CF1281">
            <v>17.606424362617609</v>
          </cell>
          <cell r="CG1281">
            <v>22.085252262534414</v>
          </cell>
          <cell r="CH1281">
            <v>18.555263085067214</v>
          </cell>
          <cell r="CI1281">
            <v>14.926604548033502</v>
          </cell>
          <cell r="CJ1281">
            <v>22.183921622100925</v>
          </cell>
          <cell r="CU1281">
            <v>10.405358111132925</v>
          </cell>
          <cell r="CV1281">
            <v>13.67289934744978</v>
          </cell>
          <cell r="CW1281">
            <v>11.062153668663059</v>
          </cell>
          <cell r="CX1281">
            <v>8.6510321273089765</v>
          </cell>
          <cell r="CY1281">
            <v>13.473275210017142</v>
          </cell>
        </row>
        <row r="1282">
          <cell r="A1282">
            <v>41332</v>
          </cell>
          <cell r="CF1282">
            <v>17.840370817299068</v>
          </cell>
          <cell r="CG1282">
            <v>22.085252262534414</v>
          </cell>
          <cell r="CH1282">
            <v>18.555263085067214</v>
          </cell>
          <cell r="CI1282">
            <v>14.926604548033502</v>
          </cell>
          <cell r="CJ1282">
            <v>22.183921622100925</v>
          </cell>
          <cell r="CU1282">
            <v>10.529805604921291</v>
          </cell>
          <cell r="CV1282">
            <v>13.67289934744978</v>
          </cell>
          <cell r="CW1282">
            <v>11.062153668663059</v>
          </cell>
          <cell r="CX1282">
            <v>8.6510321273089765</v>
          </cell>
          <cell r="CY1282">
            <v>13.473275210017142</v>
          </cell>
        </row>
        <row r="1283">
          <cell r="A1283">
            <v>41333</v>
          </cell>
          <cell r="CF1283">
            <v>17.993644342113793</v>
          </cell>
          <cell r="CG1283">
            <v>22.085252262534414</v>
          </cell>
          <cell r="CH1283">
            <v>18.555263085067214</v>
          </cell>
          <cell r="CI1283">
            <v>14.926604548033502</v>
          </cell>
          <cell r="CJ1283">
            <v>22.183921622100925</v>
          </cell>
          <cell r="CU1283">
            <v>10.611339244972704</v>
          </cell>
          <cell r="CV1283">
            <v>13.67289934744978</v>
          </cell>
          <cell r="CW1283">
            <v>11.062153668663059</v>
          </cell>
          <cell r="CX1283">
            <v>8.6510321273089765</v>
          </cell>
          <cell r="CY1283">
            <v>13.473275210017142</v>
          </cell>
        </row>
        <row r="1284">
          <cell r="A1284">
            <v>41334</v>
          </cell>
          <cell r="CF1284">
            <v>17.763114543500539</v>
          </cell>
          <cell r="CG1284">
            <v>22.085252262534414</v>
          </cell>
          <cell r="CH1284">
            <v>18.555263085067214</v>
          </cell>
          <cell r="CI1284">
            <v>14.926604548033502</v>
          </cell>
          <cell r="CJ1284">
            <v>22.183921622100925</v>
          </cell>
          <cell r="CU1284">
            <v>10.511549536247848</v>
          </cell>
          <cell r="CV1284">
            <v>13.67289934744978</v>
          </cell>
          <cell r="CW1284">
            <v>11.062153668663059</v>
          </cell>
          <cell r="CX1284">
            <v>8.6510321273089765</v>
          </cell>
          <cell r="CY1284">
            <v>13.473275210017142</v>
          </cell>
        </row>
        <row r="1285">
          <cell r="A1285">
            <v>41337</v>
          </cell>
          <cell r="CF1285">
            <v>17.747118542400841</v>
          </cell>
          <cell r="CG1285">
            <v>22.085252262534414</v>
          </cell>
          <cell r="CH1285">
            <v>18.555263085067214</v>
          </cell>
          <cell r="CI1285">
            <v>14.926604548033502</v>
          </cell>
          <cell r="CJ1285">
            <v>22.183921622100925</v>
          </cell>
          <cell r="CU1285">
            <v>10.503014689797013</v>
          </cell>
          <cell r="CV1285">
            <v>13.67289934744978</v>
          </cell>
          <cell r="CW1285">
            <v>11.062153668663059</v>
          </cell>
          <cell r="CX1285">
            <v>8.6510321273089765</v>
          </cell>
          <cell r="CY1285">
            <v>13.473275210017142</v>
          </cell>
        </row>
        <row r="1286">
          <cell r="A1286">
            <v>41338</v>
          </cell>
          <cell r="CF1286">
            <v>17.975055659693588</v>
          </cell>
          <cell r="CG1286">
            <v>22.085252262534414</v>
          </cell>
          <cell r="CH1286">
            <v>18.555263085067214</v>
          </cell>
          <cell r="CI1286">
            <v>14.926604548033502</v>
          </cell>
          <cell r="CJ1286">
            <v>22.183921622100925</v>
          </cell>
          <cell r="CU1286">
            <v>10.624633104575503</v>
          </cell>
          <cell r="CV1286">
            <v>13.67289934744978</v>
          </cell>
          <cell r="CW1286">
            <v>11.062153668663059</v>
          </cell>
          <cell r="CX1286">
            <v>8.6510321273089765</v>
          </cell>
          <cell r="CY1286">
            <v>13.473275210017142</v>
          </cell>
        </row>
        <row r="1287">
          <cell r="A1287">
            <v>41339</v>
          </cell>
          <cell r="CF1287">
            <v>17.943063857439206</v>
          </cell>
          <cell r="CG1287">
            <v>22.085252262534414</v>
          </cell>
          <cell r="CH1287">
            <v>18.555263085067214</v>
          </cell>
          <cell r="CI1287">
            <v>14.926604548033502</v>
          </cell>
          <cell r="CJ1287">
            <v>22.183921622100925</v>
          </cell>
          <cell r="CU1287">
            <v>10.607563518356743</v>
          </cell>
          <cell r="CV1287">
            <v>13.67289934744978</v>
          </cell>
          <cell r="CW1287">
            <v>11.062153668663059</v>
          </cell>
          <cell r="CX1287">
            <v>8.6510321273089765</v>
          </cell>
          <cell r="CY1287">
            <v>13.473275210017142</v>
          </cell>
        </row>
        <row r="1288">
          <cell r="A1288">
            <v>41340</v>
          </cell>
          <cell r="CF1288">
            <v>17.85508745095099</v>
          </cell>
          <cell r="CG1288">
            <v>22.085252262534414</v>
          </cell>
          <cell r="CH1288">
            <v>18.555263085067214</v>
          </cell>
          <cell r="CI1288">
            <v>14.926604548033502</v>
          </cell>
          <cell r="CJ1288">
            <v>22.183921622100925</v>
          </cell>
          <cell r="CU1288">
            <v>10.560622716340442</v>
          </cell>
          <cell r="CV1288">
            <v>13.67289934744978</v>
          </cell>
          <cell r="CW1288">
            <v>11.062153668663059</v>
          </cell>
          <cell r="CX1288">
            <v>8.6510321273089765</v>
          </cell>
          <cell r="CY1288">
            <v>13.473275210017142</v>
          </cell>
        </row>
        <row r="1289">
          <cell r="A1289">
            <v>41341</v>
          </cell>
          <cell r="CF1289">
            <v>18.059032366099323</v>
          </cell>
          <cell r="CG1289">
            <v>22.085252262534414</v>
          </cell>
          <cell r="CH1289">
            <v>18.555263085067214</v>
          </cell>
          <cell r="CI1289">
            <v>14.926604548033502</v>
          </cell>
          <cell r="CJ1289">
            <v>22.183921622100925</v>
          </cell>
          <cell r="CU1289">
            <v>10.669439821588895</v>
          </cell>
          <cell r="CV1289">
            <v>13.67289934744978</v>
          </cell>
          <cell r="CW1289">
            <v>11.062153668663059</v>
          </cell>
          <cell r="CX1289">
            <v>8.6510321273089765</v>
          </cell>
          <cell r="CY1289">
            <v>13.473275210017142</v>
          </cell>
        </row>
        <row r="1290">
          <cell r="A1290">
            <v>41344</v>
          </cell>
          <cell r="CF1290">
            <v>17.979055559721079</v>
          </cell>
          <cell r="CG1290">
            <v>22.085252262534414</v>
          </cell>
          <cell r="CH1290">
            <v>18.555263085067214</v>
          </cell>
          <cell r="CI1290">
            <v>14.926604548033502</v>
          </cell>
          <cell r="CJ1290">
            <v>22.183921622100925</v>
          </cell>
          <cell r="CU1290">
            <v>10.626767296261324</v>
          </cell>
          <cell r="CV1290">
            <v>13.67289934744978</v>
          </cell>
          <cell r="CW1290">
            <v>11.062153668663059</v>
          </cell>
          <cell r="CX1290">
            <v>8.6510321273089765</v>
          </cell>
          <cell r="CY1290">
            <v>13.473275210017142</v>
          </cell>
        </row>
        <row r="1291">
          <cell r="A1291">
            <v>41345</v>
          </cell>
          <cell r="CF1291">
            <v>18.001049511384373</v>
          </cell>
          <cell r="CG1291">
            <v>22.085252262534414</v>
          </cell>
          <cell r="CH1291">
            <v>18.555263085067214</v>
          </cell>
          <cell r="CI1291">
            <v>14.926604548033502</v>
          </cell>
          <cell r="CJ1291">
            <v>22.183921622100925</v>
          </cell>
          <cell r="CU1291">
            <v>10.638502416753216</v>
          </cell>
          <cell r="CV1291">
            <v>13.67289934744978</v>
          </cell>
          <cell r="CW1291">
            <v>11.062153668663059</v>
          </cell>
          <cell r="CX1291">
            <v>8.6510321273089765</v>
          </cell>
          <cell r="CY1291">
            <v>13.473275210017142</v>
          </cell>
        </row>
        <row r="1292">
          <cell r="A1292">
            <v>41346</v>
          </cell>
          <cell r="CF1292">
            <v>18.047036065082104</v>
          </cell>
          <cell r="CG1292">
            <v>22.085252262534414</v>
          </cell>
          <cell r="CH1292">
            <v>18.555263085067214</v>
          </cell>
          <cell r="CI1292">
            <v>14.926604548033502</v>
          </cell>
          <cell r="CJ1292">
            <v>22.183921622100925</v>
          </cell>
          <cell r="CU1292">
            <v>10.663039060140965</v>
          </cell>
          <cell r="CV1292">
            <v>13.67289934744978</v>
          </cell>
          <cell r="CW1292">
            <v>11.062153668663059</v>
          </cell>
          <cell r="CX1292">
            <v>8.6510321273089765</v>
          </cell>
          <cell r="CY1292">
            <v>13.473275210017142</v>
          </cell>
        </row>
        <row r="1293">
          <cell r="A1293">
            <v>41347</v>
          </cell>
          <cell r="CF1293">
            <v>18.121014720951742</v>
          </cell>
          <cell r="CG1293">
            <v>22.085252262534414</v>
          </cell>
          <cell r="CH1293">
            <v>18.555263085067214</v>
          </cell>
          <cell r="CI1293">
            <v>14.926604548033502</v>
          </cell>
          <cell r="CJ1293">
            <v>22.183921622100925</v>
          </cell>
          <cell r="CU1293">
            <v>10.702511204744575</v>
          </cell>
          <cell r="CV1293">
            <v>13.67289934744978</v>
          </cell>
          <cell r="CW1293">
            <v>11.062153668663059</v>
          </cell>
          <cell r="CX1293">
            <v>8.6510321273089765</v>
          </cell>
          <cell r="CY1293">
            <v>13.473275210017142</v>
          </cell>
        </row>
        <row r="1294">
          <cell r="A1294">
            <v>41348</v>
          </cell>
          <cell r="CF1294">
            <v>17.97105595961111</v>
          </cell>
          <cell r="CG1294">
            <v>22.085252262534414</v>
          </cell>
          <cell r="CH1294">
            <v>18.555263085067214</v>
          </cell>
          <cell r="CI1294">
            <v>14.926604548033502</v>
          </cell>
          <cell r="CJ1294">
            <v>22.183921622100925</v>
          </cell>
          <cell r="CU1294">
            <v>10.625003123117384</v>
          </cell>
          <cell r="CV1294">
            <v>13.67289934744978</v>
          </cell>
          <cell r="CW1294">
            <v>11.062153668663059</v>
          </cell>
          <cell r="CX1294">
            <v>8.6510321273089765</v>
          </cell>
          <cell r="CY1294">
            <v>13.473275210017142</v>
          </cell>
        </row>
        <row r="1295">
          <cell r="A1295">
            <v>41351</v>
          </cell>
          <cell r="CF1295">
            <v>17.941065407013074</v>
          </cell>
          <cell r="CG1295">
            <v>22.085252262534414</v>
          </cell>
          <cell r="CH1295">
            <v>18.555263085067214</v>
          </cell>
          <cell r="CI1295">
            <v>14.926604548033502</v>
          </cell>
          <cell r="CJ1295">
            <v>22.183921622100925</v>
          </cell>
          <cell r="CU1295">
            <v>10.608997147269156</v>
          </cell>
          <cell r="CV1295">
            <v>13.67289934744978</v>
          </cell>
          <cell r="CW1295">
            <v>11.062153668663059</v>
          </cell>
          <cell r="CX1295">
            <v>8.6510321273089765</v>
          </cell>
          <cell r="CY1295">
            <v>13.473275210017142</v>
          </cell>
        </row>
        <row r="1296">
          <cell r="A1296">
            <v>41352</v>
          </cell>
          <cell r="CF1296">
            <v>18.003047961810502</v>
          </cell>
          <cell r="CG1296">
            <v>22.085252262534414</v>
          </cell>
          <cell r="CH1296">
            <v>18.555263085067214</v>
          </cell>
          <cell r="CI1296">
            <v>14.926604548033502</v>
          </cell>
          <cell r="CJ1296">
            <v>22.183921622100925</v>
          </cell>
          <cell r="CU1296">
            <v>10.642077273814207</v>
          </cell>
          <cell r="CV1296">
            <v>13.67289934744978</v>
          </cell>
          <cell r="CW1296">
            <v>11.062153668663059</v>
          </cell>
          <cell r="CX1296">
            <v>8.6510321273089765</v>
          </cell>
          <cell r="CY1296">
            <v>13.473275210017142</v>
          </cell>
        </row>
        <row r="1297">
          <cell r="A1297">
            <v>41353</v>
          </cell>
          <cell r="CF1297">
            <v>18.175000674814431</v>
          </cell>
          <cell r="CG1297">
            <v>22.085252262534414</v>
          </cell>
          <cell r="CH1297">
            <v>18.555263085067214</v>
          </cell>
          <cell r="CI1297">
            <v>14.926604548033502</v>
          </cell>
          <cell r="CJ1297">
            <v>22.183921622100925</v>
          </cell>
          <cell r="CU1297">
            <v>10.733848539528012</v>
          </cell>
          <cell r="CV1297">
            <v>13.67289934744978</v>
          </cell>
          <cell r="CW1297">
            <v>11.062153668663059</v>
          </cell>
          <cell r="CX1297">
            <v>8.6510321273089765</v>
          </cell>
          <cell r="CY1297">
            <v>13.473275210017142</v>
          </cell>
        </row>
        <row r="1298">
          <cell r="A1298">
            <v>41354</v>
          </cell>
          <cell r="CF1298">
            <v>18.115016570443132</v>
          </cell>
          <cell r="CG1298">
            <v>22.085252262534414</v>
          </cell>
          <cell r="CH1298">
            <v>18.555263085067214</v>
          </cell>
          <cell r="CI1298">
            <v>14.926604548033502</v>
          </cell>
          <cell r="CJ1298">
            <v>22.183921622100925</v>
          </cell>
          <cell r="CU1298">
            <v>10.701834987169944</v>
          </cell>
          <cell r="CV1298">
            <v>13.67289934744978</v>
          </cell>
          <cell r="CW1298">
            <v>11.062153668663059</v>
          </cell>
          <cell r="CX1298">
            <v>8.6510321273089765</v>
          </cell>
          <cell r="CY1298">
            <v>13.473275210017142</v>
          </cell>
        </row>
        <row r="1299">
          <cell r="A1299">
            <v>41355</v>
          </cell>
          <cell r="CF1299">
            <v>18.111016870360654</v>
          </cell>
          <cell r="CG1299">
            <v>22.085252262534414</v>
          </cell>
          <cell r="CH1299">
            <v>18.555263085067214</v>
          </cell>
          <cell r="CI1299">
            <v>14.926604548033502</v>
          </cell>
          <cell r="CJ1299">
            <v>22.183921622100925</v>
          </cell>
          <cell r="CU1299">
            <v>10.699700344845132</v>
          </cell>
          <cell r="CV1299">
            <v>13.67289934744978</v>
          </cell>
          <cell r="CW1299">
            <v>11.062153668663059</v>
          </cell>
          <cell r="CX1299">
            <v>8.6510321273089765</v>
          </cell>
          <cell r="CY1299">
            <v>13.473275210017142</v>
          </cell>
        </row>
        <row r="1300">
          <cell r="A1300">
            <v>41358</v>
          </cell>
          <cell r="CF1300">
            <v>18.055032466071832</v>
          </cell>
          <cell r="CG1300">
            <v>22.085252262534414</v>
          </cell>
          <cell r="CH1300">
            <v>18.555263085067214</v>
          </cell>
          <cell r="CI1300">
            <v>14.926604548033502</v>
          </cell>
          <cell r="CJ1300">
            <v>22.183921622100925</v>
          </cell>
          <cell r="CU1300">
            <v>10.669821434811878</v>
          </cell>
          <cell r="CV1300">
            <v>13.67289934744978</v>
          </cell>
          <cell r="CW1300">
            <v>11.062153668663059</v>
          </cell>
          <cell r="CX1300">
            <v>8.6510321273089765</v>
          </cell>
          <cell r="CY1300">
            <v>13.473275210017142</v>
          </cell>
        </row>
        <row r="1301">
          <cell r="A1301">
            <v>41359</v>
          </cell>
          <cell r="CF1301">
            <v>18.22298867811352</v>
          </cell>
          <cell r="CG1301">
            <v>22.085252262534414</v>
          </cell>
          <cell r="CH1301">
            <v>18.555263085067214</v>
          </cell>
          <cell r="CI1301">
            <v>14.926604548033502</v>
          </cell>
          <cell r="CJ1301">
            <v>22.183921622100925</v>
          </cell>
          <cell r="CU1301">
            <v>10.759459765573252</v>
          </cell>
          <cell r="CV1301">
            <v>13.67289934744978</v>
          </cell>
          <cell r="CW1301">
            <v>11.062153668663059</v>
          </cell>
          <cell r="CX1301">
            <v>8.6510321273089765</v>
          </cell>
          <cell r="CY1301">
            <v>13.473275210017142</v>
          </cell>
        </row>
        <row r="1302">
          <cell r="A1302">
            <v>41360</v>
          </cell>
          <cell r="CF1302">
            <v>18.236983229611859</v>
          </cell>
          <cell r="CG1302">
            <v>22.085252262534414</v>
          </cell>
          <cell r="CH1302">
            <v>18.555263085067214</v>
          </cell>
          <cell r="CI1302">
            <v>14.926604548033502</v>
          </cell>
          <cell r="CJ1302">
            <v>22.183921622100925</v>
          </cell>
          <cell r="CU1302">
            <v>10.766928666073065</v>
          </cell>
          <cell r="CV1302">
            <v>13.67289934744978</v>
          </cell>
          <cell r="CW1302">
            <v>11.062153668663059</v>
          </cell>
          <cell r="CX1302">
            <v>8.6510321273089765</v>
          </cell>
          <cell r="CY1302">
            <v>13.473275210017142</v>
          </cell>
        </row>
        <row r="1303">
          <cell r="A1303">
            <v>41361</v>
          </cell>
          <cell r="CF1303">
            <v>18.507887700802108</v>
          </cell>
          <cell r="CG1303">
            <v>22.085252262534414</v>
          </cell>
          <cell r="CH1303">
            <v>18.555263085067214</v>
          </cell>
          <cell r="CI1303">
            <v>14.926604548033502</v>
          </cell>
          <cell r="CJ1303">
            <v>22.183921622100925</v>
          </cell>
          <cell r="CU1303">
            <v>10.913038213572683</v>
          </cell>
          <cell r="CV1303">
            <v>13.67289934744978</v>
          </cell>
          <cell r="CW1303">
            <v>11.062153668663059</v>
          </cell>
          <cell r="CX1303">
            <v>8.6510321273089765</v>
          </cell>
          <cell r="CY1303">
            <v>13.473275210017142</v>
          </cell>
        </row>
        <row r="1304">
          <cell r="A1304">
            <v>41362</v>
          </cell>
          <cell r="CF1304">
            <v>18.502541075946393</v>
          </cell>
          <cell r="CG1304">
            <v>22.085252262534414</v>
          </cell>
          <cell r="CH1304">
            <v>18.555263085067214</v>
          </cell>
          <cell r="CI1304">
            <v>14.926604548033502</v>
          </cell>
          <cell r="CJ1304">
            <v>22.183921622100925</v>
          </cell>
          <cell r="CU1304">
            <v>10.909472137084512</v>
          </cell>
          <cell r="CV1304">
            <v>13.67289934744978</v>
          </cell>
          <cell r="CW1304">
            <v>11.062153668663059</v>
          </cell>
          <cell r="CX1304">
            <v>8.6510321273089765</v>
          </cell>
          <cell r="CY1304">
            <v>13.473275210017142</v>
          </cell>
        </row>
        <row r="1305">
          <cell r="A1305">
            <v>41365</v>
          </cell>
          <cell r="CF1305">
            <v>18.225384362741121</v>
          </cell>
          <cell r="CG1305">
            <v>22.085252262534414</v>
          </cell>
          <cell r="CH1305">
            <v>18.555263085067214</v>
          </cell>
          <cell r="CI1305">
            <v>14.926604548033502</v>
          </cell>
          <cell r="CJ1305">
            <v>22.183921622100925</v>
          </cell>
          <cell r="CU1305">
            <v>10.78309907969418</v>
          </cell>
          <cell r="CV1305">
            <v>13.67289934744978</v>
          </cell>
          <cell r="CW1305">
            <v>11.062153668663059</v>
          </cell>
          <cell r="CX1305">
            <v>8.6510321273089765</v>
          </cell>
          <cell r="CY1305">
            <v>13.473275210017142</v>
          </cell>
        </row>
        <row r="1306">
          <cell r="A1306">
            <v>41366</v>
          </cell>
          <cell r="CF1306">
            <v>18.255121102763553</v>
          </cell>
          <cell r="CG1306">
            <v>22.085252262534414</v>
          </cell>
          <cell r="CH1306">
            <v>18.555263085067214</v>
          </cell>
          <cell r="CI1306">
            <v>14.926604548033502</v>
          </cell>
          <cell r="CJ1306">
            <v>22.183921622100925</v>
          </cell>
          <cell r="CU1306">
            <v>10.799015515967293</v>
          </cell>
          <cell r="CV1306">
            <v>13.67289934744978</v>
          </cell>
          <cell r="CW1306">
            <v>11.062153668663059</v>
          </cell>
          <cell r="CX1306">
            <v>8.6510321273089765</v>
          </cell>
          <cell r="CY1306">
            <v>13.473275210017142</v>
          </cell>
        </row>
        <row r="1307">
          <cell r="A1307">
            <v>41367</v>
          </cell>
          <cell r="CF1307">
            <v>18.048939512392277</v>
          </cell>
          <cell r="CG1307">
            <v>22.085252262534414</v>
          </cell>
          <cell r="CH1307">
            <v>18.555263085067214</v>
          </cell>
          <cell r="CI1307">
            <v>14.926604548033502</v>
          </cell>
          <cell r="CJ1307">
            <v>22.183921622100925</v>
          </cell>
          <cell r="CU1307">
            <v>10.688657886268887</v>
          </cell>
          <cell r="CV1307">
            <v>13.67289934744978</v>
          </cell>
          <cell r="CW1307">
            <v>11.062153668663059</v>
          </cell>
          <cell r="CX1307">
            <v>8.6510321273089765</v>
          </cell>
          <cell r="CY1307">
            <v>13.473275210017142</v>
          </cell>
        </row>
        <row r="1308">
          <cell r="A1308">
            <v>41368</v>
          </cell>
          <cell r="CF1308">
            <v>18.118329204168557</v>
          </cell>
          <cell r="CG1308">
            <v>22.085252262534414</v>
          </cell>
          <cell r="CH1308">
            <v>18.555263085067214</v>
          </cell>
          <cell r="CI1308">
            <v>14.926604548033502</v>
          </cell>
          <cell r="CJ1308">
            <v>22.183921622100925</v>
          </cell>
          <cell r="CU1308">
            <v>10.725798359849211</v>
          </cell>
          <cell r="CV1308">
            <v>13.67289934744978</v>
          </cell>
          <cell r="CW1308">
            <v>11.062153668663059</v>
          </cell>
          <cell r="CX1308">
            <v>8.6510321273089765</v>
          </cell>
          <cell r="CY1308">
            <v>13.473275210017142</v>
          </cell>
        </row>
        <row r="1309">
          <cell r="A1309">
            <v>41369</v>
          </cell>
          <cell r="CF1309">
            <v>17.929986604716643</v>
          </cell>
          <cell r="CG1309">
            <v>22.085252262534414</v>
          </cell>
          <cell r="CH1309">
            <v>18.555263085067214</v>
          </cell>
          <cell r="CI1309">
            <v>14.926604548033502</v>
          </cell>
          <cell r="CJ1309">
            <v>22.183921622100925</v>
          </cell>
          <cell r="CU1309">
            <v>10.62498895776185</v>
          </cell>
          <cell r="CV1309">
            <v>13.67289934744978</v>
          </cell>
          <cell r="CW1309">
            <v>11.062153668663059</v>
          </cell>
          <cell r="CX1309">
            <v>8.6510321273089765</v>
          </cell>
          <cell r="CY1309">
            <v>13.473275210017142</v>
          </cell>
        </row>
        <row r="1310">
          <cell r="A1310">
            <v>41372</v>
          </cell>
          <cell r="CF1310">
            <v>18.116344693003949</v>
          </cell>
          <cell r="CG1310">
            <v>22.085252262534414</v>
          </cell>
          <cell r="CH1310">
            <v>18.555263085067214</v>
          </cell>
          <cell r="CI1310">
            <v>14.926604548033502</v>
          </cell>
          <cell r="CJ1310">
            <v>22.183921622100925</v>
          </cell>
          <cell r="CU1310">
            <v>10.724736160513947</v>
          </cell>
          <cell r="CV1310">
            <v>13.67289934744978</v>
          </cell>
          <cell r="CW1310">
            <v>11.062153668663059</v>
          </cell>
          <cell r="CX1310">
            <v>8.6510321273089765</v>
          </cell>
          <cell r="CY1310">
            <v>13.473275210017142</v>
          </cell>
        </row>
        <row r="1311">
          <cell r="A1311">
            <v>41373</v>
          </cell>
          <cell r="CF1311">
            <v>17.999376296492919</v>
          </cell>
          <cell r="CG1311">
            <v>22.085252262534414</v>
          </cell>
          <cell r="CH1311">
            <v>18.555263085067214</v>
          </cell>
          <cell r="CI1311">
            <v>14.926604548033502</v>
          </cell>
          <cell r="CJ1311">
            <v>22.183921622100925</v>
          </cell>
          <cell r="CU1311">
            <v>10.662129431342169</v>
          </cell>
          <cell r="CV1311">
            <v>13.67289934744978</v>
          </cell>
          <cell r="CW1311">
            <v>11.062153668663059</v>
          </cell>
          <cell r="CX1311">
            <v>8.6510321273089765</v>
          </cell>
          <cell r="CY1311">
            <v>13.473275210017142</v>
          </cell>
        </row>
        <row r="1312">
          <cell r="A1312">
            <v>41374</v>
          </cell>
          <cell r="CF1312">
            <v>18.201595010373747</v>
          </cell>
          <cell r="CG1312">
            <v>22.085252262534414</v>
          </cell>
          <cell r="CH1312">
            <v>18.555263085067214</v>
          </cell>
          <cell r="CI1312">
            <v>14.926604548033502</v>
          </cell>
          <cell r="CJ1312">
            <v>22.183921622100925</v>
          </cell>
          <cell r="CU1312">
            <v>10.770365951898455</v>
          </cell>
          <cell r="CV1312">
            <v>13.67289934744978</v>
          </cell>
          <cell r="CW1312">
            <v>11.062153668663059</v>
          </cell>
          <cell r="CX1312">
            <v>8.6510321273089765</v>
          </cell>
          <cell r="CY1312">
            <v>13.473275210017142</v>
          </cell>
        </row>
        <row r="1313">
          <cell r="A1313">
            <v>41375</v>
          </cell>
          <cell r="CF1313">
            <v>18.306668829827519</v>
          </cell>
          <cell r="CG1313">
            <v>22.085252262534414</v>
          </cell>
          <cell r="CH1313">
            <v>18.555263085067214</v>
          </cell>
          <cell r="CI1313">
            <v>14.926604548033502</v>
          </cell>
          <cell r="CJ1313">
            <v>22.183921622100925</v>
          </cell>
          <cell r="CU1313">
            <v>10.826606170229278</v>
          </cell>
          <cell r="CV1313">
            <v>13.67289934744978</v>
          </cell>
          <cell r="CW1313">
            <v>11.062153668663059</v>
          </cell>
          <cell r="CX1313">
            <v>8.6510321273089765</v>
          </cell>
          <cell r="CY1313">
            <v>13.473275210017142</v>
          </cell>
        </row>
        <row r="1314">
          <cell r="A1314">
            <v>41376</v>
          </cell>
          <cell r="CF1314">
            <v>18.221418512457717</v>
          </cell>
          <cell r="CG1314">
            <v>22.085252262534414</v>
          </cell>
          <cell r="CH1314">
            <v>18.555263085067214</v>
          </cell>
          <cell r="CI1314">
            <v>14.926604548033502</v>
          </cell>
          <cell r="CJ1314">
            <v>22.183921622100925</v>
          </cell>
          <cell r="CU1314">
            <v>10.780976378844766</v>
          </cell>
          <cell r="CV1314">
            <v>13.67289934744978</v>
          </cell>
          <cell r="CW1314">
            <v>11.062153668663059</v>
          </cell>
          <cell r="CX1314">
            <v>8.6510321273089765</v>
          </cell>
          <cell r="CY1314">
            <v>13.473275210017142</v>
          </cell>
        </row>
        <row r="1315">
          <cell r="A1315">
            <v>41379</v>
          </cell>
          <cell r="CF1315">
            <v>17.844739261139797</v>
          </cell>
          <cell r="CG1315">
            <v>22.085252262534414</v>
          </cell>
          <cell r="CH1315">
            <v>18.555263085067214</v>
          </cell>
          <cell r="CI1315">
            <v>14.926604548033502</v>
          </cell>
          <cell r="CJ1315">
            <v>22.183921622100925</v>
          </cell>
          <cell r="CU1315">
            <v>10.579454741558067</v>
          </cell>
          <cell r="CV1315">
            <v>13.67289934744978</v>
          </cell>
          <cell r="CW1315">
            <v>11.062153668663059</v>
          </cell>
          <cell r="CX1315">
            <v>8.6510321273089765</v>
          </cell>
          <cell r="CY1315">
            <v>13.473275210017142</v>
          </cell>
        </row>
        <row r="1316">
          <cell r="A1316">
            <v>41380</v>
          </cell>
          <cell r="CF1316">
            <v>18.094536878008231</v>
          </cell>
          <cell r="CG1316">
            <v>22.085252262534414</v>
          </cell>
          <cell r="CH1316">
            <v>18.555263085067214</v>
          </cell>
          <cell r="CI1316">
            <v>14.926604548033502</v>
          </cell>
          <cell r="CJ1316">
            <v>22.183921622100925</v>
          </cell>
          <cell r="CU1316">
            <v>10.713158811590942</v>
          </cell>
          <cell r="CV1316">
            <v>13.67289934744978</v>
          </cell>
          <cell r="CW1316">
            <v>11.062153668663059</v>
          </cell>
          <cell r="CX1316">
            <v>8.6510321273089765</v>
          </cell>
          <cell r="CY1316">
            <v>13.473275210017142</v>
          </cell>
        </row>
        <row r="1317">
          <cell r="A1317">
            <v>41381</v>
          </cell>
          <cell r="CF1317">
            <v>17.925044341427462</v>
          </cell>
          <cell r="CG1317">
            <v>22.085252262534414</v>
          </cell>
          <cell r="CH1317">
            <v>18.555263085067214</v>
          </cell>
          <cell r="CI1317">
            <v>14.926604548033502</v>
          </cell>
          <cell r="CJ1317">
            <v>22.183921622100925</v>
          </cell>
          <cell r="CU1317">
            <v>10.617046715708421</v>
          </cell>
          <cell r="CV1317">
            <v>13.67289934744978</v>
          </cell>
          <cell r="CW1317">
            <v>11.062153668663059</v>
          </cell>
          <cell r="CX1317">
            <v>8.6510321273089765</v>
          </cell>
          <cell r="CY1317">
            <v>13.473275210017142</v>
          </cell>
        </row>
        <row r="1318">
          <cell r="A1318">
            <v>41382</v>
          </cell>
          <cell r="CF1318">
            <v>17.881397102102795</v>
          </cell>
          <cell r="CG1318">
            <v>22.085252262534414</v>
          </cell>
          <cell r="CH1318">
            <v>18.555263085067214</v>
          </cell>
          <cell r="CI1318">
            <v>14.926604548033502</v>
          </cell>
          <cell r="CJ1318">
            <v>22.183921622100925</v>
          </cell>
          <cell r="CU1318">
            <v>10.593698033691339</v>
          </cell>
          <cell r="CV1318">
            <v>13.67289934744978</v>
          </cell>
          <cell r="CW1318">
            <v>11.062153668663059</v>
          </cell>
          <cell r="CX1318">
            <v>8.6510321273089765</v>
          </cell>
          <cell r="CY1318">
            <v>13.473275210017142</v>
          </cell>
        </row>
        <row r="1319">
          <cell r="A1319">
            <v>41383</v>
          </cell>
          <cell r="CF1319">
            <v>18.143280736446428</v>
          </cell>
          <cell r="CG1319">
            <v>22.085252262534414</v>
          </cell>
          <cell r="CH1319">
            <v>18.555263085067214</v>
          </cell>
          <cell r="CI1319">
            <v>14.926604548033502</v>
          </cell>
          <cell r="CJ1319">
            <v>22.183921622100925</v>
          </cell>
          <cell r="CU1319">
            <v>10.733790231923727</v>
          </cell>
          <cell r="CV1319">
            <v>13.67289934744978</v>
          </cell>
          <cell r="CW1319">
            <v>11.062153668663059</v>
          </cell>
          <cell r="CX1319">
            <v>8.6510321273089765</v>
          </cell>
          <cell r="CY1319">
            <v>13.473275210017142</v>
          </cell>
        </row>
        <row r="1320">
          <cell r="A1320">
            <v>41386</v>
          </cell>
          <cell r="CF1320">
            <v>17.998449736466256</v>
          </cell>
          <cell r="CG1320">
            <v>22.085252262534414</v>
          </cell>
          <cell r="CH1320">
            <v>18.555263085067214</v>
          </cell>
          <cell r="CI1320">
            <v>14.926604548033502</v>
          </cell>
          <cell r="CJ1320">
            <v>22.183921622100925</v>
          </cell>
          <cell r="CU1320">
            <v>10.656314244505614</v>
          </cell>
          <cell r="CV1320">
            <v>13.67289934744978</v>
          </cell>
          <cell r="CW1320">
            <v>11.062153668663059</v>
          </cell>
          <cell r="CX1320">
            <v>8.6510321273089765</v>
          </cell>
          <cell r="CY1320">
            <v>13.473275210017142</v>
          </cell>
        </row>
        <row r="1321">
          <cell r="A1321">
            <v>41387</v>
          </cell>
          <cell r="CF1321">
            <v>17.817912084280245</v>
          </cell>
          <cell r="CG1321">
            <v>22.085252262534414</v>
          </cell>
          <cell r="CH1321">
            <v>18.555263085067214</v>
          </cell>
          <cell r="CI1321">
            <v>14.926604548033502</v>
          </cell>
          <cell r="CJ1321">
            <v>22.183921622100925</v>
          </cell>
          <cell r="CU1321">
            <v>10.559737317803634</v>
          </cell>
          <cell r="CV1321">
            <v>13.67289934744978</v>
          </cell>
          <cell r="CW1321">
            <v>11.062153668663059</v>
          </cell>
          <cell r="CX1321">
            <v>8.6510321273089765</v>
          </cell>
          <cell r="CY1321">
            <v>13.473275210017142</v>
          </cell>
        </row>
        <row r="1322">
          <cell r="A1322">
            <v>41388</v>
          </cell>
          <cell r="CF1322">
            <v>17.782199281809557</v>
          </cell>
          <cell r="CG1322">
            <v>22.085252262534414</v>
          </cell>
          <cell r="CH1322">
            <v>18.555263085067214</v>
          </cell>
          <cell r="CI1322">
            <v>14.926604548033502</v>
          </cell>
          <cell r="CJ1322">
            <v>22.183921622100925</v>
          </cell>
          <cell r="CU1322">
            <v>10.540633088493173</v>
          </cell>
          <cell r="CV1322">
            <v>13.67289934744978</v>
          </cell>
          <cell r="CW1322">
            <v>11.062153668663059</v>
          </cell>
          <cell r="CX1322">
            <v>8.6510321273089765</v>
          </cell>
          <cell r="CY1322">
            <v>13.473275210017142</v>
          </cell>
        </row>
        <row r="1323">
          <cell r="A1323">
            <v>41389</v>
          </cell>
          <cell r="CF1323">
            <v>17.825846521134224</v>
          </cell>
          <cell r="CG1323">
            <v>22.085252262534414</v>
          </cell>
          <cell r="CH1323">
            <v>18.555263085067214</v>
          </cell>
          <cell r="CI1323">
            <v>14.926604548033502</v>
          </cell>
          <cell r="CJ1323">
            <v>22.183921622100925</v>
          </cell>
          <cell r="CU1323">
            <v>10.563981770510255</v>
          </cell>
          <cell r="CV1323">
            <v>13.67289934744978</v>
          </cell>
          <cell r="CW1323">
            <v>11.062153668663059</v>
          </cell>
          <cell r="CX1323">
            <v>8.6510321273089765</v>
          </cell>
          <cell r="CY1323">
            <v>13.473275210017142</v>
          </cell>
        </row>
        <row r="1324">
          <cell r="A1324">
            <v>41390</v>
          </cell>
          <cell r="CF1324">
            <v>17.80600874263634</v>
          </cell>
          <cell r="CG1324">
            <v>22.085252262534414</v>
          </cell>
          <cell r="CH1324">
            <v>18.555263085067214</v>
          </cell>
          <cell r="CI1324">
            <v>14.926604548033502</v>
          </cell>
          <cell r="CJ1324">
            <v>22.183921622100925</v>
          </cell>
          <cell r="CU1324">
            <v>10.502996201088001</v>
          </cell>
          <cell r="CV1324">
            <v>13.67289934744978</v>
          </cell>
          <cell r="CW1324">
            <v>11.062153668663059</v>
          </cell>
          <cell r="CX1324">
            <v>8.6510321273089765</v>
          </cell>
          <cell r="CY1324">
            <v>13.473275210017142</v>
          </cell>
        </row>
        <row r="1325">
          <cell r="A1325">
            <v>41393</v>
          </cell>
          <cell r="CF1325">
            <v>17.843701533600083</v>
          </cell>
          <cell r="CG1325">
            <v>22.085252262534414</v>
          </cell>
          <cell r="CH1325">
            <v>18.555263085067214</v>
          </cell>
          <cell r="CI1325">
            <v>14.926604548033502</v>
          </cell>
          <cell r="CJ1325">
            <v>22.183921622100925</v>
          </cell>
          <cell r="CU1325">
            <v>10.523052973085983</v>
          </cell>
          <cell r="CV1325">
            <v>13.67289934744978</v>
          </cell>
          <cell r="CW1325">
            <v>11.062153668663059</v>
          </cell>
          <cell r="CX1325">
            <v>8.6510321273089765</v>
          </cell>
          <cell r="CY1325">
            <v>13.473275210017142</v>
          </cell>
        </row>
        <row r="1326">
          <cell r="A1326">
            <v>41394</v>
          </cell>
          <cell r="CF1326">
            <v>17.934964718643709</v>
          </cell>
          <cell r="CG1326">
            <v>22.085252262534414</v>
          </cell>
          <cell r="CH1326">
            <v>18.555263085067214</v>
          </cell>
          <cell r="CI1326">
            <v>14.926604548033502</v>
          </cell>
          <cell r="CJ1326">
            <v>22.183921622100925</v>
          </cell>
          <cell r="CU1326">
            <v>10.571615174170814</v>
          </cell>
          <cell r="CV1326">
            <v>13.67289934744978</v>
          </cell>
          <cell r="CW1326">
            <v>11.062153668663059</v>
          </cell>
          <cell r="CX1326">
            <v>8.6510321273089765</v>
          </cell>
          <cell r="CY1326">
            <v>13.473275210017142</v>
          </cell>
        </row>
        <row r="1327">
          <cell r="A1327">
            <v>41395</v>
          </cell>
          <cell r="CF1327">
            <v>17.605532792765501</v>
          </cell>
          <cell r="CG1327">
            <v>22.085252262534414</v>
          </cell>
          <cell r="CH1327">
            <v>18.555263085067214</v>
          </cell>
          <cell r="CI1327">
            <v>14.926604548033502</v>
          </cell>
          <cell r="CJ1327">
            <v>22.183921622100925</v>
          </cell>
          <cell r="CU1327">
            <v>10.418122353291873</v>
          </cell>
          <cell r="CV1327">
            <v>13.67289934744978</v>
          </cell>
          <cell r="CW1327">
            <v>11.062153668663059</v>
          </cell>
          <cell r="CX1327">
            <v>8.6510321273089765</v>
          </cell>
          <cell r="CY1327">
            <v>13.473275210017142</v>
          </cell>
        </row>
        <row r="1328">
          <cell r="A1328">
            <v>41396</v>
          </cell>
          <cell r="CF1328">
            <v>17.717656038052059</v>
          </cell>
          <cell r="CG1328">
            <v>22.085252262534414</v>
          </cell>
          <cell r="CH1328">
            <v>18.555263085067214</v>
          </cell>
          <cell r="CI1328">
            <v>14.926604548033502</v>
          </cell>
          <cell r="CJ1328">
            <v>22.183921622100925</v>
          </cell>
          <cell r="CU1328">
            <v>10.477959835586963</v>
          </cell>
          <cell r="CV1328">
            <v>13.67289934744978</v>
          </cell>
          <cell r="CW1328">
            <v>11.062153668663059</v>
          </cell>
          <cell r="CX1328">
            <v>8.6510321273089765</v>
          </cell>
          <cell r="CY1328">
            <v>13.473275210017142</v>
          </cell>
        </row>
        <row r="1329">
          <cell r="A1329">
            <v>41397</v>
          </cell>
          <cell r="CF1329">
            <v>17.845516072427124</v>
          </cell>
          <cell r="CG1329">
            <v>22.085252262534414</v>
          </cell>
          <cell r="CH1329">
            <v>18.555263085067214</v>
          </cell>
          <cell r="CI1329">
            <v>14.926604548033502</v>
          </cell>
          <cell r="CJ1329">
            <v>22.183921622100925</v>
          </cell>
          <cell r="CU1329">
            <v>10.546195664148776</v>
          </cell>
          <cell r="CV1329">
            <v>13.67289934744978</v>
          </cell>
          <cell r="CW1329">
            <v>11.062153668663059</v>
          </cell>
          <cell r="CX1329">
            <v>8.6510321273089765</v>
          </cell>
          <cell r="CY1329">
            <v>13.473275210017142</v>
          </cell>
        </row>
        <row r="1330">
          <cell r="A1330">
            <v>41400</v>
          </cell>
          <cell r="CF1330">
            <v>17.926167903345167</v>
          </cell>
          <cell r="CG1330">
            <v>22.085252262534414</v>
          </cell>
          <cell r="CH1330">
            <v>18.555263085067214</v>
          </cell>
          <cell r="CI1330">
            <v>14.926604548033502</v>
          </cell>
          <cell r="CJ1330">
            <v>22.183921622100925</v>
          </cell>
          <cell r="CU1330">
            <v>10.589237608683041</v>
          </cell>
          <cell r="CV1330">
            <v>13.67289934744978</v>
          </cell>
          <cell r="CW1330">
            <v>11.062153668663059</v>
          </cell>
          <cell r="CX1330">
            <v>8.6510321273089765</v>
          </cell>
          <cell r="CY1330">
            <v>13.473275210017142</v>
          </cell>
        </row>
        <row r="1331">
          <cell r="A1331">
            <v>41401</v>
          </cell>
          <cell r="CF1331">
            <v>18.082737535163698</v>
          </cell>
          <cell r="CG1331">
            <v>22.085252262534414</v>
          </cell>
          <cell r="CH1331">
            <v>18.555263085067214</v>
          </cell>
          <cell r="CI1331">
            <v>14.926604548033502</v>
          </cell>
          <cell r="CJ1331">
            <v>22.183921622100925</v>
          </cell>
          <cell r="CU1331">
            <v>10.858492955772487</v>
          </cell>
          <cell r="CV1331">
            <v>13.67289934744978</v>
          </cell>
          <cell r="CW1331">
            <v>11.062153668663059</v>
          </cell>
          <cell r="CX1331">
            <v>8.6510321273089765</v>
          </cell>
          <cell r="CY1331">
            <v>13.473275210017142</v>
          </cell>
        </row>
        <row r="1332">
          <cell r="A1332">
            <v>41402</v>
          </cell>
          <cell r="CF1332">
            <v>18.321581163384245</v>
          </cell>
          <cell r="CG1332">
            <v>22.085252262534414</v>
          </cell>
          <cell r="CH1332">
            <v>18.555263085067214</v>
          </cell>
          <cell r="CI1332">
            <v>14.926604548033502</v>
          </cell>
          <cell r="CJ1332">
            <v>22.183921622100925</v>
          </cell>
          <cell r="CU1332">
            <v>10.980794651811465</v>
          </cell>
          <cell r="CV1332">
            <v>13.67289934744978</v>
          </cell>
          <cell r="CW1332">
            <v>11.062153668663059</v>
          </cell>
          <cell r="CX1332">
            <v>8.6510321273089765</v>
          </cell>
          <cell r="CY1332">
            <v>13.473275210017142</v>
          </cell>
        </row>
        <row r="1333">
          <cell r="A1333">
            <v>41403</v>
          </cell>
          <cell r="CF1333">
            <v>18.366862599788892</v>
          </cell>
          <cell r="CG1333">
            <v>22.085252262534414</v>
          </cell>
          <cell r="CH1333">
            <v>18.555263085067214</v>
          </cell>
          <cell r="CI1333">
            <v>14.926604548033502</v>
          </cell>
          <cell r="CJ1333">
            <v>22.183921622100925</v>
          </cell>
          <cell r="CU1333">
            <v>11.021638512981655</v>
          </cell>
          <cell r="CV1333">
            <v>13.67289934744978</v>
          </cell>
          <cell r="CW1333">
            <v>11.062153668663059</v>
          </cell>
          <cell r="CX1333">
            <v>8.6510321273089765</v>
          </cell>
          <cell r="CY1333">
            <v>13.473275210017142</v>
          </cell>
        </row>
        <row r="1334">
          <cell r="A1334">
            <v>41404</v>
          </cell>
          <cell r="CF1334">
            <v>18.585398550019161</v>
          </cell>
          <cell r="CG1334">
            <v>22.085252262534414</v>
          </cell>
          <cell r="CH1334">
            <v>18.555263085067214</v>
          </cell>
          <cell r="CI1334">
            <v>14.926604548033502</v>
          </cell>
          <cell r="CJ1334">
            <v>22.183921622100925</v>
          </cell>
          <cell r="CU1334">
            <v>11.138070271173396</v>
          </cell>
          <cell r="CV1334">
            <v>13.67289934744978</v>
          </cell>
          <cell r="CW1334">
            <v>11.062153668663059</v>
          </cell>
          <cell r="CX1334">
            <v>8.6510321273089765</v>
          </cell>
          <cell r="CY1334">
            <v>13.473275210017142</v>
          </cell>
        </row>
        <row r="1335">
          <cell r="A1335">
            <v>41407</v>
          </cell>
          <cell r="CF1335">
            <v>18.653358708799114</v>
          </cell>
          <cell r="CG1335">
            <v>22.085252262534414</v>
          </cell>
          <cell r="CH1335">
            <v>18.555263085067214</v>
          </cell>
          <cell r="CI1335">
            <v>14.926604548033502</v>
          </cell>
          <cell r="CJ1335">
            <v>22.183921622100925</v>
          </cell>
          <cell r="CU1335">
            <v>11.176880437663408</v>
          </cell>
          <cell r="CV1335">
            <v>13.67289934744978</v>
          </cell>
          <cell r="CW1335">
            <v>11.062153668663059</v>
          </cell>
          <cell r="CX1335">
            <v>8.6510321273089765</v>
          </cell>
          <cell r="CY1335">
            <v>13.473275210017142</v>
          </cell>
        </row>
        <row r="1336">
          <cell r="A1336">
            <v>41408</v>
          </cell>
          <cell r="CF1336">
            <v>18.779328236919486</v>
          </cell>
          <cell r="CG1336">
            <v>22.085252262534414</v>
          </cell>
          <cell r="CH1336">
            <v>18.555263085067214</v>
          </cell>
          <cell r="CI1336">
            <v>14.926604548033502</v>
          </cell>
          <cell r="CJ1336">
            <v>22.183921622100925</v>
          </cell>
          <cell r="CU1336">
            <v>11.259455252259494</v>
          </cell>
          <cell r="CV1336">
            <v>13.67289934744978</v>
          </cell>
          <cell r="CW1336">
            <v>11.062153668663059</v>
          </cell>
          <cell r="CX1336">
            <v>8.6510321273089765</v>
          </cell>
          <cell r="CY1336">
            <v>13.473275210017142</v>
          </cell>
        </row>
        <row r="1337">
          <cell r="A1337">
            <v>41409</v>
          </cell>
          <cell r="CF1337">
            <v>18.891521400995231</v>
          </cell>
          <cell r="CG1337">
            <v>22.085252262534414</v>
          </cell>
          <cell r="CH1337">
            <v>18.555263085067214</v>
          </cell>
          <cell r="CI1337">
            <v>14.926604548033502</v>
          </cell>
          <cell r="CJ1337">
            <v>22.183921622100925</v>
          </cell>
          <cell r="CU1337">
            <v>11.31932738637849</v>
          </cell>
          <cell r="CV1337">
            <v>13.67289934744978</v>
          </cell>
          <cell r="CW1337">
            <v>11.062153668663059</v>
          </cell>
          <cell r="CX1337">
            <v>8.6510321273089765</v>
          </cell>
          <cell r="CY1337">
            <v>13.473275210017142</v>
          </cell>
        </row>
        <row r="1338">
          <cell r="A1338">
            <v>41410</v>
          </cell>
          <cell r="CF1338">
            <v>18.767518968860998</v>
          </cell>
          <cell r="CG1338">
            <v>22.085252262534414</v>
          </cell>
          <cell r="CH1338">
            <v>18.555263085067214</v>
          </cell>
          <cell r="CI1338">
            <v>14.926604548033502</v>
          </cell>
          <cell r="CJ1338">
            <v>22.183921622100925</v>
          </cell>
          <cell r="CU1338">
            <v>11.253153209823401</v>
          </cell>
          <cell r="CV1338">
            <v>13.67289934744978</v>
          </cell>
          <cell r="CW1338">
            <v>11.062153668663059</v>
          </cell>
          <cell r="CX1338">
            <v>8.6510321273089765</v>
          </cell>
          <cell r="CY1338">
            <v>13.473275210017142</v>
          </cell>
        </row>
        <row r="1339">
          <cell r="A1339">
            <v>41411</v>
          </cell>
          <cell r="CF1339">
            <v>18.773423602890244</v>
          </cell>
          <cell r="CG1339">
            <v>22.085252262534414</v>
          </cell>
          <cell r="CH1339">
            <v>18.555263085067214</v>
          </cell>
          <cell r="CI1339">
            <v>14.926604548033502</v>
          </cell>
          <cell r="CJ1339">
            <v>22.183921622100925</v>
          </cell>
          <cell r="CU1339">
            <v>11.256304231041451</v>
          </cell>
          <cell r="CV1339">
            <v>13.67289934744978</v>
          </cell>
          <cell r="CW1339">
            <v>11.062153668663059</v>
          </cell>
          <cell r="CX1339">
            <v>8.6510321273089765</v>
          </cell>
          <cell r="CY1339">
            <v>13.473275210017142</v>
          </cell>
        </row>
        <row r="1340">
          <cell r="A1340">
            <v>41414</v>
          </cell>
          <cell r="CF1340">
            <v>18.757676993616343</v>
          </cell>
          <cell r="CG1340">
            <v>22.085252262534414</v>
          </cell>
          <cell r="CH1340">
            <v>18.555263085067214</v>
          </cell>
          <cell r="CI1340">
            <v>14.926604548033502</v>
          </cell>
          <cell r="CJ1340">
            <v>22.183921622100925</v>
          </cell>
          <cell r="CU1340">
            <v>11.247901017618124</v>
          </cell>
          <cell r="CV1340">
            <v>13.67289934744978</v>
          </cell>
          <cell r="CW1340">
            <v>11.062153668663059</v>
          </cell>
          <cell r="CX1340">
            <v>8.6510321273089765</v>
          </cell>
          <cell r="CY1340">
            <v>13.473275210017142</v>
          </cell>
        </row>
        <row r="1341">
          <cell r="A1341">
            <v>41415</v>
          </cell>
          <cell r="CF1341">
            <v>18.924981715529171</v>
          </cell>
          <cell r="CG1341">
            <v>22.085252262534414</v>
          </cell>
          <cell r="CH1341">
            <v>18.555263085067214</v>
          </cell>
          <cell r="CI1341">
            <v>14.926604548033502</v>
          </cell>
          <cell r="CJ1341">
            <v>22.183921622100925</v>
          </cell>
          <cell r="CU1341">
            <v>11.337183558418413</v>
          </cell>
          <cell r="CV1341">
            <v>13.67289934744978</v>
          </cell>
          <cell r="CW1341">
            <v>11.062153668663059</v>
          </cell>
          <cell r="CX1341">
            <v>8.6510321273089765</v>
          </cell>
          <cell r="CY1341">
            <v>13.473275210017142</v>
          </cell>
        </row>
        <row r="1342">
          <cell r="A1342">
            <v>41416</v>
          </cell>
          <cell r="CF1342">
            <v>18.761614531659447</v>
          </cell>
          <cell r="CG1342">
            <v>22.085252262534414</v>
          </cell>
          <cell r="CH1342">
            <v>18.555263085067214</v>
          </cell>
          <cell r="CI1342">
            <v>14.926604548033502</v>
          </cell>
          <cell r="CJ1342">
            <v>22.183921622100925</v>
          </cell>
          <cell r="CU1342">
            <v>11.250002293642895</v>
          </cell>
          <cell r="CV1342">
            <v>13.67289934744978</v>
          </cell>
          <cell r="CW1342">
            <v>11.062153668663059</v>
          </cell>
          <cell r="CX1342">
            <v>8.6510321273089765</v>
          </cell>
          <cell r="CY1342">
            <v>13.473275210017142</v>
          </cell>
        </row>
        <row r="1343">
          <cell r="A1343">
            <v>41417</v>
          </cell>
          <cell r="CF1343">
            <v>18.834439794756573</v>
          </cell>
          <cell r="CG1343">
            <v>22.085252262534414</v>
          </cell>
          <cell r="CH1343">
            <v>18.555263085067214</v>
          </cell>
          <cell r="CI1343">
            <v>14.926604548033502</v>
          </cell>
          <cell r="CJ1343">
            <v>22.183921622100925</v>
          </cell>
          <cell r="CU1343">
            <v>11.288865658940789</v>
          </cell>
          <cell r="CV1343">
            <v>13.67289934744978</v>
          </cell>
          <cell r="CW1343">
            <v>11.062153668663059</v>
          </cell>
          <cell r="CX1343">
            <v>8.6510321273089765</v>
          </cell>
          <cell r="CY1343">
            <v>13.473275210017142</v>
          </cell>
        </row>
        <row r="1344">
          <cell r="A1344">
            <v>41418</v>
          </cell>
          <cell r="CF1344">
            <v>18.720279337866994</v>
          </cell>
          <cell r="CG1344">
            <v>22.085252262534414</v>
          </cell>
          <cell r="CH1344">
            <v>18.555263085067214</v>
          </cell>
          <cell r="CI1344">
            <v>14.926604548033502</v>
          </cell>
          <cell r="CJ1344">
            <v>22.183921622100925</v>
          </cell>
          <cell r="CU1344">
            <v>11.227943674590977</v>
          </cell>
          <cell r="CV1344">
            <v>13.67289934744978</v>
          </cell>
          <cell r="CW1344">
            <v>11.062153668663059</v>
          </cell>
          <cell r="CX1344">
            <v>8.6510321273089765</v>
          </cell>
          <cell r="CY1344">
            <v>13.473275210017142</v>
          </cell>
        </row>
        <row r="1345">
          <cell r="A1345">
            <v>41421</v>
          </cell>
          <cell r="CF1345">
            <v>18.720279337866994</v>
          </cell>
          <cell r="CG1345">
            <v>22.085252262534414</v>
          </cell>
          <cell r="CH1345">
            <v>18.555263085067214</v>
          </cell>
          <cell r="CI1345">
            <v>14.926604548033502</v>
          </cell>
          <cell r="CJ1345">
            <v>22.183921622100925</v>
          </cell>
          <cell r="CU1345">
            <v>11.227943674590977</v>
          </cell>
          <cell r="CV1345">
            <v>13.67289934744978</v>
          </cell>
          <cell r="CW1345">
            <v>11.062153668663059</v>
          </cell>
          <cell r="CX1345">
            <v>8.6510321273089765</v>
          </cell>
          <cell r="CY1345">
            <v>13.473275210017142</v>
          </cell>
        </row>
        <row r="1346">
          <cell r="A1346">
            <v>41422</v>
          </cell>
          <cell r="CF1346">
            <v>18.993872589826317</v>
          </cell>
          <cell r="CG1346">
            <v>22.085252262534414</v>
          </cell>
          <cell r="CH1346">
            <v>18.555263085067214</v>
          </cell>
          <cell r="CI1346">
            <v>14.926604548033502</v>
          </cell>
          <cell r="CJ1346">
            <v>22.183921622100925</v>
          </cell>
          <cell r="CU1346">
            <v>11.373947328292209</v>
          </cell>
          <cell r="CV1346">
            <v>13.67289934744978</v>
          </cell>
          <cell r="CW1346">
            <v>11.062153668663059</v>
          </cell>
          <cell r="CX1346">
            <v>8.6510321273089765</v>
          </cell>
          <cell r="CY1346">
            <v>13.473275210017142</v>
          </cell>
        </row>
        <row r="1347">
          <cell r="A1347">
            <v>41423</v>
          </cell>
          <cell r="CF1347">
            <v>18.743900629571709</v>
          </cell>
          <cell r="CG1347">
            <v>22.085252262534414</v>
          </cell>
          <cell r="CH1347">
            <v>18.555263085067214</v>
          </cell>
          <cell r="CI1347">
            <v>14.926604548033502</v>
          </cell>
          <cell r="CJ1347">
            <v>22.183921622100925</v>
          </cell>
          <cell r="CU1347">
            <v>11.240549229988753</v>
          </cell>
          <cell r="CV1347">
            <v>13.67289934744978</v>
          </cell>
          <cell r="CW1347">
            <v>11.062153668663059</v>
          </cell>
          <cell r="CX1347">
            <v>8.6510321273089765</v>
          </cell>
          <cell r="CY1347">
            <v>13.473275210017142</v>
          </cell>
        </row>
        <row r="1348">
          <cell r="A1348">
            <v>41424</v>
          </cell>
          <cell r="CF1348">
            <v>18.938758079573805</v>
          </cell>
          <cell r="CG1348">
            <v>22.085252262534414</v>
          </cell>
          <cell r="CH1348">
            <v>18.555263085067214</v>
          </cell>
          <cell r="CI1348">
            <v>14.926604548033502</v>
          </cell>
          <cell r="CJ1348">
            <v>22.183921622100925</v>
          </cell>
          <cell r="CU1348">
            <v>11.344535346047786</v>
          </cell>
          <cell r="CV1348">
            <v>13.67289934744978</v>
          </cell>
          <cell r="CW1348">
            <v>11.062153668663059</v>
          </cell>
          <cell r="CX1348">
            <v>8.6510321273089765</v>
          </cell>
          <cell r="CY1348">
            <v>13.473275210017142</v>
          </cell>
        </row>
        <row r="1349">
          <cell r="A1349">
            <v>41425</v>
          </cell>
          <cell r="CF1349">
            <v>18.95253759286156</v>
          </cell>
          <cell r="CG1349">
            <v>22.085252262534414</v>
          </cell>
          <cell r="CH1349">
            <v>18.555263085067214</v>
          </cell>
          <cell r="CI1349">
            <v>14.926604548033502</v>
          </cell>
          <cell r="CJ1349">
            <v>22.183921622100925</v>
          </cell>
          <cell r="CU1349">
            <v>11.351888814277832</v>
          </cell>
          <cell r="CV1349">
            <v>13.67289934744978</v>
          </cell>
          <cell r="CW1349">
            <v>11.062153668663059</v>
          </cell>
          <cell r="CX1349">
            <v>8.6510321273089765</v>
          </cell>
          <cell r="CY1349">
            <v>13.473275210017142</v>
          </cell>
        </row>
        <row r="1350">
          <cell r="A1350">
            <v>41428</v>
          </cell>
          <cell r="CF1350">
            <v>18.793486875294565</v>
          </cell>
          <cell r="CG1350">
            <v>22.085252262534414</v>
          </cell>
          <cell r="CH1350">
            <v>18.555263085067214</v>
          </cell>
          <cell r="CI1350">
            <v>14.926604548033502</v>
          </cell>
          <cell r="CJ1350">
            <v>22.183921622100925</v>
          </cell>
          <cell r="CU1350">
            <v>11.292806248521915</v>
          </cell>
          <cell r="CV1350">
            <v>13.67289934744978</v>
          </cell>
          <cell r="CW1350">
            <v>11.062153668663059</v>
          </cell>
          <cell r="CX1350">
            <v>8.6510321273089765</v>
          </cell>
          <cell r="CY1350">
            <v>13.473275210017142</v>
          </cell>
        </row>
        <row r="1351">
          <cell r="A1351">
            <v>41429</v>
          </cell>
          <cell r="CF1351">
            <v>18.6881041896991</v>
          </cell>
          <cell r="CG1351">
            <v>22.085252262534414</v>
          </cell>
          <cell r="CH1351">
            <v>18.555263085067214</v>
          </cell>
          <cell r="CI1351">
            <v>14.926604548033502</v>
          </cell>
          <cell r="CJ1351">
            <v>22.183921622100925</v>
          </cell>
          <cell r="CU1351">
            <v>11.236387133567098</v>
          </cell>
          <cell r="CV1351">
            <v>13.67289934744978</v>
          </cell>
          <cell r="CW1351">
            <v>11.062153668663059</v>
          </cell>
          <cell r="CX1351">
            <v>8.6510321273089765</v>
          </cell>
          <cell r="CY1351">
            <v>13.473275210017142</v>
          </cell>
        </row>
        <row r="1352">
          <cell r="A1352">
            <v>41430</v>
          </cell>
          <cell r="CF1352">
            <v>18.336823431948737</v>
          </cell>
          <cell r="CG1352">
            <v>22.085252262534414</v>
          </cell>
          <cell r="CH1352">
            <v>18.555263085067214</v>
          </cell>
          <cell r="CI1352">
            <v>14.926604548033502</v>
          </cell>
          <cell r="CJ1352">
            <v>22.183921622100925</v>
          </cell>
          <cell r="CU1352">
            <v>11.048320665712856</v>
          </cell>
          <cell r="CV1352">
            <v>13.67289934744978</v>
          </cell>
          <cell r="CW1352">
            <v>11.062153668663059</v>
          </cell>
          <cell r="CX1352">
            <v>8.6510321273089765</v>
          </cell>
          <cell r="CY1352">
            <v>13.473275210017142</v>
          </cell>
        </row>
        <row r="1353">
          <cell r="A1353">
            <v>41431</v>
          </cell>
          <cell r="CF1353">
            <v>18.342677906331144</v>
          </cell>
          <cell r="CG1353">
            <v>22.085252262534414</v>
          </cell>
          <cell r="CH1353">
            <v>18.555263085067214</v>
          </cell>
          <cell r="CI1353">
            <v>14.926604548033502</v>
          </cell>
          <cell r="CJ1353">
            <v>22.183921622100925</v>
          </cell>
          <cell r="CU1353">
            <v>11.051454997138503</v>
          </cell>
          <cell r="CV1353">
            <v>13.67289934744978</v>
          </cell>
          <cell r="CW1353">
            <v>11.062153668663059</v>
          </cell>
          <cell r="CX1353">
            <v>8.6510321273089765</v>
          </cell>
          <cell r="CY1353">
            <v>13.473275210017142</v>
          </cell>
        </row>
        <row r="1354">
          <cell r="A1354">
            <v>41432</v>
          </cell>
          <cell r="CF1354">
            <v>18.625653015203604</v>
          </cell>
          <cell r="CG1354">
            <v>22.085252262534414</v>
          </cell>
          <cell r="CH1354">
            <v>18.555263085067214</v>
          </cell>
          <cell r="CI1354">
            <v>14.926604548033502</v>
          </cell>
          <cell r="CJ1354">
            <v>22.183921622100925</v>
          </cell>
          <cell r="CU1354">
            <v>11.202952419192382</v>
          </cell>
          <cell r="CV1354">
            <v>13.67289934744978</v>
          </cell>
          <cell r="CW1354">
            <v>11.062153668663059</v>
          </cell>
          <cell r="CX1354">
            <v>8.6510321273089765</v>
          </cell>
          <cell r="CY1354">
            <v>13.473275210017142</v>
          </cell>
        </row>
        <row r="1355">
          <cell r="A1355">
            <v>41435</v>
          </cell>
          <cell r="CF1355">
            <v>18.787632596067812</v>
          </cell>
          <cell r="CG1355">
            <v>22.085252262534414</v>
          </cell>
          <cell r="CH1355">
            <v>18.555263085067214</v>
          </cell>
          <cell r="CI1355">
            <v>14.926604548033502</v>
          </cell>
          <cell r="CJ1355">
            <v>22.183921622100925</v>
          </cell>
          <cell r="CU1355">
            <v>11.289672021577466</v>
          </cell>
          <cell r="CV1355">
            <v>13.67289934744978</v>
          </cell>
          <cell r="CW1355">
            <v>11.062153668663059</v>
          </cell>
          <cell r="CX1355">
            <v>8.6510321273089765</v>
          </cell>
          <cell r="CY1355">
            <v>13.473275210017142</v>
          </cell>
        </row>
        <row r="1356">
          <cell r="A1356">
            <v>41436</v>
          </cell>
          <cell r="CF1356">
            <v>18.830567034502543</v>
          </cell>
          <cell r="CG1356">
            <v>22.085252262534414</v>
          </cell>
          <cell r="CH1356">
            <v>18.555263085067214</v>
          </cell>
          <cell r="CI1356">
            <v>14.926604548033502</v>
          </cell>
          <cell r="CJ1356">
            <v>22.183921622100925</v>
          </cell>
          <cell r="CU1356">
            <v>11.312657989375522</v>
          </cell>
          <cell r="CV1356">
            <v>13.67289934744978</v>
          </cell>
          <cell r="CW1356">
            <v>11.062153668663059</v>
          </cell>
          <cell r="CX1356">
            <v>8.6510321273089765</v>
          </cell>
          <cell r="CY1356">
            <v>13.473275210017142</v>
          </cell>
        </row>
        <row r="1357">
          <cell r="A1357">
            <v>41437</v>
          </cell>
          <cell r="CF1357">
            <v>18.666636872903908</v>
          </cell>
          <cell r="CG1357">
            <v>22.085252262534414</v>
          </cell>
          <cell r="CH1357">
            <v>18.555263085067214</v>
          </cell>
          <cell r="CI1357">
            <v>14.926604548033502</v>
          </cell>
          <cell r="CJ1357">
            <v>22.183921622100925</v>
          </cell>
          <cell r="CU1357">
            <v>11.224907557227075</v>
          </cell>
          <cell r="CV1357">
            <v>13.67289934744978</v>
          </cell>
          <cell r="CW1357">
            <v>11.062153668663059</v>
          </cell>
          <cell r="CX1357">
            <v>8.6510321273089765</v>
          </cell>
          <cell r="CY1357">
            <v>13.473275210017142</v>
          </cell>
        </row>
        <row r="1358">
          <cell r="A1358">
            <v>41438</v>
          </cell>
          <cell r="CF1358">
            <v>18.920339805019989</v>
          </cell>
          <cell r="CG1358">
            <v>22.085252262534414</v>
          </cell>
          <cell r="CH1358">
            <v>18.555263085067214</v>
          </cell>
          <cell r="CI1358">
            <v>14.926604548033502</v>
          </cell>
          <cell r="CJ1358">
            <v>22.183921622100925</v>
          </cell>
          <cell r="CU1358">
            <v>11.360733589503068</v>
          </cell>
          <cell r="CV1358">
            <v>13.67289934744978</v>
          </cell>
          <cell r="CW1358">
            <v>11.062153668663059</v>
          </cell>
          <cell r="CX1358">
            <v>8.6510321273089765</v>
          </cell>
          <cell r="CY1358">
            <v>13.473275210017142</v>
          </cell>
        </row>
        <row r="1359">
          <cell r="A1359">
            <v>41439</v>
          </cell>
          <cell r="CF1359">
            <v>18.916435911372012</v>
          </cell>
          <cell r="CG1359">
            <v>22.085252262534414</v>
          </cell>
          <cell r="CH1359">
            <v>18.555263085067214</v>
          </cell>
          <cell r="CI1359">
            <v>14.926604548033502</v>
          </cell>
          <cell r="CJ1359">
            <v>22.183921622100925</v>
          </cell>
          <cell r="CU1359">
            <v>11.35862992497163</v>
          </cell>
          <cell r="CV1359">
            <v>13.67289934744978</v>
          </cell>
          <cell r="CW1359">
            <v>11.062153668663059</v>
          </cell>
          <cell r="CX1359">
            <v>8.6510321273089765</v>
          </cell>
          <cell r="CY1359">
            <v>13.473275210017142</v>
          </cell>
        </row>
        <row r="1360">
          <cell r="A1360">
            <v>41442</v>
          </cell>
          <cell r="CF1360">
            <v>19.05481185715136</v>
          </cell>
          <cell r="CG1360">
            <v>22.085252262534414</v>
          </cell>
          <cell r="CH1360">
            <v>18.555263085067214</v>
          </cell>
          <cell r="CI1360">
            <v>14.926604548033502</v>
          </cell>
          <cell r="CJ1360">
            <v>22.183921622100925</v>
          </cell>
          <cell r="CU1360">
            <v>11.417362495022971</v>
          </cell>
          <cell r="CV1360">
            <v>13.67289934744978</v>
          </cell>
          <cell r="CW1360">
            <v>11.062153668663059</v>
          </cell>
          <cell r="CX1360">
            <v>8.6510321273089765</v>
          </cell>
          <cell r="CY1360">
            <v>13.473275210017142</v>
          </cell>
        </row>
        <row r="1361">
          <cell r="A1361">
            <v>41443</v>
          </cell>
          <cell r="CF1361">
            <v>19.151218341463416</v>
          </cell>
          <cell r="CG1361">
            <v>22.085252262534414</v>
          </cell>
          <cell r="CH1361">
            <v>18.555263085067214</v>
          </cell>
          <cell r="CI1361">
            <v>14.926604548033502</v>
          </cell>
          <cell r="CJ1361">
            <v>22.183921622100925</v>
          </cell>
          <cell r="CU1361">
            <v>11.470575271786119</v>
          </cell>
          <cell r="CV1361">
            <v>13.67289934744978</v>
          </cell>
          <cell r="CW1361">
            <v>11.062153668663059</v>
          </cell>
          <cell r="CX1361">
            <v>8.6510321273089765</v>
          </cell>
          <cell r="CY1361">
            <v>13.473275210017142</v>
          </cell>
        </row>
        <row r="1362">
          <cell r="A1362">
            <v>41444</v>
          </cell>
          <cell r="CF1362">
            <v>18.84682868292683</v>
          </cell>
          <cell r="CG1362">
            <v>22.085252262534414</v>
          </cell>
          <cell r="CH1362">
            <v>18.555263085067214</v>
          </cell>
          <cell r="CI1362">
            <v>14.926604548033502</v>
          </cell>
          <cell r="CJ1362">
            <v>22.183921622100925</v>
          </cell>
          <cell r="CU1362">
            <v>11.307805176231692</v>
          </cell>
          <cell r="CV1362">
            <v>13.67289934744978</v>
          </cell>
          <cell r="CW1362">
            <v>11.062153668663059</v>
          </cell>
          <cell r="CX1362">
            <v>8.6510321273089765</v>
          </cell>
          <cell r="CY1362">
            <v>13.473275210017142</v>
          </cell>
        </row>
        <row r="1363">
          <cell r="A1363">
            <v>41445</v>
          </cell>
          <cell r="CF1363">
            <v>18.32195004878049</v>
          </cell>
          <cell r="CG1363">
            <v>22.085252262534414</v>
          </cell>
          <cell r="CH1363">
            <v>18.555263085067214</v>
          </cell>
          <cell r="CI1363">
            <v>14.926604548033502</v>
          </cell>
          <cell r="CJ1363">
            <v>22.183921622100925</v>
          </cell>
          <cell r="CU1363">
            <v>11.027130248426264</v>
          </cell>
          <cell r="CV1363">
            <v>13.67289934744978</v>
          </cell>
          <cell r="CW1363">
            <v>11.062153668663059</v>
          </cell>
          <cell r="CX1363">
            <v>8.6510321273089765</v>
          </cell>
          <cell r="CY1363">
            <v>13.473275210017142</v>
          </cell>
        </row>
        <row r="1364">
          <cell r="A1364">
            <v>41446</v>
          </cell>
          <cell r="CF1364">
            <v>18.277072975609755</v>
          </cell>
          <cell r="CG1364">
            <v>22.085252262534414</v>
          </cell>
          <cell r="CH1364">
            <v>18.555263085067214</v>
          </cell>
          <cell r="CI1364">
            <v>14.926604548033502</v>
          </cell>
          <cell r="CJ1364">
            <v>22.183921622100925</v>
          </cell>
          <cell r="CU1364">
            <v>11.003132568862114</v>
          </cell>
          <cell r="CV1364">
            <v>13.67289934744978</v>
          </cell>
          <cell r="CW1364">
            <v>11.062153668663059</v>
          </cell>
          <cell r="CX1364">
            <v>8.6510321273089765</v>
          </cell>
          <cell r="CY1364">
            <v>13.473275210017142</v>
          </cell>
        </row>
        <row r="1365">
          <cell r="A1365">
            <v>41449</v>
          </cell>
          <cell r="CF1365">
            <v>18.355120585365853</v>
          </cell>
          <cell r="CG1365">
            <v>22.085252262534414</v>
          </cell>
          <cell r="CH1365">
            <v>18.555263085067214</v>
          </cell>
          <cell r="CI1365">
            <v>14.926604548033502</v>
          </cell>
          <cell r="CJ1365">
            <v>22.183921622100925</v>
          </cell>
          <cell r="CU1365">
            <v>11.044867945020654</v>
          </cell>
          <cell r="CV1365">
            <v>13.67289934744978</v>
          </cell>
          <cell r="CW1365">
            <v>11.062153668663059</v>
          </cell>
          <cell r="CX1365">
            <v>8.6510321273089765</v>
          </cell>
          <cell r="CY1365">
            <v>13.473275210017142</v>
          </cell>
        </row>
        <row r="1366">
          <cell r="A1366">
            <v>41450</v>
          </cell>
          <cell r="CF1366">
            <v>18.454631609756099</v>
          </cell>
          <cell r="CG1366">
            <v>22.085252262534414</v>
          </cell>
          <cell r="CH1366">
            <v>18.555263085067214</v>
          </cell>
          <cell r="CI1366">
            <v>14.926604548033502</v>
          </cell>
          <cell r="CJ1366">
            <v>22.183921622100925</v>
          </cell>
          <cell r="CU1366">
            <v>11.098080721783802</v>
          </cell>
          <cell r="CV1366">
            <v>13.67289934744978</v>
          </cell>
          <cell r="CW1366">
            <v>11.062153668663059</v>
          </cell>
          <cell r="CX1366">
            <v>8.6510321273089765</v>
          </cell>
          <cell r="CY1366">
            <v>13.473275210017142</v>
          </cell>
        </row>
        <row r="1367">
          <cell r="A1367">
            <v>41451</v>
          </cell>
          <cell r="CF1367">
            <v>18.57170595121951</v>
          </cell>
          <cell r="CG1367">
            <v>22.085252262534414</v>
          </cell>
          <cell r="CH1367">
            <v>18.555263085067214</v>
          </cell>
          <cell r="CI1367">
            <v>14.926604548033502</v>
          </cell>
          <cell r="CJ1367">
            <v>22.183921622100925</v>
          </cell>
          <cell r="CU1367">
            <v>11.160685351121698</v>
          </cell>
          <cell r="CV1367">
            <v>13.67289934744978</v>
          </cell>
          <cell r="CW1367">
            <v>11.062153668663059</v>
          </cell>
          <cell r="CX1367">
            <v>8.6510321273089765</v>
          </cell>
          <cell r="CY1367">
            <v>13.473275210017142</v>
          </cell>
        </row>
        <row r="1368">
          <cell r="A1368">
            <v>41452</v>
          </cell>
          <cell r="CF1368">
            <v>18.58341287804878</v>
          </cell>
          <cell r="CG1368">
            <v>22.085252262534414</v>
          </cell>
          <cell r="CH1368">
            <v>18.555263085067214</v>
          </cell>
          <cell r="CI1368">
            <v>14.926604548033502</v>
          </cell>
          <cell r="CJ1368">
            <v>22.183921622100925</v>
          </cell>
          <cell r="CU1368">
            <v>11.166945542771474</v>
          </cell>
          <cell r="CV1368">
            <v>13.67289934744978</v>
          </cell>
          <cell r="CW1368">
            <v>11.062153668663059</v>
          </cell>
          <cell r="CX1368">
            <v>8.6510321273089765</v>
          </cell>
          <cell r="CY1368">
            <v>13.473275210017142</v>
          </cell>
        </row>
        <row r="1369">
          <cell r="A1369">
            <v>41453</v>
          </cell>
          <cell r="CF1369">
            <v>18.680973853658536</v>
          </cell>
          <cell r="CG1369">
            <v>22.085252262534414</v>
          </cell>
          <cell r="CH1369">
            <v>18.555263085067214</v>
          </cell>
          <cell r="CI1369">
            <v>14.926604548033502</v>
          </cell>
          <cell r="CJ1369">
            <v>22.183921622100925</v>
          </cell>
          <cell r="CU1369">
            <v>11.219115545519692</v>
          </cell>
          <cell r="CV1369">
            <v>13.67289934744978</v>
          </cell>
          <cell r="CW1369">
            <v>11.062153668663059</v>
          </cell>
          <cell r="CX1369">
            <v>8.6510321273089765</v>
          </cell>
          <cell r="CY1369">
            <v>13.473275210017142</v>
          </cell>
        </row>
        <row r="1370">
          <cell r="A1370">
            <v>41456</v>
          </cell>
          <cell r="CF1370">
            <v>18.780337492770808</v>
          </cell>
          <cell r="CG1370">
            <v>22.085252262534414</v>
          </cell>
          <cell r="CH1370">
            <v>18.555263085067214</v>
          </cell>
          <cell r="CI1370">
            <v>14.926604548033502</v>
          </cell>
          <cell r="CJ1370">
            <v>22.183921622100925</v>
          </cell>
          <cell r="CU1370">
            <v>11.296445944605178</v>
          </cell>
          <cell r="CV1370">
            <v>13.67289934744978</v>
          </cell>
          <cell r="CW1370">
            <v>11.062153668663059</v>
          </cell>
          <cell r="CX1370">
            <v>8.6510321273089765</v>
          </cell>
          <cell r="CY1370">
            <v>13.473275210017142</v>
          </cell>
        </row>
        <row r="1371">
          <cell r="A1371">
            <v>41457</v>
          </cell>
          <cell r="CF1371">
            <v>18.751317835358343</v>
          </cell>
          <cell r="CG1371">
            <v>22.085252262534414</v>
          </cell>
          <cell r="CH1371">
            <v>18.555263085067214</v>
          </cell>
          <cell r="CI1371">
            <v>14.926604548033502</v>
          </cell>
          <cell r="CJ1371">
            <v>22.183921622100925</v>
          </cell>
          <cell r="CU1371">
            <v>11.280880232620321</v>
          </cell>
          <cell r="CV1371">
            <v>13.67289934744978</v>
          </cell>
          <cell r="CW1371">
            <v>11.062153668663059</v>
          </cell>
          <cell r="CX1371">
            <v>8.6510321273089765</v>
          </cell>
          <cell r="CY1371">
            <v>13.473275210017142</v>
          </cell>
        </row>
        <row r="1372">
          <cell r="A1372">
            <v>41458</v>
          </cell>
          <cell r="CF1372">
            <v>18.730035708506406</v>
          </cell>
          <cell r="CG1372">
            <v>22.085252262534414</v>
          </cell>
          <cell r="CH1372">
            <v>18.555263085067214</v>
          </cell>
          <cell r="CI1372">
            <v>14.926604548033502</v>
          </cell>
          <cell r="CJ1372">
            <v>22.183921622100925</v>
          </cell>
          <cell r="CU1372">
            <v>11.269464816776708</v>
          </cell>
          <cell r="CV1372">
            <v>13.67289934744978</v>
          </cell>
          <cell r="CW1372">
            <v>11.062153668663059</v>
          </cell>
          <cell r="CX1372">
            <v>8.6510321273089765</v>
          </cell>
          <cell r="CY1372">
            <v>13.473275210017142</v>
          </cell>
        </row>
        <row r="1373">
          <cell r="A1373">
            <v>41459</v>
          </cell>
          <cell r="CF1373">
            <v>18.730035708506406</v>
          </cell>
          <cell r="CG1373">
            <v>22.085252262534414</v>
          </cell>
          <cell r="CH1373">
            <v>18.555263085067214</v>
          </cell>
          <cell r="CI1373">
            <v>14.926604548033502</v>
          </cell>
          <cell r="CJ1373">
            <v>22.183921622100925</v>
          </cell>
          <cell r="CU1373">
            <v>11.269464816776708</v>
          </cell>
          <cell r="CV1373">
            <v>13.67289934744978</v>
          </cell>
          <cell r="CW1373">
            <v>11.062153668663059</v>
          </cell>
          <cell r="CX1373">
            <v>8.6510321273089765</v>
          </cell>
          <cell r="CY1373">
            <v>13.473275210017142</v>
          </cell>
        </row>
        <row r="1374">
          <cell r="A1374">
            <v>41460</v>
          </cell>
          <cell r="CF1374">
            <v>18.97767983072664</v>
          </cell>
          <cell r="CG1374">
            <v>22.085252262534414</v>
          </cell>
          <cell r="CH1374">
            <v>18.555263085067214</v>
          </cell>
          <cell r="CI1374">
            <v>14.926604548033502</v>
          </cell>
          <cell r="CJ1374">
            <v>22.183921622100925</v>
          </cell>
          <cell r="CU1374">
            <v>11.40229743524749</v>
          </cell>
          <cell r="CV1374">
            <v>13.67289934744978</v>
          </cell>
          <cell r="CW1374">
            <v>11.062153668663059</v>
          </cell>
          <cell r="CX1374">
            <v>8.6510321273089765</v>
          </cell>
          <cell r="CY1374">
            <v>13.473275210017142</v>
          </cell>
        </row>
        <row r="1375">
          <cell r="A1375">
            <v>41463</v>
          </cell>
          <cell r="CF1375">
            <v>19.090280798990129</v>
          </cell>
          <cell r="CG1375">
            <v>22.085252262534414</v>
          </cell>
          <cell r="CH1375">
            <v>18.555263085067214</v>
          </cell>
          <cell r="CI1375">
            <v>14.926604548033502</v>
          </cell>
          <cell r="CJ1375">
            <v>22.183921622100925</v>
          </cell>
          <cell r="CU1375">
            <v>11.462694917419443</v>
          </cell>
          <cell r="CV1375">
            <v>13.67289934744978</v>
          </cell>
          <cell r="CW1375">
            <v>11.062153668663059</v>
          </cell>
          <cell r="CX1375">
            <v>8.6510321273089765</v>
          </cell>
          <cell r="CY1375">
            <v>13.473275210017142</v>
          </cell>
        </row>
        <row r="1376">
          <cell r="A1376">
            <v>41464</v>
          </cell>
          <cell r="CF1376">
            <v>19.167281736040113</v>
          </cell>
          <cell r="CG1376">
            <v>22.085252262534414</v>
          </cell>
          <cell r="CH1376">
            <v>18.555263085067214</v>
          </cell>
          <cell r="CI1376">
            <v>14.926604548033502</v>
          </cell>
          <cell r="CJ1376">
            <v>22.183921622100925</v>
          </cell>
          <cell r="CU1376">
            <v>11.503997073115094</v>
          </cell>
          <cell r="CV1376">
            <v>13.67289934744978</v>
          </cell>
          <cell r="CW1376">
            <v>11.062153668663059</v>
          </cell>
          <cell r="CX1376">
            <v>8.6510321273089765</v>
          </cell>
          <cell r="CY1376">
            <v>13.473275210017142</v>
          </cell>
        </row>
        <row r="1377">
          <cell r="A1377">
            <v>41465</v>
          </cell>
          <cell r="CF1377">
            <v>19.395580193873855</v>
          </cell>
          <cell r="CG1377">
            <v>22.085252262534414</v>
          </cell>
          <cell r="CH1377">
            <v>18.555263085067214</v>
          </cell>
          <cell r="CI1377">
            <v>14.926604548033502</v>
          </cell>
          <cell r="CJ1377">
            <v>22.183921622100925</v>
          </cell>
          <cell r="CU1377">
            <v>11.626452965364898</v>
          </cell>
          <cell r="CV1377">
            <v>13.67289934744978</v>
          </cell>
          <cell r="CW1377">
            <v>11.062153668663059</v>
          </cell>
          <cell r="CX1377">
            <v>8.6510321273089765</v>
          </cell>
          <cell r="CY1377">
            <v>13.473275210017142</v>
          </cell>
        </row>
        <row r="1378">
          <cell r="A1378">
            <v>41466</v>
          </cell>
          <cell r="CF1378">
            <v>19.676114770244101</v>
          </cell>
          <cell r="CG1378">
            <v>22.085252262534414</v>
          </cell>
          <cell r="CH1378">
            <v>18.555263085067214</v>
          </cell>
          <cell r="CI1378">
            <v>14.926604548033502</v>
          </cell>
          <cell r="CJ1378">
            <v>22.183921622100925</v>
          </cell>
          <cell r="CU1378">
            <v>11.776927533534586</v>
          </cell>
          <cell r="CV1378">
            <v>13.67289934744978</v>
          </cell>
          <cell r="CW1378">
            <v>11.062153668663059</v>
          </cell>
          <cell r="CX1378">
            <v>8.6510321273089765</v>
          </cell>
          <cell r="CY1378">
            <v>13.473275210017142</v>
          </cell>
        </row>
        <row r="1379">
          <cell r="A1379">
            <v>41467</v>
          </cell>
          <cell r="CF1379">
            <v>19.842500794849901</v>
          </cell>
          <cell r="CG1379">
            <v>22.085252262534414</v>
          </cell>
          <cell r="CH1379">
            <v>18.555263085067214</v>
          </cell>
          <cell r="CI1379">
            <v>14.926604548033502</v>
          </cell>
          <cell r="CJ1379">
            <v>22.183921622100925</v>
          </cell>
          <cell r="CU1379">
            <v>11.866174518793851</v>
          </cell>
          <cell r="CV1379">
            <v>13.67289934744978</v>
          </cell>
          <cell r="CW1379">
            <v>11.062153668663059</v>
          </cell>
          <cell r="CX1379">
            <v>8.6510321273089765</v>
          </cell>
          <cell r="CY1379">
            <v>13.473275210017142</v>
          </cell>
        </row>
        <row r="1380">
          <cell r="A1380">
            <v>41470</v>
          </cell>
          <cell r="CF1380">
            <v>19.811545255388356</v>
          </cell>
          <cell r="CG1380">
            <v>22.085252262534414</v>
          </cell>
          <cell r="CH1380">
            <v>18.555263085067214</v>
          </cell>
          <cell r="CI1380">
            <v>14.926604548033502</v>
          </cell>
          <cell r="CJ1380">
            <v>22.183921622100925</v>
          </cell>
          <cell r="CU1380">
            <v>11.849570428513058</v>
          </cell>
          <cell r="CV1380">
            <v>13.67289934744978</v>
          </cell>
          <cell r="CW1380">
            <v>11.062153668663059</v>
          </cell>
          <cell r="CX1380">
            <v>8.6510321273089765</v>
          </cell>
          <cell r="CY1380">
            <v>13.473275210017142</v>
          </cell>
        </row>
        <row r="1381">
          <cell r="A1381">
            <v>41471</v>
          </cell>
          <cell r="CF1381">
            <v>19.760275143155173</v>
          </cell>
          <cell r="CG1381">
            <v>22.085252262534414</v>
          </cell>
          <cell r="CH1381">
            <v>18.555263085067214</v>
          </cell>
          <cell r="CI1381">
            <v>14.926604548033502</v>
          </cell>
          <cell r="CJ1381">
            <v>22.183921622100925</v>
          </cell>
          <cell r="CU1381">
            <v>11.822069903985495</v>
          </cell>
          <cell r="CV1381">
            <v>13.67289934744978</v>
          </cell>
          <cell r="CW1381">
            <v>11.062153668663059</v>
          </cell>
          <cell r="CX1381">
            <v>8.6510321273089765</v>
          </cell>
          <cell r="CY1381">
            <v>13.473275210017142</v>
          </cell>
        </row>
        <row r="1382">
          <cell r="A1382">
            <v>41472</v>
          </cell>
          <cell r="CF1382">
            <v>19.771081697742002</v>
          </cell>
          <cell r="CG1382">
            <v>22.085252262534414</v>
          </cell>
          <cell r="CH1382">
            <v>18.555263085067214</v>
          </cell>
          <cell r="CI1382">
            <v>14.926604548033502</v>
          </cell>
          <cell r="CJ1382">
            <v>22.183921622100925</v>
          </cell>
          <cell r="CU1382">
            <v>11.80460400102808</v>
          </cell>
          <cell r="CV1382">
            <v>13.67289934744978</v>
          </cell>
          <cell r="CW1382">
            <v>11.062153668663059</v>
          </cell>
          <cell r="CX1382">
            <v>8.6510321273089765</v>
          </cell>
          <cell r="CY1382">
            <v>13.473275210017142</v>
          </cell>
        </row>
        <row r="1383">
          <cell r="A1383">
            <v>41473</v>
          </cell>
          <cell r="CF1383">
            <v>19.989683699773622</v>
          </cell>
          <cell r="CG1383">
            <v>22.085252262534414</v>
          </cell>
          <cell r="CH1383">
            <v>18.555263085067214</v>
          </cell>
          <cell r="CI1383">
            <v>14.926604548033502</v>
          </cell>
          <cell r="CJ1383">
            <v>22.183921622100925</v>
          </cell>
          <cell r="CU1383">
            <v>11.921629331216257</v>
          </cell>
          <cell r="CV1383">
            <v>13.67289934744978</v>
          </cell>
          <cell r="CW1383">
            <v>11.062153668663059</v>
          </cell>
          <cell r="CX1383">
            <v>8.6510321273089765</v>
          </cell>
          <cell r="CY1383">
            <v>13.473275210017142</v>
          </cell>
        </row>
        <row r="1384">
          <cell r="A1384">
            <v>41474</v>
          </cell>
          <cell r="CF1384">
            <v>20.031532369355535</v>
          </cell>
          <cell r="CG1384">
            <v>22.085252262534414</v>
          </cell>
          <cell r="CH1384">
            <v>18.555263085067214</v>
          </cell>
          <cell r="CI1384">
            <v>14.926604548033502</v>
          </cell>
          <cell r="CJ1384">
            <v>22.183921622100925</v>
          </cell>
          <cell r="CU1384">
            <v>11.946485524190056</v>
          </cell>
          <cell r="CV1384">
            <v>13.67289934744978</v>
          </cell>
          <cell r="CW1384">
            <v>11.062153668663059</v>
          </cell>
          <cell r="CX1384">
            <v>8.6510321273089765</v>
          </cell>
          <cell r="CY1384">
            <v>13.473275210017142</v>
          </cell>
        </row>
        <row r="1385">
          <cell r="A1385">
            <v>41477</v>
          </cell>
          <cell r="CF1385">
            <v>20.105028384614346</v>
          </cell>
          <cell r="CG1385">
            <v>22.085252262534414</v>
          </cell>
          <cell r="CH1385">
            <v>18.555263085067214</v>
          </cell>
          <cell r="CI1385">
            <v>14.926604548033502</v>
          </cell>
          <cell r="CJ1385">
            <v>22.183921622100925</v>
          </cell>
          <cell r="CU1385">
            <v>11.985839523315278</v>
          </cell>
          <cell r="CV1385">
            <v>13.67289934744978</v>
          </cell>
          <cell r="CW1385">
            <v>11.062153668663059</v>
          </cell>
          <cell r="CX1385">
            <v>8.6510321273089765</v>
          </cell>
          <cell r="CY1385">
            <v>13.473275210017142</v>
          </cell>
        </row>
        <row r="1386">
          <cell r="A1386">
            <v>41478</v>
          </cell>
          <cell r="CF1386">
            <v>19.981245622073192</v>
          </cell>
          <cell r="CG1386">
            <v>22.085252262534414</v>
          </cell>
          <cell r="CH1386">
            <v>18.555263085067214</v>
          </cell>
          <cell r="CI1386">
            <v>14.926604548033502</v>
          </cell>
          <cell r="CJ1386">
            <v>22.183921622100925</v>
          </cell>
          <cell r="CU1386">
            <v>11.91955910373596</v>
          </cell>
          <cell r="CV1386">
            <v>13.67289934744978</v>
          </cell>
          <cell r="CW1386">
            <v>11.062153668663059</v>
          </cell>
          <cell r="CX1386">
            <v>8.6510321273089765</v>
          </cell>
          <cell r="CY1386">
            <v>13.473275210017142</v>
          </cell>
        </row>
        <row r="1387">
          <cell r="A1387">
            <v>41479</v>
          </cell>
          <cell r="CF1387">
            <v>19.913551923808495</v>
          </cell>
          <cell r="CG1387">
            <v>22.085252262534414</v>
          </cell>
          <cell r="CH1387">
            <v>18.555263085067214</v>
          </cell>
          <cell r="CI1387">
            <v>14.926604548033502</v>
          </cell>
          <cell r="CJ1387">
            <v>22.183921622100925</v>
          </cell>
          <cell r="CU1387">
            <v>11.878697568606722</v>
          </cell>
          <cell r="CV1387">
            <v>13.67289934744978</v>
          </cell>
          <cell r="CW1387">
            <v>11.062153668663059</v>
          </cell>
          <cell r="CX1387">
            <v>8.6510321273089765</v>
          </cell>
          <cell r="CY1387">
            <v>13.473275210017142</v>
          </cell>
        </row>
        <row r="1388">
          <cell r="A1388">
            <v>41480</v>
          </cell>
          <cell r="CF1388">
            <v>19.988982044732012</v>
          </cell>
          <cell r="CG1388">
            <v>22.085252262534414</v>
          </cell>
          <cell r="CH1388">
            <v>18.555263085067214</v>
          </cell>
          <cell r="CI1388">
            <v>14.926604548033502</v>
          </cell>
          <cell r="CJ1388">
            <v>22.183921622100925</v>
          </cell>
          <cell r="CU1388">
            <v>11.919071515516322</v>
          </cell>
          <cell r="CV1388">
            <v>13.67289934744978</v>
          </cell>
          <cell r="CW1388">
            <v>11.062153668663059</v>
          </cell>
          <cell r="CX1388">
            <v>8.6510321273089765</v>
          </cell>
          <cell r="CY1388">
            <v>13.473275210017142</v>
          </cell>
        </row>
        <row r="1389">
          <cell r="A1389">
            <v>41481</v>
          </cell>
          <cell r="CF1389">
            <v>19.967706882420252</v>
          </cell>
          <cell r="CG1389">
            <v>22.085252262534414</v>
          </cell>
          <cell r="CH1389">
            <v>18.555263085067214</v>
          </cell>
          <cell r="CI1389">
            <v>14.926604548033502</v>
          </cell>
          <cell r="CJ1389">
            <v>22.183921622100925</v>
          </cell>
          <cell r="CU1389">
            <v>11.828967060662759</v>
          </cell>
          <cell r="CV1389">
            <v>13.67289934744978</v>
          </cell>
          <cell r="CW1389">
            <v>11.062153668663059</v>
          </cell>
          <cell r="CX1389">
            <v>8.6510321273089765</v>
          </cell>
          <cell r="CY1389">
            <v>13.473275210017142</v>
          </cell>
        </row>
        <row r="1390">
          <cell r="A1390">
            <v>41484</v>
          </cell>
          <cell r="CF1390">
            <v>19.973507265308704</v>
          </cell>
          <cell r="CG1390">
            <v>22.085252262534414</v>
          </cell>
          <cell r="CH1390">
            <v>18.555263085067214</v>
          </cell>
          <cell r="CI1390">
            <v>14.926604548033502</v>
          </cell>
          <cell r="CJ1390">
            <v>22.183921622100925</v>
          </cell>
          <cell r="CU1390">
            <v>11.832048847318813</v>
          </cell>
          <cell r="CV1390">
            <v>13.67289934744978</v>
          </cell>
          <cell r="CW1390">
            <v>11.062153668663059</v>
          </cell>
          <cell r="CX1390">
            <v>8.6510321273089765</v>
          </cell>
          <cell r="CY1390">
            <v>13.473275210017142</v>
          </cell>
        </row>
        <row r="1391">
          <cell r="A1391">
            <v>41485</v>
          </cell>
          <cell r="CF1391">
            <v>19.838121802884977</v>
          </cell>
          <cell r="CG1391">
            <v>22.085252262534414</v>
          </cell>
          <cell r="CH1391">
            <v>18.555263085067214</v>
          </cell>
          <cell r="CI1391">
            <v>14.926604548033502</v>
          </cell>
          <cell r="CJ1391">
            <v>22.183921622100925</v>
          </cell>
          <cell r="CU1391">
            <v>11.760117542171406</v>
          </cell>
          <cell r="CV1391">
            <v>13.67289934744978</v>
          </cell>
          <cell r="CW1391">
            <v>11.062153668663059</v>
          </cell>
          <cell r="CX1391">
            <v>8.6510321273089765</v>
          </cell>
          <cell r="CY1391">
            <v>13.473275210017142</v>
          </cell>
        </row>
        <row r="1392">
          <cell r="A1392">
            <v>41486</v>
          </cell>
          <cell r="CF1392">
            <v>20.081817182532216</v>
          </cell>
          <cell r="CG1392">
            <v>22.085252262534414</v>
          </cell>
          <cell r="CH1392">
            <v>18.555263085067214</v>
          </cell>
          <cell r="CI1392">
            <v>14.926604548033502</v>
          </cell>
          <cell r="CJ1392">
            <v>22.183921622100925</v>
          </cell>
          <cell r="CU1392">
            <v>11.889594713520541</v>
          </cell>
          <cell r="CV1392">
            <v>13.67289934744978</v>
          </cell>
          <cell r="CW1392">
            <v>11.062153668663059</v>
          </cell>
          <cell r="CX1392">
            <v>8.6510321273089765</v>
          </cell>
          <cell r="CY1392">
            <v>13.473275210017142</v>
          </cell>
        </row>
        <row r="1393">
          <cell r="A1393">
            <v>41487</v>
          </cell>
          <cell r="CF1393">
            <v>20.418666412644761</v>
          </cell>
          <cell r="CG1393">
            <v>22.085252262534414</v>
          </cell>
          <cell r="CH1393">
            <v>18.555263085067214</v>
          </cell>
          <cell r="CI1393">
            <v>14.926604548033502</v>
          </cell>
          <cell r="CJ1393">
            <v>22.183921622100925</v>
          </cell>
          <cell r="CU1393">
            <v>12.094095889415025</v>
          </cell>
          <cell r="CV1393">
            <v>13.67289934744978</v>
          </cell>
          <cell r="CW1393">
            <v>11.062153668663059</v>
          </cell>
          <cell r="CX1393">
            <v>8.6510321273089765</v>
          </cell>
          <cell r="CY1393">
            <v>13.473275210017142</v>
          </cell>
        </row>
        <row r="1394">
          <cell r="A1394">
            <v>41488</v>
          </cell>
          <cell r="CF1394">
            <v>20.328522008981949</v>
          </cell>
          <cell r="CG1394">
            <v>22.085252262534414</v>
          </cell>
          <cell r="CH1394">
            <v>18.555263085067214</v>
          </cell>
          <cell r="CI1394">
            <v>14.926604548033502</v>
          </cell>
          <cell r="CJ1394">
            <v>22.183921622100925</v>
          </cell>
          <cell r="CU1394">
            <v>12.046059656085546</v>
          </cell>
          <cell r="CV1394">
            <v>13.67289934744978</v>
          </cell>
          <cell r="CW1394">
            <v>11.062153668663059</v>
          </cell>
          <cell r="CX1394">
            <v>8.6510321273089765</v>
          </cell>
          <cell r="CY1394">
            <v>13.473275210017142</v>
          </cell>
        </row>
        <row r="1395">
          <cell r="A1395">
            <v>41491</v>
          </cell>
          <cell r="CF1395">
            <v>20.184674556328524</v>
          </cell>
          <cell r="CG1395">
            <v>22.085252262534414</v>
          </cell>
          <cell r="CH1395">
            <v>18.555263085067214</v>
          </cell>
          <cell r="CI1395">
            <v>14.926604548033502</v>
          </cell>
          <cell r="CJ1395">
            <v>22.183921622100925</v>
          </cell>
          <cell r="CU1395">
            <v>11.969406092261911</v>
          </cell>
          <cell r="CV1395">
            <v>13.67289934744978</v>
          </cell>
          <cell r="CW1395">
            <v>11.062153668663059</v>
          </cell>
          <cell r="CX1395">
            <v>8.6510321273089765</v>
          </cell>
          <cell r="CY1395">
            <v>13.473275210017142</v>
          </cell>
        </row>
        <row r="1396">
          <cell r="A1396">
            <v>41492</v>
          </cell>
          <cell r="CF1396">
            <v>20.097261482579345</v>
          </cell>
          <cell r="CG1396">
            <v>22.085252262534414</v>
          </cell>
          <cell r="CH1396">
            <v>18.555263085067214</v>
          </cell>
          <cell r="CI1396">
            <v>14.926604548033502</v>
          </cell>
          <cell r="CJ1396">
            <v>22.183921622100925</v>
          </cell>
          <cell r="CU1396">
            <v>11.757770078422793</v>
          </cell>
          <cell r="CV1396">
            <v>13.67289934744978</v>
          </cell>
          <cell r="CW1396">
            <v>11.062153668663059</v>
          </cell>
          <cell r="CX1396">
            <v>8.6510321273089765</v>
          </cell>
          <cell r="CY1396">
            <v>13.473275210017142</v>
          </cell>
        </row>
        <row r="1397">
          <cell r="A1397">
            <v>41493</v>
          </cell>
          <cell r="CF1397">
            <v>20.063467741783349</v>
          </cell>
          <cell r="CG1397">
            <v>22.085252262534414</v>
          </cell>
          <cell r="CH1397">
            <v>18.555263085067214</v>
          </cell>
          <cell r="CI1397">
            <v>14.926604548033502</v>
          </cell>
          <cell r="CJ1397">
            <v>22.183921622100925</v>
          </cell>
          <cell r="CU1397">
            <v>11.719698204795087</v>
          </cell>
          <cell r="CV1397">
            <v>13.67289934744978</v>
          </cell>
          <cell r="CW1397">
            <v>11.062153668663059</v>
          </cell>
          <cell r="CX1397">
            <v>8.6510321273089765</v>
          </cell>
          <cell r="CY1397">
            <v>13.473275210017142</v>
          </cell>
        </row>
        <row r="1398">
          <cell r="A1398">
            <v>41494</v>
          </cell>
          <cell r="CF1398">
            <v>20.233578135146129</v>
          </cell>
          <cell r="CG1398">
            <v>22.085252262534414</v>
          </cell>
          <cell r="CH1398">
            <v>18.555263085067214</v>
          </cell>
          <cell r="CI1398">
            <v>14.926604548033502</v>
          </cell>
          <cell r="CJ1398">
            <v>22.183921622100925</v>
          </cell>
          <cell r="CU1398">
            <v>11.81049041943027</v>
          </cell>
          <cell r="CV1398">
            <v>13.67289934744978</v>
          </cell>
          <cell r="CW1398">
            <v>11.062153668663059</v>
          </cell>
          <cell r="CX1398">
            <v>8.6510321273089765</v>
          </cell>
          <cell r="CY1398">
            <v>13.473275210017142</v>
          </cell>
        </row>
        <row r="1399">
          <cell r="A1399">
            <v>41495</v>
          </cell>
          <cell r="CF1399">
            <v>20.25440892487951</v>
          </cell>
          <cell r="CG1399">
            <v>22.085252262534414</v>
          </cell>
          <cell r="CH1399">
            <v>18.555263085067214</v>
          </cell>
          <cell r="CI1399">
            <v>14.926604548033502</v>
          </cell>
          <cell r="CJ1399">
            <v>22.183921622100925</v>
          </cell>
          <cell r="CU1399">
            <v>11.799780287813908</v>
          </cell>
          <cell r="CV1399">
            <v>13.67289934744978</v>
          </cell>
          <cell r="CW1399">
            <v>11.062153668663059</v>
          </cell>
          <cell r="CX1399">
            <v>8.6510321273089765</v>
          </cell>
          <cell r="CY1399">
            <v>13.473275210017142</v>
          </cell>
        </row>
        <row r="1400">
          <cell r="A1400">
            <v>41498</v>
          </cell>
          <cell r="CF1400">
            <v>20.337507137225781</v>
          </cell>
          <cell r="CG1400">
            <v>22.085252262534414</v>
          </cell>
          <cell r="CH1400">
            <v>18.555263085067214</v>
          </cell>
          <cell r="CI1400">
            <v>14.926604548033502</v>
          </cell>
          <cell r="CJ1400">
            <v>22.183921622100925</v>
          </cell>
          <cell r="CU1400">
            <v>11.846591262865514</v>
          </cell>
          <cell r="CV1400">
            <v>13.67289934744978</v>
          </cell>
          <cell r="CW1400">
            <v>11.062153668663059</v>
          </cell>
          <cell r="CX1400">
            <v>8.6510321273089765</v>
          </cell>
          <cell r="CY1400">
            <v>13.473275210017142</v>
          </cell>
        </row>
        <row r="1401">
          <cell r="A1401">
            <v>41499</v>
          </cell>
          <cell r="CF1401">
            <v>20.463540483098996</v>
          </cell>
          <cell r="CG1401">
            <v>22.085252262534414</v>
          </cell>
          <cell r="CH1401">
            <v>18.555263085067214</v>
          </cell>
          <cell r="CI1401">
            <v>14.926604548033502</v>
          </cell>
          <cell r="CJ1401">
            <v>22.183921622100925</v>
          </cell>
          <cell r="CU1401">
            <v>11.913753818135753</v>
          </cell>
          <cell r="CV1401">
            <v>13.67289934744978</v>
          </cell>
          <cell r="CW1401">
            <v>11.062153668663059</v>
          </cell>
          <cell r="CX1401">
            <v>8.6510321273089765</v>
          </cell>
          <cell r="CY1401">
            <v>13.473275210017142</v>
          </cell>
        </row>
        <row r="1402">
          <cell r="A1402">
            <v>41500</v>
          </cell>
          <cell r="CF1402">
            <v>20.205743006477558</v>
          </cell>
          <cell r="CG1402">
            <v>22.085252262534414</v>
          </cell>
          <cell r="CH1402">
            <v>18.555263085067214</v>
          </cell>
          <cell r="CI1402">
            <v>14.926604548033502</v>
          </cell>
          <cell r="CJ1402">
            <v>22.183921622100925</v>
          </cell>
          <cell r="CU1402">
            <v>11.776374800288105</v>
          </cell>
          <cell r="CV1402">
            <v>13.67289934744978</v>
          </cell>
          <cell r="CW1402">
            <v>11.062153668663059</v>
          </cell>
          <cell r="CX1402">
            <v>8.6510321273089765</v>
          </cell>
          <cell r="CY1402">
            <v>13.473275210017142</v>
          </cell>
        </row>
        <row r="1403">
          <cell r="A1403">
            <v>41501</v>
          </cell>
          <cell r="CF1403">
            <v>19.802812113899659</v>
          </cell>
          <cell r="CG1403">
            <v>22.085252262534414</v>
          </cell>
          <cell r="CH1403">
            <v>18.555263085067214</v>
          </cell>
          <cell r="CI1403">
            <v>14.926604548033502</v>
          </cell>
          <cell r="CJ1403">
            <v>22.183921622100925</v>
          </cell>
          <cell r="CU1403">
            <v>11.561654892986168</v>
          </cell>
          <cell r="CV1403">
            <v>13.67289934744978</v>
          </cell>
          <cell r="CW1403">
            <v>11.062153668663059</v>
          </cell>
          <cell r="CX1403">
            <v>8.6510321273089765</v>
          </cell>
          <cell r="CY1403">
            <v>13.473275210017142</v>
          </cell>
        </row>
        <row r="1404">
          <cell r="A1404">
            <v>41502</v>
          </cell>
          <cell r="CF1404">
            <v>19.707330859734277</v>
          </cell>
          <cell r="CG1404">
            <v>22.085252262534414</v>
          </cell>
          <cell r="CH1404">
            <v>18.555263085067214</v>
          </cell>
          <cell r="CI1404">
            <v>14.926604548033502</v>
          </cell>
          <cell r="CJ1404">
            <v>22.183921622100925</v>
          </cell>
          <cell r="CU1404">
            <v>11.510773398364854</v>
          </cell>
          <cell r="CV1404">
            <v>13.67289934744978</v>
          </cell>
          <cell r="CW1404">
            <v>11.062153668663059</v>
          </cell>
          <cell r="CX1404">
            <v>8.6510321273089765</v>
          </cell>
          <cell r="CY1404">
            <v>13.473275210017142</v>
          </cell>
        </row>
        <row r="1405">
          <cell r="A1405">
            <v>41505</v>
          </cell>
          <cell r="CF1405">
            <v>19.741702201608732</v>
          </cell>
          <cell r="CG1405">
            <v>22.085252262534414</v>
          </cell>
          <cell r="CH1405">
            <v>18.555263085067214</v>
          </cell>
          <cell r="CI1405">
            <v>14.926604548033502</v>
          </cell>
          <cell r="CJ1405">
            <v>22.183921622100925</v>
          </cell>
          <cell r="CU1405">
            <v>11.529089718798636</v>
          </cell>
          <cell r="CV1405">
            <v>13.67289934744978</v>
          </cell>
          <cell r="CW1405">
            <v>11.062153668663059</v>
          </cell>
          <cell r="CX1405">
            <v>8.6510321273089765</v>
          </cell>
          <cell r="CY1405">
            <v>13.473275210017142</v>
          </cell>
        </row>
        <row r="1406">
          <cell r="A1406">
            <v>41506</v>
          </cell>
          <cell r="CF1406">
            <v>19.841004615565812</v>
          </cell>
          <cell r="CG1406">
            <v>22.085252262534414</v>
          </cell>
          <cell r="CH1406">
            <v>18.555263085067214</v>
          </cell>
          <cell r="CI1406">
            <v>14.926604548033502</v>
          </cell>
          <cell r="CJ1406">
            <v>22.183921622100925</v>
          </cell>
          <cell r="CU1406">
            <v>11.582007490834693</v>
          </cell>
          <cell r="CV1406">
            <v>13.67289934744978</v>
          </cell>
          <cell r="CW1406">
            <v>11.062153668663059</v>
          </cell>
          <cell r="CX1406">
            <v>8.6510321273089765</v>
          </cell>
          <cell r="CY1406">
            <v>13.473275210017142</v>
          </cell>
        </row>
        <row r="1407">
          <cell r="A1407">
            <v>41507</v>
          </cell>
          <cell r="CF1407">
            <v>19.75008859895507</v>
          </cell>
          <cell r="CG1407">
            <v>22.085252262534414</v>
          </cell>
          <cell r="CH1407">
            <v>18.555263085067214</v>
          </cell>
          <cell r="CI1407">
            <v>14.926604548033502</v>
          </cell>
          <cell r="CJ1407">
            <v>22.183921622100925</v>
          </cell>
          <cell r="CU1407">
            <v>11.538248387830471</v>
          </cell>
          <cell r="CV1407">
            <v>13.67289934744978</v>
          </cell>
          <cell r="CW1407">
            <v>11.062153668663059</v>
          </cell>
          <cell r="CX1407">
            <v>8.6510321273089765</v>
          </cell>
          <cell r="CY1407">
            <v>13.473275210017142</v>
          </cell>
        </row>
        <row r="1408">
          <cell r="A1408">
            <v>41508</v>
          </cell>
          <cell r="CF1408">
            <v>19.820715166933859</v>
          </cell>
          <cell r="CG1408">
            <v>22.085252262534414</v>
          </cell>
          <cell r="CH1408">
            <v>18.555263085067214</v>
          </cell>
          <cell r="CI1408">
            <v>14.926604548033502</v>
          </cell>
          <cell r="CJ1408">
            <v>22.183921622100925</v>
          </cell>
          <cell r="CU1408">
            <v>11.575901711480135</v>
          </cell>
          <cell r="CV1408">
            <v>13.67289934744978</v>
          </cell>
          <cell r="CW1408">
            <v>11.062153668663059</v>
          </cell>
          <cell r="CX1408">
            <v>8.6510321273089765</v>
          </cell>
          <cell r="CY1408">
            <v>13.473275210017142</v>
          </cell>
        </row>
        <row r="1409">
          <cell r="A1409">
            <v>41509</v>
          </cell>
          <cell r="CF1409">
            <v>19.712431607076663</v>
          </cell>
          <cell r="CG1409">
            <v>22.085252262534414</v>
          </cell>
          <cell r="CH1409">
            <v>18.555263085067214</v>
          </cell>
          <cell r="CI1409">
            <v>14.926604548033502</v>
          </cell>
          <cell r="CJ1409">
            <v>22.183921622100925</v>
          </cell>
          <cell r="CU1409">
            <v>11.518914437504264</v>
          </cell>
          <cell r="CV1409">
            <v>13.67289934744978</v>
          </cell>
          <cell r="CW1409">
            <v>11.062153668663059</v>
          </cell>
          <cell r="CX1409">
            <v>8.6510321273089765</v>
          </cell>
          <cell r="CY1409">
            <v>13.473275210017142</v>
          </cell>
        </row>
        <row r="1410">
          <cell r="A1410">
            <v>41512</v>
          </cell>
          <cell r="CF1410">
            <v>19.748693854181894</v>
          </cell>
          <cell r="CG1410">
            <v>22.085252262534414</v>
          </cell>
          <cell r="CH1410">
            <v>18.555263085067214</v>
          </cell>
          <cell r="CI1410">
            <v>14.926604548033502</v>
          </cell>
          <cell r="CJ1410">
            <v>22.183921622100925</v>
          </cell>
          <cell r="CU1410">
            <v>11.538248387830471</v>
          </cell>
          <cell r="CV1410">
            <v>13.67289934744978</v>
          </cell>
          <cell r="CW1410">
            <v>11.062153668663059</v>
          </cell>
          <cell r="CX1410">
            <v>8.6510321273089765</v>
          </cell>
          <cell r="CY1410">
            <v>13.473275210017142</v>
          </cell>
        </row>
        <row r="1411">
          <cell r="A1411">
            <v>41513</v>
          </cell>
          <cell r="CF1411">
            <v>19.414079913920645</v>
          </cell>
          <cell r="CG1411">
            <v>22.085252262534414</v>
          </cell>
          <cell r="CH1411">
            <v>18.555263085067214</v>
          </cell>
          <cell r="CI1411">
            <v>14.926604548033502</v>
          </cell>
          <cell r="CJ1411">
            <v>22.183921622100925</v>
          </cell>
          <cell r="CU1411">
            <v>11.355964176138837</v>
          </cell>
          <cell r="CV1411">
            <v>13.67289934744978</v>
          </cell>
          <cell r="CW1411">
            <v>11.062153668663059</v>
          </cell>
          <cell r="CX1411">
            <v>8.6510321273089765</v>
          </cell>
          <cell r="CY1411">
            <v>13.473275210017142</v>
          </cell>
        </row>
        <row r="1412">
          <cell r="A1412">
            <v>41514</v>
          </cell>
          <cell r="CF1412">
            <v>19.465591328786587</v>
          </cell>
          <cell r="CG1412">
            <v>22.085252262534414</v>
          </cell>
          <cell r="CH1412">
            <v>18.555263085067214</v>
          </cell>
          <cell r="CI1412">
            <v>14.926604548033502</v>
          </cell>
          <cell r="CJ1412">
            <v>22.183921622100925</v>
          </cell>
          <cell r="CU1412">
            <v>11.383420187096498</v>
          </cell>
          <cell r="CV1412">
            <v>13.67289934744978</v>
          </cell>
          <cell r="CW1412">
            <v>11.062153668663059</v>
          </cell>
          <cell r="CX1412">
            <v>8.6510321273089765</v>
          </cell>
          <cell r="CY1412">
            <v>13.473275210017142</v>
          </cell>
        </row>
        <row r="1413">
          <cell r="A1413">
            <v>41515</v>
          </cell>
          <cell r="CF1413">
            <v>19.448955791066048</v>
          </cell>
          <cell r="CG1413">
            <v>22.085252262534414</v>
          </cell>
          <cell r="CH1413">
            <v>18.555263085067214</v>
          </cell>
          <cell r="CI1413">
            <v>14.926604548033502</v>
          </cell>
          <cell r="CJ1413">
            <v>22.183921622100925</v>
          </cell>
          <cell r="CU1413">
            <v>11.37528507273867</v>
          </cell>
          <cell r="CV1413">
            <v>13.67289934744978</v>
          </cell>
          <cell r="CW1413">
            <v>11.062153668663059</v>
          </cell>
          <cell r="CX1413">
            <v>8.6510321273089765</v>
          </cell>
          <cell r="CY1413">
            <v>13.473275210017142</v>
          </cell>
        </row>
        <row r="1414">
          <cell r="A1414">
            <v>41516</v>
          </cell>
          <cell r="CF1414">
            <v>19.27726128688245</v>
          </cell>
          <cell r="CG1414">
            <v>22.085252262534414</v>
          </cell>
          <cell r="CH1414">
            <v>18.555263085067214</v>
          </cell>
          <cell r="CI1414">
            <v>14.926604548033502</v>
          </cell>
          <cell r="CJ1414">
            <v>22.183921622100925</v>
          </cell>
          <cell r="CU1414">
            <v>11.283764019323838</v>
          </cell>
          <cell r="CV1414">
            <v>13.67289934744978</v>
          </cell>
          <cell r="CW1414">
            <v>11.062153668663059</v>
          </cell>
          <cell r="CX1414">
            <v>8.6510321273089765</v>
          </cell>
          <cell r="CY1414">
            <v>13.473275210017142</v>
          </cell>
        </row>
        <row r="1415">
          <cell r="A1415">
            <v>41519</v>
          </cell>
          <cell r="CF1415">
            <v>19.118539687765171</v>
          </cell>
          <cell r="CG1415">
            <v>22.085252262534414</v>
          </cell>
          <cell r="CH1415">
            <v>18.555263085067214</v>
          </cell>
          <cell r="CI1415">
            <v>14.926604548033502</v>
          </cell>
          <cell r="CJ1415">
            <v>22.183921622100925</v>
          </cell>
          <cell r="CU1415">
            <v>11.21781816608876</v>
          </cell>
          <cell r="CV1415">
            <v>13.67289934744978</v>
          </cell>
          <cell r="CW1415">
            <v>11.062153668663059</v>
          </cell>
          <cell r="CX1415">
            <v>8.6510321273089765</v>
          </cell>
          <cell r="CY1415">
            <v>13.473275210017142</v>
          </cell>
        </row>
        <row r="1416">
          <cell r="A1416">
            <v>41520</v>
          </cell>
          <cell r="CF1416">
            <v>19.254762843998947</v>
          </cell>
          <cell r="CG1416">
            <v>22.085252262534414</v>
          </cell>
          <cell r="CH1416">
            <v>18.555263085067214</v>
          </cell>
          <cell r="CI1416">
            <v>14.926604548033502</v>
          </cell>
          <cell r="CJ1416">
            <v>22.183921622100925</v>
          </cell>
          <cell r="CU1416">
            <v>11.29060629788869</v>
          </cell>
          <cell r="CV1416">
            <v>13.67289934744978</v>
          </cell>
          <cell r="CW1416">
            <v>11.062153668663059</v>
          </cell>
          <cell r="CX1416">
            <v>8.6510321273089765</v>
          </cell>
          <cell r="CY1416">
            <v>13.473275210017142</v>
          </cell>
        </row>
        <row r="1417">
          <cell r="A1417">
            <v>41521</v>
          </cell>
          <cell r="CF1417">
            <v>19.365446050427163</v>
          </cell>
          <cell r="CG1417">
            <v>22.085252262534414</v>
          </cell>
          <cell r="CH1417">
            <v>18.555263085067214</v>
          </cell>
          <cell r="CI1417">
            <v>14.926604548033502</v>
          </cell>
          <cell r="CJ1417">
            <v>22.183921622100925</v>
          </cell>
          <cell r="CU1417">
            <v>11.349747665922406</v>
          </cell>
          <cell r="CV1417">
            <v>13.67289934744978</v>
          </cell>
          <cell r="CW1417">
            <v>11.062153668663059</v>
          </cell>
          <cell r="CX1417">
            <v>8.6510321273089765</v>
          </cell>
          <cell r="CY1417">
            <v>13.473275210017142</v>
          </cell>
        </row>
        <row r="1418">
          <cell r="A1418">
            <v>41522</v>
          </cell>
          <cell r="CF1418">
            <v>19.408013894761936</v>
          </cell>
          <cell r="CG1418">
            <v>22.085252262534414</v>
          </cell>
          <cell r="CH1418">
            <v>18.555263085067214</v>
          </cell>
          <cell r="CI1418">
            <v>14.926604548033502</v>
          </cell>
          <cell r="CJ1418">
            <v>22.183921622100925</v>
          </cell>
          <cell r="CU1418">
            <v>11.372492946163609</v>
          </cell>
          <cell r="CV1418">
            <v>13.67289934744978</v>
          </cell>
          <cell r="CW1418">
            <v>11.062153668663059</v>
          </cell>
          <cell r="CX1418">
            <v>8.6510321273089765</v>
          </cell>
          <cell r="CY1418">
            <v>13.473275210017142</v>
          </cell>
        </row>
        <row r="1419">
          <cell r="A1419">
            <v>41523</v>
          </cell>
          <cell r="CF1419">
            <v>19.392879880502019</v>
          </cell>
          <cell r="CG1419">
            <v>22.085252262534414</v>
          </cell>
          <cell r="CH1419">
            <v>18.555263085067214</v>
          </cell>
          <cell r="CI1419">
            <v>14.926604548033502</v>
          </cell>
          <cell r="CJ1419">
            <v>22.183921622100925</v>
          </cell>
          <cell r="CU1419">
            <v>11.364406386909891</v>
          </cell>
          <cell r="CV1419">
            <v>13.67289934744978</v>
          </cell>
          <cell r="CW1419">
            <v>11.062153668663059</v>
          </cell>
          <cell r="CX1419">
            <v>8.6510321273089765</v>
          </cell>
          <cell r="CY1419">
            <v>13.473275210017142</v>
          </cell>
        </row>
        <row r="1420">
          <cell r="A1420">
            <v>41526</v>
          </cell>
          <cell r="CF1420">
            <v>19.572618767199355</v>
          </cell>
          <cell r="CG1420">
            <v>22.085252262534414</v>
          </cell>
          <cell r="CH1420">
            <v>18.555263085067214</v>
          </cell>
          <cell r="CI1420">
            <v>14.926604548033502</v>
          </cell>
          <cell r="CJ1420">
            <v>22.183921622100925</v>
          </cell>
          <cell r="CU1420">
            <v>11.460446283034797</v>
          </cell>
          <cell r="CV1420">
            <v>13.67289934744978</v>
          </cell>
          <cell r="CW1420">
            <v>11.062153668663059</v>
          </cell>
          <cell r="CX1420">
            <v>8.6510321273089765</v>
          </cell>
          <cell r="CY1420">
            <v>13.473275210017142</v>
          </cell>
        </row>
        <row r="1421">
          <cell r="A1421">
            <v>41527</v>
          </cell>
          <cell r="CF1421">
            <v>19.837497126542797</v>
          </cell>
          <cell r="CG1421">
            <v>22.085252262534414</v>
          </cell>
          <cell r="CH1421">
            <v>18.555263085067214</v>
          </cell>
          <cell r="CI1421">
            <v>14.926604548033502</v>
          </cell>
          <cell r="CJ1421">
            <v>22.183921622100925</v>
          </cell>
          <cell r="CU1421">
            <v>11.601978761534657</v>
          </cell>
          <cell r="CV1421">
            <v>13.67289934744978</v>
          </cell>
          <cell r="CW1421">
            <v>11.062153668663059</v>
          </cell>
          <cell r="CX1421">
            <v>8.6510321273089765</v>
          </cell>
          <cell r="CY1421">
            <v>13.473275210017142</v>
          </cell>
        </row>
        <row r="1422">
          <cell r="A1422">
            <v>41528</v>
          </cell>
          <cell r="CF1422">
            <v>19.97939624761964</v>
          </cell>
          <cell r="CG1422">
            <v>22.085252262534414</v>
          </cell>
          <cell r="CH1422">
            <v>18.555263085067214</v>
          </cell>
          <cell r="CI1422">
            <v>14.926604548033502</v>
          </cell>
          <cell r="CJ1422">
            <v>22.183921622100925</v>
          </cell>
          <cell r="CU1422">
            <v>11.677799732159581</v>
          </cell>
          <cell r="CV1422">
            <v>13.67289934744978</v>
          </cell>
          <cell r="CW1422">
            <v>11.062153668663059</v>
          </cell>
          <cell r="CX1422">
            <v>8.6510321273089765</v>
          </cell>
          <cell r="CY1422">
            <v>13.473275210017142</v>
          </cell>
        </row>
        <row r="1423">
          <cell r="A1423">
            <v>41529</v>
          </cell>
          <cell r="CF1423">
            <v>19.930204552313004</v>
          </cell>
          <cell r="CG1423">
            <v>22.085252262534414</v>
          </cell>
          <cell r="CH1423">
            <v>18.555263085067214</v>
          </cell>
          <cell r="CI1423">
            <v>14.926604548033502</v>
          </cell>
          <cell r="CJ1423">
            <v>22.183921622100925</v>
          </cell>
          <cell r="CU1423">
            <v>11.651515129009608</v>
          </cell>
          <cell r="CV1423">
            <v>13.67289934744978</v>
          </cell>
          <cell r="CW1423">
            <v>11.062153668663059</v>
          </cell>
          <cell r="CX1423">
            <v>8.6510321273089765</v>
          </cell>
          <cell r="CY1423">
            <v>13.473275210017142</v>
          </cell>
        </row>
        <row r="1424">
          <cell r="A1424">
            <v>41530</v>
          </cell>
          <cell r="CF1424">
            <v>19.775059621280707</v>
          </cell>
          <cell r="CG1424">
            <v>22.085252262534414</v>
          </cell>
          <cell r="CH1424">
            <v>18.555263085067214</v>
          </cell>
          <cell r="CI1424">
            <v>14.926604548033502</v>
          </cell>
          <cell r="CJ1424">
            <v>22.183921622100925</v>
          </cell>
          <cell r="CU1424">
            <v>11.568616523513414</v>
          </cell>
          <cell r="CV1424">
            <v>13.67289934744978</v>
          </cell>
          <cell r="CW1424">
            <v>11.062153668663059</v>
          </cell>
          <cell r="CX1424">
            <v>8.6510321273089765</v>
          </cell>
          <cell r="CY1424">
            <v>13.473275210017142</v>
          </cell>
        </row>
        <row r="1425">
          <cell r="A1425">
            <v>41533</v>
          </cell>
          <cell r="CF1425">
            <v>19.981286343912384</v>
          </cell>
          <cell r="CG1425">
            <v>22.085252262534414</v>
          </cell>
          <cell r="CH1425">
            <v>18.555263085067214</v>
          </cell>
          <cell r="CI1425">
            <v>14.926604548033502</v>
          </cell>
          <cell r="CJ1425">
            <v>22.183921622100925</v>
          </cell>
          <cell r="CU1425">
            <v>11.678809667488304</v>
          </cell>
          <cell r="CV1425">
            <v>13.67289934744978</v>
          </cell>
          <cell r="CW1425">
            <v>11.062153668663059</v>
          </cell>
          <cell r="CX1425">
            <v>8.6510321273089765</v>
          </cell>
          <cell r="CY1425">
            <v>13.473275210017142</v>
          </cell>
        </row>
        <row r="1426">
          <cell r="A1426">
            <v>41534</v>
          </cell>
          <cell r="CF1426">
            <v>19.985070320474435</v>
          </cell>
          <cell r="CG1426">
            <v>22.085252262534414</v>
          </cell>
          <cell r="CH1426">
            <v>18.555263085067214</v>
          </cell>
          <cell r="CI1426">
            <v>14.926604548033502</v>
          </cell>
          <cell r="CJ1426">
            <v>22.183921622100925</v>
          </cell>
          <cell r="CU1426">
            <v>11.680831560038305</v>
          </cell>
          <cell r="CV1426">
            <v>13.67289934744978</v>
          </cell>
          <cell r="CW1426">
            <v>11.062153668663059</v>
          </cell>
          <cell r="CX1426">
            <v>8.6510321273089765</v>
          </cell>
          <cell r="CY1426">
            <v>13.473275210017142</v>
          </cell>
        </row>
        <row r="1427">
          <cell r="A1427">
            <v>41535</v>
          </cell>
          <cell r="CF1427">
            <v>19.904095114034863</v>
          </cell>
          <cell r="CG1427">
            <v>22.085252262534414</v>
          </cell>
          <cell r="CH1427">
            <v>18.555263085067214</v>
          </cell>
          <cell r="CI1427">
            <v>14.926604548033502</v>
          </cell>
          <cell r="CJ1427">
            <v>22.183921622100925</v>
          </cell>
          <cell r="CU1427">
            <v>11.637564070414623</v>
          </cell>
          <cell r="CV1427">
            <v>13.67289934744978</v>
          </cell>
          <cell r="CW1427">
            <v>11.062153668663059</v>
          </cell>
          <cell r="CX1427">
            <v>8.6510321273089765</v>
          </cell>
          <cell r="CY1427">
            <v>13.473275210017142</v>
          </cell>
        </row>
        <row r="1428">
          <cell r="A1428">
            <v>41536</v>
          </cell>
          <cell r="CF1428">
            <v>19.949122543134965</v>
          </cell>
          <cell r="CG1428">
            <v>22.085252262534414</v>
          </cell>
          <cell r="CH1428">
            <v>18.555263085067214</v>
          </cell>
          <cell r="CI1428">
            <v>14.926604548033502</v>
          </cell>
          <cell r="CJ1428">
            <v>22.183921622100925</v>
          </cell>
          <cell r="CU1428">
            <v>11.661623580813323</v>
          </cell>
          <cell r="CV1428">
            <v>13.67289934744978</v>
          </cell>
          <cell r="CW1428">
            <v>11.062153668663059</v>
          </cell>
          <cell r="CX1428">
            <v>8.6510321273089765</v>
          </cell>
          <cell r="CY1428">
            <v>13.473275210017142</v>
          </cell>
        </row>
        <row r="1429">
          <cell r="A1429">
            <v>41537</v>
          </cell>
          <cell r="CF1429">
            <v>19.865876950758167</v>
          </cell>
          <cell r="CG1429">
            <v>22.085252262534414</v>
          </cell>
          <cell r="CH1429">
            <v>18.555263085067214</v>
          </cell>
          <cell r="CI1429">
            <v>14.926604548033502</v>
          </cell>
          <cell r="CJ1429">
            <v>22.183921622100925</v>
          </cell>
          <cell r="CU1429">
            <v>11.617142955659642</v>
          </cell>
          <cell r="CV1429">
            <v>13.67289934744978</v>
          </cell>
          <cell r="CW1429">
            <v>11.062153668663059</v>
          </cell>
          <cell r="CX1429">
            <v>8.6510321273089765</v>
          </cell>
          <cell r="CY1429">
            <v>13.473275210017142</v>
          </cell>
        </row>
        <row r="1430">
          <cell r="A1430">
            <v>41540</v>
          </cell>
          <cell r="CF1430">
            <v>19.865876950758167</v>
          </cell>
          <cell r="CG1430">
            <v>22.085252262534414</v>
          </cell>
          <cell r="CH1430">
            <v>18.555263085067214</v>
          </cell>
          <cell r="CI1430">
            <v>14.926604548033502</v>
          </cell>
          <cell r="CJ1430">
            <v>22.183921622100925</v>
          </cell>
          <cell r="CU1430">
            <v>11.617142955659642</v>
          </cell>
          <cell r="CV1430">
            <v>13.67289934744978</v>
          </cell>
          <cell r="CW1430">
            <v>11.062153668663059</v>
          </cell>
          <cell r="CX1430">
            <v>8.6510321273089765</v>
          </cell>
          <cell r="CY1430">
            <v>13.473275210017142</v>
          </cell>
        </row>
        <row r="1431">
          <cell r="A1431">
            <v>41541</v>
          </cell>
          <cell r="CF1431">
            <v>19.689922040622879</v>
          </cell>
          <cell r="CG1431">
            <v>22.085252262534414</v>
          </cell>
          <cell r="CH1431">
            <v>18.555263085067214</v>
          </cell>
          <cell r="CI1431">
            <v>14.926604548033502</v>
          </cell>
          <cell r="CJ1431">
            <v>22.183921622100925</v>
          </cell>
          <cell r="CU1431">
            <v>11.523124952084734</v>
          </cell>
          <cell r="CV1431">
            <v>13.67289934744978</v>
          </cell>
          <cell r="CW1431">
            <v>11.062153668663059</v>
          </cell>
          <cell r="CX1431">
            <v>8.6510321273089765</v>
          </cell>
          <cell r="CY1431">
            <v>13.473275210017142</v>
          </cell>
        </row>
        <row r="1432">
          <cell r="A1432">
            <v>41542</v>
          </cell>
          <cell r="CF1432">
            <v>19.565048922086973</v>
          </cell>
          <cell r="CG1432">
            <v>22.085252262534414</v>
          </cell>
          <cell r="CH1432">
            <v>18.555263085067214</v>
          </cell>
          <cell r="CI1432">
            <v>14.926604548033502</v>
          </cell>
          <cell r="CJ1432">
            <v>22.183921622100925</v>
          </cell>
          <cell r="CU1432">
            <v>11.456401486988524</v>
          </cell>
          <cell r="CV1432">
            <v>13.67289934744978</v>
          </cell>
          <cell r="CW1432">
            <v>11.062153668663059</v>
          </cell>
          <cell r="CX1432">
            <v>8.6510321273089765</v>
          </cell>
          <cell r="CY1432">
            <v>13.473275210017142</v>
          </cell>
        </row>
        <row r="1433">
          <cell r="A1433">
            <v>41543</v>
          </cell>
          <cell r="CF1433">
            <v>19.697488101758697</v>
          </cell>
          <cell r="CG1433">
            <v>22.085252262534414</v>
          </cell>
          <cell r="CH1433">
            <v>18.555263085067214</v>
          </cell>
          <cell r="CI1433">
            <v>14.926604548033502</v>
          </cell>
          <cell r="CJ1433">
            <v>22.183921622100925</v>
          </cell>
          <cell r="CU1433">
            <v>11.527167726238455</v>
          </cell>
          <cell r="CV1433">
            <v>13.67289934744978</v>
          </cell>
          <cell r="CW1433">
            <v>11.062153668663059</v>
          </cell>
          <cell r="CX1433">
            <v>8.6510321273089765</v>
          </cell>
          <cell r="CY1433">
            <v>13.473275210017142</v>
          </cell>
        </row>
        <row r="1434">
          <cell r="A1434">
            <v>41544</v>
          </cell>
          <cell r="CF1434">
            <v>19.57829473204243</v>
          </cell>
          <cell r="CG1434">
            <v>22.085252262534414</v>
          </cell>
          <cell r="CH1434">
            <v>18.555263085067214</v>
          </cell>
          <cell r="CI1434">
            <v>14.926604548033502</v>
          </cell>
          <cell r="CJ1434">
            <v>22.183921622100925</v>
          </cell>
          <cell r="CU1434">
            <v>11.463479121859793</v>
          </cell>
          <cell r="CV1434">
            <v>13.67289934744978</v>
          </cell>
          <cell r="CW1434">
            <v>11.062153668663059</v>
          </cell>
          <cell r="CX1434">
            <v>8.6510321273089765</v>
          </cell>
          <cell r="CY1434">
            <v>13.473275210017142</v>
          </cell>
        </row>
        <row r="1435">
          <cell r="A1435">
            <v>41547</v>
          </cell>
          <cell r="CF1435">
            <v>19.632216398051629</v>
          </cell>
          <cell r="CG1435">
            <v>22.085252262534414</v>
          </cell>
          <cell r="CH1435">
            <v>18.555263085067214</v>
          </cell>
          <cell r="CI1435">
            <v>14.926604548033502</v>
          </cell>
          <cell r="CJ1435">
            <v>22.183921622100925</v>
          </cell>
          <cell r="CU1435">
            <v>11.476361885497168</v>
          </cell>
          <cell r="CV1435">
            <v>13.67289934744978</v>
          </cell>
          <cell r="CW1435">
            <v>11.062153668663059</v>
          </cell>
          <cell r="CX1435">
            <v>8.6510321273089765</v>
          </cell>
          <cell r="CY1435">
            <v>13.473275210017142</v>
          </cell>
        </row>
        <row r="1436">
          <cell r="A1436">
            <v>41548</v>
          </cell>
          <cell r="CF1436">
            <v>19.737797657957866</v>
          </cell>
          <cell r="CG1436">
            <v>22.085252262534414</v>
          </cell>
          <cell r="CH1436">
            <v>18.555263085067214</v>
          </cell>
          <cell r="CI1436">
            <v>14.926604548033502</v>
          </cell>
          <cell r="CJ1436">
            <v>22.183921622100925</v>
          </cell>
          <cell r="CU1436">
            <v>11.557303307307134</v>
          </cell>
          <cell r="CV1436">
            <v>13.67289934744978</v>
          </cell>
          <cell r="CW1436">
            <v>11.062153668663059</v>
          </cell>
          <cell r="CX1436">
            <v>8.6510321273089765</v>
          </cell>
          <cell r="CY1436">
            <v>13.473275210017142</v>
          </cell>
        </row>
        <row r="1437">
          <cell r="A1437">
            <v>41549</v>
          </cell>
          <cell r="CF1437">
            <v>19.724284710786776</v>
          </cell>
          <cell r="CG1437">
            <v>22.085252262534414</v>
          </cell>
          <cell r="CH1437">
            <v>18.555263085067214</v>
          </cell>
          <cell r="CI1437">
            <v>14.926604548033502</v>
          </cell>
          <cell r="CJ1437">
            <v>22.183921622100925</v>
          </cell>
          <cell r="CU1437">
            <v>11.550072433647356</v>
          </cell>
          <cell r="CV1437">
            <v>13.67289934744978</v>
          </cell>
          <cell r="CW1437">
            <v>11.062153668663059</v>
          </cell>
          <cell r="CX1437">
            <v>8.6510321273089765</v>
          </cell>
          <cell r="CY1437">
            <v>13.473275210017142</v>
          </cell>
        </row>
        <row r="1438">
          <cell r="A1438">
            <v>41550</v>
          </cell>
          <cell r="CF1438">
            <v>19.499100200228416</v>
          </cell>
          <cell r="CG1438">
            <v>22.085252262534414</v>
          </cell>
          <cell r="CH1438">
            <v>18.555263085067214</v>
          </cell>
          <cell r="CI1438">
            <v>14.926604548033502</v>
          </cell>
          <cell r="CJ1438">
            <v>22.183921622100925</v>
          </cell>
          <cell r="CU1438">
            <v>11.42957460846015</v>
          </cell>
          <cell r="CV1438">
            <v>13.67289934744978</v>
          </cell>
          <cell r="CW1438">
            <v>11.062153668663059</v>
          </cell>
          <cell r="CX1438">
            <v>8.6510321273089765</v>
          </cell>
          <cell r="CY1438">
            <v>13.473275210017142</v>
          </cell>
        </row>
        <row r="1439">
          <cell r="A1439">
            <v>41551</v>
          </cell>
          <cell r="CF1439">
            <v>19.759938924958515</v>
          </cell>
          <cell r="CG1439">
            <v>22.085252262534414</v>
          </cell>
          <cell r="CH1439">
            <v>18.555263085067214</v>
          </cell>
          <cell r="CI1439">
            <v>14.926604548033502</v>
          </cell>
          <cell r="CJ1439">
            <v>22.183921622100925</v>
          </cell>
          <cell r="CU1439">
            <v>11.569151255968665</v>
          </cell>
          <cell r="CV1439">
            <v>13.67289934744978</v>
          </cell>
          <cell r="CW1439">
            <v>11.062153668663059</v>
          </cell>
          <cell r="CX1439">
            <v>8.6510321273089765</v>
          </cell>
          <cell r="CY1439">
            <v>13.473275210017142</v>
          </cell>
        </row>
        <row r="1440">
          <cell r="A1440">
            <v>41554</v>
          </cell>
          <cell r="CF1440">
            <v>19.482213238474127</v>
          </cell>
          <cell r="CG1440">
            <v>22.085252262534414</v>
          </cell>
          <cell r="CH1440">
            <v>18.555263085067214</v>
          </cell>
          <cell r="CI1440">
            <v>14.926604548033502</v>
          </cell>
          <cell r="CJ1440">
            <v>22.183921622100925</v>
          </cell>
          <cell r="CU1440">
            <v>11.420538275719652</v>
          </cell>
          <cell r="CV1440">
            <v>13.67289934744978</v>
          </cell>
          <cell r="CW1440">
            <v>11.062153668663059</v>
          </cell>
          <cell r="CX1440">
            <v>8.6510321273089765</v>
          </cell>
          <cell r="CY1440">
            <v>13.473275210017142</v>
          </cell>
        </row>
        <row r="1441">
          <cell r="A1441">
            <v>41555</v>
          </cell>
          <cell r="CF1441">
            <v>19.324584081083277</v>
          </cell>
          <cell r="CG1441">
            <v>22.085252262534414</v>
          </cell>
          <cell r="CH1441">
            <v>18.555263085067214</v>
          </cell>
          <cell r="CI1441">
            <v>14.926604548033502</v>
          </cell>
          <cell r="CJ1441">
            <v>22.183921622100925</v>
          </cell>
          <cell r="CU1441">
            <v>11.336189798088611</v>
          </cell>
          <cell r="CV1441">
            <v>13.67289934744978</v>
          </cell>
          <cell r="CW1441">
            <v>11.062153668663059</v>
          </cell>
          <cell r="CX1441">
            <v>8.6510321273089765</v>
          </cell>
          <cell r="CY1441">
            <v>13.473275210017142</v>
          </cell>
        </row>
        <row r="1442">
          <cell r="A1442">
            <v>41556</v>
          </cell>
          <cell r="CF1442">
            <v>19.651099744855308</v>
          </cell>
          <cell r="CG1442">
            <v>22.085252262534414</v>
          </cell>
          <cell r="CH1442">
            <v>18.555263085067214</v>
          </cell>
          <cell r="CI1442">
            <v>14.926604548033502</v>
          </cell>
          <cell r="CJ1442">
            <v>22.183921622100925</v>
          </cell>
          <cell r="CU1442">
            <v>11.510910640461516</v>
          </cell>
          <cell r="CV1442">
            <v>13.67289934744978</v>
          </cell>
          <cell r="CW1442">
            <v>11.062153668663059</v>
          </cell>
          <cell r="CX1442">
            <v>8.6510321273089765</v>
          </cell>
          <cell r="CY1442">
            <v>13.473275210017142</v>
          </cell>
        </row>
        <row r="1443">
          <cell r="A1443">
            <v>41557</v>
          </cell>
          <cell r="CF1443">
            <v>20.032038751754122</v>
          </cell>
          <cell r="CG1443">
            <v>22.085252262534414</v>
          </cell>
          <cell r="CH1443">
            <v>18.555263085067214</v>
          </cell>
          <cell r="CI1443">
            <v>14.926604548033502</v>
          </cell>
          <cell r="CJ1443">
            <v>22.183921622100925</v>
          </cell>
          <cell r="CU1443">
            <v>11.714753798885081</v>
          </cell>
          <cell r="CV1443">
            <v>13.67289934744978</v>
          </cell>
          <cell r="CW1443">
            <v>11.062153668663059</v>
          </cell>
          <cell r="CX1443">
            <v>8.6510321273089765</v>
          </cell>
          <cell r="CY1443">
            <v>13.473275210017142</v>
          </cell>
        </row>
        <row r="1444">
          <cell r="A1444">
            <v>41558</v>
          </cell>
          <cell r="CF1444">
            <v>20.135246442555783</v>
          </cell>
          <cell r="CG1444">
            <v>22.085252262534414</v>
          </cell>
          <cell r="CH1444">
            <v>18.555263085067214</v>
          </cell>
          <cell r="CI1444">
            <v>14.926604548033502</v>
          </cell>
          <cell r="CJ1444">
            <v>22.183921622100925</v>
          </cell>
          <cell r="CU1444">
            <v>11.769980964614009</v>
          </cell>
          <cell r="CV1444">
            <v>13.67289934744978</v>
          </cell>
          <cell r="CW1444">
            <v>11.062153668663059</v>
          </cell>
          <cell r="CX1444">
            <v>8.6510321273089765</v>
          </cell>
          <cell r="CY1444">
            <v>13.473275210017142</v>
          </cell>
        </row>
        <row r="1445">
          <cell r="A1445">
            <v>41561</v>
          </cell>
          <cell r="CF1445">
            <v>20.298507089248183</v>
          </cell>
          <cell r="CG1445">
            <v>22.085252262534414</v>
          </cell>
          <cell r="CH1445">
            <v>18.555263085067214</v>
          </cell>
          <cell r="CI1445">
            <v>14.926604548033502</v>
          </cell>
          <cell r="CJ1445">
            <v>22.183921622100925</v>
          </cell>
          <cell r="CU1445">
            <v>11.857342892023276</v>
          </cell>
          <cell r="CV1445">
            <v>13.67289934744978</v>
          </cell>
          <cell r="CW1445">
            <v>11.062153668663059</v>
          </cell>
          <cell r="CX1445">
            <v>8.6510321273089765</v>
          </cell>
          <cell r="CY1445">
            <v>13.473275210017142</v>
          </cell>
        </row>
        <row r="1446">
          <cell r="A1446">
            <v>41562</v>
          </cell>
          <cell r="CF1446">
            <v>20.347518225055431</v>
          </cell>
          <cell r="CG1446">
            <v>22.085252262534414</v>
          </cell>
          <cell r="CH1446">
            <v>18.555263085067214</v>
          </cell>
          <cell r="CI1446">
            <v>14.926604548033502</v>
          </cell>
          <cell r="CJ1446">
            <v>22.183921622100925</v>
          </cell>
          <cell r="CU1446">
            <v>11.884608184621499</v>
          </cell>
          <cell r="CV1446">
            <v>13.67289934744978</v>
          </cell>
          <cell r="CW1446">
            <v>11.062153668663059</v>
          </cell>
          <cell r="CX1446">
            <v>8.6510321273089765</v>
          </cell>
          <cell r="CY1446">
            <v>13.473275210017142</v>
          </cell>
        </row>
        <row r="1447">
          <cell r="A1447">
            <v>41563</v>
          </cell>
          <cell r="CF1447">
            <v>20.587837935032624</v>
          </cell>
          <cell r="CG1447">
            <v>22.085252262534414</v>
          </cell>
          <cell r="CH1447">
            <v>18.555263085067214</v>
          </cell>
          <cell r="CI1447">
            <v>14.926604548033502</v>
          </cell>
          <cell r="CJ1447">
            <v>22.183921622100925</v>
          </cell>
          <cell r="CU1447">
            <v>12.011538879323327</v>
          </cell>
          <cell r="CV1447">
            <v>13.67289934744978</v>
          </cell>
          <cell r="CW1447">
            <v>11.062153668663059</v>
          </cell>
          <cell r="CX1447">
            <v>8.6510321273089765</v>
          </cell>
          <cell r="CY1447">
            <v>13.473275210017142</v>
          </cell>
        </row>
        <row r="1448">
          <cell r="A1448">
            <v>41564</v>
          </cell>
          <cell r="CF1448">
            <v>20.8244342029328</v>
          </cell>
          <cell r="CG1448">
            <v>22.085252262534414</v>
          </cell>
          <cell r="CH1448">
            <v>18.555263085067214</v>
          </cell>
          <cell r="CI1448">
            <v>14.926604548033502</v>
          </cell>
          <cell r="CJ1448">
            <v>22.183921622100925</v>
          </cell>
          <cell r="CU1448">
            <v>12.138138248674721</v>
          </cell>
          <cell r="CV1448">
            <v>13.67289934744978</v>
          </cell>
          <cell r="CW1448">
            <v>11.062153668663059</v>
          </cell>
          <cell r="CX1448">
            <v>8.6510321273089765</v>
          </cell>
          <cell r="CY1448">
            <v>13.473275210017142</v>
          </cell>
        </row>
        <row r="1449">
          <cell r="A1449">
            <v>41565</v>
          </cell>
          <cell r="CF1449">
            <v>20.918246412154048</v>
          </cell>
          <cell r="CG1449">
            <v>22.085252262534414</v>
          </cell>
          <cell r="CH1449">
            <v>18.555263085067214</v>
          </cell>
          <cell r="CI1449">
            <v>14.926604548033502</v>
          </cell>
          <cell r="CJ1449">
            <v>22.183921622100925</v>
          </cell>
          <cell r="CU1449">
            <v>12.188335855890916</v>
          </cell>
          <cell r="CV1449">
            <v>13.67289934744978</v>
          </cell>
          <cell r="CW1449">
            <v>11.062153668663059</v>
          </cell>
          <cell r="CX1449">
            <v>8.6510321273089765</v>
          </cell>
          <cell r="CY1449">
            <v>13.473275210017142</v>
          </cell>
        </row>
        <row r="1450">
          <cell r="A1450">
            <v>41568</v>
          </cell>
          <cell r="CF1450">
            <v>20.890102749387676</v>
          </cell>
          <cell r="CG1450">
            <v>22.085252262534414</v>
          </cell>
          <cell r="CH1450">
            <v>18.555263085067214</v>
          </cell>
          <cell r="CI1450">
            <v>14.926604548033502</v>
          </cell>
          <cell r="CJ1450">
            <v>22.183921622100925</v>
          </cell>
          <cell r="CU1450">
            <v>12.17327657372606</v>
          </cell>
          <cell r="CV1450">
            <v>13.67289934744978</v>
          </cell>
          <cell r="CW1450">
            <v>11.062153668663059</v>
          </cell>
          <cell r="CX1450">
            <v>8.6510321273089765</v>
          </cell>
          <cell r="CY1450">
            <v>13.473275210017142</v>
          </cell>
        </row>
        <row r="1451">
          <cell r="A1451">
            <v>41569</v>
          </cell>
          <cell r="CF1451">
            <v>20.882595896405789</v>
          </cell>
          <cell r="CG1451">
            <v>22.085252262534414</v>
          </cell>
          <cell r="CH1451">
            <v>18.555263085067214</v>
          </cell>
          <cell r="CI1451">
            <v>14.926604548033502</v>
          </cell>
          <cell r="CJ1451">
            <v>22.183921622100925</v>
          </cell>
          <cell r="CU1451">
            <v>12.169259761196619</v>
          </cell>
          <cell r="CV1451">
            <v>13.67289934744978</v>
          </cell>
          <cell r="CW1451">
            <v>11.062153668663059</v>
          </cell>
          <cell r="CX1451">
            <v>8.6510321273089765</v>
          </cell>
          <cell r="CY1451">
            <v>13.473275210017142</v>
          </cell>
        </row>
        <row r="1452">
          <cell r="A1452">
            <v>41570</v>
          </cell>
          <cell r="CF1452">
            <v>20.980162470240071</v>
          </cell>
          <cell r="CG1452">
            <v>22.085252262534414</v>
          </cell>
          <cell r="CH1452">
            <v>18.555263085067214</v>
          </cell>
          <cell r="CI1452">
            <v>14.926604548033502</v>
          </cell>
          <cell r="CJ1452">
            <v>22.183921622100925</v>
          </cell>
          <cell r="CU1452">
            <v>12.221466276653606</v>
          </cell>
          <cell r="CV1452">
            <v>13.67289934744978</v>
          </cell>
          <cell r="CW1452">
            <v>11.062153668663059</v>
          </cell>
          <cell r="CX1452">
            <v>8.6510321273089765</v>
          </cell>
          <cell r="CY1452">
            <v>13.473275210017142</v>
          </cell>
        </row>
        <row r="1453">
          <cell r="A1453">
            <v>41571</v>
          </cell>
          <cell r="CF1453">
            <v>20.809422373213213</v>
          </cell>
          <cell r="CG1453">
            <v>22.085252262534414</v>
          </cell>
          <cell r="CH1453">
            <v>18.555263085067214</v>
          </cell>
          <cell r="CI1453">
            <v>14.926604548033502</v>
          </cell>
          <cell r="CJ1453">
            <v>22.183921622100925</v>
          </cell>
          <cell r="CU1453">
            <v>12.130105627567984</v>
          </cell>
          <cell r="CV1453">
            <v>13.67289934744978</v>
          </cell>
          <cell r="CW1453">
            <v>11.062153668663059</v>
          </cell>
          <cell r="CX1453">
            <v>8.6510321273089765</v>
          </cell>
          <cell r="CY1453">
            <v>13.473275210017142</v>
          </cell>
        </row>
        <row r="1454">
          <cell r="A1454">
            <v>41572</v>
          </cell>
          <cell r="CF1454">
            <v>20.831939179670499</v>
          </cell>
          <cell r="CG1454">
            <v>22.085252262534414</v>
          </cell>
          <cell r="CH1454">
            <v>18.555263085067214</v>
          </cell>
          <cell r="CI1454">
            <v>14.926604548033502</v>
          </cell>
          <cell r="CJ1454">
            <v>22.183921622100925</v>
          </cell>
          <cell r="CU1454">
            <v>12.060042787581535</v>
          </cell>
          <cell r="CV1454">
            <v>13.67289934744978</v>
          </cell>
          <cell r="CW1454">
            <v>11.062153668663059</v>
          </cell>
          <cell r="CX1454">
            <v>8.6510321273089765</v>
          </cell>
          <cell r="CY1454">
            <v>13.473275210017142</v>
          </cell>
        </row>
        <row r="1455">
          <cell r="A1455">
            <v>41575</v>
          </cell>
          <cell r="CF1455">
            <v>20.967028760949098</v>
          </cell>
          <cell r="CG1455">
            <v>22.085252262534414</v>
          </cell>
          <cell r="CH1455">
            <v>18.555263085067214</v>
          </cell>
          <cell r="CI1455">
            <v>14.926604548033502</v>
          </cell>
          <cell r="CJ1455">
            <v>22.183921622100925</v>
          </cell>
          <cell r="CU1455">
            <v>12.131794872242493</v>
          </cell>
          <cell r="CV1455">
            <v>13.67289934744978</v>
          </cell>
          <cell r="CW1455">
            <v>11.062153668663059</v>
          </cell>
          <cell r="CX1455">
            <v>8.6510321273089765</v>
          </cell>
          <cell r="CY1455">
            <v>13.473275210017142</v>
          </cell>
        </row>
        <row r="1456">
          <cell r="A1456">
            <v>41576</v>
          </cell>
          <cell r="CF1456">
            <v>21.197806795633369</v>
          </cell>
          <cell r="CG1456">
            <v>22.085252262534414</v>
          </cell>
          <cell r="CH1456">
            <v>18.555263085067214</v>
          </cell>
          <cell r="CI1456">
            <v>14.926604548033502</v>
          </cell>
          <cell r="CJ1456">
            <v>22.183921622100925</v>
          </cell>
          <cell r="CU1456">
            <v>12.254371350204959</v>
          </cell>
          <cell r="CV1456">
            <v>13.67289934744978</v>
          </cell>
          <cell r="CW1456">
            <v>11.062153668663059</v>
          </cell>
          <cell r="CX1456">
            <v>8.6510321273089765</v>
          </cell>
          <cell r="CY1456">
            <v>13.473275210017142</v>
          </cell>
        </row>
        <row r="1457">
          <cell r="A1457">
            <v>41577</v>
          </cell>
          <cell r="CF1457">
            <v>21.010182377190873</v>
          </cell>
          <cell r="CG1457">
            <v>22.085252262534414</v>
          </cell>
          <cell r="CH1457">
            <v>18.555263085067214</v>
          </cell>
          <cell r="CI1457">
            <v>14.926604548033502</v>
          </cell>
          <cell r="CJ1457">
            <v>22.183921622100925</v>
          </cell>
          <cell r="CU1457">
            <v>12.154715677064743</v>
          </cell>
          <cell r="CV1457">
            <v>13.67289934744978</v>
          </cell>
          <cell r="CW1457">
            <v>11.062153668663059</v>
          </cell>
          <cell r="CX1457">
            <v>8.6510321273089765</v>
          </cell>
          <cell r="CY1457">
            <v>13.473275210017142</v>
          </cell>
        </row>
        <row r="1458">
          <cell r="A1458">
            <v>41578</v>
          </cell>
          <cell r="CF1458">
            <v>21.097067527005869</v>
          </cell>
          <cell r="CG1458">
            <v>22.085252262534414</v>
          </cell>
          <cell r="CH1458">
            <v>18.555263085067214</v>
          </cell>
          <cell r="CI1458">
            <v>14.926604548033502</v>
          </cell>
          <cell r="CJ1458">
            <v>22.183921622100925</v>
          </cell>
          <cell r="CU1458">
            <v>12.199560729977842</v>
          </cell>
          <cell r="CV1458">
            <v>13.67289934744978</v>
          </cell>
          <cell r="CW1458">
            <v>11.062153668663059</v>
          </cell>
          <cell r="CX1458">
            <v>8.6510321273089765</v>
          </cell>
          <cell r="CY1458">
            <v>13.473275210017142</v>
          </cell>
        </row>
        <row r="1459">
          <cell r="A1459">
            <v>41579</v>
          </cell>
          <cell r="CF1459">
            <v>20.916920471150846</v>
          </cell>
          <cell r="CG1459">
            <v>22.085252262534414</v>
          </cell>
          <cell r="CH1459">
            <v>18.555263085067214</v>
          </cell>
          <cell r="CI1459">
            <v>14.926604548033502</v>
          </cell>
          <cell r="CJ1459">
            <v>22.183921622100925</v>
          </cell>
          <cell r="CU1459">
            <v>12.128647761184537</v>
          </cell>
          <cell r="CV1459">
            <v>13.67289934744978</v>
          </cell>
          <cell r="CW1459">
            <v>11.062153668663059</v>
          </cell>
          <cell r="CX1459">
            <v>8.6510321273089765</v>
          </cell>
          <cell r="CY1459">
            <v>13.473275210017142</v>
          </cell>
        </row>
        <row r="1460">
          <cell r="A1460">
            <v>41582</v>
          </cell>
          <cell r="CF1460">
            <v>21.049072313340204</v>
          </cell>
          <cell r="CG1460">
            <v>22.085252262534414</v>
          </cell>
          <cell r="CH1460">
            <v>18.555263085067214</v>
          </cell>
          <cell r="CI1460">
            <v>14.926604548033502</v>
          </cell>
          <cell r="CJ1460">
            <v>22.183921622100925</v>
          </cell>
          <cell r="CU1460">
            <v>12.198466644162922</v>
          </cell>
          <cell r="CV1460">
            <v>13.67289934744978</v>
          </cell>
          <cell r="CW1460">
            <v>11.062153668663059</v>
          </cell>
          <cell r="CX1460">
            <v>8.6510321273089765</v>
          </cell>
          <cell r="CY1460">
            <v>13.473275210017142</v>
          </cell>
        </row>
        <row r="1461">
          <cell r="A1461">
            <v>41583</v>
          </cell>
          <cell r="CF1461">
            <v>20.522196346600364</v>
          </cell>
          <cell r="CG1461">
            <v>22.085252262534414</v>
          </cell>
          <cell r="CH1461">
            <v>18.555263085067214</v>
          </cell>
          <cell r="CI1461">
            <v>14.926604548033502</v>
          </cell>
          <cell r="CJ1461">
            <v>22.183921622100925</v>
          </cell>
          <cell r="CU1461">
            <v>11.950415605322974</v>
          </cell>
          <cell r="CV1461">
            <v>13.67289934744978</v>
          </cell>
          <cell r="CW1461">
            <v>11.062153668663059</v>
          </cell>
          <cell r="CX1461">
            <v>8.6510321273089765</v>
          </cell>
          <cell r="CY1461">
            <v>13.473275210017142</v>
          </cell>
        </row>
        <row r="1462">
          <cell r="A1462">
            <v>41584</v>
          </cell>
          <cell r="CF1462">
            <v>20.443872126532085</v>
          </cell>
          <cell r="CG1462">
            <v>22.085252262534414</v>
          </cell>
          <cell r="CH1462">
            <v>18.555263085067214</v>
          </cell>
          <cell r="CI1462">
            <v>14.926604548033502</v>
          </cell>
          <cell r="CJ1462">
            <v>22.183921622100925</v>
          </cell>
          <cell r="CU1462">
            <v>11.969975331504516</v>
          </cell>
          <cell r="CV1462">
            <v>13.67289934744978</v>
          </cell>
          <cell r="CW1462">
            <v>11.062153668663059</v>
          </cell>
          <cell r="CX1462">
            <v>8.6510321273089765</v>
          </cell>
          <cell r="CY1462">
            <v>13.473275210017142</v>
          </cell>
        </row>
        <row r="1463">
          <cell r="A1463">
            <v>41585</v>
          </cell>
          <cell r="CF1463">
            <v>20.284064715827501</v>
          </cell>
          <cell r="CG1463">
            <v>22.085252262534414</v>
          </cell>
          <cell r="CH1463">
            <v>18.555263085067214</v>
          </cell>
          <cell r="CI1463">
            <v>14.926604548033502</v>
          </cell>
          <cell r="CJ1463">
            <v>22.183921622100925</v>
          </cell>
          <cell r="CU1463">
            <v>11.891001582855893</v>
          </cell>
          <cell r="CV1463">
            <v>13.67289934744978</v>
          </cell>
          <cell r="CW1463">
            <v>11.062153668663059</v>
          </cell>
          <cell r="CX1463">
            <v>8.6510321273089765</v>
          </cell>
          <cell r="CY1463">
            <v>13.473275210017142</v>
          </cell>
        </row>
        <row r="1464">
          <cell r="A1464">
            <v>41586</v>
          </cell>
          <cell r="CF1464">
            <v>20.619210122553213</v>
          </cell>
          <cell r="CG1464">
            <v>22.085252262534414</v>
          </cell>
          <cell r="CH1464">
            <v>18.555263085067214</v>
          </cell>
          <cell r="CI1464">
            <v>14.926604548033502</v>
          </cell>
          <cell r="CJ1464">
            <v>22.183921622100925</v>
          </cell>
          <cell r="CU1464">
            <v>12.002692824919935</v>
          </cell>
          <cell r="CV1464">
            <v>13.67289934744978</v>
          </cell>
          <cell r="CW1464">
            <v>11.062153668663059</v>
          </cell>
          <cell r="CX1464">
            <v>8.6510321273089765</v>
          </cell>
          <cell r="CY1464">
            <v>13.473275210017142</v>
          </cell>
        </row>
        <row r="1465">
          <cell r="A1465">
            <v>41589</v>
          </cell>
          <cell r="CF1465">
            <v>20.637760918884794</v>
          </cell>
          <cell r="CG1465">
            <v>22.085252262534414</v>
          </cell>
          <cell r="CH1465">
            <v>18.555263085067214</v>
          </cell>
          <cell r="CI1465">
            <v>14.926604548033502</v>
          </cell>
          <cell r="CJ1465">
            <v>22.183921622100925</v>
          </cell>
          <cell r="CU1465">
            <v>12.012641746355081</v>
          </cell>
          <cell r="CV1465">
            <v>13.67289934744978</v>
          </cell>
          <cell r="CW1465">
            <v>11.062153668663059</v>
          </cell>
          <cell r="CX1465">
            <v>8.6510321273089765</v>
          </cell>
          <cell r="CY1465">
            <v>13.473275210017142</v>
          </cell>
        </row>
        <row r="1466">
          <cell r="A1466">
            <v>41590</v>
          </cell>
          <cell r="CF1466">
            <v>20.858513540150984</v>
          </cell>
          <cell r="CG1466">
            <v>22.085252262534414</v>
          </cell>
          <cell r="CH1466">
            <v>18.555263085067214</v>
          </cell>
          <cell r="CI1466">
            <v>14.926604548033502</v>
          </cell>
          <cell r="CJ1466">
            <v>22.183921622100925</v>
          </cell>
          <cell r="CU1466">
            <v>12.131032916541184</v>
          </cell>
          <cell r="CV1466">
            <v>13.67289934744978</v>
          </cell>
          <cell r="CW1466">
            <v>11.062153668663059</v>
          </cell>
          <cell r="CX1466">
            <v>8.6510321273089765</v>
          </cell>
          <cell r="CY1466">
            <v>13.473275210017142</v>
          </cell>
        </row>
        <row r="1467">
          <cell r="A1467">
            <v>41591</v>
          </cell>
          <cell r="CF1467">
            <v>21.042132974592374</v>
          </cell>
          <cell r="CG1467">
            <v>22.085252262534414</v>
          </cell>
          <cell r="CH1467">
            <v>18.555263085067214</v>
          </cell>
          <cell r="CI1467">
            <v>14.926604548033502</v>
          </cell>
          <cell r="CJ1467">
            <v>22.183921622100925</v>
          </cell>
          <cell r="CU1467">
            <v>12.226543557210736</v>
          </cell>
          <cell r="CV1467">
            <v>13.67289934744978</v>
          </cell>
          <cell r="CW1467">
            <v>11.062153668663059</v>
          </cell>
          <cell r="CX1467">
            <v>8.6510321273089765</v>
          </cell>
          <cell r="CY1467">
            <v>13.473275210017142</v>
          </cell>
        </row>
        <row r="1468">
          <cell r="A1468">
            <v>41592</v>
          </cell>
          <cell r="CF1468">
            <v>21.300056826750076</v>
          </cell>
          <cell r="CG1468">
            <v>22.085252262534414</v>
          </cell>
          <cell r="CH1468">
            <v>18.555263085067214</v>
          </cell>
          <cell r="CI1468">
            <v>14.926604548033502</v>
          </cell>
          <cell r="CJ1468">
            <v>22.183921622100925</v>
          </cell>
          <cell r="CU1468">
            <v>12.363428329065755</v>
          </cell>
          <cell r="CV1468">
            <v>13.67289934744978</v>
          </cell>
          <cell r="CW1468">
            <v>11.062153668663059</v>
          </cell>
          <cell r="CX1468">
            <v>8.6510321273089765</v>
          </cell>
          <cell r="CY1468">
            <v>13.473275210017142</v>
          </cell>
        </row>
        <row r="1469">
          <cell r="A1469">
            <v>41593</v>
          </cell>
          <cell r="CF1469">
            <v>21.142331752237435</v>
          </cell>
          <cell r="CG1469">
            <v>22.085252262534414</v>
          </cell>
          <cell r="CH1469">
            <v>18.555263085067214</v>
          </cell>
          <cell r="CI1469">
            <v>14.926604548033502</v>
          </cell>
          <cell r="CJ1469">
            <v>22.183921622100925</v>
          </cell>
          <cell r="CU1469">
            <v>12.278871112808455</v>
          </cell>
          <cell r="CV1469">
            <v>13.67289934744978</v>
          </cell>
          <cell r="CW1469">
            <v>11.062153668663059</v>
          </cell>
          <cell r="CX1469">
            <v>8.6510321273089765</v>
          </cell>
          <cell r="CY1469">
            <v>13.473275210017142</v>
          </cell>
        </row>
        <row r="1470">
          <cell r="A1470">
            <v>41596</v>
          </cell>
          <cell r="CF1470">
            <v>21.071822051099737</v>
          </cell>
          <cell r="CG1470">
            <v>22.085252262534414</v>
          </cell>
          <cell r="CH1470">
            <v>18.555263085067214</v>
          </cell>
          <cell r="CI1470">
            <v>14.926604548033502</v>
          </cell>
          <cell r="CJ1470">
            <v>22.183921622100925</v>
          </cell>
          <cell r="CU1470">
            <v>12.241070502691384</v>
          </cell>
          <cell r="CV1470">
            <v>13.67289934744978</v>
          </cell>
          <cell r="CW1470">
            <v>11.062153668663059</v>
          </cell>
          <cell r="CX1470">
            <v>8.6510321273089765</v>
          </cell>
          <cell r="CY1470">
            <v>13.473275210017142</v>
          </cell>
        </row>
        <row r="1471">
          <cell r="A1471">
            <v>41597</v>
          </cell>
          <cell r="CF1471">
            <v>20.962341725911557</v>
          </cell>
          <cell r="CG1471">
            <v>22.085252262534414</v>
          </cell>
          <cell r="CH1471">
            <v>18.555263085067214</v>
          </cell>
          <cell r="CI1471">
            <v>14.926604548033502</v>
          </cell>
          <cell r="CJ1471">
            <v>22.183921622100925</v>
          </cell>
          <cell r="CU1471">
            <v>12.182377542415656</v>
          </cell>
          <cell r="CV1471">
            <v>13.67289934744978</v>
          </cell>
          <cell r="CW1471">
            <v>11.062153668663059</v>
          </cell>
          <cell r="CX1471">
            <v>8.6510321273089765</v>
          </cell>
          <cell r="CY1471">
            <v>13.473275210017142</v>
          </cell>
        </row>
        <row r="1472">
          <cell r="A1472">
            <v>41598</v>
          </cell>
          <cell r="CF1472">
            <v>21.019866167211852</v>
          </cell>
          <cell r="CG1472">
            <v>22.085252262534414</v>
          </cell>
          <cell r="CH1472">
            <v>18.555263085067214</v>
          </cell>
          <cell r="CI1472">
            <v>14.926604548033502</v>
          </cell>
          <cell r="CJ1472">
            <v>22.183921622100925</v>
          </cell>
          <cell r="CU1472">
            <v>12.213216688557379</v>
          </cell>
          <cell r="CV1472">
            <v>13.67289934744978</v>
          </cell>
          <cell r="CW1472">
            <v>11.062153668663059</v>
          </cell>
          <cell r="CX1472">
            <v>8.6510321273089765</v>
          </cell>
          <cell r="CY1472">
            <v>13.473275210017142</v>
          </cell>
        </row>
        <row r="1473">
          <cell r="A1473">
            <v>41599</v>
          </cell>
          <cell r="CF1473">
            <v>21.249954654576623</v>
          </cell>
          <cell r="CG1473">
            <v>22.085252262534414</v>
          </cell>
          <cell r="CH1473">
            <v>18.555263085067214</v>
          </cell>
          <cell r="CI1473">
            <v>14.926604548033502</v>
          </cell>
          <cell r="CJ1473">
            <v>22.183921622100925</v>
          </cell>
          <cell r="CU1473">
            <v>12.336568299228892</v>
          </cell>
          <cell r="CV1473">
            <v>13.67289934744978</v>
          </cell>
          <cell r="CW1473">
            <v>11.062153668663059</v>
          </cell>
          <cell r="CX1473">
            <v>8.6510321273089765</v>
          </cell>
          <cell r="CY1473">
            <v>13.473275210017142</v>
          </cell>
        </row>
        <row r="1474">
          <cell r="A1474">
            <v>41600</v>
          </cell>
          <cell r="CF1474">
            <v>21.251812077425615</v>
          </cell>
          <cell r="CG1474">
            <v>22.085252262534414</v>
          </cell>
          <cell r="CH1474">
            <v>18.555263085067214</v>
          </cell>
          <cell r="CI1474">
            <v>14.926604548033502</v>
          </cell>
          <cell r="CJ1474">
            <v>22.183921622100925</v>
          </cell>
          <cell r="CU1474">
            <v>12.337564073084181</v>
          </cell>
          <cell r="CV1474">
            <v>13.67289934744978</v>
          </cell>
          <cell r="CW1474">
            <v>11.062153668663059</v>
          </cell>
          <cell r="CX1474">
            <v>8.6510321273089765</v>
          </cell>
          <cell r="CY1474">
            <v>13.473275210017142</v>
          </cell>
        </row>
        <row r="1475">
          <cell r="A1475">
            <v>41603</v>
          </cell>
          <cell r="CF1475">
            <v>21.288923423059817</v>
          </cell>
          <cell r="CG1475">
            <v>22.085252262534414</v>
          </cell>
          <cell r="CH1475">
            <v>18.555263085067214</v>
          </cell>
          <cell r="CI1475">
            <v>14.926604548033502</v>
          </cell>
          <cell r="CJ1475">
            <v>22.183921622100925</v>
          </cell>
          <cell r="CU1475">
            <v>12.357459654608471</v>
          </cell>
          <cell r="CV1475">
            <v>13.67289934744978</v>
          </cell>
          <cell r="CW1475">
            <v>11.062153668663059</v>
          </cell>
          <cell r="CX1475">
            <v>8.6510321273089765</v>
          </cell>
          <cell r="CY1475">
            <v>13.473275210017142</v>
          </cell>
        </row>
        <row r="1476">
          <cell r="A1476">
            <v>41604</v>
          </cell>
          <cell r="CF1476">
            <v>21.245843768267232</v>
          </cell>
          <cell r="CG1476">
            <v>22.085252262534414</v>
          </cell>
          <cell r="CH1476">
            <v>18.555263085067214</v>
          </cell>
          <cell r="CI1476">
            <v>14.926604548033502</v>
          </cell>
          <cell r="CJ1476">
            <v>22.183921622100925</v>
          </cell>
          <cell r="CU1476">
            <v>12.326518442161303</v>
          </cell>
          <cell r="CV1476">
            <v>13.67289934744978</v>
          </cell>
          <cell r="CW1476">
            <v>11.062153668663059</v>
          </cell>
          <cell r="CX1476">
            <v>8.6510321273089765</v>
          </cell>
          <cell r="CY1476">
            <v>13.473275210017142</v>
          </cell>
        </row>
        <row r="1477">
          <cell r="A1477">
            <v>41605</v>
          </cell>
          <cell r="CF1477">
            <v>21.256660589664971</v>
          </cell>
          <cell r="CG1477">
            <v>22.085252262534414</v>
          </cell>
          <cell r="CH1477">
            <v>18.555263085067214</v>
          </cell>
          <cell r="CI1477">
            <v>14.926604548033502</v>
          </cell>
          <cell r="CJ1477">
            <v>22.183921622100925</v>
          </cell>
          <cell r="CU1477">
            <v>12.332489445034398</v>
          </cell>
          <cell r="CV1477">
            <v>13.67289934744978</v>
          </cell>
          <cell r="CW1477">
            <v>11.062153668663059</v>
          </cell>
          <cell r="CX1477">
            <v>8.6510321273089765</v>
          </cell>
          <cell r="CY1477">
            <v>13.473275210017142</v>
          </cell>
        </row>
        <row r="1478">
          <cell r="A1478">
            <v>41606</v>
          </cell>
          <cell r="CF1478">
            <v>21.256660589664971</v>
          </cell>
          <cell r="CG1478">
            <v>22.085252262534414</v>
          </cell>
          <cell r="CH1478">
            <v>18.555263085067214</v>
          </cell>
          <cell r="CI1478">
            <v>14.926604548033502</v>
          </cell>
          <cell r="CJ1478">
            <v>22.183921622100925</v>
          </cell>
          <cell r="CU1478">
            <v>12.332489445034398</v>
          </cell>
          <cell r="CV1478">
            <v>13.67289934744978</v>
          </cell>
          <cell r="CW1478">
            <v>11.062153668663059</v>
          </cell>
          <cell r="CX1478">
            <v>8.6510321273089765</v>
          </cell>
          <cell r="CY1478">
            <v>13.473275210017142</v>
          </cell>
        </row>
        <row r="1479">
          <cell r="A1479">
            <v>41607</v>
          </cell>
          <cell r="CF1479">
            <v>21.180487011858027</v>
          </cell>
          <cell r="CG1479">
            <v>22.085252262534414</v>
          </cell>
          <cell r="CH1479">
            <v>18.555263085067214</v>
          </cell>
          <cell r="CI1479">
            <v>14.926604548033502</v>
          </cell>
          <cell r="CJ1479">
            <v>22.183921622100925</v>
          </cell>
          <cell r="CU1479">
            <v>12.291681785958886</v>
          </cell>
          <cell r="CV1479">
            <v>13.67289934744978</v>
          </cell>
          <cell r="CW1479">
            <v>11.062153668663059</v>
          </cell>
          <cell r="CX1479">
            <v>8.6510321273089765</v>
          </cell>
          <cell r="CY1479">
            <v>13.473275210017142</v>
          </cell>
        </row>
        <row r="1480">
          <cell r="A1480">
            <v>41610</v>
          </cell>
          <cell r="CF1480">
            <v>21.120530777736821</v>
          </cell>
          <cell r="CG1480">
            <v>22.085252262534414</v>
          </cell>
          <cell r="CH1480">
            <v>18.555263085067214</v>
          </cell>
          <cell r="CI1480">
            <v>14.926604548033502</v>
          </cell>
          <cell r="CJ1480">
            <v>22.183921622100925</v>
          </cell>
          <cell r="CU1480">
            <v>12.285048604456744</v>
          </cell>
          <cell r="CV1480">
            <v>13.67289934744978</v>
          </cell>
          <cell r="CW1480">
            <v>11.062153668663059</v>
          </cell>
          <cell r="CX1480">
            <v>8.6510321273089765</v>
          </cell>
          <cell r="CY1480">
            <v>13.473275210017142</v>
          </cell>
        </row>
        <row r="1481">
          <cell r="A1481">
            <v>41611</v>
          </cell>
          <cell r="CF1481">
            <v>21.120530777736821</v>
          </cell>
          <cell r="CG1481">
            <v>22.085252262534414</v>
          </cell>
          <cell r="CH1481">
            <v>18.555263085067214</v>
          </cell>
          <cell r="CI1481">
            <v>14.926604548033502</v>
          </cell>
          <cell r="CJ1481">
            <v>22.183921622100925</v>
          </cell>
          <cell r="CU1481">
            <v>12.285048604456744</v>
          </cell>
          <cell r="CV1481">
            <v>13.67289934744978</v>
          </cell>
          <cell r="CW1481">
            <v>11.062153668663059</v>
          </cell>
          <cell r="CX1481">
            <v>8.6510321273089765</v>
          </cell>
          <cell r="CY1481">
            <v>13.473275210017142</v>
          </cell>
        </row>
        <row r="1482">
          <cell r="A1482">
            <v>41612</v>
          </cell>
          <cell r="CF1482">
            <v>20.954662734979728</v>
          </cell>
          <cell r="CG1482">
            <v>22.085252262534414</v>
          </cell>
          <cell r="CH1482">
            <v>18.555263085067214</v>
          </cell>
          <cell r="CI1482">
            <v>14.926604548033502</v>
          </cell>
          <cell r="CJ1482">
            <v>22.183921622100925</v>
          </cell>
          <cell r="CU1482">
            <v>12.195949865375189</v>
          </cell>
          <cell r="CV1482">
            <v>13.67289934744978</v>
          </cell>
          <cell r="CW1482">
            <v>11.062153668663059</v>
          </cell>
          <cell r="CX1482">
            <v>8.6510321273089765</v>
          </cell>
          <cell r="CY1482">
            <v>13.473275210017142</v>
          </cell>
        </row>
        <row r="1483">
          <cell r="A1483">
            <v>41613</v>
          </cell>
          <cell r="CF1483">
            <v>20.72429045337265</v>
          </cell>
          <cell r="CG1483">
            <v>22.085252262534414</v>
          </cell>
          <cell r="CH1483">
            <v>18.555263085067214</v>
          </cell>
          <cell r="CI1483">
            <v>14.926604548033502</v>
          </cell>
          <cell r="CJ1483">
            <v>22.183921622100925</v>
          </cell>
          <cell r="CU1483">
            <v>12.072201616650812</v>
          </cell>
          <cell r="CV1483">
            <v>13.67289934744978</v>
          </cell>
          <cell r="CW1483">
            <v>11.062153668663059</v>
          </cell>
          <cell r="CX1483">
            <v>8.6510321273089765</v>
          </cell>
          <cell r="CY1483">
            <v>13.473275210017142</v>
          </cell>
        </row>
        <row r="1484">
          <cell r="A1484">
            <v>41614</v>
          </cell>
          <cell r="CF1484">
            <v>20.987834500552893</v>
          </cell>
          <cell r="CG1484">
            <v>22.085252262534414</v>
          </cell>
          <cell r="CH1484">
            <v>18.555263085067214</v>
          </cell>
          <cell r="CI1484">
            <v>14.926604548033502</v>
          </cell>
          <cell r="CJ1484">
            <v>22.183921622100925</v>
          </cell>
          <cell r="CU1484">
            <v>12.213768623205514</v>
          </cell>
          <cell r="CV1484">
            <v>13.67289934744978</v>
          </cell>
          <cell r="CW1484">
            <v>11.062153668663059</v>
          </cell>
          <cell r="CX1484">
            <v>8.6510321273089765</v>
          </cell>
          <cell r="CY1484">
            <v>13.473275210017142</v>
          </cell>
        </row>
        <row r="1485">
          <cell r="A1485">
            <v>41617</v>
          </cell>
          <cell r="CF1485">
            <v>20.914117213416883</v>
          </cell>
          <cell r="CG1485">
            <v>22.085252262534414</v>
          </cell>
          <cell r="CH1485">
            <v>18.555263085067214</v>
          </cell>
          <cell r="CI1485">
            <v>14.926604548033502</v>
          </cell>
          <cell r="CJ1485">
            <v>22.183921622100925</v>
          </cell>
          <cell r="CU1485">
            <v>12.1741701735997</v>
          </cell>
          <cell r="CV1485">
            <v>13.67289934744978</v>
          </cell>
          <cell r="CW1485">
            <v>11.062153668663059</v>
          </cell>
          <cell r="CX1485">
            <v>8.6510321273089765</v>
          </cell>
          <cell r="CY1485">
            <v>13.473275210017142</v>
          </cell>
        </row>
        <row r="1486">
          <cell r="A1486">
            <v>41618</v>
          </cell>
          <cell r="CF1486">
            <v>21.234793586435678</v>
          </cell>
          <cell r="CG1486">
            <v>22.085252262534414</v>
          </cell>
          <cell r="CH1486">
            <v>18.555263085067214</v>
          </cell>
          <cell r="CI1486">
            <v>14.926604548033502</v>
          </cell>
          <cell r="CJ1486">
            <v>22.183921622100925</v>
          </cell>
          <cell r="CU1486">
            <v>12.342199891944409</v>
          </cell>
          <cell r="CV1486">
            <v>13.67289934744978</v>
          </cell>
          <cell r="CW1486">
            <v>11.062153668663059</v>
          </cell>
          <cell r="CX1486">
            <v>8.6510321273089765</v>
          </cell>
          <cell r="CY1486">
            <v>13.473275210017142</v>
          </cell>
        </row>
        <row r="1487">
          <cell r="A1487">
            <v>41619</v>
          </cell>
          <cell r="CF1487">
            <v>20.782977155490052</v>
          </cell>
          <cell r="CG1487">
            <v>22.085252262534414</v>
          </cell>
          <cell r="CH1487">
            <v>18.555263085067214</v>
          </cell>
          <cell r="CI1487">
            <v>14.926604548033502</v>
          </cell>
          <cell r="CJ1487">
            <v>22.183921622100925</v>
          </cell>
          <cell r="CU1487">
            <v>12.097406841687473</v>
          </cell>
          <cell r="CV1487">
            <v>13.67289934744978</v>
          </cell>
          <cell r="CW1487">
            <v>11.062153668663059</v>
          </cell>
          <cell r="CX1487">
            <v>8.6510321273089765</v>
          </cell>
          <cell r="CY1487">
            <v>13.473275210017142</v>
          </cell>
        </row>
        <row r="1488">
          <cell r="A1488">
            <v>41620</v>
          </cell>
          <cell r="CF1488">
            <v>20.604887044721067</v>
          </cell>
          <cell r="CG1488">
            <v>22.085252262534414</v>
          </cell>
          <cell r="CH1488">
            <v>18.555263085067214</v>
          </cell>
          <cell r="CI1488">
            <v>14.926604548033502</v>
          </cell>
          <cell r="CJ1488">
            <v>22.183921622100925</v>
          </cell>
          <cell r="CU1488">
            <v>12.002528083320552</v>
          </cell>
          <cell r="CV1488">
            <v>13.67289934744978</v>
          </cell>
          <cell r="CW1488">
            <v>11.062153668663059</v>
          </cell>
          <cell r="CX1488">
            <v>8.6510321273089765</v>
          </cell>
          <cell r="CY1488">
            <v>13.473275210017142</v>
          </cell>
        </row>
        <row r="1489">
          <cell r="A1489">
            <v>41621</v>
          </cell>
          <cell r="CF1489">
            <v>20.692327148527646</v>
          </cell>
          <cell r="CG1489">
            <v>22.085252262534414</v>
          </cell>
          <cell r="CH1489">
            <v>18.555263085067214</v>
          </cell>
          <cell r="CI1489">
            <v>14.926604548033502</v>
          </cell>
          <cell r="CJ1489">
            <v>22.183921622100925</v>
          </cell>
          <cell r="CU1489">
            <v>12.069822733438716</v>
          </cell>
          <cell r="CV1489">
            <v>13.67289934744978</v>
          </cell>
          <cell r="CW1489">
            <v>11.062153668663059</v>
          </cell>
          <cell r="CX1489">
            <v>8.6510321273089765</v>
          </cell>
          <cell r="CY1489">
            <v>13.473275210017142</v>
          </cell>
        </row>
        <row r="1490">
          <cell r="A1490">
            <v>41624</v>
          </cell>
          <cell r="CF1490">
            <v>20.694175205390934</v>
          </cell>
          <cell r="CG1490">
            <v>22.085252262534414</v>
          </cell>
          <cell r="CH1490">
            <v>18.555263085067214</v>
          </cell>
          <cell r="CI1490">
            <v>14.926604548033502</v>
          </cell>
          <cell r="CJ1490">
            <v>22.183921622100925</v>
          </cell>
          <cell r="CU1490">
            <v>12.070816529596515</v>
          </cell>
          <cell r="CV1490">
            <v>13.67289934744978</v>
          </cell>
          <cell r="CW1490">
            <v>11.062153668663059</v>
          </cell>
          <cell r="CX1490">
            <v>8.6510321273089765</v>
          </cell>
          <cell r="CY1490">
            <v>13.473275210017142</v>
          </cell>
        </row>
        <row r="1491">
          <cell r="A1491">
            <v>41625</v>
          </cell>
          <cell r="CF1491">
            <v>20.56678667035909</v>
          </cell>
          <cell r="CG1491">
            <v>22.085252262534414</v>
          </cell>
          <cell r="CH1491">
            <v>18.555263085067214</v>
          </cell>
          <cell r="CI1491">
            <v>14.926604548033502</v>
          </cell>
          <cell r="CJ1491">
            <v>22.183921622100925</v>
          </cell>
          <cell r="CU1491">
            <v>12.002687850756935</v>
          </cell>
          <cell r="CV1491">
            <v>13.67289934744978</v>
          </cell>
          <cell r="CW1491">
            <v>11.062153668663059</v>
          </cell>
          <cell r="CX1491">
            <v>8.6510321273089765</v>
          </cell>
          <cell r="CY1491">
            <v>13.473275210017142</v>
          </cell>
        </row>
        <row r="1492">
          <cell r="A1492">
            <v>41626</v>
          </cell>
          <cell r="CF1492">
            <v>20.889873534570295</v>
          </cell>
          <cell r="CG1492">
            <v>22.085252262534414</v>
          </cell>
          <cell r="CH1492">
            <v>18.555263085067214</v>
          </cell>
          <cell r="CI1492">
            <v>14.926604548033502</v>
          </cell>
          <cell r="CJ1492">
            <v>22.183921622100925</v>
          </cell>
          <cell r="CU1492">
            <v>12.176433862550116</v>
          </cell>
          <cell r="CV1492">
            <v>13.67289934744978</v>
          </cell>
          <cell r="CW1492">
            <v>11.062153668663059</v>
          </cell>
          <cell r="CX1492">
            <v>8.6510321273089765</v>
          </cell>
          <cell r="CY1492">
            <v>13.473275210017142</v>
          </cell>
        </row>
        <row r="1493">
          <cell r="A1493">
            <v>41627</v>
          </cell>
          <cell r="CF1493">
            <v>20.686788516569738</v>
          </cell>
          <cell r="CG1493">
            <v>22.085252262534414</v>
          </cell>
          <cell r="CH1493">
            <v>18.555263085067214</v>
          </cell>
          <cell r="CI1493">
            <v>14.926604548033502</v>
          </cell>
          <cell r="CJ1493">
            <v>22.183921622100925</v>
          </cell>
          <cell r="CU1493">
            <v>12.067221090874336</v>
          </cell>
          <cell r="CV1493">
            <v>13.67289934744978</v>
          </cell>
          <cell r="CW1493">
            <v>11.062153668663059</v>
          </cell>
          <cell r="CX1493">
            <v>8.6510321273089765</v>
          </cell>
          <cell r="CY1493">
            <v>13.473275210017142</v>
          </cell>
        </row>
        <row r="1494">
          <cell r="A1494">
            <v>41628</v>
          </cell>
          <cell r="CF1494">
            <v>20.836331579433214</v>
          </cell>
          <cell r="CG1494">
            <v>22.085252262534414</v>
          </cell>
          <cell r="CH1494">
            <v>18.555263085067214</v>
          </cell>
          <cell r="CI1494">
            <v>14.926604548033502</v>
          </cell>
          <cell r="CJ1494">
            <v>22.183921622100925</v>
          </cell>
          <cell r="CU1494">
            <v>12.147640673475752</v>
          </cell>
          <cell r="CV1494">
            <v>13.67289934744978</v>
          </cell>
          <cell r="CW1494">
            <v>11.062153668663059</v>
          </cell>
          <cell r="CX1494">
            <v>8.6510321273089765</v>
          </cell>
          <cell r="CY1494">
            <v>13.473275210017142</v>
          </cell>
        </row>
        <row r="1495">
          <cell r="A1495">
            <v>41631</v>
          </cell>
          <cell r="CF1495">
            <v>21.011723437644235</v>
          </cell>
          <cell r="CG1495">
            <v>22.085252262534414</v>
          </cell>
          <cell r="CH1495">
            <v>18.555263085067214</v>
          </cell>
          <cell r="CI1495">
            <v>14.926604548033502</v>
          </cell>
          <cell r="CJ1495">
            <v>22.183921622100925</v>
          </cell>
          <cell r="CU1495">
            <v>12.241960929854972</v>
          </cell>
          <cell r="CV1495">
            <v>13.67289934744978</v>
          </cell>
          <cell r="CW1495">
            <v>11.062153668663059</v>
          </cell>
          <cell r="CX1495">
            <v>8.6510321273089765</v>
          </cell>
          <cell r="CY1495">
            <v>13.473275210017142</v>
          </cell>
        </row>
        <row r="1496">
          <cell r="A1496">
            <v>41632</v>
          </cell>
          <cell r="CF1496">
            <v>21.089264285054924</v>
          </cell>
          <cell r="CG1496">
            <v>22.085252262534414</v>
          </cell>
          <cell r="CH1496">
            <v>18.555263085067214</v>
          </cell>
          <cell r="CI1496">
            <v>14.926604548033502</v>
          </cell>
          <cell r="CJ1496">
            <v>22.183921622100925</v>
          </cell>
          <cell r="CU1496">
            <v>12.283659972685339</v>
          </cell>
          <cell r="CV1496">
            <v>13.67289934744978</v>
          </cell>
          <cell r="CW1496">
            <v>11.062153668663059</v>
          </cell>
          <cell r="CX1496">
            <v>8.6510321273089765</v>
          </cell>
          <cell r="CY1496">
            <v>13.473275210017142</v>
          </cell>
        </row>
        <row r="1497">
          <cell r="A1497">
            <v>41633</v>
          </cell>
          <cell r="CF1497">
            <v>21.089264285054924</v>
          </cell>
          <cell r="CG1497">
            <v>22.085252262534414</v>
          </cell>
          <cell r="CH1497">
            <v>18.555263085067214</v>
          </cell>
          <cell r="CI1497">
            <v>14.926604548033502</v>
          </cell>
          <cell r="CJ1497">
            <v>22.183921622100925</v>
          </cell>
          <cell r="CU1497">
            <v>12.283659972685339</v>
          </cell>
          <cell r="CV1497">
            <v>13.67289934744978</v>
          </cell>
          <cell r="CW1497">
            <v>11.062153668663059</v>
          </cell>
          <cell r="CX1497">
            <v>8.6510321273089765</v>
          </cell>
          <cell r="CY1497">
            <v>13.473275210017142</v>
          </cell>
        </row>
        <row r="1498">
          <cell r="A1498">
            <v>41634</v>
          </cell>
          <cell r="CF1498">
            <v>21.089264285054924</v>
          </cell>
          <cell r="CG1498">
            <v>22.085252262534414</v>
          </cell>
          <cell r="CH1498">
            <v>18.555263085067214</v>
          </cell>
          <cell r="CI1498">
            <v>14.926604548033502</v>
          </cell>
          <cell r="CJ1498">
            <v>22.183921622100925</v>
          </cell>
          <cell r="CU1498">
            <v>12.283659972685339</v>
          </cell>
          <cell r="CV1498">
            <v>13.67289934744978</v>
          </cell>
          <cell r="CW1498">
            <v>11.062153668663059</v>
          </cell>
          <cell r="CX1498">
            <v>8.6510321273089765</v>
          </cell>
          <cell r="CY1498">
            <v>13.473275210017142</v>
          </cell>
        </row>
        <row r="1499">
          <cell r="A1499">
            <v>41635</v>
          </cell>
          <cell r="CF1499">
            <v>21.126188498107634</v>
          </cell>
          <cell r="CG1499">
            <v>22.085252262534414</v>
          </cell>
          <cell r="CH1499">
            <v>18.555263085067214</v>
          </cell>
          <cell r="CI1499">
            <v>14.926604548033502</v>
          </cell>
          <cell r="CJ1499">
            <v>22.183921622100925</v>
          </cell>
          <cell r="CU1499">
            <v>12.303516659747416</v>
          </cell>
          <cell r="CV1499">
            <v>13.67289934744978</v>
          </cell>
          <cell r="CW1499">
            <v>11.062153668663059</v>
          </cell>
          <cell r="CX1499">
            <v>8.6510321273089765</v>
          </cell>
          <cell r="CY1499">
            <v>13.473275210017142</v>
          </cell>
        </row>
        <row r="1500">
          <cell r="A1500">
            <v>41638</v>
          </cell>
          <cell r="CF1500">
            <v>21.139111972676083</v>
          </cell>
          <cell r="CG1500">
            <v>22.085252262534414</v>
          </cell>
          <cell r="CH1500">
            <v>18.555263085067214</v>
          </cell>
          <cell r="CI1500">
            <v>14.926604548033502</v>
          </cell>
          <cell r="CJ1500">
            <v>22.183921622100925</v>
          </cell>
          <cell r="CU1500">
            <v>12.310466500219142</v>
          </cell>
          <cell r="CV1500">
            <v>13.67289934744978</v>
          </cell>
          <cell r="CW1500">
            <v>11.062153668663059</v>
          </cell>
          <cell r="CX1500">
            <v>8.6510321273089765</v>
          </cell>
          <cell r="CY1500">
            <v>13.473275210017142</v>
          </cell>
        </row>
        <row r="1501">
          <cell r="A1501">
            <v>41639</v>
          </cell>
          <cell r="CF1501">
            <v>21.094802917012832</v>
          </cell>
          <cell r="CG1501">
            <v>22.085252262534414</v>
          </cell>
          <cell r="CH1501">
            <v>18.555263085067214</v>
          </cell>
          <cell r="CI1501">
            <v>14.926604548033502</v>
          </cell>
          <cell r="CJ1501">
            <v>22.183921622100925</v>
          </cell>
          <cell r="CU1501">
            <v>12.286638475744651</v>
          </cell>
          <cell r="CV1501">
            <v>13.67289934744978</v>
          </cell>
          <cell r="CW1501">
            <v>11.062153668663059</v>
          </cell>
          <cell r="CX1501">
            <v>8.6510321273089765</v>
          </cell>
          <cell r="CY1501">
            <v>13.473275210017142</v>
          </cell>
        </row>
        <row r="1502">
          <cell r="A1502">
            <v>41640</v>
          </cell>
          <cell r="CF1502">
            <v>20.915209747009747</v>
          </cell>
          <cell r="CG1502">
            <v>22.085252262534414</v>
          </cell>
          <cell r="CH1502">
            <v>18.555263085067214</v>
          </cell>
          <cell r="CI1502">
            <v>14.926604548033502</v>
          </cell>
          <cell r="CJ1502">
            <v>22.183921622100925</v>
          </cell>
          <cell r="CU1502">
            <v>12.228673667593444</v>
          </cell>
          <cell r="CV1502">
            <v>13.67289934744978</v>
          </cell>
          <cell r="CW1502">
            <v>11.062153668663059</v>
          </cell>
          <cell r="CX1502">
            <v>8.6510321273089765</v>
          </cell>
          <cell r="CY1502">
            <v>13.473275210017142</v>
          </cell>
        </row>
        <row r="1503">
          <cell r="A1503">
            <v>41641</v>
          </cell>
          <cell r="CF1503">
            <v>20.774261808053001</v>
          </cell>
          <cell r="CG1503">
            <v>22.085252262534414</v>
          </cell>
          <cell r="CH1503">
            <v>18.555263085067214</v>
          </cell>
          <cell r="CI1503">
            <v>14.926604548033502</v>
          </cell>
          <cell r="CJ1503">
            <v>22.183921622100925</v>
          </cell>
          <cell r="CU1503">
            <v>12.152586083123373</v>
          </cell>
          <cell r="CV1503">
            <v>13.67289934744978</v>
          </cell>
          <cell r="CW1503">
            <v>11.062153668663059</v>
          </cell>
          <cell r="CX1503">
            <v>8.6510321273089765</v>
          </cell>
          <cell r="CY1503">
            <v>13.473275210017142</v>
          </cell>
        </row>
        <row r="1504">
          <cell r="A1504">
            <v>41642</v>
          </cell>
          <cell r="CF1504">
            <v>20.851140671536694</v>
          </cell>
          <cell r="CG1504">
            <v>22.085252262534414</v>
          </cell>
          <cell r="CH1504">
            <v>18.555263085067214</v>
          </cell>
          <cell r="CI1504">
            <v>14.926604548033502</v>
          </cell>
          <cell r="CJ1504">
            <v>22.183921622100925</v>
          </cell>
          <cell r="CU1504">
            <v>12.194087413774779</v>
          </cell>
          <cell r="CV1504">
            <v>13.67289934744978</v>
          </cell>
          <cell r="CW1504">
            <v>11.062153668663059</v>
          </cell>
          <cell r="CX1504">
            <v>8.6510321273089765</v>
          </cell>
          <cell r="CY1504">
            <v>13.473275210017142</v>
          </cell>
        </row>
        <row r="1505">
          <cell r="A1505">
            <v>41645</v>
          </cell>
          <cell r="CF1505">
            <v>20.815774443579297</v>
          </cell>
          <cell r="CG1505">
            <v>22.085252262534414</v>
          </cell>
          <cell r="CH1505">
            <v>18.555263085067214</v>
          </cell>
          <cell r="CI1505">
            <v>14.926604548033502</v>
          </cell>
          <cell r="CJ1505">
            <v>22.183921622100925</v>
          </cell>
          <cell r="CU1505">
            <v>12.169205356029021</v>
          </cell>
          <cell r="CV1505">
            <v>13.67289934744978</v>
          </cell>
          <cell r="CW1505">
            <v>11.062153668663059</v>
          </cell>
          <cell r="CX1505">
            <v>8.6510321273089765</v>
          </cell>
          <cell r="CY1505">
            <v>13.473275210017142</v>
          </cell>
        </row>
        <row r="1506">
          <cell r="A1506">
            <v>41646</v>
          </cell>
          <cell r="CF1506">
            <v>21.135840663768736</v>
          </cell>
          <cell r="CG1506">
            <v>22.085252262534414</v>
          </cell>
          <cell r="CH1506">
            <v>18.555263085067214</v>
          </cell>
          <cell r="CI1506">
            <v>14.926604548033502</v>
          </cell>
          <cell r="CJ1506">
            <v>22.183921622100925</v>
          </cell>
          <cell r="CU1506">
            <v>12.30875060272885</v>
          </cell>
          <cell r="CV1506">
            <v>13.67289934744978</v>
          </cell>
          <cell r="CW1506">
            <v>11.062153668663059</v>
          </cell>
          <cell r="CX1506">
            <v>8.6510321273089765</v>
          </cell>
          <cell r="CY1506">
            <v>13.473275210017142</v>
          </cell>
        </row>
        <row r="1507">
          <cell r="A1507">
            <v>41647</v>
          </cell>
          <cell r="CF1507">
            <v>21.491403713436718</v>
          </cell>
          <cell r="CG1507">
            <v>22.085252262534414</v>
          </cell>
          <cell r="CH1507">
            <v>18.555263085067214</v>
          </cell>
          <cell r="CI1507">
            <v>14.926604548033502</v>
          </cell>
          <cell r="CJ1507">
            <v>22.183921622100925</v>
          </cell>
          <cell r="CU1507">
            <v>12.498857612484965</v>
          </cell>
          <cell r="CV1507">
            <v>13.67289934744978</v>
          </cell>
          <cell r="CW1507">
            <v>11.062153668663059</v>
          </cell>
          <cell r="CX1507">
            <v>8.6510321273089765</v>
          </cell>
          <cell r="CY1507">
            <v>13.473275210017142</v>
          </cell>
        </row>
        <row r="1508">
          <cell r="A1508">
            <v>41648</v>
          </cell>
          <cell r="CF1508">
            <v>21.554871036198275</v>
          </cell>
          <cell r="CG1508">
            <v>22.085252262534414</v>
          </cell>
          <cell r="CH1508">
            <v>18.555263085067214</v>
          </cell>
          <cell r="CI1508">
            <v>14.926604548033502</v>
          </cell>
          <cell r="CJ1508">
            <v>22.183921622100925</v>
          </cell>
          <cell r="CU1508">
            <v>12.533202272509801</v>
          </cell>
          <cell r="CV1508">
            <v>13.67289934744978</v>
          </cell>
          <cell r="CW1508">
            <v>11.062153668663059</v>
          </cell>
          <cell r="CX1508">
            <v>8.6510321273089765</v>
          </cell>
          <cell r="CY1508">
            <v>13.473275210017142</v>
          </cell>
        </row>
        <row r="1509">
          <cell r="A1509">
            <v>41649</v>
          </cell>
          <cell r="CF1509">
            <v>21.310950518218664</v>
          </cell>
          <cell r="CG1509">
            <v>22.085252262534414</v>
          </cell>
          <cell r="CH1509">
            <v>18.555263085067214</v>
          </cell>
          <cell r="CI1509">
            <v>14.926604548033502</v>
          </cell>
          <cell r="CJ1509">
            <v>22.183921622100925</v>
          </cell>
          <cell r="CU1509">
            <v>12.401972979173511</v>
          </cell>
          <cell r="CV1509">
            <v>13.67289934744978</v>
          </cell>
          <cell r="CW1509">
            <v>11.062153668663059</v>
          </cell>
          <cell r="CX1509">
            <v>8.6510321273089765</v>
          </cell>
          <cell r="CY1509">
            <v>13.473275210017142</v>
          </cell>
        </row>
        <row r="1510">
          <cell r="A1510">
            <v>41652</v>
          </cell>
          <cell r="CF1510">
            <v>20.971377857687202</v>
          </cell>
          <cell r="CG1510">
            <v>22.085252262534414</v>
          </cell>
          <cell r="CH1510">
            <v>18.555263085067214</v>
          </cell>
          <cell r="CI1510">
            <v>14.926604548033502</v>
          </cell>
          <cell r="CJ1510">
            <v>22.183921622100925</v>
          </cell>
          <cell r="CU1510">
            <v>12.224747810578101</v>
          </cell>
          <cell r="CV1510">
            <v>13.67289934744978</v>
          </cell>
          <cell r="CW1510">
            <v>11.062153668663059</v>
          </cell>
          <cell r="CX1510">
            <v>8.6510321273089765</v>
          </cell>
          <cell r="CY1510">
            <v>13.473275210017142</v>
          </cell>
        </row>
        <row r="1511">
          <cell r="A1511">
            <v>41653</v>
          </cell>
          <cell r="CF1511">
            <v>21.169515274241331</v>
          </cell>
          <cell r="CG1511">
            <v>22.085252262534414</v>
          </cell>
          <cell r="CH1511">
            <v>18.555263085067214</v>
          </cell>
          <cell r="CI1511">
            <v>14.926604548033502</v>
          </cell>
          <cell r="CJ1511">
            <v>22.183921622100925</v>
          </cell>
          <cell r="CU1511">
            <v>12.331390710833086</v>
          </cell>
          <cell r="CV1511">
            <v>13.67289934744978</v>
          </cell>
          <cell r="CW1511">
            <v>11.062153668663059</v>
          </cell>
          <cell r="CX1511">
            <v>8.6510321273089765</v>
          </cell>
          <cell r="CY1511">
            <v>13.473275210017142</v>
          </cell>
        </row>
        <row r="1512">
          <cell r="A1512">
            <v>41654</v>
          </cell>
          <cell r="CF1512">
            <v>21.244732273697835</v>
          </cell>
          <cell r="CG1512">
            <v>22.085252262534414</v>
          </cell>
          <cell r="CH1512">
            <v>18.555263085067214</v>
          </cell>
          <cell r="CI1512">
            <v>14.926604548033502</v>
          </cell>
          <cell r="CJ1512">
            <v>22.183921622100925</v>
          </cell>
          <cell r="CU1512">
            <v>12.371874528125256</v>
          </cell>
          <cell r="CV1512">
            <v>13.67289934744978</v>
          </cell>
          <cell r="CW1512">
            <v>11.062153668663059</v>
          </cell>
          <cell r="CX1512">
            <v>8.6510321273089765</v>
          </cell>
          <cell r="CY1512">
            <v>13.473275210017142</v>
          </cell>
        </row>
        <row r="1513">
          <cell r="A1513">
            <v>41655</v>
          </cell>
          <cell r="CF1513">
            <v>21.245924140969443</v>
          </cell>
          <cell r="CG1513">
            <v>22.085252262534414</v>
          </cell>
          <cell r="CH1513">
            <v>18.555263085067214</v>
          </cell>
          <cell r="CI1513">
            <v>14.926604548033502</v>
          </cell>
          <cell r="CJ1513">
            <v>22.183921622100925</v>
          </cell>
          <cell r="CU1513">
            <v>12.373399108915256</v>
          </cell>
          <cell r="CV1513">
            <v>13.67289934744978</v>
          </cell>
          <cell r="CW1513">
            <v>11.062153668663059</v>
          </cell>
          <cell r="CX1513">
            <v>8.6510321273089765</v>
          </cell>
          <cell r="CY1513">
            <v>13.473275210017142</v>
          </cell>
        </row>
        <row r="1514">
          <cell r="A1514">
            <v>41656</v>
          </cell>
          <cell r="CF1514">
            <v>21.315653271340206</v>
          </cell>
          <cell r="CG1514">
            <v>22.085252262534414</v>
          </cell>
          <cell r="CH1514">
            <v>18.555263085067214</v>
          </cell>
          <cell r="CI1514">
            <v>14.926604548033502</v>
          </cell>
          <cell r="CJ1514">
            <v>22.183921622100925</v>
          </cell>
          <cell r="CU1514">
            <v>12.410931235277248</v>
          </cell>
          <cell r="CV1514">
            <v>13.67289934744978</v>
          </cell>
          <cell r="CW1514">
            <v>11.062153668663059</v>
          </cell>
          <cell r="CX1514">
            <v>8.6510321273089765</v>
          </cell>
          <cell r="CY1514">
            <v>13.473275210017142</v>
          </cell>
        </row>
        <row r="1515">
          <cell r="A1515">
            <v>41659</v>
          </cell>
          <cell r="CF1515">
            <v>21.315653271340206</v>
          </cell>
          <cell r="CG1515">
            <v>22.085252262534414</v>
          </cell>
          <cell r="CH1515">
            <v>18.555263085067214</v>
          </cell>
          <cell r="CI1515">
            <v>14.926604548033502</v>
          </cell>
          <cell r="CJ1515">
            <v>22.183921622100925</v>
          </cell>
          <cell r="CU1515">
            <v>12.410931235277248</v>
          </cell>
          <cell r="CV1515">
            <v>13.67289934744978</v>
          </cell>
          <cell r="CW1515">
            <v>11.062153668663059</v>
          </cell>
          <cell r="CX1515">
            <v>8.6510321273089765</v>
          </cell>
          <cell r="CY1515">
            <v>13.473275210017142</v>
          </cell>
        </row>
        <row r="1516">
          <cell r="A1516">
            <v>41660</v>
          </cell>
          <cell r="CF1516">
            <v>21.482642418235383</v>
          </cell>
          <cell r="CG1516">
            <v>22.085252262534414</v>
          </cell>
          <cell r="CH1516">
            <v>18.555263085067214</v>
          </cell>
          <cell r="CI1516">
            <v>14.926604548033502</v>
          </cell>
          <cell r="CJ1516">
            <v>22.183921622100925</v>
          </cell>
          <cell r="CU1516">
            <v>12.500814154066367</v>
          </cell>
          <cell r="CV1516">
            <v>13.67289934744978</v>
          </cell>
          <cell r="CW1516">
            <v>11.062153668663059</v>
          </cell>
          <cell r="CX1516">
            <v>8.6510321273089765</v>
          </cell>
          <cell r="CY1516">
            <v>13.473275210017142</v>
          </cell>
        </row>
        <row r="1517">
          <cell r="A1517">
            <v>41661</v>
          </cell>
          <cell r="CF1517">
            <v>21.627607590217803</v>
          </cell>
          <cell r="CG1517">
            <v>22.085252262534414</v>
          </cell>
          <cell r="CH1517">
            <v>18.555263085067214</v>
          </cell>
          <cell r="CI1517">
            <v>14.926604548033502</v>
          </cell>
          <cell r="CJ1517">
            <v>22.183921622100925</v>
          </cell>
          <cell r="CU1517">
            <v>12.578842535088793</v>
          </cell>
          <cell r="CV1517">
            <v>13.67289934744978</v>
          </cell>
          <cell r="CW1517">
            <v>11.062153668663059</v>
          </cell>
          <cell r="CX1517">
            <v>8.6510321273089765</v>
          </cell>
          <cell r="CY1517">
            <v>13.473275210017142</v>
          </cell>
        </row>
        <row r="1518">
          <cell r="A1518">
            <v>41662</v>
          </cell>
          <cell r="CF1518">
            <v>21.44227185932181</v>
          </cell>
          <cell r="CG1518">
            <v>22.085252262534414</v>
          </cell>
          <cell r="CH1518">
            <v>18.555263085067214</v>
          </cell>
          <cell r="CI1518">
            <v>14.926604548033502</v>
          </cell>
          <cell r="CJ1518">
            <v>22.183921622100925</v>
          </cell>
          <cell r="CU1518">
            <v>12.479084456443697</v>
          </cell>
          <cell r="CV1518">
            <v>13.67289934744978</v>
          </cell>
          <cell r="CW1518">
            <v>11.062153668663059</v>
          </cell>
          <cell r="CX1518">
            <v>8.6510321273089765</v>
          </cell>
          <cell r="CY1518">
            <v>13.473275210017142</v>
          </cell>
        </row>
        <row r="1519">
          <cell r="A1519">
            <v>41663</v>
          </cell>
          <cell r="CF1519">
            <v>21.09545205774613</v>
          </cell>
          <cell r="CG1519">
            <v>22.085252262534414</v>
          </cell>
          <cell r="CH1519">
            <v>18.555263085067214</v>
          </cell>
          <cell r="CI1519">
            <v>14.926604548033502</v>
          </cell>
          <cell r="CJ1519">
            <v>22.183921622100925</v>
          </cell>
          <cell r="CU1519">
            <v>12.292406599594395</v>
          </cell>
          <cell r="CV1519">
            <v>13.67289934744978</v>
          </cell>
          <cell r="CW1519">
            <v>11.062153668663059</v>
          </cell>
          <cell r="CX1519">
            <v>8.6510321273089765</v>
          </cell>
          <cell r="CY1519">
            <v>13.473275210017142</v>
          </cell>
        </row>
        <row r="1520">
          <cell r="A1520">
            <v>41666</v>
          </cell>
          <cell r="CF1520">
            <v>20.724775090877934</v>
          </cell>
          <cell r="CG1520">
            <v>22.085252262534414</v>
          </cell>
          <cell r="CH1520">
            <v>18.555263085067214</v>
          </cell>
          <cell r="CI1520">
            <v>14.926604548033502</v>
          </cell>
          <cell r="CJ1520">
            <v>22.183921622100925</v>
          </cell>
          <cell r="CU1520">
            <v>12.092887479163618</v>
          </cell>
          <cell r="CV1520">
            <v>13.67289934744978</v>
          </cell>
          <cell r="CW1520">
            <v>11.062153668663059</v>
          </cell>
          <cell r="CX1520">
            <v>8.6510321273089765</v>
          </cell>
          <cell r="CY1520">
            <v>13.473275210017142</v>
          </cell>
        </row>
        <row r="1521">
          <cell r="A1521">
            <v>41667</v>
          </cell>
          <cell r="CF1521">
            <v>20.953194860815852</v>
          </cell>
          <cell r="CG1521">
            <v>22.085252262534414</v>
          </cell>
          <cell r="CH1521">
            <v>18.555263085067214</v>
          </cell>
          <cell r="CI1521">
            <v>14.926604548033502</v>
          </cell>
          <cell r="CJ1521">
            <v>22.183921622100925</v>
          </cell>
          <cell r="CU1521">
            <v>12.216525043258754</v>
          </cell>
          <cell r="CV1521">
            <v>13.67289934744978</v>
          </cell>
          <cell r="CW1521">
            <v>11.062153668663059</v>
          </cell>
          <cell r="CX1521">
            <v>8.6510321273089765</v>
          </cell>
          <cell r="CY1521">
            <v>13.473275210017142</v>
          </cell>
        </row>
        <row r="1522">
          <cell r="A1522">
            <v>41668</v>
          </cell>
          <cell r="CF1522">
            <v>20.920159070054151</v>
          </cell>
          <cell r="CG1522">
            <v>22.085252262534414</v>
          </cell>
          <cell r="CH1522">
            <v>18.555263085067214</v>
          </cell>
          <cell r="CI1522">
            <v>14.926604548033502</v>
          </cell>
          <cell r="CJ1522">
            <v>22.183921622100925</v>
          </cell>
          <cell r="CU1522">
            <v>12.198742621941385</v>
          </cell>
          <cell r="CV1522">
            <v>13.67289934744978</v>
          </cell>
          <cell r="CW1522">
            <v>11.062153668663059</v>
          </cell>
          <cell r="CX1522">
            <v>8.6510321273089765</v>
          </cell>
          <cell r="CY1522">
            <v>13.473275210017142</v>
          </cell>
        </row>
        <row r="1523">
          <cell r="A1523">
            <v>41669</v>
          </cell>
          <cell r="CF1523">
            <v>21.118384827166437</v>
          </cell>
          <cell r="CG1523">
            <v>22.085252262534414</v>
          </cell>
          <cell r="CH1523">
            <v>18.555263085067214</v>
          </cell>
          <cell r="CI1523">
            <v>14.926604548033502</v>
          </cell>
          <cell r="CJ1523">
            <v>22.183921622100925</v>
          </cell>
          <cell r="CU1523">
            <v>12.305443077648716</v>
          </cell>
          <cell r="CV1523">
            <v>13.67289934744978</v>
          </cell>
          <cell r="CW1523">
            <v>11.062153668663059</v>
          </cell>
          <cell r="CX1523">
            <v>8.6510321273089765</v>
          </cell>
          <cell r="CY1523">
            <v>13.473275210017142</v>
          </cell>
        </row>
        <row r="1524">
          <cell r="A1524">
            <v>41670</v>
          </cell>
          <cell r="CF1524">
            <v>21.088956703303914</v>
          </cell>
          <cell r="CG1524">
            <v>22.085252262534414</v>
          </cell>
          <cell r="CH1524">
            <v>18.555263085067214</v>
          </cell>
          <cell r="CI1524">
            <v>14.926604548033502</v>
          </cell>
          <cell r="CJ1524">
            <v>22.183921622100925</v>
          </cell>
          <cell r="CU1524">
            <v>12.288647635546635</v>
          </cell>
          <cell r="CV1524">
            <v>13.67289934744978</v>
          </cell>
          <cell r="CW1524">
            <v>11.062153668663059</v>
          </cell>
          <cell r="CX1524">
            <v>8.6510321273089765</v>
          </cell>
          <cell r="CY1524">
            <v>13.473275210017142</v>
          </cell>
        </row>
        <row r="1525">
          <cell r="A1525">
            <v>41673</v>
          </cell>
          <cell r="CF1525">
            <v>20.051853536504272</v>
          </cell>
          <cell r="CG1525">
            <v>22.085252262534414</v>
          </cell>
          <cell r="CH1525">
            <v>18.555263085067214</v>
          </cell>
          <cell r="CI1525">
            <v>14.926604548033502</v>
          </cell>
          <cell r="CJ1525">
            <v>22.183921622100925</v>
          </cell>
          <cell r="CU1525">
            <v>11.694347648749311</v>
          </cell>
          <cell r="CV1525">
            <v>13.67289934744978</v>
          </cell>
          <cell r="CW1525">
            <v>11.062153668663059</v>
          </cell>
          <cell r="CX1525">
            <v>8.6510321273089765</v>
          </cell>
          <cell r="CY1525">
            <v>13.473275210017142</v>
          </cell>
        </row>
        <row r="1526">
          <cell r="A1526">
            <v>41674</v>
          </cell>
          <cell r="CF1526">
            <v>20.079143052083079</v>
          </cell>
          <cell r="CG1526">
            <v>22.085252262534414</v>
          </cell>
          <cell r="CH1526">
            <v>18.555263085067214</v>
          </cell>
          <cell r="CI1526">
            <v>14.926604548033502</v>
          </cell>
          <cell r="CJ1526">
            <v>22.183921622100925</v>
          </cell>
          <cell r="CU1526">
            <v>11.708995227679152</v>
          </cell>
          <cell r="CV1526">
            <v>13.67289934744978</v>
          </cell>
          <cell r="CW1526">
            <v>11.062153668663059</v>
          </cell>
          <cell r="CX1526">
            <v>8.6510321273089765</v>
          </cell>
          <cell r="CY1526">
            <v>13.473275210017142</v>
          </cell>
        </row>
        <row r="1527">
          <cell r="A1527">
            <v>41675</v>
          </cell>
          <cell r="CF1527">
            <v>20.206504434844067</v>
          </cell>
          <cell r="CG1527">
            <v>22.085252262534414</v>
          </cell>
          <cell r="CH1527">
            <v>18.555263085067214</v>
          </cell>
          <cell r="CI1527">
            <v>14.926604548033502</v>
          </cell>
          <cell r="CJ1527">
            <v>22.183921622100925</v>
          </cell>
          <cell r="CU1527">
            <v>11.77735612991715</v>
          </cell>
          <cell r="CV1527">
            <v>13.67289934744978</v>
          </cell>
          <cell r="CW1527">
            <v>11.062153668663059</v>
          </cell>
          <cell r="CX1527">
            <v>8.6510321273089765</v>
          </cell>
          <cell r="CY1527">
            <v>13.473275210017142</v>
          </cell>
        </row>
        <row r="1528">
          <cell r="A1528">
            <v>41676</v>
          </cell>
          <cell r="CF1528">
            <v>20.290196042758563</v>
          </cell>
          <cell r="CG1528">
            <v>22.085252262534414</v>
          </cell>
          <cell r="CH1528">
            <v>18.555263085067214</v>
          </cell>
          <cell r="CI1528">
            <v>14.926604548033502</v>
          </cell>
          <cell r="CJ1528">
            <v>22.183921622100925</v>
          </cell>
          <cell r="CU1528">
            <v>11.822962074919804</v>
          </cell>
          <cell r="CV1528">
            <v>13.67289934744978</v>
          </cell>
          <cell r="CW1528">
            <v>11.062153668663059</v>
          </cell>
          <cell r="CX1528">
            <v>8.6510321273089765</v>
          </cell>
          <cell r="CY1528">
            <v>13.473275210017142</v>
          </cell>
        </row>
        <row r="1529">
          <cell r="A1529">
            <v>41677</v>
          </cell>
          <cell r="CF1529">
            <v>20.626790993861626</v>
          </cell>
          <cell r="CG1529">
            <v>22.085252262534414</v>
          </cell>
          <cell r="CH1529">
            <v>18.555263085067214</v>
          </cell>
          <cell r="CI1529">
            <v>14.926604548033502</v>
          </cell>
          <cell r="CJ1529">
            <v>22.183921622100925</v>
          </cell>
          <cell r="CU1529">
            <v>12.003639032588037</v>
          </cell>
          <cell r="CV1529">
            <v>13.67289934744978</v>
          </cell>
          <cell r="CW1529">
            <v>11.062153668663059</v>
          </cell>
          <cell r="CX1529">
            <v>8.6510321273089765</v>
          </cell>
          <cell r="CY1529">
            <v>13.473275210017142</v>
          </cell>
        </row>
        <row r="1530">
          <cell r="A1530">
            <v>41680</v>
          </cell>
          <cell r="CF1530">
            <v>20.903754266213806</v>
          </cell>
          <cell r="CG1530">
            <v>22.085252262534414</v>
          </cell>
          <cell r="CH1530">
            <v>18.555263085067214</v>
          </cell>
          <cell r="CI1530">
            <v>14.926604548033502</v>
          </cell>
          <cell r="CJ1530">
            <v>22.183921622100925</v>
          </cell>
          <cell r="CU1530">
            <v>12.147515609276708</v>
          </cell>
          <cell r="CV1530">
            <v>13.67289934744978</v>
          </cell>
          <cell r="CW1530">
            <v>11.062153668663059</v>
          </cell>
          <cell r="CX1530">
            <v>8.6510321273089765</v>
          </cell>
          <cell r="CY1530">
            <v>13.473275210017142</v>
          </cell>
        </row>
        <row r="1531">
          <cell r="A1531">
            <v>41681</v>
          </cell>
          <cell r="CF1531">
            <v>20.879373855989929</v>
          </cell>
          <cell r="CG1531">
            <v>22.085252262534414</v>
          </cell>
          <cell r="CH1531">
            <v>18.555263085067214</v>
          </cell>
          <cell r="CI1531">
            <v>14.926604548033502</v>
          </cell>
          <cell r="CJ1531">
            <v>22.183921622100925</v>
          </cell>
          <cell r="CU1531">
            <v>12.165505153192591</v>
          </cell>
          <cell r="CV1531">
            <v>13.67289934744978</v>
          </cell>
          <cell r="CW1531">
            <v>11.062153668663059</v>
          </cell>
          <cell r="CX1531">
            <v>8.6510321273089765</v>
          </cell>
          <cell r="CY1531">
            <v>13.473275210017142</v>
          </cell>
        </row>
        <row r="1532">
          <cell r="A1532">
            <v>41682</v>
          </cell>
          <cell r="CF1532">
            <v>21.015547411979853</v>
          </cell>
          <cell r="CG1532">
            <v>22.085252262534414</v>
          </cell>
          <cell r="CH1532">
            <v>18.555263085067214</v>
          </cell>
          <cell r="CI1532">
            <v>14.926604548033502</v>
          </cell>
          <cell r="CJ1532">
            <v>22.183921622100925</v>
          </cell>
          <cell r="CU1532">
            <v>12.463933971416493</v>
          </cell>
          <cell r="CV1532">
            <v>13.67289934744978</v>
          </cell>
          <cell r="CW1532">
            <v>11.062153668663059</v>
          </cell>
          <cell r="CX1532">
            <v>8.6510321273089765</v>
          </cell>
          <cell r="CY1532">
            <v>13.473275210017142</v>
          </cell>
        </row>
        <row r="1533">
          <cell r="A1533">
            <v>41683</v>
          </cell>
          <cell r="CF1533">
            <v>21.407400278490329</v>
          </cell>
          <cell r="CG1533">
            <v>22.085252262534414</v>
          </cell>
          <cell r="CH1533">
            <v>18.555263085067214</v>
          </cell>
          <cell r="CI1533">
            <v>14.926604548033502</v>
          </cell>
          <cell r="CJ1533">
            <v>22.183921622100925</v>
          </cell>
          <cell r="CU1533">
            <v>12.468780520423634</v>
          </cell>
          <cell r="CV1533">
            <v>13.67289934744978</v>
          </cell>
          <cell r="CW1533">
            <v>11.062153668663059</v>
          </cell>
          <cell r="CX1533">
            <v>8.6510321273089765</v>
          </cell>
          <cell r="CY1533">
            <v>13.473275210017142</v>
          </cell>
        </row>
        <row r="1534">
          <cell r="A1534">
            <v>41684</v>
          </cell>
          <cell r="CF1534">
            <v>21.385472083582783</v>
          </cell>
          <cell r="CG1534">
            <v>22.085252262534414</v>
          </cell>
          <cell r="CH1534">
            <v>18.555263085067214</v>
          </cell>
          <cell r="CI1534">
            <v>14.926604548033502</v>
          </cell>
          <cell r="CJ1534">
            <v>22.183921622100925</v>
          </cell>
          <cell r="CU1534">
            <v>12.471688553714321</v>
          </cell>
          <cell r="CV1534">
            <v>13.67289934744978</v>
          </cell>
          <cell r="CW1534">
            <v>11.062153668663059</v>
          </cell>
          <cell r="CX1534">
            <v>8.6510321273089765</v>
          </cell>
          <cell r="CY1534">
            <v>13.473275210017142</v>
          </cell>
        </row>
        <row r="1535">
          <cell r="A1535">
            <v>41687</v>
          </cell>
          <cell r="CF1535">
            <v>21.398082406602388</v>
          </cell>
          <cell r="CG1535">
            <v>22.085252262534414</v>
          </cell>
          <cell r="CH1535">
            <v>18.555263085067214</v>
          </cell>
          <cell r="CI1535">
            <v>14.926604548033502</v>
          </cell>
          <cell r="CJ1535">
            <v>22.183921622100925</v>
          </cell>
          <cell r="CU1535">
            <v>12.471688553714321</v>
          </cell>
          <cell r="CV1535">
            <v>13.67289934744978</v>
          </cell>
          <cell r="CW1535">
            <v>11.062153668663059</v>
          </cell>
          <cell r="CX1535">
            <v>8.6510321273089765</v>
          </cell>
          <cell r="CY1535">
            <v>13.473275210017142</v>
          </cell>
        </row>
        <row r="1536">
          <cell r="A1536">
            <v>41688</v>
          </cell>
          <cell r="CF1536">
            <v>21.554810839564503</v>
          </cell>
          <cell r="CG1536">
            <v>22.085252262534414</v>
          </cell>
          <cell r="CH1536">
            <v>18.555263085067214</v>
          </cell>
          <cell r="CI1536">
            <v>14.926604548033502</v>
          </cell>
          <cell r="CJ1536">
            <v>22.183921622100925</v>
          </cell>
          <cell r="CU1536">
            <v>12.54670200692337</v>
          </cell>
          <cell r="CV1536">
            <v>13.67289934744978</v>
          </cell>
          <cell r="CW1536">
            <v>11.062153668663059</v>
          </cell>
          <cell r="CX1536">
            <v>8.6510321273089765</v>
          </cell>
          <cell r="CY1536">
            <v>13.473275210017142</v>
          </cell>
        </row>
        <row r="1537">
          <cell r="A1537">
            <v>41689</v>
          </cell>
          <cell r="CF1537">
            <v>21.387071063612296</v>
          </cell>
          <cell r="CG1537">
            <v>22.085252262534414</v>
          </cell>
          <cell r="CH1537">
            <v>18.555263085067214</v>
          </cell>
          <cell r="CI1537">
            <v>14.926604548033502</v>
          </cell>
          <cell r="CJ1537">
            <v>22.183921622100925</v>
          </cell>
          <cell r="CU1537">
            <v>12.492611035951869</v>
          </cell>
          <cell r="CV1537">
            <v>13.67289934744978</v>
          </cell>
          <cell r="CW1537">
            <v>11.062153668663059</v>
          </cell>
          <cell r="CX1537">
            <v>8.6510321273089765</v>
          </cell>
          <cell r="CY1537">
            <v>13.473275210017142</v>
          </cell>
        </row>
        <row r="1538">
          <cell r="A1538">
            <v>41690</v>
          </cell>
          <cell r="CF1538">
            <v>21.595709408380497</v>
          </cell>
          <cell r="CG1538">
            <v>22.085252262534414</v>
          </cell>
          <cell r="CH1538">
            <v>18.555263085067214</v>
          </cell>
          <cell r="CI1538">
            <v>14.926604548033502</v>
          </cell>
          <cell r="CJ1538">
            <v>22.183921622100925</v>
          </cell>
          <cell r="CU1538">
            <v>12.605472820501456</v>
          </cell>
          <cell r="CV1538">
            <v>13.67289934744978</v>
          </cell>
          <cell r="CW1538">
            <v>11.062153668663059</v>
          </cell>
          <cell r="CX1538">
            <v>8.6510321273089765</v>
          </cell>
          <cell r="CY1538">
            <v>13.473275210017142</v>
          </cell>
        </row>
        <row r="1539">
          <cell r="A1539">
            <v>41691</v>
          </cell>
          <cell r="CF1539">
            <v>21.725649693803803</v>
          </cell>
          <cell r="CG1539">
            <v>22.085252262534414</v>
          </cell>
          <cell r="CH1539">
            <v>18.555263085067214</v>
          </cell>
          <cell r="CI1539">
            <v>14.926604548033502</v>
          </cell>
          <cell r="CJ1539">
            <v>22.183921622100925</v>
          </cell>
          <cell r="CU1539">
            <v>12.675763315348176</v>
          </cell>
          <cell r="CV1539">
            <v>13.67289934744978</v>
          </cell>
          <cell r="CW1539">
            <v>11.062153668663059</v>
          </cell>
          <cell r="CX1539">
            <v>8.6510321273089765</v>
          </cell>
          <cell r="CY1539">
            <v>13.473275210017142</v>
          </cell>
        </row>
        <row r="1540">
          <cell r="A1540">
            <v>41694</v>
          </cell>
          <cell r="CF1540">
            <v>21.884870466924117</v>
          </cell>
          <cell r="CG1540">
            <v>22.085252262534414</v>
          </cell>
          <cell r="CH1540">
            <v>18.555263085067214</v>
          </cell>
          <cell r="CI1540">
            <v>14.926604548033502</v>
          </cell>
          <cell r="CJ1540">
            <v>22.183921622100925</v>
          </cell>
          <cell r="CU1540">
            <v>12.761892931702675</v>
          </cell>
          <cell r="CV1540">
            <v>13.67289934744978</v>
          </cell>
          <cell r="CW1540">
            <v>11.062153668663059</v>
          </cell>
          <cell r="CX1540">
            <v>8.6510321273089765</v>
          </cell>
          <cell r="CY1540">
            <v>13.473275210017142</v>
          </cell>
        </row>
        <row r="1541">
          <cell r="A1541">
            <v>41695</v>
          </cell>
          <cell r="CF1541">
            <v>21.806176067868954</v>
          </cell>
          <cell r="CG1541">
            <v>22.085252262534414</v>
          </cell>
          <cell r="CH1541">
            <v>18.555263085067214</v>
          </cell>
          <cell r="CI1541">
            <v>14.926604548033502</v>
          </cell>
          <cell r="CJ1541">
            <v>22.183921622100925</v>
          </cell>
          <cell r="CU1541">
            <v>12.719323622013746</v>
          </cell>
          <cell r="CV1541">
            <v>13.67289934744978</v>
          </cell>
          <cell r="CW1541">
            <v>11.062153668663059</v>
          </cell>
          <cell r="CX1541">
            <v>8.6510321273089765</v>
          </cell>
          <cell r="CY1541">
            <v>13.473275210017142</v>
          </cell>
        </row>
        <row r="1542">
          <cell r="A1542">
            <v>41696</v>
          </cell>
          <cell r="CF1542">
            <v>21.709178390017751</v>
          </cell>
          <cell r="CG1542">
            <v>22.085252262534414</v>
          </cell>
          <cell r="CH1542">
            <v>18.555263085067214</v>
          </cell>
          <cell r="CI1542">
            <v>14.926604548033502</v>
          </cell>
          <cell r="CJ1542">
            <v>22.183921622100925</v>
          </cell>
          <cell r="CU1542">
            <v>12.666853252621125</v>
          </cell>
          <cell r="CV1542">
            <v>13.67289934744978</v>
          </cell>
          <cell r="CW1542">
            <v>11.062153668663059</v>
          </cell>
          <cell r="CX1542">
            <v>8.6510321273089765</v>
          </cell>
          <cell r="CY1542">
            <v>13.473275210017142</v>
          </cell>
        </row>
        <row r="1543">
          <cell r="A1543">
            <v>41697</v>
          </cell>
          <cell r="CF1543">
            <v>21.731140128399154</v>
          </cell>
          <cell r="CG1543">
            <v>22.085252262534414</v>
          </cell>
          <cell r="CH1543">
            <v>18.555263085067214</v>
          </cell>
          <cell r="CI1543">
            <v>14.926604548033502</v>
          </cell>
          <cell r="CJ1543">
            <v>22.183921622100925</v>
          </cell>
          <cell r="CU1543">
            <v>12.678733336257192</v>
          </cell>
          <cell r="CV1543">
            <v>13.67289934744978</v>
          </cell>
          <cell r="CW1543">
            <v>11.062153668663059</v>
          </cell>
          <cell r="CX1543">
            <v>8.6510321273089765</v>
          </cell>
          <cell r="CY1543">
            <v>13.473275210017142</v>
          </cell>
        </row>
        <row r="1544">
          <cell r="A1544">
            <v>41698</v>
          </cell>
          <cell r="CF1544">
            <v>21.786044474352668</v>
          </cell>
          <cell r="CG1544">
            <v>22.085252262534414</v>
          </cell>
          <cell r="CH1544">
            <v>18.555263085067214</v>
          </cell>
          <cell r="CI1544">
            <v>14.926604548033502</v>
          </cell>
          <cell r="CJ1544">
            <v>22.183921622100925</v>
          </cell>
          <cell r="CU1544">
            <v>12.708433545347352</v>
          </cell>
          <cell r="CV1544">
            <v>13.67289934744978</v>
          </cell>
          <cell r="CW1544">
            <v>11.062153668663059</v>
          </cell>
          <cell r="CX1544">
            <v>8.6510321273089765</v>
          </cell>
          <cell r="CY1544">
            <v>13.473275210017142</v>
          </cell>
        </row>
        <row r="1545">
          <cell r="A1545">
            <v>41701</v>
          </cell>
          <cell r="CF1545">
            <v>21.261283322789762</v>
          </cell>
          <cell r="CG1545">
            <v>22.085252262534414</v>
          </cell>
          <cell r="CH1545">
            <v>18.555263085067214</v>
          </cell>
          <cell r="CI1545">
            <v>14.926604548033502</v>
          </cell>
          <cell r="CJ1545">
            <v>22.183921622100925</v>
          </cell>
          <cell r="CU1545">
            <v>12.4433561396073</v>
          </cell>
          <cell r="CV1545">
            <v>13.67289934744978</v>
          </cell>
          <cell r="CW1545">
            <v>11.062153668663059</v>
          </cell>
          <cell r="CX1545">
            <v>8.6510321273089765</v>
          </cell>
          <cell r="CY1545">
            <v>13.473275210017142</v>
          </cell>
        </row>
        <row r="1546">
          <cell r="A1546">
            <v>41702</v>
          </cell>
          <cell r="CF1546">
            <v>21.645838463404736</v>
          </cell>
          <cell r="CG1546">
            <v>22.085252262534414</v>
          </cell>
          <cell r="CH1546">
            <v>18.555263085067214</v>
          </cell>
          <cell r="CI1546">
            <v>14.926604548033502</v>
          </cell>
          <cell r="CJ1546">
            <v>22.183921622100925</v>
          </cell>
          <cell r="CU1546">
            <v>12.651830872333447</v>
          </cell>
          <cell r="CV1546">
            <v>13.67289934744978</v>
          </cell>
          <cell r="CW1546">
            <v>11.062153668663059</v>
          </cell>
          <cell r="CX1546">
            <v>8.6510321273089765</v>
          </cell>
          <cell r="CY1546">
            <v>13.473275210017142</v>
          </cell>
        </row>
        <row r="1547">
          <cell r="A1547">
            <v>41703</v>
          </cell>
          <cell r="CF1547">
            <v>21.649468173150396</v>
          </cell>
          <cell r="CG1547">
            <v>22.085252262534414</v>
          </cell>
          <cell r="CH1547">
            <v>18.555263085067214</v>
          </cell>
          <cell r="CI1547">
            <v>14.926604548033502</v>
          </cell>
          <cell r="CJ1547">
            <v>22.183921622100925</v>
          </cell>
          <cell r="CU1547">
            <v>12.653798607748167</v>
          </cell>
          <cell r="CV1547">
            <v>13.67289934744978</v>
          </cell>
          <cell r="CW1547">
            <v>11.062153668663059</v>
          </cell>
          <cell r="CX1547">
            <v>8.6510321273089765</v>
          </cell>
          <cell r="CY1547">
            <v>13.473275210017142</v>
          </cell>
        </row>
        <row r="1548">
          <cell r="A1548">
            <v>41704</v>
          </cell>
          <cell r="CF1548">
            <v>21.723840037004539</v>
          </cell>
          <cell r="CG1548">
            <v>22.085252262534414</v>
          </cell>
          <cell r="CH1548">
            <v>18.555263085067214</v>
          </cell>
          <cell r="CI1548">
            <v>14.926604548033502</v>
          </cell>
          <cell r="CJ1548">
            <v>22.183921622100925</v>
          </cell>
          <cell r="CU1548">
            <v>12.69411702454151</v>
          </cell>
          <cell r="CV1548">
            <v>13.67289934744978</v>
          </cell>
          <cell r="CW1548">
            <v>11.062153668663059</v>
          </cell>
          <cell r="CX1548">
            <v>8.6510321273089765</v>
          </cell>
          <cell r="CY1548">
            <v>13.473275210017142</v>
          </cell>
        </row>
        <row r="1549">
          <cell r="A1549">
            <v>41705</v>
          </cell>
          <cell r="CF1549">
            <v>21.72565217095552</v>
          </cell>
          <cell r="CG1549">
            <v>22.085252262534414</v>
          </cell>
          <cell r="CH1549">
            <v>18.555263085067214</v>
          </cell>
          <cell r="CI1549">
            <v>14.926604548033502</v>
          </cell>
          <cell r="CJ1549">
            <v>22.183921622100925</v>
          </cell>
          <cell r="CU1549">
            <v>12.69509941718484</v>
          </cell>
          <cell r="CV1549">
            <v>13.67289934744978</v>
          </cell>
          <cell r="CW1549">
            <v>11.062153668663059</v>
          </cell>
          <cell r="CX1549">
            <v>8.6510321273089765</v>
          </cell>
          <cell r="CY1549">
            <v>13.473275210017142</v>
          </cell>
        </row>
        <row r="1550">
          <cell r="A1550">
            <v>41708</v>
          </cell>
          <cell r="CF1550">
            <v>21.798211900858679</v>
          </cell>
          <cell r="CG1550">
            <v>22.085252262534414</v>
          </cell>
          <cell r="CH1550">
            <v>18.555263085067214</v>
          </cell>
          <cell r="CI1550">
            <v>14.926604548033502</v>
          </cell>
          <cell r="CJ1550">
            <v>22.183921622100925</v>
          </cell>
          <cell r="CU1550">
            <v>12.734435441334856</v>
          </cell>
          <cell r="CV1550">
            <v>13.67289934744978</v>
          </cell>
          <cell r="CW1550">
            <v>11.062153668663059</v>
          </cell>
          <cell r="CX1550">
            <v>8.6510321273089765</v>
          </cell>
          <cell r="CY1550">
            <v>13.473275210017142</v>
          </cell>
        </row>
        <row r="1551">
          <cell r="A1551">
            <v>41709</v>
          </cell>
          <cell r="CF1551">
            <v>21.693002922723554</v>
          </cell>
          <cell r="CG1551">
            <v>22.085252262534414</v>
          </cell>
          <cell r="CH1551">
            <v>18.555263085067214</v>
          </cell>
          <cell r="CI1551">
            <v>14.926604548033502</v>
          </cell>
          <cell r="CJ1551">
            <v>22.183921622100925</v>
          </cell>
          <cell r="CU1551">
            <v>12.677399632212563</v>
          </cell>
          <cell r="CV1551">
            <v>13.67289934744978</v>
          </cell>
          <cell r="CW1551">
            <v>11.062153668663059</v>
          </cell>
          <cell r="CX1551">
            <v>8.6510321273089765</v>
          </cell>
          <cell r="CY1551">
            <v>13.473275210017142</v>
          </cell>
        </row>
        <row r="1552">
          <cell r="A1552">
            <v>41710</v>
          </cell>
          <cell r="CF1552">
            <v>21.596863684082834</v>
          </cell>
          <cell r="CG1552">
            <v>22.085252262534414</v>
          </cell>
          <cell r="CH1552">
            <v>18.555263085067214</v>
          </cell>
          <cell r="CI1552">
            <v>14.926604548033502</v>
          </cell>
          <cell r="CJ1552">
            <v>22.183921622100925</v>
          </cell>
          <cell r="CU1552">
            <v>12.625280703187023</v>
          </cell>
          <cell r="CV1552">
            <v>13.67289934744978</v>
          </cell>
          <cell r="CW1552">
            <v>11.062153668663059</v>
          </cell>
          <cell r="CX1552">
            <v>8.6510321273089765</v>
          </cell>
          <cell r="CY1552">
            <v>13.473275210017142</v>
          </cell>
        </row>
        <row r="1553">
          <cell r="A1553">
            <v>41711</v>
          </cell>
          <cell r="CF1553">
            <v>21.49165470594771</v>
          </cell>
          <cell r="CG1553">
            <v>22.085252262534414</v>
          </cell>
          <cell r="CH1553">
            <v>18.555263085067214</v>
          </cell>
          <cell r="CI1553">
            <v>14.926604548033502</v>
          </cell>
          <cell r="CJ1553">
            <v>22.183921622100925</v>
          </cell>
          <cell r="CU1553">
            <v>12.568244894064732</v>
          </cell>
          <cell r="CV1553">
            <v>13.67289934744978</v>
          </cell>
          <cell r="CW1553">
            <v>11.062153668663059</v>
          </cell>
          <cell r="CX1553">
            <v>8.6510321273089765</v>
          </cell>
          <cell r="CY1553">
            <v>13.473275210017142</v>
          </cell>
        </row>
        <row r="1554">
          <cell r="A1554">
            <v>41712</v>
          </cell>
          <cell r="CF1554">
            <v>21.477143122756658</v>
          </cell>
          <cell r="CG1554">
            <v>22.085252262534414</v>
          </cell>
          <cell r="CH1554">
            <v>18.555263085067214</v>
          </cell>
          <cell r="CI1554">
            <v>14.926604548033502</v>
          </cell>
          <cell r="CJ1554">
            <v>22.183921622100925</v>
          </cell>
          <cell r="CU1554">
            <v>12.560377885909931</v>
          </cell>
          <cell r="CV1554">
            <v>13.67289934744978</v>
          </cell>
          <cell r="CW1554">
            <v>11.062153668663059</v>
          </cell>
          <cell r="CX1554">
            <v>8.6510321273089765</v>
          </cell>
          <cell r="CY1554">
            <v>13.473275210017142</v>
          </cell>
        </row>
        <row r="1555">
          <cell r="A1555">
            <v>41715</v>
          </cell>
          <cell r="CF1555">
            <v>21.582352100891782</v>
          </cell>
          <cell r="CG1555">
            <v>22.085252262534414</v>
          </cell>
          <cell r="CH1555">
            <v>18.555263085067214</v>
          </cell>
          <cell r="CI1555">
            <v>14.926604548033502</v>
          </cell>
          <cell r="CJ1555">
            <v>22.183921622100925</v>
          </cell>
          <cell r="CU1555">
            <v>12.617413695032225</v>
          </cell>
          <cell r="CV1555">
            <v>13.67289934744978</v>
          </cell>
          <cell r="CW1555">
            <v>11.062153668663059</v>
          </cell>
          <cell r="CX1555">
            <v>8.6510321273089765</v>
          </cell>
          <cell r="CY1555">
            <v>13.473275210017142</v>
          </cell>
        </row>
        <row r="1556">
          <cell r="A1556">
            <v>41716</v>
          </cell>
          <cell r="CF1556">
            <v>21.620443192820392</v>
          </cell>
          <cell r="CG1556">
            <v>22.085252262534414</v>
          </cell>
          <cell r="CH1556">
            <v>18.555263085067214</v>
          </cell>
          <cell r="CI1556">
            <v>14.926604548033502</v>
          </cell>
          <cell r="CJ1556">
            <v>22.183921622100925</v>
          </cell>
          <cell r="CU1556">
            <v>12.638063608062549</v>
          </cell>
          <cell r="CV1556">
            <v>13.67289934744978</v>
          </cell>
          <cell r="CW1556">
            <v>11.062153668663059</v>
          </cell>
          <cell r="CX1556">
            <v>8.6510321273089765</v>
          </cell>
          <cell r="CY1556">
            <v>13.473275210017142</v>
          </cell>
        </row>
        <row r="1557">
          <cell r="A1557">
            <v>41717</v>
          </cell>
          <cell r="CF1557">
            <v>21.488026810149943</v>
          </cell>
          <cell r="CG1557">
            <v>22.085252262534414</v>
          </cell>
          <cell r="CH1557">
            <v>18.555263085067214</v>
          </cell>
          <cell r="CI1557">
            <v>14.926604548033502</v>
          </cell>
          <cell r="CJ1557">
            <v>22.183921622100925</v>
          </cell>
          <cell r="CU1557">
            <v>12.566278142026031</v>
          </cell>
          <cell r="CV1557">
            <v>13.67289934744978</v>
          </cell>
          <cell r="CW1557">
            <v>11.062153668663059</v>
          </cell>
          <cell r="CX1557">
            <v>8.6510321273089765</v>
          </cell>
          <cell r="CY1557">
            <v>13.473275210017142</v>
          </cell>
        </row>
        <row r="1558">
          <cell r="A1558">
            <v>41718</v>
          </cell>
          <cell r="CF1558">
            <v>21.520677872329813</v>
          </cell>
          <cell r="CG1558">
            <v>22.085252262534414</v>
          </cell>
          <cell r="CH1558">
            <v>18.555263085067214</v>
          </cell>
          <cell r="CI1558">
            <v>14.926604548033502</v>
          </cell>
          <cell r="CJ1558">
            <v>22.183921622100925</v>
          </cell>
          <cell r="CU1558">
            <v>12.583978910374329</v>
          </cell>
          <cell r="CV1558">
            <v>13.67289934744978</v>
          </cell>
          <cell r="CW1558">
            <v>11.062153668663059</v>
          </cell>
          <cell r="CX1558">
            <v>8.6510321273089765</v>
          </cell>
          <cell r="CY1558">
            <v>13.473275210017142</v>
          </cell>
        </row>
        <row r="1559">
          <cell r="A1559">
            <v>41719</v>
          </cell>
          <cell r="CF1559">
            <v>21.255841479093117</v>
          </cell>
          <cell r="CG1559">
            <v>22.085252262534414</v>
          </cell>
          <cell r="CH1559">
            <v>18.555263085067214</v>
          </cell>
          <cell r="CI1559">
            <v>14.926604548033502</v>
          </cell>
          <cell r="CJ1559">
            <v>22.183921622100925</v>
          </cell>
          <cell r="CU1559">
            <v>12.440406011549253</v>
          </cell>
          <cell r="CV1559">
            <v>13.67289934744978</v>
          </cell>
          <cell r="CW1559">
            <v>11.062153668663059</v>
          </cell>
          <cell r="CX1559">
            <v>8.6510321273089765</v>
          </cell>
          <cell r="CY1559">
            <v>13.473275210017142</v>
          </cell>
        </row>
        <row r="1560">
          <cell r="A1560">
            <v>41722</v>
          </cell>
          <cell r="CF1560">
            <v>21.067190897609443</v>
          </cell>
          <cell r="CG1560">
            <v>22.085252262534414</v>
          </cell>
          <cell r="CH1560">
            <v>18.555263085067214</v>
          </cell>
          <cell r="CI1560">
            <v>14.926604548033502</v>
          </cell>
          <cell r="CJ1560">
            <v>22.183921622100925</v>
          </cell>
          <cell r="CU1560">
            <v>12.338134905536867</v>
          </cell>
          <cell r="CV1560">
            <v>13.67289934744978</v>
          </cell>
          <cell r="CW1560">
            <v>11.062153668663059</v>
          </cell>
          <cell r="CX1560">
            <v>8.6510321273089765</v>
          </cell>
          <cell r="CY1560">
            <v>13.473275210017142</v>
          </cell>
        </row>
        <row r="1561">
          <cell r="A1561">
            <v>41723</v>
          </cell>
          <cell r="CF1561">
            <v>21.030910125683913</v>
          </cell>
          <cell r="CG1561">
            <v>22.085252262534414</v>
          </cell>
          <cell r="CH1561">
            <v>18.555263085067214</v>
          </cell>
          <cell r="CI1561">
            <v>14.926604548033502</v>
          </cell>
          <cell r="CJ1561">
            <v>22.183921622100925</v>
          </cell>
          <cell r="CU1561">
            <v>12.318466401773849</v>
          </cell>
          <cell r="CV1561">
            <v>13.67289934744978</v>
          </cell>
          <cell r="CW1561">
            <v>11.062153668663059</v>
          </cell>
          <cell r="CX1561">
            <v>8.6510321273089765</v>
          </cell>
          <cell r="CY1561">
            <v>13.473275210017142</v>
          </cell>
        </row>
        <row r="1562">
          <cell r="A1562">
            <v>41724</v>
          </cell>
          <cell r="CF1562">
            <v>21.15063250095799</v>
          </cell>
          <cell r="CG1562">
            <v>22.085252262534414</v>
          </cell>
          <cell r="CH1562">
            <v>18.555263085067214</v>
          </cell>
          <cell r="CI1562">
            <v>14.926604548033502</v>
          </cell>
          <cell r="CJ1562">
            <v>22.183921622100925</v>
          </cell>
          <cell r="CU1562">
            <v>12.38337020242696</v>
          </cell>
          <cell r="CV1562">
            <v>13.67289934744978</v>
          </cell>
          <cell r="CW1562">
            <v>11.062153668663059</v>
          </cell>
          <cell r="CX1562">
            <v>8.6510321273089765</v>
          </cell>
          <cell r="CY1562">
            <v>13.473275210017142</v>
          </cell>
        </row>
        <row r="1563">
          <cell r="A1563">
            <v>41725</v>
          </cell>
          <cell r="CF1563">
            <v>21.061747239964902</v>
          </cell>
          <cell r="CG1563">
            <v>22.085252262534414</v>
          </cell>
          <cell r="CH1563">
            <v>18.555263085067214</v>
          </cell>
          <cell r="CI1563">
            <v>14.926604548033502</v>
          </cell>
          <cell r="CJ1563">
            <v>22.183921622100925</v>
          </cell>
          <cell r="CU1563">
            <v>12.335183794102797</v>
          </cell>
          <cell r="CV1563">
            <v>13.67289934744978</v>
          </cell>
          <cell r="CW1563">
            <v>11.062153668663059</v>
          </cell>
          <cell r="CX1563">
            <v>8.6510321273089765</v>
          </cell>
          <cell r="CY1563">
            <v>13.473275210017142</v>
          </cell>
        </row>
        <row r="1564">
          <cell r="A1564">
            <v>41726</v>
          </cell>
          <cell r="CF1564">
            <v>21.361050457228245</v>
          </cell>
          <cell r="CG1564">
            <v>22.085252262534414</v>
          </cell>
          <cell r="CH1564">
            <v>18.555263085067214</v>
          </cell>
          <cell r="CI1564">
            <v>14.926604548033502</v>
          </cell>
          <cell r="CJ1564">
            <v>22.183921622100925</v>
          </cell>
          <cell r="CU1564">
            <v>12.497441820671542</v>
          </cell>
          <cell r="CV1564">
            <v>13.67289934744978</v>
          </cell>
          <cell r="CW1564">
            <v>11.062153668663059</v>
          </cell>
          <cell r="CX1564">
            <v>8.6510321273089765</v>
          </cell>
          <cell r="CY1564">
            <v>13.473275210017142</v>
          </cell>
        </row>
        <row r="1565">
          <cell r="A1565">
            <v>41729</v>
          </cell>
          <cell r="CF1565">
            <v>21.653096068948162</v>
          </cell>
          <cell r="CG1565">
            <v>22.085252262534414</v>
          </cell>
          <cell r="CH1565">
            <v>18.555263085067214</v>
          </cell>
          <cell r="CI1565">
            <v>14.926604548033502</v>
          </cell>
          <cell r="CJ1565">
            <v>22.183921622100925</v>
          </cell>
          <cell r="CU1565">
            <v>12.655765359786868</v>
          </cell>
          <cell r="CV1565">
            <v>13.67289934744978</v>
          </cell>
          <cell r="CW1565">
            <v>11.062153668663059</v>
          </cell>
          <cell r="CX1565">
            <v>8.6510321273089765</v>
          </cell>
          <cell r="CY1565">
            <v>13.473275210017142</v>
          </cell>
        </row>
        <row r="1566">
          <cell r="A1566">
            <v>41730</v>
          </cell>
          <cell r="CF1566">
            <v>21.562037005962043</v>
          </cell>
          <cell r="CG1566">
            <v>22.085252262534414</v>
          </cell>
          <cell r="CH1566">
            <v>18.555263085067214</v>
          </cell>
          <cell r="CI1566">
            <v>14.926604548033502</v>
          </cell>
          <cell r="CJ1566">
            <v>22.183921622100925</v>
          </cell>
          <cell r="CU1566">
            <v>12.625288343444513</v>
          </cell>
          <cell r="CV1566">
            <v>13.67289934744978</v>
          </cell>
          <cell r="CW1566">
            <v>11.062153668663059</v>
          </cell>
          <cell r="CX1566">
            <v>8.6510321273089765</v>
          </cell>
          <cell r="CY1566">
            <v>13.473275210017142</v>
          </cell>
        </row>
        <row r="1567">
          <cell r="A1567">
            <v>41731</v>
          </cell>
          <cell r="CF1567">
            <v>21.529672374031815</v>
          </cell>
          <cell r="CG1567">
            <v>22.085252262534414</v>
          </cell>
          <cell r="CH1567">
            <v>18.555263085067214</v>
          </cell>
          <cell r="CI1567">
            <v>14.926604548033502</v>
          </cell>
          <cell r="CJ1567">
            <v>22.183921622100925</v>
          </cell>
          <cell r="CU1567">
            <v>12.607705343960138</v>
          </cell>
          <cell r="CV1567">
            <v>13.67289934744978</v>
          </cell>
          <cell r="CW1567">
            <v>11.062153668663059</v>
          </cell>
          <cell r="CX1567">
            <v>8.6510321273089765</v>
          </cell>
          <cell r="CY1567">
            <v>13.473275210017142</v>
          </cell>
        </row>
        <row r="1568">
          <cell r="A1568">
            <v>41732</v>
          </cell>
          <cell r="CF1568">
            <v>21.520680400460531</v>
          </cell>
          <cell r="CG1568">
            <v>22.085252262534414</v>
          </cell>
          <cell r="CH1568">
            <v>18.555263085067214</v>
          </cell>
          <cell r="CI1568">
            <v>14.926604548033502</v>
          </cell>
          <cell r="CJ1568">
            <v>22.183921622100925</v>
          </cell>
          <cell r="CU1568">
            <v>12.602820200603395</v>
          </cell>
          <cell r="CV1568">
            <v>13.67289934744978</v>
          </cell>
          <cell r="CW1568">
            <v>11.062153668663059</v>
          </cell>
          <cell r="CX1568">
            <v>8.6510321273089765</v>
          </cell>
          <cell r="CY1568">
            <v>13.473275210017142</v>
          </cell>
        </row>
        <row r="1569">
          <cell r="A1569">
            <v>41733</v>
          </cell>
          <cell r="CF1569">
            <v>20.943512929073208</v>
          </cell>
          <cell r="CG1569">
            <v>22.085252262534414</v>
          </cell>
          <cell r="CH1569">
            <v>18.555263085067214</v>
          </cell>
          <cell r="CI1569">
            <v>14.926604548033502</v>
          </cell>
          <cell r="CJ1569">
            <v>22.183921622100925</v>
          </cell>
          <cell r="CU1569">
            <v>12.289257686632014</v>
          </cell>
          <cell r="CV1569">
            <v>13.67289934744978</v>
          </cell>
          <cell r="CW1569">
            <v>11.062153668663059</v>
          </cell>
          <cell r="CX1569">
            <v>8.6510321273089765</v>
          </cell>
          <cell r="CY1569">
            <v>13.473275210017142</v>
          </cell>
        </row>
        <row r="1570">
          <cell r="A1570">
            <v>41736</v>
          </cell>
          <cell r="CF1570">
            <v>20.488610046942753</v>
          </cell>
          <cell r="CG1570">
            <v>22.085252262534414</v>
          </cell>
          <cell r="CH1570">
            <v>18.555263085067214</v>
          </cell>
          <cell r="CI1570">
            <v>14.926604548033502</v>
          </cell>
          <cell r="CJ1570">
            <v>22.183921622100925</v>
          </cell>
          <cell r="CU1570">
            <v>12.042118860546076</v>
          </cell>
          <cell r="CV1570">
            <v>13.67289934744978</v>
          </cell>
          <cell r="CW1570">
            <v>11.062153668663059</v>
          </cell>
          <cell r="CX1570">
            <v>8.6510321273089765</v>
          </cell>
          <cell r="CY1570">
            <v>13.473275210017142</v>
          </cell>
        </row>
        <row r="1571">
          <cell r="A1571">
            <v>41737</v>
          </cell>
          <cell r="CF1571">
            <v>20.724152645990539</v>
          </cell>
          <cell r="CG1571">
            <v>22.085252262534414</v>
          </cell>
          <cell r="CH1571">
            <v>18.555263085067214</v>
          </cell>
          <cell r="CI1571">
            <v>14.926604548033502</v>
          </cell>
          <cell r="CJ1571">
            <v>22.183921622100925</v>
          </cell>
          <cell r="CU1571">
            <v>12.170084023460138</v>
          </cell>
          <cell r="CV1571">
            <v>13.67289934744978</v>
          </cell>
          <cell r="CW1571">
            <v>11.062153668663059</v>
          </cell>
          <cell r="CX1571">
            <v>8.6510321273089765</v>
          </cell>
          <cell r="CY1571">
            <v>13.473275210017142</v>
          </cell>
        </row>
        <row r="1572">
          <cell r="A1572">
            <v>41738</v>
          </cell>
          <cell r="CF1572">
            <v>20.999252017397492</v>
          </cell>
          <cell r="CG1572">
            <v>22.085252262534414</v>
          </cell>
          <cell r="CH1572">
            <v>18.555263085067214</v>
          </cell>
          <cell r="CI1572">
            <v>14.926604548033502</v>
          </cell>
          <cell r="CJ1572">
            <v>22.183921622100925</v>
          </cell>
          <cell r="CU1572">
            <v>12.319539519077324</v>
          </cell>
          <cell r="CV1572">
            <v>13.67289934744978</v>
          </cell>
          <cell r="CW1572">
            <v>11.062153668663059</v>
          </cell>
          <cell r="CX1572">
            <v>8.6510321273089765</v>
          </cell>
          <cell r="CY1572">
            <v>13.473275210017142</v>
          </cell>
        </row>
        <row r="1573">
          <cell r="A1573">
            <v>41739</v>
          </cell>
          <cell r="CF1573">
            <v>20.502994327800632</v>
          </cell>
          <cell r="CG1573">
            <v>22.085252262534414</v>
          </cell>
          <cell r="CH1573">
            <v>18.555263085067214</v>
          </cell>
          <cell r="CI1573">
            <v>14.926604548033502</v>
          </cell>
          <cell r="CJ1573">
            <v>22.183921622100925</v>
          </cell>
          <cell r="CU1573">
            <v>12.049933526983574</v>
          </cell>
          <cell r="CV1573">
            <v>13.67289934744978</v>
          </cell>
          <cell r="CW1573">
            <v>11.062153668663059</v>
          </cell>
          <cell r="CX1573">
            <v>8.6510321273089765</v>
          </cell>
          <cell r="CY1573">
            <v>13.473275210017142</v>
          </cell>
        </row>
        <row r="1574">
          <cell r="A1574">
            <v>41740</v>
          </cell>
          <cell r="CF1574">
            <v>20.215308710643036</v>
          </cell>
          <cell r="CG1574">
            <v>22.085252262534414</v>
          </cell>
          <cell r="CH1574">
            <v>18.555263085067214</v>
          </cell>
          <cell r="CI1574">
            <v>14.926604548033502</v>
          </cell>
          <cell r="CJ1574">
            <v>22.183921622100925</v>
          </cell>
          <cell r="CU1574">
            <v>11.893640198233577</v>
          </cell>
          <cell r="CV1574">
            <v>13.67289934744978</v>
          </cell>
          <cell r="CW1574">
            <v>11.062153668663059</v>
          </cell>
          <cell r="CX1574">
            <v>8.6510321273089765</v>
          </cell>
          <cell r="CY1574">
            <v>13.473275210017142</v>
          </cell>
        </row>
        <row r="1575">
          <cell r="A1575">
            <v>41743</v>
          </cell>
          <cell r="CF1575">
            <v>20.375333835186947</v>
          </cell>
          <cell r="CG1575">
            <v>22.085252262534414</v>
          </cell>
          <cell r="CH1575">
            <v>18.555263085067214</v>
          </cell>
          <cell r="CI1575">
            <v>14.926604548033502</v>
          </cell>
          <cell r="CJ1575">
            <v>22.183921622100925</v>
          </cell>
          <cell r="CU1575">
            <v>11.991833098056791</v>
          </cell>
          <cell r="CV1575">
            <v>13.67289934744978</v>
          </cell>
          <cell r="CW1575">
            <v>11.062153668663059</v>
          </cell>
          <cell r="CX1575">
            <v>8.6510321273089765</v>
          </cell>
          <cell r="CY1575">
            <v>13.473275210017142</v>
          </cell>
        </row>
        <row r="1576">
          <cell r="A1576">
            <v>41744</v>
          </cell>
          <cell r="CF1576">
            <v>20.387920080937594</v>
          </cell>
          <cell r="CG1576">
            <v>22.085252262534414</v>
          </cell>
          <cell r="CH1576">
            <v>18.555263085067214</v>
          </cell>
          <cell r="CI1576">
            <v>14.926604548033502</v>
          </cell>
          <cell r="CJ1576">
            <v>22.183921622100925</v>
          </cell>
          <cell r="CU1576">
            <v>11.998677883461928</v>
          </cell>
          <cell r="CV1576">
            <v>13.67289934744978</v>
          </cell>
          <cell r="CW1576">
            <v>11.062153668663059</v>
          </cell>
          <cell r="CX1576">
            <v>8.6510321273089765</v>
          </cell>
          <cell r="CY1576">
            <v>13.473275210017142</v>
          </cell>
        </row>
        <row r="1577">
          <cell r="A1577">
            <v>41745</v>
          </cell>
          <cell r="CF1577">
            <v>20.407698467117179</v>
          </cell>
          <cell r="CG1577">
            <v>22.085252262534414</v>
          </cell>
          <cell r="CH1577">
            <v>18.555263085067214</v>
          </cell>
          <cell r="CI1577">
            <v>14.926604548033502</v>
          </cell>
          <cell r="CJ1577">
            <v>22.183921622100925</v>
          </cell>
          <cell r="CU1577">
            <v>12.009433974812852</v>
          </cell>
          <cell r="CV1577">
            <v>13.67289934744978</v>
          </cell>
          <cell r="CW1577">
            <v>11.062153668663059</v>
          </cell>
          <cell r="CX1577">
            <v>8.6510321273089765</v>
          </cell>
          <cell r="CY1577">
            <v>13.473275210017142</v>
          </cell>
        </row>
        <row r="1578">
          <cell r="A1578">
            <v>41746</v>
          </cell>
          <cell r="CF1578">
            <v>20.474225766084874</v>
          </cell>
          <cell r="CG1578">
            <v>22.085252262534414</v>
          </cell>
          <cell r="CH1578">
            <v>18.555263085067214</v>
          </cell>
          <cell r="CI1578">
            <v>14.926604548033502</v>
          </cell>
          <cell r="CJ1578">
            <v>22.183921622100925</v>
          </cell>
          <cell r="CU1578">
            <v>12.045613554811416</v>
          </cell>
          <cell r="CV1578">
            <v>13.67289934744978</v>
          </cell>
          <cell r="CW1578">
            <v>11.062153668663059</v>
          </cell>
          <cell r="CX1578">
            <v>8.6510321273089765</v>
          </cell>
          <cell r="CY1578">
            <v>13.473275210017142</v>
          </cell>
        </row>
        <row r="1579">
          <cell r="A1579">
            <v>41747</v>
          </cell>
          <cell r="CF1579">
            <v>20.474225766084874</v>
          </cell>
          <cell r="CG1579">
            <v>22.085252262534414</v>
          </cell>
          <cell r="CH1579">
            <v>18.555263085067214</v>
          </cell>
          <cell r="CI1579">
            <v>14.926604548033502</v>
          </cell>
          <cell r="CJ1579">
            <v>22.183921622100925</v>
          </cell>
          <cell r="CU1579">
            <v>12.045613554811416</v>
          </cell>
          <cell r="CV1579">
            <v>13.67289934744978</v>
          </cell>
          <cell r="CW1579">
            <v>11.062153668663059</v>
          </cell>
          <cell r="CX1579">
            <v>8.6510321273089765</v>
          </cell>
          <cell r="CY1579">
            <v>13.473275210017142</v>
          </cell>
        </row>
        <row r="1580">
          <cell r="A1580">
            <v>41750</v>
          </cell>
          <cell r="CF1580">
            <v>20.529964854409158</v>
          </cell>
          <cell r="CG1580">
            <v>22.085252262534414</v>
          </cell>
          <cell r="CH1580">
            <v>18.555263085067214</v>
          </cell>
          <cell r="CI1580">
            <v>14.926604548033502</v>
          </cell>
          <cell r="CJ1580">
            <v>22.183921622100925</v>
          </cell>
          <cell r="CU1580">
            <v>12.075926175891293</v>
          </cell>
          <cell r="CV1580">
            <v>13.67289934744978</v>
          </cell>
          <cell r="CW1580">
            <v>11.062153668663059</v>
          </cell>
          <cell r="CX1580">
            <v>8.6510321273089765</v>
          </cell>
          <cell r="CY1580">
            <v>13.473275210017142</v>
          </cell>
        </row>
        <row r="1581">
          <cell r="A1581">
            <v>41751</v>
          </cell>
          <cell r="CF1581">
            <v>20.582197567527842</v>
          </cell>
          <cell r="CG1581">
            <v>22.085252262534414</v>
          </cell>
          <cell r="CH1581">
            <v>18.555263085067214</v>
          </cell>
          <cell r="CI1581">
            <v>14.926604548033502</v>
          </cell>
          <cell r="CJ1581">
            <v>22.183921622100925</v>
          </cell>
          <cell r="CU1581">
            <v>12.102037265811381</v>
          </cell>
          <cell r="CV1581">
            <v>13.67289934744978</v>
          </cell>
          <cell r="CW1581">
            <v>11.062153668663059</v>
          </cell>
          <cell r="CX1581">
            <v>8.6510321273089765</v>
          </cell>
          <cell r="CY1581">
            <v>13.473275210017142</v>
          </cell>
        </row>
        <row r="1582">
          <cell r="A1582">
            <v>41752</v>
          </cell>
          <cell r="CF1582">
            <v>20.580399995687884</v>
          </cell>
          <cell r="CG1582">
            <v>22.085252262534414</v>
          </cell>
          <cell r="CH1582">
            <v>18.555263085067214</v>
          </cell>
          <cell r="CI1582">
            <v>14.926604548033502</v>
          </cell>
          <cell r="CJ1582">
            <v>22.183921622100925</v>
          </cell>
          <cell r="CU1582">
            <v>12.101059857630249</v>
          </cell>
          <cell r="CV1582">
            <v>13.67289934744978</v>
          </cell>
          <cell r="CW1582">
            <v>11.062153668663059</v>
          </cell>
          <cell r="CX1582">
            <v>8.6510321273089765</v>
          </cell>
          <cell r="CY1582">
            <v>13.473275210017142</v>
          </cell>
        </row>
        <row r="1583">
          <cell r="A1583">
            <v>41753</v>
          </cell>
          <cell r="CF1583">
            <v>20.432999104811266</v>
          </cell>
          <cell r="CG1583">
            <v>22.085252262534414</v>
          </cell>
          <cell r="CH1583">
            <v>18.555263085067214</v>
          </cell>
          <cell r="CI1583">
            <v>14.926604548033502</v>
          </cell>
          <cell r="CJ1583">
            <v>22.183921622100925</v>
          </cell>
          <cell r="CU1583">
            <v>12.020912386777548</v>
          </cell>
          <cell r="CV1583">
            <v>13.67289934744978</v>
          </cell>
          <cell r="CW1583">
            <v>11.062153668663059</v>
          </cell>
          <cell r="CX1583">
            <v>8.6510321273089765</v>
          </cell>
          <cell r="CY1583">
            <v>13.473275210017142</v>
          </cell>
        </row>
        <row r="1584">
          <cell r="A1584">
            <v>41754</v>
          </cell>
          <cell r="CF1584">
            <v>20.409630670891804</v>
          </cell>
          <cell r="CG1584">
            <v>22.085252262534414</v>
          </cell>
          <cell r="CH1584">
            <v>18.555263085067214</v>
          </cell>
          <cell r="CI1584">
            <v>14.926604548033502</v>
          </cell>
          <cell r="CJ1584">
            <v>22.183921622100925</v>
          </cell>
          <cell r="CU1584">
            <v>12.008206080422854</v>
          </cell>
          <cell r="CV1584">
            <v>13.67289934744978</v>
          </cell>
          <cell r="CW1584">
            <v>11.062153668663059</v>
          </cell>
          <cell r="CX1584">
            <v>8.6510321273089765</v>
          </cell>
          <cell r="CY1584">
            <v>13.473275210017142</v>
          </cell>
        </row>
        <row r="1585">
          <cell r="A1585">
            <v>41757</v>
          </cell>
          <cell r="CF1585">
            <v>20.456365741158887</v>
          </cell>
          <cell r="CG1585">
            <v>22.085252262534414</v>
          </cell>
          <cell r="CH1585">
            <v>18.555263085067214</v>
          </cell>
          <cell r="CI1585">
            <v>14.926604548033502</v>
          </cell>
          <cell r="CJ1585">
            <v>22.183921622100925</v>
          </cell>
          <cell r="CU1585">
            <v>12.012484349658816</v>
          </cell>
          <cell r="CV1585">
            <v>13.67289934744978</v>
          </cell>
          <cell r="CW1585">
            <v>11.062153668663059</v>
          </cell>
          <cell r="CX1585">
            <v>8.6510321273089765</v>
          </cell>
          <cell r="CY1585">
            <v>13.473275210017142</v>
          </cell>
        </row>
        <row r="1586">
          <cell r="A1586">
            <v>41758</v>
          </cell>
          <cell r="CF1586">
            <v>20.456365741158887</v>
          </cell>
          <cell r="CG1586">
            <v>22.085252262534414</v>
          </cell>
          <cell r="CH1586">
            <v>18.555263085067214</v>
          </cell>
          <cell r="CI1586">
            <v>14.926604548033502</v>
          </cell>
          <cell r="CJ1586">
            <v>22.183921622100925</v>
          </cell>
          <cell r="CU1586">
            <v>12.012484349658816</v>
          </cell>
          <cell r="CV1586">
            <v>13.67289934744978</v>
          </cell>
          <cell r="CW1586">
            <v>11.062153668663059</v>
          </cell>
          <cell r="CX1586">
            <v>8.6510321273089765</v>
          </cell>
          <cell r="CY1586">
            <v>13.473275210017142</v>
          </cell>
        </row>
        <row r="1587">
          <cell r="A1587">
            <v>41759</v>
          </cell>
          <cell r="CF1587">
            <v>20.533663127848957</v>
          </cell>
          <cell r="CG1587">
            <v>22.085252262534414</v>
          </cell>
          <cell r="CH1587">
            <v>18.555263085067214</v>
          </cell>
          <cell r="CI1587">
            <v>14.926604548033502</v>
          </cell>
          <cell r="CJ1587">
            <v>22.183921622100925</v>
          </cell>
          <cell r="CU1587">
            <v>12.054434023323621</v>
          </cell>
          <cell r="CV1587">
            <v>13.67289934744978</v>
          </cell>
          <cell r="CW1587">
            <v>11.062153668663059</v>
          </cell>
          <cell r="CX1587">
            <v>8.6510321273089765</v>
          </cell>
          <cell r="CY1587">
            <v>13.473275210017142</v>
          </cell>
        </row>
        <row r="1588">
          <cell r="A1588">
            <v>41760</v>
          </cell>
          <cell r="CF1588">
            <v>20.363289059634383</v>
          </cell>
          <cell r="CG1588">
            <v>22.085252262534414</v>
          </cell>
          <cell r="CH1588">
            <v>18.555263085067214</v>
          </cell>
          <cell r="CI1588">
            <v>14.926604548033502</v>
          </cell>
          <cell r="CJ1588">
            <v>22.183921622100925</v>
          </cell>
          <cell r="CU1588">
            <v>11.979137184306493</v>
          </cell>
          <cell r="CV1588">
            <v>13.67289934744978</v>
          </cell>
          <cell r="CW1588">
            <v>11.062153668663059</v>
          </cell>
          <cell r="CX1588">
            <v>8.6510321273089765</v>
          </cell>
          <cell r="CY1588">
            <v>13.473275210017142</v>
          </cell>
        </row>
        <row r="1589">
          <cell r="A1589">
            <v>41761</v>
          </cell>
          <cell r="CF1589">
            <v>20.302703463614375</v>
          </cell>
          <cell r="CG1589">
            <v>22.085252262534414</v>
          </cell>
          <cell r="CH1589">
            <v>18.555263085067214</v>
          </cell>
          <cell r="CI1589">
            <v>14.926604548033502</v>
          </cell>
          <cell r="CJ1589">
            <v>22.183921622100925</v>
          </cell>
          <cell r="CU1589">
            <v>11.946187994767563</v>
          </cell>
          <cell r="CV1589">
            <v>13.67289934744978</v>
          </cell>
          <cell r="CW1589">
            <v>11.062153668663059</v>
          </cell>
          <cell r="CX1589">
            <v>8.6510321273089765</v>
          </cell>
          <cell r="CY1589">
            <v>13.473275210017142</v>
          </cell>
        </row>
        <row r="1590">
          <cell r="A1590">
            <v>41764</v>
          </cell>
          <cell r="CF1590">
            <v>20.523657979424993</v>
          </cell>
          <cell r="CG1590">
            <v>22.085252262534414</v>
          </cell>
          <cell r="CH1590">
            <v>18.555263085067214</v>
          </cell>
          <cell r="CI1590">
            <v>14.926604548033502</v>
          </cell>
          <cell r="CJ1590">
            <v>22.183921622100925</v>
          </cell>
          <cell r="CU1590">
            <v>12.066353062030796</v>
          </cell>
          <cell r="CV1590">
            <v>13.67289934744978</v>
          </cell>
          <cell r="CW1590">
            <v>11.062153668663059</v>
          </cell>
          <cell r="CX1590">
            <v>8.6510321273089765</v>
          </cell>
          <cell r="CY1590">
            <v>13.473275210017142</v>
          </cell>
        </row>
        <row r="1591">
          <cell r="A1591">
            <v>41765</v>
          </cell>
          <cell r="CF1591">
            <v>20.218349994374496</v>
          </cell>
          <cell r="CG1591">
            <v>22.085252262534414</v>
          </cell>
          <cell r="CH1591">
            <v>18.555263085067214</v>
          </cell>
          <cell r="CI1591">
            <v>14.926604548033502</v>
          </cell>
          <cell r="CJ1591">
            <v>22.183921622100925</v>
          </cell>
          <cell r="CU1591">
            <v>11.868477356781234</v>
          </cell>
          <cell r="CV1591">
            <v>13.67289934744978</v>
          </cell>
          <cell r="CW1591">
            <v>11.062153668663059</v>
          </cell>
          <cell r="CX1591">
            <v>8.6510321273089765</v>
          </cell>
          <cell r="CY1591">
            <v>13.473275210017142</v>
          </cell>
        </row>
        <row r="1592">
          <cell r="A1592">
            <v>41766</v>
          </cell>
          <cell r="CF1592">
            <v>20.142933487117276</v>
          </cell>
          <cell r="CG1592">
            <v>22.085252262534414</v>
          </cell>
          <cell r="CH1592">
            <v>18.555263085067214</v>
          </cell>
          <cell r="CI1592">
            <v>14.926604548033502</v>
          </cell>
          <cell r="CJ1592">
            <v>22.183921622100925</v>
          </cell>
          <cell r="CU1592">
            <v>11.79767041444053</v>
          </cell>
          <cell r="CV1592">
            <v>13.67289934744978</v>
          </cell>
          <cell r="CW1592">
            <v>11.062153668663059</v>
          </cell>
          <cell r="CX1592">
            <v>8.6510321273089765</v>
          </cell>
          <cell r="CY1592">
            <v>13.473275210017142</v>
          </cell>
        </row>
        <row r="1593">
          <cell r="A1593">
            <v>41767</v>
          </cell>
          <cell r="CF1593">
            <v>20.17643108765968</v>
          </cell>
          <cell r="CG1593">
            <v>22.085252262534414</v>
          </cell>
          <cell r="CH1593">
            <v>18.555263085067214</v>
          </cell>
          <cell r="CI1593">
            <v>14.926604548033502</v>
          </cell>
          <cell r="CJ1593">
            <v>22.183921622100925</v>
          </cell>
          <cell r="CU1593">
            <v>11.783004336571219</v>
          </cell>
          <cell r="CV1593">
            <v>13.67289934744978</v>
          </cell>
          <cell r="CW1593">
            <v>11.062153668663059</v>
          </cell>
          <cell r="CX1593">
            <v>8.6510321273089765</v>
          </cell>
          <cell r="CY1593">
            <v>13.473275210017142</v>
          </cell>
        </row>
        <row r="1594">
          <cell r="A1594">
            <v>41768</v>
          </cell>
          <cell r="CF1594">
            <v>20.496691898574912</v>
          </cell>
          <cell r="CG1594">
            <v>22.085252262534414</v>
          </cell>
          <cell r="CH1594">
            <v>18.555263085067214</v>
          </cell>
          <cell r="CI1594">
            <v>14.926604548033502</v>
          </cell>
          <cell r="CJ1594">
            <v>22.183921622100925</v>
          </cell>
          <cell r="CU1594">
            <v>11.955810324546704</v>
          </cell>
          <cell r="CV1594">
            <v>13.67289934744978</v>
          </cell>
          <cell r="CW1594">
            <v>11.062153668663059</v>
          </cell>
          <cell r="CX1594">
            <v>8.6510321273089765</v>
          </cell>
          <cell r="CY1594">
            <v>13.473275210017142</v>
          </cell>
        </row>
        <row r="1595">
          <cell r="A1595">
            <v>41771</v>
          </cell>
          <cell r="CF1595">
            <v>20.679952251487517</v>
          </cell>
          <cell r="CG1595">
            <v>22.085252262534414</v>
          </cell>
          <cell r="CH1595">
            <v>18.555263085067214</v>
          </cell>
          <cell r="CI1595">
            <v>14.926604548033502</v>
          </cell>
          <cell r="CJ1595">
            <v>22.183921622100925</v>
          </cell>
          <cell r="CU1595">
            <v>12.054693750999339</v>
          </cell>
          <cell r="CV1595">
            <v>13.67289934744978</v>
          </cell>
          <cell r="CW1595">
            <v>11.062153668663059</v>
          </cell>
          <cell r="CX1595">
            <v>8.6510321273089765</v>
          </cell>
          <cell r="CY1595">
            <v>13.473275210017142</v>
          </cell>
        </row>
        <row r="1596">
          <cell r="A1596">
            <v>41772</v>
          </cell>
          <cell r="CF1596">
            <v>20.546510246939505</v>
          </cell>
          <cell r="CG1596">
            <v>22.085252262534414</v>
          </cell>
          <cell r="CH1596">
            <v>18.555263085067214</v>
          </cell>
          <cell r="CI1596">
            <v>14.926604548033502</v>
          </cell>
          <cell r="CJ1596">
            <v>22.183921622100925</v>
          </cell>
          <cell r="CU1596">
            <v>11.982691256009554</v>
          </cell>
          <cell r="CV1596">
            <v>13.67289934744978</v>
          </cell>
          <cell r="CW1596">
            <v>11.062153668663059</v>
          </cell>
          <cell r="CX1596">
            <v>8.6510321273089765</v>
          </cell>
          <cell r="CY1596">
            <v>13.473275210017142</v>
          </cell>
        </row>
        <row r="1597">
          <cell r="A1597">
            <v>41773</v>
          </cell>
          <cell r="CF1597">
            <v>20.368587574208821</v>
          </cell>
          <cell r="CG1597">
            <v>22.085252262534414</v>
          </cell>
          <cell r="CH1597">
            <v>18.555263085067214</v>
          </cell>
          <cell r="CI1597">
            <v>14.926604548033502</v>
          </cell>
          <cell r="CJ1597">
            <v>22.183921622100925</v>
          </cell>
          <cell r="CU1597">
            <v>11.886687929356508</v>
          </cell>
          <cell r="CV1597">
            <v>13.67289934744978</v>
          </cell>
          <cell r="CW1597">
            <v>11.062153668663059</v>
          </cell>
          <cell r="CX1597">
            <v>8.6510321273089765</v>
          </cell>
          <cell r="CY1597">
            <v>13.473275210017142</v>
          </cell>
        </row>
        <row r="1598">
          <cell r="A1598">
            <v>41774</v>
          </cell>
          <cell r="CF1598">
            <v>20.318769225844228</v>
          </cell>
          <cell r="CG1598">
            <v>22.085252262534414</v>
          </cell>
          <cell r="CH1598">
            <v>18.555263085067214</v>
          </cell>
          <cell r="CI1598">
            <v>14.926604548033502</v>
          </cell>
          <cell r="CJ1598">
            <v>22.183921622100925</v>
          </cell>
          <cell r="CU1598">
            <v>11.859806997893655</v>
          </cell>
          <cell r="CV1598">
            <v>13.67289934744978</v>
          </cell>
          <cell r="CW1598">
            <v>11.062153668663059</v>
          </cell>
          <cell r="CX1598">
            <v>8.6510321273089765</v>
          </cell>
          <cell r="CY1598">
            <v>13.473275210017142</v>
          </cell>
        </row>
        <row r="1599">
          <cell r="A1599">
            <v>41775</v>
          </cell>
          <cell r="CF1599">
            <v>20.535834886575664</v>
          </cell>
          <cell r="CG1599">
            <v>22.085252262534414</v>
          </cell>
          <cell r="CH1599">
            <v>18.555263085067214</v>
          </cell>
          <cell r="CI1599">
            <v>14.926604548033502</v>
          </cell>
          <cell r="CJ1599">
            <v>22.183921622100925</v>
          </cell>
          <cell r="CU1599">
            <v>11.976931056410374</v>
          </cell>
          <cell r="CV1599">
            <v>13.67289934744978</v>
          </cell>
          <cell r="CW1599">
            <v>11.062153668663059</v>
          </cell>
          <cell r="CX1599">
            <v>8.6510321273089765</v>
          </cell>
          <cell r="CY1599">
            <v>13.473275210017142</v>
          </cell>
        </row>
        <row r="1600">
          <cell r="A1600">
            <v>41778</v>
          </cell>
          <cell r="CF1600">
            <v>20.64614694366869</v>
          </cell>
          <cell r="CG1600">
            <v>22.085252262534414</v>
          </cell>
          <cell r="CH1600">
            <v>18.555263085067214</v>
          </cell>
          <cell r="CI1600">
            <v>14.926604548033502</v>
          </cell>
          <cell r="CJ1600">
            <v>22.183921622100925</v>
          </cell>
          <cell r="CU1600">
            <v>12.036453118935263</v>
          </cell>
          <cell r="CV1600">
            <v>13.67289934744978</v>
          </cell>
          <cell r="CW1600">
            <v>11.062153668663059</v>
          </cell>
          <cell r="CX1600">
            <v>8.6510321273089765</v>
          </cell>
          <cell r="CY1600">
            <v>13.473275210017142</v>
          </cell>
        </row>
        <row r="1601">
          <cell r="A1601">
            <v>41779</v>
          </cell>
          <cell r="CF1601">
            <v>20.516263392575286</v>
          </cell>
          <cell r="CG1601">
            <v>22.085252262534414</v>
          </cell>
          <cell r="CH1601">
            <v>18.555263085067214</v>
          </cell>
          <cell r="CI1601">
            <v>14.926604548033502</v>
          </cell>
          <cell r="CJ1601">
            <v>22.183921622100925</v>
          </cell>
          <cell r="CU1601">
            <v>11.966370690478538</v>
          </cell>
          <cell r="CV1601">
            <v>13.67289934744978</v>
          </cell>
          <cell r="CW1601">
            <v>11.062153668663059</v>
          </cell>
          <cell r="CX1601">
            <v>8.6510321273089765</v>
          </cell>
          <cell r="CY1601">
            <v>13.473275210017142</v>
          </cell>
        </row>
        <row r="1602">
          <cell r="A1602">
            <v>41780</v>
          </cell>
          <cell r="CF1602">
            <v>20.68351070494213</v>
          </cell>
          <cell r="CG1602">
            <v>22.085252262534414</v>
          </cell>
          <cell r="CH1602">
            <v>18.555263085067214</v>
          </cell>
          <cell r="CI1602">
            <v>14.926604548033502</v>
          </cell>
          <cell r="CJ1602">
            <v>22.183921622100925</v>
          </cell>
          <cell r="CU1602">
            <v>12.451511599988676</v>
          </cell>
          <cell r="CV1602">
            <v>13.67289934744978</v>
          </cell>
          <cell r="CW1602">
            <v>11.062153668663059</v>
          </cell>
          <cell r="CX1602">
            <v>8.6510321273089765</v>
          </cell>
          <cell r="CY1602">
            <v>13.473275210017142</v>
          </cell>
        </row>
        <row r="1603">
          <cell r="A1603">
            <v>41781</v>
          </cell>
          <cell r="CF1603">
            <v>20.665718437669064</v>
          </cell>
          <cell r="CG1603">
            <v>22.085252262534414</v>
          </cell>
          <cell r="CH1603">
            <v>18.555263085067214</v>
          </cell>
          <cell r="CI1603">
            <v>14.926604548033502</v>
          </cell>
          <cell r="CJ1603">
            <v>22.183921622100925</v>
          </cell>
          <cell r="CU1603">
            <v>12.441911267323372</v>
          </cell>
          <cell r="CV1603">
            <v>13.67289934744978</v>
          </cell>
          <cell r="CW1603">
            <v>11.062153668663059</v>
          </cell>
          <cell r="CX1603">
            <v>8.6510321273089765</v>
          </cell>
          <cell r="CY1603">
            <v>13.473275210017142</v>
          </cell>
        </row>
        <row r="1604">
          <cell r="A1604">
            <v>41782</v>
          </cell>
          <cell r="CF1604">
            <v>20.781366395717278</v>
          </cell>
          <cell r="CG1604">
            <v>22.085252262534414</v>
          </cell>
          <cell r="CH1604">
            <v>18.555263085067214</v>
          </cell>
          <cell r="CI1604">
            <v>14.926604548033502</v>
          </cell>
          <cell r="CJ1604">
            <v>22.183921622100925</v>
          </cell>
          <cell r="CU1604">
            <v>12.504312469614584</v>
          </cell>
          <cell r="CV1604">
            <v>13.67289934744978</v>
          </cell>
          <cell r="CW1604">
            <v>11.062153668663059</v>
          </cell>
          <cell r="CX1604">
            <v>8.6510321273089765</v>
          </cell>
          <cell r="CY1604">
            <v>13.473275210017142</v>
          </cell>
        </row>
        <row r="1605">
          <cell r="A1605">
            <v>41785</v>
          </cell>
          <cell r="CF1605">
            <v>20.781366395717278</v>
          </cell>
          <cell r="CG1605">
            <v>22.085252262534414</v>
          </cell>
          <cell r="CH1605">
            <v>18.555263085067214</v>
          </cell>
          <cell r="CI1605">
            <v>14.926604548033502</v>
          </cell>
          <cell r="CJ1605">
            <v>22.183921622100925</v>
          </cell>
          <cell r="CU1605">
            <v>12.504312469614584</v>
          </cell>
          <cell r="CV1605">
            <v>13.67289934744978</v>
          </cell>
          <cell r="CW1605">
            <v>11.062153668663059</v>
          </cell>
          <cell r="CX1605">
            <v>8.6510321273089765</v>
          </cell>
          <cell r="CY1605">
            <v>13.473275210017142</v>
          </cell>
        </row>
        <row r="1606">
          <cell r="A1606">
            <v>41786</v>
          </cell>
          <cell r="CF1606">
            <v>21.018003550449091</v>
          </cell>
          <cell r="CG1606">
            <v>22.085252262534414</v>
          </cell>
          <cell r="CH1606">
            <v>18.555263085067214</v>
          </cell>
          <cell r="CI1606">
            <v>14.926604548033502</v>
          </cell>
          <cell r="CJ1606">
            <v>22.183921622100925</v>
          </cell>
          <cell r="CU1606">
            <v>12.631996894063137</v>
          </cell>
          <cell r="CV1606">
            <v>13.67289934744978</v>
          </cell>
          <cell r="CW1606">
            <v>11.062153668663059</v>
          </cell>
          <cell r="CX1606">
            <v>8.6510321273089765</v>
          </cell>
          <cell r="CY1606">
            <v>13.473275210017142</v>
          </cell>
        </row>
        <row r="1607">
          <cell r="A1607">
            <v>41787</v>
          </cell>
          <cell r="CF1607">
            <v>21.007767238567723</v>
          </cell>
          <cell r="CG1607">
            <v>22.085252262534414</v>
          </cell>
          <cell r="CH1607">
            <v>18.555263085067214</v>
          </cell>
          <cell r="CI1607">
            <v>14.926604548033502</v>
          </cell>
          <cell r="CJ1607">
            <v>22.183921622100925</v>
          </cell>
          <cell r="CU1607">
            <v>12.606926018619705</v>
          </cell>
          <cell r="CV1607">
            <v>13.67289934744978</v>
          </cell>
          <cell r="CW1607">
            <v>11.062153668663059</v>
          </cell>
          <cell r="CX1607">
            <v>8.6510321273089765</v>
          </cell>
          <cell r="CY1607">
            <v>13.473275210017142</v>
          </cell>
        </row>
        <row r="1608">
          <cell r="A1608">
            <v>41788</v>
          </cell>
          <cell r="CF1608">
            <v>21.146444115961526</v>
          </cell>
          <cell r="CG1608">
            <v>22.085252262534414</v>
          </cell>
          <cell r="CH1608">
            <v>18.555263085067214</v>
          </cell>
          <cell r="CI1608">
            <v>14.926604548033502</v>
          </cell>
          <cell r="CJ1608">
            <v>22.183921622100925</v>
          </cell>
          <cell r="CU1608">
            <v>12.681642957538106</v>
          </cell>
          <cell r="CV1608">
            <v>13.67289934744978</v>
          </cell>
          <cell r="CW1608">
            <v>11.062153668663059</v>
          </cell>
          <cell r="CX1608">
            <v>8.6510321273089765</v>
          </cell>
          <cell r="CY1608">
            <v>13.473275210017142</v>
          </cell>
        </row>
        <row r="1609">
          <cell r="A1609">
            <v>41789</v>
          </cell>
          <cell r="CF1609">
            <v>21.272677410472262</v>
          </cell>
          <cell r="CG1609">
            <v>22.085252262534414</v>
          </cell>
          <cell r="CH1609">
            <v>18.555263085067214</v>
          </cell>
          <cell r="CI1609">
            <v>14.926604548033502</v>
          </cell>
          <cell r="CJ1609">
            <v>22.183921622100925</v>
          </cell>
          <cell r="CU1609">
            <v>12.74965548805279</v>
          </cell>
          <cell r="CV1609">
            <v>13.67289934744978</v>
          </cell>
          <cell r="CW1609">
            <v>11.062153668663059</v>
          </cell>
          <cell r="CX1609">
            <v>8.6510321273089765</v>
          </cell>
          <cell r="CY1609">
            <v>13.473275210017142</v>
          </cell>
        </row>
        <row r="1610">
          <cell r="A1610">
            <v>41792</v>
          </cell>
          <cell r="CF1610">
            <v>21.096767541644969</v>
          </cell>
          <cell r="CG1610">
            <v>22.085252262534414</v>
          </cell>
          <cell r="CH1610">
            <v>18.555263085067214</v>
          </cell>
          <cell r="CI1610">
            <v>14.926604548033502</v>
          </cell>
          <cell r="CJ1610">
            <v>22.183921622100925</v>
          </cell>
          <cell r="CU1610">
            <v>12.662821163957503</v>
          </cell>
          <cell r="CV1610">
            <v>13.67289934744978</v>
          </cell>
          <cell r="CW1610">
            <v>11.062153668663059</v>
          </cell>
          <cell r="CX1610">
            <v>8.6510321273089765</v>
          </cell>
          <cell r="CY1610">
            <v>13.473275210017142</v>
          </cell>
        </row>
        <row r="1611">
          <cell r="A1611">
            <v>41793</v>
          </cell>
          <cell r="CF1611">
            <v>21.234240212342403</v>
          </cell>
          <cell r="CG1611">
            <v>22.085252262534414</v>
          </cell>
          <cell r="CH1611">
            <v>18.555263085067214</v>
          </cell>
          <cell r="CI1611">
            <v>14.926604548033502</v>
          </cell>
          <cell r="CJ1611">
            <v>22.183921622100925</v>
          </cell>
          <cell r="CU1611">
            <v>12.737001360180436</v>
          </cell>
          <cell r="CV1611">
            <v>13.67289934744978</v>
          </cell>
          <cell r="CW1611">
            <v>11.062153668663059</v>
          </cell>
          <cell r="CX1611">
            <v>8.6510321273089765</v>
          </cell>
          <cell r="CY1611">
            <v>13.473275210017142</v>
          </cell>
        </row>
        <row r="1612">
          <cell r="A1612">
            <v>41794</v>
          </cell>
          <cell r="CF1612">
            <v>21.049180847942011</v>
          </cell>
          <cell r="CG1612">
            <v>22.085252262534414</v>
          </cell>
          <cell r="CH1612">
            <v>18.555263085067214</v>
          </cell>
          <cell r="CI1612">
            <v>14.926604548033502</v>
          </cell>
          <cell r="CJ1612">
            <v>22.183921622100925</v>
          </cell>
          <cell r="CU1612">
            <v>12.637143403726489</v>
          </cell>
          <cell r="CV1612">
            <v>13.67289934744978</v>
          </cell>
          <cell r="CW1612">
            <v>11.062153668663059</v>
          </cell>
          <cell r="CX1612">
            <v>8.6510321273089765</v>
          </cell>
          <cell r="CY1612">
            <v>13.473275210017142</v>
          </cell>
        </row>
        <row r="1613">
          <cell r="A1613">
            <v>41795</v>
          </cell>
          <cell r="CF1613">
            <v>21.005119094513343</v>
          </cell>
          <cell r="CG1613">
            <v>22.085252262534414</v>
          </cell>
          <cell r="CH1613">
            <v>18.555263085067214</v>
          </cell>
          <cell r="CI1613">
            <v>14.926604548033502</v>
          </cell>
          <cell r="CJ1613">
            <v>22.183921622100925</v>
          </cell>
          <cell r="CU1613">
            <v>12.613367699808881</v>
          </cell>
          <cell r="CV1613">
            <v>13.67289934744978</v>
          </cell>
          <cell r="CW1613">
            <v>11.062153668663059</v>
          </cell>
          <cell r="CX1613">
            <v>8.6510321273089765</v>
          </cell>
          <cell r="CY1613">
            <v>13.473275210017142</v>
          </cell>
        </row>
        <row r="1614">
          <cell r="A1614">
            <v>41796</v>
          </cell>
          <cell r="CF1614">
            <v>21.085301800261565</v>
          </cell>
          <cell r="CG1614">
            <v>22.085252262534414</v>
          </cell>
          <cell r="CH1614">
            <v>18.555263085067214</v>
          </cell>
          <cell r="CI1614">
            <v>14.926604548033502</v>
          </cell>
          <cell r="CJ1614">
            <v>22.183921622100925</v>
          </cell>
          <cell r="CU1614">
            <v>12.656163015832417</v>
          </cell>
          <cell r="CV1614">
            <v>13.67289934744978</v>
          </cell>
          <cell r="CW1614">
            <v>11.062153668663059</v>
          </cell>
          <cell r="CX1614">
            <v>8.6510321273089765</v>
          </cell>
          <cell r="CY1614">
            <v>13.473275210017142</v>
          </cell>
        </row>
        <row r="1615">
          <cell r="A1615">
            <v>41799</v>
          </cell>
          <cell r="CF1615">
            <v>21.146992572643217</v>
          </cell>
          <cell r="CG1615">
            <v>22.085252262534414</v>
          </cell>
          <cell r="CH1615">
            <v>18.555263085067214</v>
          </cell>
          <cell r="CI1615">
            <v>14.926604548033502</v>
          </cell>
          <cell r="CJ1615">
            <v>22.183921622100925</v>
          </cell>
          <cell r="CU1615">
            <v>12.661280906315429</v>
          </cell>
          <cell r="CV1615">
            <v>13.67289934744978</v>
          </cell>
          <cell r="CW1615">
            <v>11.062153668663059</v>
          </cell>
          <cell r="CX1615">
            <v>8.6510321273089765</v>
          </cell>
          <cell r="CY1615">
            <v>13.473275210017142</v>
          </cell>
        </row>
        <row r="1616">
          <cell r="A1616">
            <v>41800</v>
          </cell>
          <cell r="CF1616">
            <v>21.077758511104388</v>
          </cell>
          <cell r="CG1616">
            <v>22.085252262534414</v>
          </cell>
          <cell r="CH1616">
            <v>18.555263085067214</v>
          </cell>
          <cell r="CI1616">
            <v>14.926604548033502</v>
          </cell>
          <cell r="CJ1616">
            <v>22.183921622100925</v>
          </cell>
          <cell r="CU1616">
            <v>12.620476526868041</v>
          </cell>
          <cell r="CV1616">
            <v>13.67289934744978</v>
          </cell>
          <cell r="CW1616">
            <v>11.062153668663059</v>
          </cell>
          <cell r="CX1616">
            <v>8.6510321273089765</v>
          </cell>
          <cell r="CY1616">
            <v>13.473275210017142</v>
          </cell>
        </row>
        <row r="1617">
          <cell r="A1617">
            <v>41801</v>
          </cell>
          <cell r="CF1617">
            <v>20.943765311348756</v>
          </cell>
          <cell r="CG1617">
            <v>22.085252262534414</v>
          </cell>
          <cell r="CH1617">
            <v>18.555263085067214</v>
          </cell>
          <cell r="CI1617">
            <v>14.926604548033502</v>
          </cell>
          <cell r="CJ1617">
            <v>22.183921622100925</v>
          </cell>
          <cell r="CU1617">
            <v>12.548359784615027</v>
          </cell>
          <cell r="CV1617">
            <v>13.67289934744978</v>
          </cell>
          <cell r="CW1617">
            <v>11.062153668663059</v>
          </cell>
          <cell r="CX1617">
            <v>8.6510321273089765</v>
          </cell>
          <cell r="CY1617">
            <v>13.473275210017142</v>
          </cell>
        </row>
        <row r="1618">
          <cell r="A1618">
            <v>41802</v>
          </cell>
          <cell r="CF1618">
            <v>20.82863187588152</v>
          </cell>
          <cell r="CG1618">
            <v>22.085252262534414</v>
          </cell>
          <cell r="CH1618">
            <v>18.555263085067214</v>
          </cell>
          <cell r="CI1618">
            <v>14.926604548033502</v>
          </cell>
          <cell r="CJ1618">
            <v>22.183921622100925</v>
          </cell>
          <cell r="CU1618">
            <v>12.486680180324891</v>
          </cell>
          <cell r="CV1618">
            <v>13.67289934744978</v>
          </cell>
          <cell r="CW1618">
            <v>11.062153668663059</v>
          </cell>
          <cell r="CX1618">
            <v>8.6510321273089765</v>
          </cell>
          <cell r="CY1618">
            <v>13.473275210017142</v>
          </cell>
        </row>
        <row r="1619">
          <cell r="A1619">
            <v>41803</v>
          </cell>
          <cell r="CF1619">
            <v>20.818051833568404</v>
          </cell>
          <cell r="CG1619">
            <v>22.085252262534414</v>
          </cell>
          <cell r="CH1619">
            <v>18.555263085067214</v>
          </cell>
          <cell r="CI1619">
            <v>14.926604548033502</v>
          </cell>
          <cell r="CJ1619">
            <v>22.183921622100925</v>
          </cell>
          <cell r="CU1619">
            <v>12.480985729473424</v>
          </cell>
          <cell r="CV1619">
            <v>13.67289934744978</v>
          </cell>
          <cell r="CW1619">
            <v>11.062153668663059</v>
          </cell>
          <cell r="CX1619">
            <v>8.6510321273089765</v>
          </cell>
          <cell r="CY1619">
            <v>13.473275210017142</v>
          </cell>
        </row>
        <row r="1620">
          <cell r="A1620">
            <v>41806</v>
          </cell>
          <cell r="CF1620">
            <v>20.761306678843248</v>
          </cell>
          <cell r="CG1620">
            <v>22.085252262534414</v>
          </cell>
          <cell r="CH1620">
            <v>18.555263085067214</v>
          </cell>
          <cell r="CI1620">
            <v>14.926604548033502</v>
          </cell>
          <cell r="CJ1620">
            <v>22.183921622100925</v>
          </cell>
          <cell r="CU1620">
            <v>12.450621334739889</v>
          </cell>
          <cell r="CV1620">
            <v>13.67289934744978</v>
          </cell>
          <cell r="CW1620">
            <v>11.062153668663059</v>
          </cell>
          <cell r="CX1620">
            <v>8.6510321273089765</v>
          </cell>
          <cell r="CY1620">
            <v>13.473275210017142</v>
          </cell>
        </row>
        <row r="1621">
          <cell r="A1621">
            <v>41807</v>
          </cell>
          <cell r="CF1621">
            <v>20.863561755895972</v>
          </cell>
          <cell r="CG1621">
            <v>22.085252262534414</v>
          </cell>
          <cell r="CH1621">
            <v>18.555263085067214</v>
          </cell>
          <cell r="CI1621">
            <v>14.926604548033502</v>
          </cell>
          <cell r="CJ1621">
            <v>22.183921622100925</v>
          </cell>
          <cell r="CU1621">
            <v>12.50565852010647</v>
          </cell>
          <cell r="CV1621">
            <v>13.67289934744978</v>
          </cell>
          <cell r="CW1621">
            <v>11.062153668663059</v>
          </cell>
          <cell r="CX1621">
            <v>8.6510321273089765</v>
          </cell>
          <cell r="CY1621">
            <v>13.473275210017142</v>
          </cell>
        </row>
        <row r="1622">
          <cell r="A1622">
            <v>41808</v>
          </cell>
          <cell r="CF1622">
            <v>20.997551167206442</v>
          </cell>
          <cell r="CG1622">
            <v>22.085252262534414</v>
          </cell>
          <cell r="CH1622">
            <v>18.555263085067214</v>
          </cell>
          <cell r="CI1622">
            <v>14.926604548033502</v>
          </cell>
          <cell r="CJ1622">
            <v>22.183921622100925</v>
          </cell>
          <cell r="CU1622">
            <v>12.577776211276475</v>
          </cell>
          <cell r="CV1622">
            <v>13.67289934744978</v>
          </cell>
          <cell r="CW1622">
            <v>11.062153668663059</v>
          </cell>
          <cell r="CX1622">
            <v>8.6510321273089765</v>
          </cell>
          <cell r="CY1622">
            <v>13.473275210017142</v>
          </cell>
        </row>
        <row r="1623">
          <cell r="A1623">
            <v>41809</v>
          </cell>
          <cell r="CF1623">
            <v>20.994023367048122</v>
          </cell>
          <cell r="CG1623">
            <v>22.085252262534414</v>
          </cell>
          <cell r="CH1623">
            <v>18.555263085067214</v>
          </cell>
          <cell r="CI1623">
            <v>14.926604548033502</v>
          </cell>
          <cell r="CJ1623">
            <v>22.183921622100925</v>
          </cell>
          <cell r="CU1623">
            <v>12.575877428381329</v>
          </cell>
          <cell r="CV1623">
            <v>13.67289934744978</v>
          </cell>
          <cell r="CW1623">
            <v>11.062153668663059</v>
          </cell>
          <cell r="CX1623">
            <v>8.6510321273089765</v>
          </cell>
          <cell r="CY1623">
            <v>13.473275210017142</v>
          </cell>
        </row>
        <row r="1624">
          <cell r="A1624">
            <v>41810</v>
          </cell>
          <cell r="CF1624">
            <v>21.076885239832226</v>
          </cell>
          <cell r="CG1624">
            <v>22.085252262534414</v>
          </cell>
          <cell r="CH1624">
            <v>18.555263085067214</v>
          </cell>
          <cell r="CI1624">
            <v>14.926604548033502</v>
          </cell>
          <cell r="CJ1624">
            <v>22.183921622100925</v>
          </cell>
          <cell r="CU1624">
            <v>12.620476526868041</v>
          </cell>
          <cell r="CV1624">
            <v>13.67289934744978</v>
          </cell>
          <cell r="CW1624">
            <v>11.062153668663059</v>
          </cell>
          <cell r="CX1624">
            <v>8.6510321273089765</v>
          </cell>
          <cell r="CY1624">
            <v>13.473275210017142</v>
          </cell>
        </row>
        <row r="1625">
          <cell r="A1625">
            <v>41813</v>
          </cell>
          <cell r="CF1625">
            <v>21.165036168325958</v>
          </cell>
          <cell r="CG1625">
            <v>22.085252262534414</v>
          </cell>
          <cell r="CH1625">
            <v>18.555263085067214</v>
          </cell>
          <cell r="CI1625">
            <v>14.926604548033502</v>
          </cell>
          <cell r="CJ1625">
            <v>22.183921622100925</v>
          </cell>
          <cell r="CU1625">
            <v>12.667922376321993</v>
          </cell>
          <cell r="CV1625">
            <v>13.67289934744978</v>
          </cell>
          <cell r="CW1625">
            <v>11.062153668663059</v>
          </cell>
          <cell r="CX1625">
            <v>8.6510321273089765</v>
          </cell>
          <cell r="CY1625">
            <v>13.473275210017142</v>
          </cell>
        </row>
        <row r="1626">
          <cell r="A1626">
            <v>41814</v>
          </cell>
          <cell r="CF1626">
            <v>21.156222838495154</v>
          </cell>
          <cell r="CG1626">
            <v>22.085252262534414</v>
          </cell>
          <cell r="CH1626">
            <v>18.555263085067214</v>
          </cell>
          <cell r="CI1626">
            <v>14.926604548033502</v>
          </cell>
          <cell r="CJ1626">
            <v>22.183921622100925</v>
          </cell>
          <cell r="CU1626">
            <v>12.663178740293587</v>
          </cell>
          <cell r="CV1626">
            <v>13.67289934744978</v>
          </cell>
          <cell r="CW1626">
            <v>11.062153668663059</v>
          </cell>
          <cell r="CX1626">
            <v>8.6510321273089765</v>
          </cell>
          <cell r="CY1626">
            <v>13.473275210017142</v>
          </cell>
        </row>
        <row r="1627">
          <cell r="A1627">
            <v>41815</v>
          </cell>
          <cell r="CF1627">
            <v>21.203051927730492</v>
          </cell>
          <cell r="CG1627">
            <v>22.085252262534414</v>
          </cell>
          <cell r="CH1627">
            <v>18.555263085067214</v>
          </cell>
          <cell r="CI1627">
            <v>14.926604548033502</v>
          </cell>
          <cell r="CJ1627">
            <v>22.183921622100925</v>
          </cell>
          <cell r="CU1627">
            <v>12.692189015346534</v>
          </cell>
          <cell r="CV1627">
            <v>13.67289934744978</v>
          </cell>
          <cell r="CW1627">
            <v>11.062153668663059</v>
          </cell>
          <cell r="CX1627">
            <v>8.6510321273089765</v>
          </cell>
          <cell r="CY1627">
            <v>13.473275210017142</v>
          </cell>
        </row>
        <row r="1628">
          <cell r="A1628">
            <v>41816</v>
          </cell>
          <cell r="CF1628">
            <v>21.141341631661764</v>
          </cell>
          <cell r="CG1628">
            <v>22.085252262534414</v>
          </cell>
          <cell r="CH1628">
            <v>18.555263085067214</v>
          </cell>
          <cell r="CI1628">
            <v>14.926604548033502</v>
          </cell>
          <cell r="CJ1628">
            <v>22.183921622100925</v>
          </cell>
          <cell r="CU1628">
            <v>12.65896461507532</v>
          </cell>
          <cell r="CV1628">
            <v>13.67289934744978</v>
          </cell>
          <cell r="CW1628">
            <v>11.062153668663059</v>
          </cell>
          <cell r="CX1628">
            <v>8.6510321273089765</v>
          </cell>
          <cell r="CY1628">
            <v>13.473275210017142</v>
          </cell>
        </row>
        <row r="1629">
          <cell r="A1629">
            <v>41817</v>
          </cell>
          <cell r="CF1629">
            <v>20.956216032758416</v>
          </cell>
          <cell r="CG1629">
            <v>22.085252262534414</v>
          </cell>
          <cell r="CH1629">
            <v>18.555263085067214</v>
          </cell>
          <cell r="CI1629">
            <v>14.926604548033502</v>
          </cell>
          <cell r="CJ1629">
            <v>22.183921622100925</v>
          </cell>
          <cell r="CU1629">
            <v>12.559294261986052</v>
          </cell>
          <cell r="CV1629">
            <v>13.67289934744978</v>
          </cell>
          <cell r="CW1629">
            <v>11.062153668663059</v>
          </cell>
          <cell r="CX1629">
            <v>8.6510321273089765</v>
          </cell>
          <cell r="CY1629">
            <v>13.473275210017142</v>
          </cell>
        </row>
        <row r="1630">
          <cell r="A1630">
            <v>41820</v>
          </cell>
          <cell r="CF1630">
            <v>20.920074226549655</v>
          </cell>
          <cell r="CG1630">
            <v>22.085252262534414</v>
          </cell>
          <cell r="CH1630">
            <v>18.555263085067214</v>
          </cell>
          <cell r="CI1630">
            <v>14.926604548033502</v>
          </cell>
          <cell r="CJ1630">
            <v>22.183921622100925</v>
          </cell>
          <cell r="CU1630">
            <v>12.539835761338653</v>
          </cell>
          <cell r="CV1630">
            <v>13.67289934744978</v>
          </cell>
          <cell r="CW1630">
            <v>11.062153668663059</v>
          </cell>
          <cell r="CX1630">
            <v>8.6510321273089765</v>
          </cell>
          <cell r="CY1630">
            <v>13.473275210017142</v>
          </cell>
        </row>
        <row r="1631">
          <cell r="A1631">
            <v>41821</v>
          </cell>
          <cell r="CF1631">
            <v>20.95661377942713</v>
          </cell>
          <cell r="CG1631">
            <v>22.085252262534414</v>
          </cell>
          <cell r="CH1631">
            <v>18.555263085067214</v>
          </cell>
          <cell r="CI1631">
            <v>14.926604548033502</v>
          </cell>
          <cell r="CJ1631">
            <v>22.183921622100925</v>
          </cell>
          <cell r="CU1631">
            <v>12.56519807955228</v>
          </cell>
          <cell r="CV1631">
            <v>13.67289934744978</v>
          </cell>
          <cell r="CW1631">
            <v>11.062153668663059</v>
          </cell>
          <cell r="CX1631">
            <v>8.6510321273089765</v>
          </cell>
          <cell r="CY1631">
            <v>13.473275210017142</v>
          </cell>
        </row>
        <row r="1632">
          <cell r="A1632">
            <v>41822</v>
          </cell>
          <cell r="CF1632">
            <v>20.851741570638186</v>
          </cell>
          <cell r="CG1632">
            <v>22.085252262534414</v>
          </cell>
          <cell r="CH1632">
            <v>18.555263085067214</v>
          </cell>
          <cell r="CI1632">
            <v>14.926604548033502</v>
          </cell>
          <cell r="CJ1632">
            <v>22.183921622100925</v>
          </cell>
          <cell r="CU1632">
            <v>12.508660283593297</v>
          </cell>
          <cell r="CV1632">
            <v>13.67289934744978</v>
          </cell>
          <cell r="CW1632">
            <v>11.062153668663059</v>
          </cell>
          <cell r="CX1632">
            <v>8.6510321273089765</v>
          </cell>
          <cell r="CY1632">
            <v>13.473275210017142</v>
          </cell>
        </row>
        <row r="1633">
          <cell r="A1633">
            <v>41823</v>
          </cell>
          <cell r="CF1633">
            <v>20.91641343606376</v>
          </cell>
          <cell r="CG1633">
            <v>22.085252262534414</v>
          </cell>
          <cell r="CH1633">
            <v>18.555263085067214</v>
          </cell>
          <cell r="CI1633">
            <v>14.926604548033502</v>
          </cell>
          <cell r="CJ1633">
            <v>22.183921622100925</v>
          </cell>
          <cell r="CU1633">
            <v>12.543525618975679</v>
          </cell>
          <cell r="CV1633">
            <v>13.67289934744978</v>
          </cell>
          <cell r="CW1633">
            <v>11.062153668663059</v>
          </cell>
          <cell r="CX1633">
            <v>8.6510321273089765</v>
          </cell>
          <cell r="CY1633">
            <v>13.473275210017142</v>
          </cell>
        </row>
        <row r="1634">
          <cell r="A1634">
            <v>41824</v>
          </cell>
          <cell r="CF1634">
            <v>20.91641343606376</v>
          </cell>
          <cell r="CG1634">
            <v>22.085252262534414</v>
          </cell>
          <cell r="CH1634">
            <v>18.555263085067214</v>
          </cell>
          <cell r="CI1634">
            <v>14.926604548033502</v>
          </cell>
          <cell r="CJ1634">
            <v>22.183921622100925</v>
          </cell>
          <cell r="CU1634">
            <v>12.543525618975679</v>
          </cell>
          <cell r="CV1634">
            <v>13.67289934744978</v>
          </cell>
          <cell r="CW1634">
            <v>11.062153668663059</v>
          </cell>
          <cell r="CX1634">
            <v>8.6510321273089765</v>
          </cell>
          <cell r="CY1634">
            <v>13.473275210017142</v>
          </cell>
        </row>
        <row r="1635">
          <cell r="A1635">
            <v>41827</v>
          </cell>
          <cell r="CF1635">
            <v>20.858734682542398</v>
          </cell>
          <cell r="CG1635">
            <v>22.085252262534414</v>
          </cell>
          <cell r="CH1635">
            <v>18.555263085067214</v>
          </cell>
          <cell r="CI1635">
            <v>14.926604548033502</v>
          </cell>
          <cell r="CJ1635">
            <v>22.183921622100925</v>
          </cell>
          <cell r="CU1635">
            <v>12.512430349452732</v>
          </cell>
          <cell r="CV1635">
            <v>13.67289934744978</v>
          </cell>
          <cell r="CW1635">
            <v>11.062153668663059</v>
          </cell>
          <cell r="CX1635">
            <v>8.6510321273089765</v>
          </cell>
          <cell r="CY1635">
            <v>13.473275210017142</v>
          </cell>
        </row>
        <row r="1636">
          <cell r="A1636">
            <v>41828</v>
          </cell>
          <cell r="CF1636">
            <v>20.800663802606437</v>
          </cell>
          <cell r="CG1636">
            <v>22.085252262534414</v>
          </cell>
          <cell r="CH1636">
            <v>18.555263085067214</v>
          </cell>
          <cell r="CI1636">
            <v>14.926604548033502</v>
          </cell>
          <cell r="CJ1636">
            <v>22.183921622100925</v>
          </cell>
          <cell r="CU1636">
            <v>12.501319476155194</v>
          </cell>
          <cell r="CV1636">
            <v>13.67289934744978</v>
          </cell>
          <cell r="CW1636">
            <v>11.062153668663059</v>
          </cell>
          <cell r="CX1636">
            <v>8.6510321273089765</v>
          </cell>
          <cell r="CY1636">
            <v>13.473275210017142</v>
          </cell>
        </row>
        <row r="1637">
          <cell r="A1637">
            <v>41829</v>
          </cell>
          <cell r="CF1637">
            <v>20.804159433286674</v>
          </cell>
          <cell r="CG1637">
            <v>22.085252262534414</v>
          </cell>
          <cell r="CH1637">
            <v>18.555263085067214</v>
          </cell>
          <cell r="CI1637">
            <v>14.926604548033502</v>
          </cell>
          <cell r="CJ1637">
            <v>22.183921622100925</v>
          </cell>
          <cell r="CU1637">
            <v>12.503206966585655</v>
          </cell>
          <cell r="CV1637">
            <v>13.67289934744978</v>
          </cell>
          <cell r="CW1637">
            <v>11.062153668663059</v>
          </cell>
          <cell r="CX1637">
            <v>8.6510321273089765</v>
          </cell>
          <cell r="CY1637">
            <v>13.473275210017142</v>
          </cell>
        </row>
        <row r="1638">
          <cell r="A1638">
            <v>41830</v>
          </cell>
          <cell r="CF1638">
            <v>20.734213594577934</v>
          </cell>
          <cell r="CG1638">
            <v>22.085252262534414</v>
          </cell>
          <cell r="CH1638">
            <v>18.555263085067214</v>
          </cell>
          <cell r="CI1638">
            <v>14.926604548033502</v>
          </cell>
          <cell r="CJ1638">
            <v>22.183921622100925</v>
          </cell>
          <cell r="CU1638">
            <v>12.465439217847283</v>
          </cell>
          <cell r="CV1638">
            <v>13.67289934744978</v>
          </cell>
          <cell r="CW1638">
            <v>11.062153668663059</v>
          </cell>
          <cell r="CX1638">
            <v>8.6510321273089765</v>
          </cell>
          <cell r="CY1638">
            <v>13.473275210017142</v>
          </cell>
        </row>
        <row r="1639">
          <cell r="A1639">
            <v>41831</v>
          </cell>
          <cell r="CF1639">
            <v>20.746098959680893</v>
          </cell>
          <cell r="CG1639">
            <v>22.085252262534414</v>
          </cell>
          <cell r="CH1639">
            <v>18.555263085067214</v>
          </cell>
          <cell r="CI1639">
            <v>14.926604548033502</v>
          </cell>
          <cell r="CJ1639">
            <v>22.183921622100925</v>
          </cell>
          <cell r="CU1639">
            <v>12.459900136765235</v>
          </cell>
          <cell r="CV1639">
            <v>13.67289934744978</v>
          </cell>
          <cell r="CW1639">
            <v>11.062153668663059</v>
          </cell>
          <cell r="CX1639">
            <v>8.6510321273089765</v>
          </cell>
          <cell r="CY1639">
            <v>13.473275210017142</v>
          </cell>
        </row>
        <row r="1640">
          <cell r="A1640">
            <v>41834</v>
          </cell>
          <cell r="CF1640">
            <v>20.735607885617842</v>
          </cell>
          <cell r="CG1640">
            <v>22.085252262534414</v>
          </cell>
          <cell r="CH1640">
            <v>18.555263085067214</v>
          </cell>
          <cell r="CI1640">
            <v>14.926604548033502</v>
          </cell>
          <cell r="CJ1640">
            <v>22.183921622100925</v>
          </cell>
          <cell r="CU1640">
            <v>12.454240779654626</v>
          </cell>
          <cell r="CV1640">
            <v>13.67289934744978</v>
          </cell>
          <cell r="CW1640">
            <v>11.062153668663059</v>
          </cell>
          <cell r="CX1640">
            <v>8.6510321273089765</v>
          </cell>
          <cell r="CY1640">
            <v>13.473275210017142</v>
          </cell>
        </row>
        <row r="1641">
          <cell r="A1641">
            <v>41835</v>
          </cell>
          <cell r="CF1641">
            <v>20.730362348586318</v>
          </cell>
          <cell r="CG1641">
            <v>22.085252262534414</v>
          </cell>
          <cell r="CH1641">
            <v>18.555263085067214</v>
          </cell>
          <cell r="CI1641">
            <v>14.926604548033502</v>
          </cell>
          <cell r="CJ1641">
            <v>22.183921622100925</v>
          </cell>
          <cell r="CU1641">
            <v>12.451411101099319</v>
          </cell>
          <cell r="CV1641">
            <v>13.67289934744978</v>
          </cell>
          <cell r="CW1641">
            <v>11.062153668663059</v>
          </cell>
          <cell r="CX1641">
            <v>8.6510321273089765</v>
          </cell>
          <cell r="CY1641">
            <v>13.473275210017142</v>
          </cell>
        </row>
        <row r="1642">
          <cell r="A1642">
            <v>41836</v>
          </cell>
          <cell r="CF1642">
            <v>20.899968045938955</v>
          </cell>
          <cell r="CG1642">
            <v>22.085252262534414</v>
          </cell>
          <cell r="CH1642">
            <v>18.555263085067214</v>
          </cell>
          <cell r="CI1642">
            <v>14.926604548033502</v>
          </cell>
          <cell r="CJ1642">
            <v>22.183921622100925</v>
          </cell>
          <cell r="CU1642">
            <v>12.542904041054189</v>
          </cell>
          <cell r="CV1642">
            <v>13.67289934744978</v>
          </cell>
          <cell r="CW1642">
            <v>11.062153668663059</v>
          </cell>
          <cell r="CX1642">
            <v>8.6510321273089765</v>
          </cell>
          <cell r="CY1642">
            <v>13.473275210017142</v>
          </cell>
        </row>
        <row r="1643">
          <cell r="A1643">
            <v>41837</v>
          </cell>
          <cell r="CF1643">
            <v>20.719871274523268</v>
          </cell>
          <cell r="CG1643">
            <v>22.085252262534414</v>
          </cell>
          <cell r="CH1643">
            <v>18.555263085067214</v>
          </cell>
          <cell r="CI1643">
            <v>14.926604548033502</v>
          </cell>
          <cell r="CJ1643">
            <v>22.183921622100925</v>
          </cell>
          <cell r="CU1643">
            <v>12.44575174398871</v>
          </cell>
          <cell r="CV1643">
            <v>13.67289934744978</v>
          </cell>
          <cell r="CW1643">
            <v>11.062153668663059</v>
          </cell>
          <cell r="CX1643">
            <v>8.6510321273089765</v>
          </cell>
          <cell r="CY1643">
            <v>13.473275210017142</v>
          </cell>
        </row>
        <row r="1644">
          <cell r="A1644">
            <v>41838</v>
          </cell>
          <cell r="CF1644">
            <v>20.927942494928075</v>
          </cell>
          <cell r="CG1644">
            <v>22.085252262534414</v>
          </cell>
          <cell r="CH1644">
            <v>18.555263085067214</v>
          </cell>
          <cell r="CI1644">
            <v>14.926604548033502</v>
          </cell>
          <cell r="CJ1644">
            <v>22.183921622100925</v>
          </cell>
          <cell r="CU1644">
            <v>12.557994716789633</v>
          </cell>
          <cell r="CV1644">
            <v>13.67289934744978</v>
          </cell>
          <cell r="CW1644">
            <v>11.062153668663059</v>
          </cell>
          <cell r="CX1644">
            <v>8.6510321273089765</v>
          </cell>
          <cell r="CY1644">
            <v>13.473275210017142</v>
          </cell>
        </row>
        <row r="1645">
          <cell r="A1645">
            <v>41841</v>
          </cell>
          <cell r="CF1645">
            <v>20.64818226842576</v>
          </cell>
          <cell r="CG1645">
            <v>22.085252262534414</v>
          </cell>
          <cell r="CH1645">
            <v>18.555263085067214</v>
          </cell>
          <cell r="CI1645">
            <v>14.926604548033502</v>
          </cell>
          <cell r="CJ1645">
            <v>22.183921622100925</v>
          </cell>
          <cell r="CU1645">
            <v>12.407079470399539</v>
          </cell>
          <cell r="CV1645">
            <v>13.67289934744978</v>
          </cell>
          <cell r="CW1645">
            <v>11.062153668663059</v>
          </cell>
          <cell r="CX1645">
            <v>8.6510321273089765</v>
          </cell>
          <cell r="CY1645">
            <v>13.473275210017142</v>
          </cell>
        </row>
        <row r="1646">
          <cell r="A1646">
            <v>41842</v>
          </cell>
          <cell r="CF1646">
            <v>20.6491922917971</v>
          </cell>
          <cell r="CG1646">
            <v>22.085252262534414</v>
          </cell>
          <cell r="CH1646">
            <v>18.555263085067214</v>
          </cell>
          <cell r="CI1646">
            <v>14.926604548033502</v>
          </cell>
          <cell r="CJ1646">
            <v>22.183921622100925</v>
          </cell>
          <cell r="CU1646">
            <v>12.406659646431468</v>
          </cell>
          <cell r="CV1646">
            <v>13.67289934744978</v>
          </cell>
          <cell r="CW1646">
            <v>11.062153668663059</v>
          </cell>
          <cell r="CX1646">
            <v>8.6510321273089765</v>
          </cell>
          <cell r="CY1646">
            <v>13.473275210017142</v>
          </cell>
        </row>
        <row r="1647">
          <cell r="A1647">
            <v>41843</v>
          </cell>
          <cell r="CF1647">
            <v>20.748847249842964</v>
          </cell>
          <cell r="CG1647">
            <v>22.085252262534414</v>
          </cell>
          <cell r="CH1647">
            <v>18.555263085067214</v>
          </cell>
          <cell r="CI1647">
            <v>14.926604548033502</v>
          </cell>
          <cell r="CJ1647">
            <v>22.183921622100925</v>
          </cell>
          <cell r="CU1647">
            <v>12.460414493796339</v>
          </cell>
          <cell r="CV1647">
            <v>13.67289934744978</v>
          </cell>
          <cell r="CW1647">
            <v>11.062153668663059</v>
          </cell>
          <cell r="CX1647">
            <v>8.6510321273089765</v>
          </cell>
          <cell r="CY1647">
            <v>13.473275210017142</v>
          </cell>
        </row>
        <row r="1648">
          <cell r="A1648">
            <v>41844</v>
          </cell>
          <cell r="CF1648">
            <v>20.845444222310309</v>
          </cell>
          <cell r="CG1648">
            <v>22.085252262534414</v>
          </cell>
          <cell r="CH1648">
            <v>18.555263085067214</v>
          </cell>
          <cell r="CI1648">
            <v>14.926604548033502</v>
          </cell>
          <cell r="CJ1648">
            <v>22.183921622100925</v>
          </cell>
          <cell r="CU1648">
            <v>12.527935394897543</v>
          </cell>
          <cell r="CV1648">
            <v>13.67289934744978</v>
          </cell>
          <cell r="CW1648">
            <v>11.062153668663059</v>
          </cell>
          <cell r="CX1648">
            <v>8.6510321273089765</v>
          </cell>
          <cell r="CY1648">
            <v>13.473275210017142</v>
          </cell>
        </row>
        <row r="1649">
          <cell r="A1649">
            <v>41845</v>
          </cell>
          <cell r="CF1649">
            <v>20.647881931182148</v>
          </cell>
          <cell r="CG1649">
            <v>22.085252262534414</v>
          </cell>
          <cell r="CH1649">
            <v>18.555263085067214</v>
          </cell>
          <cell r="CI1649">
            <v>14.926604548033502</v>
          </cell>
          <cell r="CJ1649">
            <v>22.183921622100925</v>
          </cell>
          <cell r="CU1649">
            <v>12.421662112012699</v>
          </cell>
          <cell r="CV1649">
            <v>13.67289934744978</v>
          </cell>
          <cell r="CW1649">
            <v>11.062153668663059</v>
          </cell>
          <cell r="CX1649">
            <v>8.6510321273089765</v>
          </cell>
          <cell r="CY1649">
            <v>13.473275210017142</v>
          </cell>
        </row>
        <row r="1650">
          <cell r="A1650">
            <v>41848</v>
          </cell>
          <cell r="CF1650">
            <v>20.684541917682203</v>
          </cell>
          <cell r="CG1650">
            <v>22.085252262534414</v>
          </cell>
          <cell r="CH1650">
            <v>18.555263085067214</v>
          </cell>
          <cell r="CI1650">
            <v>14.926604548033502</v>
          </cell>
          <cell r="CJ1650">
            <v>22.183921622100925</v>
          </cell>
          <cell r="CU1650">
            <v>12.349699891918547</v>
          </cell>
          <cell r="CV1650">
            <v>13.67289934744978</v>
          </cell>
          <cell r="CW1650">
            <v>11.062153668663059</v>
          </cell>
          <cell r="CX1650">
            <v>8.6510321273089765</v>
          </cell>
          <cell r="CY1650">
            <v>13.473275210017142</v>
          </cell>
        </row>
        <row r="1651">
          <cell r="A1651">
            <v>41849</v>
          </cell>
          <cell r="CF1651">
            <v>20.69153582110539</v>
          </cell>
          <cell r="CG1651">
            <v>22.085252262534414</v>
          </cell>
          <cell r="CH1651">
            <v>18.555263085067214</v>
          </cell>
          <cell r="CI1651">
            <v>14.926604548033502</v>
          </cell>
          <cell r="CJ1651">
            <v>22.183921622100925</v>
          </cell>
          <cell r="CU1651">
            <v>12.353447048184089</v>
          </cell>
          <cell r="CV1651">
            <v>13.67289934744978</v>
          </cell>
          <cell r="CW1651">
            <v>11.062153668663059</v>
          </cell>
          <cell r="CX1651">
            <v>8.6510321273089765</v>
          </cell>
          <cell r="CY1651">
            <v>13.473275210017142</v>
          </cell>
        </row>
        <row r="1652">
          <cell r="A1652">
            <v>41850</v>
          </cell>
          <cell r="CF1652">
            <v>20.766699743448189</v>
          </cell>
          <cell r="CG1652">
            <v>22.085252262534414</v>
          </cell>
          <cell r="CH1652">
            <v>18.555263085067214</v>
          </cell>
          <cell r="CI1652">
            <v>14.926604548033502</v>
          </cell>
          <cell r="CJ1652">
            <v>22.183921622100925</v>
          </cell>
          <cell r="CU1652">
            <v>12.393717973518255</v>
          </cell>
          <cell r="CV1652">
            <v>13.67289934744978</v>
          </cell>
          <cell r="CW1652">
            <v>11.062153668663059</v>
          </cell>
          <cell r="CX1652">
            <v>8.6510321273089765</v>
          </cell>
          <cell r="CY1652">
            <v>13.473275210017142</v>
          </cell>
        </row>
        <row r="1653">
          <cell r="A1653">
            <v>41851</v>
          </cell>
          <cell r="CF1653">
            <v>20.31887969125988</v>
          </cell>
          <cell r="CG1653">
            <v>22.085252262534414</v>
          </cell>
          <cell r="CH1653">
            <v>18.555263085067214</v>
          </cell>
          <cell r="CI1653">
            <v>14.926604548033502</v>
          </cell>
          <cell r="CJ1653">
            <v>22.183921622100925</v>
          </cell>
          <cell r="CU1653">
            <v>12.154897403521582</v>
          </cell>
          <cell r="CV1653">
            <v>13.67289934744978</v>
          </cell>
          <cell r="CW1653">
            <v>11.062153668663059</v>
          </cell>
          <cell r="CX1653">
            <v>8.6510321273089765</v>
          </cell>
          <cell r="CY1653">
            <v>13.473275210017142</v>
          </cell>
        </row>
        <row r="1654">
          <cell r="A1654">
            <v>41852</v>
          </cell>
          <cell r="CF1654">
            <v>20.34280723461756</v>
          </cell>
          <cell r="CG1654">
            <v>22.085252262534414</v>
          </cell>
          <cell r="CH1654">
            <v>18.555263085067214</v>
          </cell>
          <cell r="CI1654">
            <v>14.926604548033502</v>
          </cell>
          <cell r="CJ1654">
            <v>22.183921622100925</v>
          </cell>
          <cell r="CU1654">
            <v>12.176233508342508</v>
          </cell>
          <cell r="CV1654">
            <v>13.67289934744978</v>
          </cell>
          <cell r="CW1654">
            <v>11.062153668663059</v>
          </cell>
          <cell r="CX1654">
            <v>8.6510321273089765</v>
          </cell>
          <cell r="CY1654">
            <v>13.473275210017142</v>
          </cell>
        </row>
        <row r="1655">
          <cell r="A1655">
            <v>41855</v>
          </cell>
          <cell r="CF1655">
            <v>20.239455150263858</v>
          </cell>
          <cell r="CG1655">
            <v>22.085252262534414</v>
          </cell>
          <cell r="CH1655">
            <v>18.555263085067214</v>
          </cell>
          <cell r="CI1655">
            <v>14.926604548033502</v>
          </cell>
          <cell r="CJ1655">
            <v>22.183921622100925</v>
          </cell>
          <cell r="CU1655">
            <v>12.17685745643565</v>
          </cell>
          <cell r="CV1655">
            <v>13.67289934744978</v>
          </cell>
          <cell r="CW1655">
            <v>11.062153668663059</v>
          </cell>
          <cell r="CX1655">
            <v>8.6510321273089765</v>
          </cell>
          <cell r="CY1655">
            <v>13.473275210017142</v>
          </cell>
        </row>
        <row r="1656">
          <cell r="A1656">
            <v>41856</v>
          </cell>
          <cell r="CF1656">
            <v>20.004105719384754</v>
          </cell>
          <cell r="CG1656">
            <v>22.085252262534414</v>
          </cell>
          <cell r="CH1656">
            <v>18.555263085067214</v>
          </cell>
          <cell r="CI1656">
            <v>14.926604548033502</v>
          </cell>
          <cell r="CJ1656">
            <v>22.183921622100925</v>
          </cell>
          <cell r="CU1656">
            <v>12.038220912905334</v>
          </cell>
          <cell r="CV1656">
            <v>13.67289934744978</v>
          </cell>
          <cell r="CW1656">
            <v>11.062153668663059</v>
          </cell>
          <cell r="CX1656">
            <v>8.6510321273089765</v>
          </cell>
          <cell r="CY1656">
            <v>13.473275210017142</v>
          </cell>
        </row>
        <row r="1657">
          <cell r="A1657">
            <v>41857</v>
          </cell>
          <cell r="CF1657">
            <v>20.05614831477768</v>
          </cell>
          <cell r="CG1657">
            <v>22.085252262534414</v>
          </cell>
          <cell r="CH1657">
            <v>18.555263085067214</v>
          </cell>
          <cell r="CI1657">
            <v>14.926604548033502</v>
          </cell>
          <cell r="CJ1657">
            <v>22.183921622100925</v>
          </cell>
          <cell r="CU1657">
            <v>12.066201671523281</v>
          </cell>
          <cell r="CV1657">
            <v>13.67289934744978</v>
          </cell>
          <cell r="CW1657">
            <v>11.062153668663059</v>
          </cell>
          <cell r="CX1657">
            <v>8.6510321273089765</v>
          </cell>
          <cell r="CY1657">
            <v>13.473275210017142</v>
          </cell>
        </row>
        <row r="1658">
          <cell r="A1658">
            <v>41858</v>
          </cell>
          <cell r="CF1658">
            <v>19.926862544267042</v>
          </cell>
          <cell r="CG1658">
            <v>22.085252262534414</v>
          </cell>
          <cell r="CH1658">
            <v>18.555263085067214</v>
          </cell>
          <cell r="CI1658">
            <v>14.926604548033502</v>
          </cell>
          <cell r="CJ1658">
            <v>22.183921622100925</v>
          </cell>
          <cell r="CU1658">
            <v>12.001187494913582</v>
          </cell>
          <cell r="CV1658">
            <v>13.67289934744978</v>
          </cell>
          <cell r="CW1658">
            <v>11.062153668663059</v>
          </cell>
          <cell r="CX1658">
            <v>8.6510321273089765</v>
          </cell>
          <cell r="CY1658">
            <v>13.473275210017142</v>
          </cell>
        </row>
        <row r="1659">
          <cell r="A1659">
            <v>41859</v>
          </cell>
          <cell r="CF1659">
            <v>20.13506485845507</v>
          </cell>
          <cell r="CG1659">
            <v>22.085252262534414</v>
          </cell>
          <cell r="CH1659">
            <v>18.555263085067214</v>
          </cell>
          <cell r="CI1659">
            <v>14.926604548033502</v>
          </cell>
          <cell r="CJ1659">
            <v>22.183921622100925</v>
          </cell>
          <cell r="CU1659">
            <v>12.11316811650973</v>
          </cell>
          <cell r="CV1659">
            <v>13.67289934744978</v>
          </cell>
          <cell r="CW1659">
            <v>11.062153668663059</v>
          </cell>
          <cell r="CX1659">
            <v>8.6510321273089765</v>
          </cell>
          <cell r="CY1659">
            <v>13.473275210017142</v>
          </cell>
        </row>
        <row r="1660">
          <cell r="A1660">
            <v>41862</v>
          </cell>
          <cell r="CF1660">
            <v>20.194057740768315</v>
          </cell>
          <cell r="CG1660">
            <v>22.085252262534414</v>
          </cell>
          <cell r="CH1660">
            <v>18.555263085067214</v>
          </cell>
          <cell r="CI1660">
            <v>14.926604548033502</v>
          </cell>
          <cell r="CJ1660">
            <v>22.183921622100925</v>
          </cell>
          <cell r="CU1660">
            <v>12.144897156875821</v>
          </cell>
          <cell r="CV1660">
            <v>13.67289934744978</v>
          </cell>
          <cell r="CW1660">
            <v>11.062153668663059</v>
          </cell>
          <cell r="CX1660">
            <v>8.6510321273089765</v>
          </cell>
          <cell r="CY1660">
            <v>13.473275210017142</v>
          </cell>
        </row>
        <row r="1661">
          <cell r="A1661">
            <v>41863</v>
          </cell>
          <cell r="CF1661">
            <v>20.230493449382124</v>
          </cell>
          <cell r="CG1661">
            <v>22.085252262534414</v>
          </cell>
          <cell r="CH1661">
            <v>18.555263085067214</v>
          </cell>
          <cell r="CI1661">
            <v>14.926604548033502</v>
          </cell>
          <cell r="CJ1661">
            <v>22.183921622100925</v>
          </cell>
          <cell r="CU1661">
            <v>12.164493928961582</v>
          </cell>
          <cell r="CV1661">
            <v>13.67289934744978</v>
          </cell>
          <cell r="CW1661">
            <v>11.062153668663059</v>
          </cell>
          <cell r="CX1661">
            <v>8.6510321273089765</v>
          </cell>
          <cell r="CY1661">
            <v>13.473275210017142</v>
          </cell>
        </row>
        <row r="1662">
          <cell r="A1662">
            <v>41864</v>
          </cell>
          <cell r="CF1662">
            <v>20.457701654903101</v>
          </cell>
          <cell r="CG1662">
            <v>22.085252262534414</v>
          </cell>
          <cell r="CH1662">
            <v>18.555263085067214</v>
          </cell>
          <cell r="CI1662">
            <v>14.926604548033502</v>
          </cell>
          <cell r="CJ1662">
            <v>22.183921622100925</v>
          </cell>
          <cell r="CU1662">
            <v>12.28114138185301</v>
          </cell>
          <cell r="CV1662">
            <v>13.67289934744978</v>
          </cell>
          <cell r="CW1662">
            <v>11.062153668663059</v>
          </cell>
          <cell r="CX1662">
            <v>8.6510321273089765</v>
          </cell>
          <cell r="CY1662">
            <v>13.473275210017142</v>
          </cell>
        </row>
        <row r="1663">
          <cell r="A1663">
            <v>41865</v>
          </cell>
          <cell r="CF1663">
            <v>20.565326351118827</v>
          </cell>
          <cell r="CG1663">
            <v>22.085252262534414</v>
          </cell>
          <cell r="CH1663">
            <v>18.555263085067214</v>
          </cell>
          <cell r="CI1663">
            <v>14.926604548033502</v>
          </cell>
          <cell r="CJ1663">
            <v>22.183921622100925</v>
          </cell>
          <cell r="CU1663">
            <v>12.338997585307533</v>
          </cell>
          <cell r="CV1663">
            <v>13.67289934744978</v>
          </cell>
          <cell r="CW1663">
            <v>11.062153668663059</v>
          </cell>
          <cell r="CX1663">
            <v>8.6510321273089765</v>
          </cell>
          <cell r="CY1663">
            <v>13.473275210017142</v>
          </cell>
        </row>
        <row r="1664">
          <cell r="A1664">
            <v>41866</v>
          </cell>
          <cell r="CF1664">
            <v>20.478530841339857</v>
          </cell>
          <cell r="CG1664">
            <v>22.085252262534414</v>
          </cell>
          <cell r="CH1664">
            <v>18.555263085067214</v>
          </cell>
          <cell r="CI1664">
            <v>14.926604548033502</v>
          </cell>
          <cell r="CJ1664">
            <v>22.183921622100925</v>
          </cell>
          <cell r="CU1664">
            <v>12.292338604150961</v>
          </cell>
          <cell r="CV1664">
            <v>13.67289934744978</v>
          </cell>
          <cell r="CW1664">
            <v>11.062153668663059</v>
          </cell>
          <cell r="CX1664">
            <v>8.6510321273089765</v>
          </cell>
          <cell r="CY1664">
            <v>13.473275210017142</v>
          </cell>
        </row>
        <row r="1665">
          <cell r="A1665">
            <v>41869</v>
          </cell>
          <cell r="CF1665">
            <v>20.638236315243358</v>
          </cell>
          <cell r="CG1665">
            <v>22.085252262534414</v>
          </cell>
          <cell r="CH1665">
            <v>18.555263085067214</v>
          </cell>
          <cell r="CI1665">
            <v>14.926604548033502</v>
          </cell>
          <cell r="CJ1665">
            <v>22.183921622100925</v>
          </cell>
          <cell r="CU1665">
            <v>12.378192062658677</v>
          </cell>
          <cell r="CV1665">
            <v>13.67289934744978</v>
          </cell>
          <cell r="CW1665">
            <v>11.062153668663059</v>
          </cell>
          <cell r="CX1665">
            <v>8.6510321273089765</v>
          </cell>
          <cell r="CY1665">
            <v>13.473275210017142</v>
          </cell>
        </row>
        <row r="1666">
          <cell r="A1666">
            <v>41870</v>
          </cell>
          <cell r="CF1666">
            <v>20.737183196391381</v>
          </cell>
          <cell r="CG1666">
            <v>22.085252262534414</v>
          </cell>
          <cell r="CH1666">
            <v>18.555263085067214</v>
          </cell>
          <cell r="CI1666">
            <v>14.926604548033502</v>
          </cell>
          <cell r="CJ1666">
            <v>22.183921622100925</v>
          </cell>
          <cell r="CU1666">
            <v>12.431383301177169</v>
          </cell>
          <cell r="CV1666">
            <v>13.67289934744978</v>
          </cell>
          <cell r="CW1666">
            <v>11.062153668663059</v>
          </cell>
          <cell r="CX1666">
            <v>8.6510321273089765</v>
          </cell>
          <cell r="CY1666">
            <v>13.473275210017142</v>
          </cell>
        </row>
        <row r="1667">
          <cell r="A1667">
            <v>41871</v>
          </cell>
          <cell r="CF1667">
            <v>20.707672723066533</v>
          </cell>
          <cell r="CG1667">
            <v>22.085252262534414</v>
          </cell>
          <cell r="CH1667">
            <v>18.555263085067214</v>
          </cell>
          <cell r="CI1667">
            <v>14.926604548033502</v>
          </cell>
          <cell r="CJ1667">
            <v>22.183921622100925</v>
          </cell>
          <cell r="CU1667">
            <v>12.415519247583934</v>
          </cell>
          <cell r="CV1667">
            <v>13.67289934744978</v>
          </cell>
          <cell r="CW1667">
            <v>11.062153668663059</v>
          </cell>
          <cell r="CX1667">
            <v>8.6510321273089765</v>
          </cell>
          <cell r="CY1667">
            <v>13.473275210017142</v>
          </cell>
        </row>
        <row r="1668">
          <cell r="A1668">
            <v>41872</v>
          </cell>
          <cell r="CF1668">
            <v>20.766691933806037</v>
          </cell>
          <cell r="CG1668">
            <v>22.085252262534414</v>
          </cell>
          <cell r="CH1668">
            <v>18.555263085067214</v>
          </cell>
          <cell r="CI1668">
            <v>14.926604548033502</v>
          </cell>
          <cell r="CJ1668">
            <v>22.183921622100925</v>
          </cell>
          <cell r="CU1668">
            <v>12.447246421590782</v>
          </cell>
          <cell r="CV1668">
            <v>13.67289934744978</v>
          </cell>
          <cell r="CW1668">
            <v>11.062153668663059</v>
          </cell>
          <cell r="CX1668">
            <v>8.6510321273089765</v>
          </cell>
          <cell r="CY1668">
            <v>13.473275210017142</v>
          </cell>
        </row>
        <row r="1669">
          <cell r="A1669">
            <v>41873</v>
          </cell>
          <cell r="CF1669">
            <v>20.700729082284216</v>
          </cell>
          <cell r="CG1669">
            <v>22.085252262534414</v>
          </cell>
          <cell r="CH1669">
            <v>18.555263085067214</v>
          </cell>
          <cell r="CI1669">
            <v>14.926604548033502</v>
          </cell>
          <cell r="CJ1669">
            <v>22.183921622100925</v>
          </cell>
          <cell r="CU1669">
            <v>12.411786529091408</v>
          </cell>
          <cell r="CV1669">
            <v>13.67289934744978</v>
          </cell>
          <cell r="CW1669">
            <v>11.062153668663059</v>
          </cell>
          <cell r="CX1669">
            <v>8.6510321273089765</v>
          </cell>
          <cell r="CY1669">
            <v>13.473275210017142</v>
          </cell>
        </row>
        <row r="1670">
          <cell r="A1670">
            <v>41876</v>
          </cell>
          <cell r="CF1670">
            <v>20.843073718321726</v>
          </cell>
          <cell r="CG1670">
            <v>22.085252262534414</v>
          </cell>
          <cell r="CH1670">
            <v>18.555263085067214</v>
          </cell>
          <cell r="CI1670">
            <v>14.926604548033502</v>
          </cell>
          <cell r="CJ1670">
            <v>22.183921622100925</v>
          </cell>
          <cell r="CU1670">
            <v>12.488307258188184</v>
          </cell>
          <cell r="CV1670">
            <v>13.67289934744978</v>
          </cell>
          <cell r="CW1670">
            <v>11.062153668663059</v>
          </cell>
          <cell r="CX1670">
            <v>8.6510321273089765</v>
          </cell>
          <cell r="CY1670">
            <v>13.473275210017142</v>
          </cell>
        </row>
        <row r="1671">
          <cell r="A1671">
            <v>41877</v>
          </cell>
          <cell r="CF1671">
            <v>20.813563244996878</v>
          </cell>
          <cell r="CG1671">
            <v>22.085252262534414</v>
          </cell>
          <cell r="CH1671">
            <v>18.555263085067214</v>
          </cell>
          <cell r="CI1671">
            <v>14.926604548033502</v>
          </cell>
          <cell r="CJ1671">
            <v>22.183921622100925</v>
          </cell>
          <cell r="CU1671">
            <v>12.472443204594951</v>
          </cell>
          <cell r="CV1671">
            <v>13.67289934744978</v>
          </cell>
          <cell r="CW1671">
            <v>11.062153668663059</v>
          </cell>
          <cell r="CX1671">
            <v>8.6510321273089765</v>
          </cell>
          <cell r="CY1671">
            <v>13.473275210017142</v>
          </cell>
        </row>
        <row r="1672">
          <cell r="A1672">
            <v>41878</v>
          </cell>
          <cell r="CF1672">
            <v>20.766691933806037</v>
          </cell>
          <cell r="CG1672">
            <v>22.085252262534414</v>
          </cell>
          <cell r="CH1672">
            <v>18.555263085067214</v>
          </cell>
          <cell r="CI1672">
            <v>14.926604548033502</v>
          </cell>
          <cell r="CJ1672">
            <v>22.183921622100925</v>
          </cell>
          <cell r="CU1672">
            <v>12.447246421590782</v>
          </cell>
          <cell r="CV1672">
            <v>13.67289934744978</v>
          </cell>
          <cell r="CW1672">
            <v>11.062153668663059</v>
          </cell>
          <cell r="CX1672">
            <v>8.6510321273089765</v>
          </cell>
          <cell r="CY1672">
            <v>13.473275210017142</v>
          </cell>
        </row>
        <row r="1673">
          <cell r="A1673">
            <v>41879</v>
          </cell>
          <cell r="CF1673">
            <v>20.735735249189656</v>
          </cell>
          <cell r="CG1673">
            <v>22.085252262534414</v>
          </cell>
          <cell r="CH1673">
            <v>18.555263085067214</v>
          </cell>
          <cell r="CI1673">
            <v>14.926604548033502</v>
          </cell>
          <cell r="CJ1673">
            <v>22.183921622100925</v>
          </cell>
          <cell r="CU1673">
            <v>12.430450121554037</v>
          </cell>
          <cell r="CV1673">
            <v>13.67289934744978</v>
          </cell>
          <cell r="CW1673">
            <v>11.062153668663059</v>
          </cell>
          <cell r="CX1673">
            <v>8.6510321273089765</v>
          </cell>
          <cell r="CY1673">
            <v>13.473275210017142</v>
          </cell>
        </row>
        <row r="1674">
          <cell r="A1674">
            <v>41880</v>
          </cell>
          <cell r="CF1674">
            <v>20.772299548769865</v>
          </cell>
          <cell r="CG1674">
            <v>22.085252262534414</v>
          </cell>
          <cell r="CH1674">
            <v>18.555263085067214</v>
          </cell>
          <cell r="CI1674">
            <v>14.926604548033502</v>
          </cell>
          <cell r="CJ1674">
            <v>22.183921622100925</v>
          </cell>
          <cell r="CU1674">
            <v>12.452845499329568</v>
          </cell>
          <cell r="CV1674">
            <v>13.67289934744978</v>
          </cell>
          <cell r="CW1674">
            <v>11.062153668663059</v>
          </cell>
          <cell r="CX1674">
            <v>8.6510321273089765</v>
          </cell>
          <cell r="CY1674">
            <v>13.473275210017142</v>
          </cell>
        </row>
        <row r="1675">
          <cell r="A1675">
            <v>41883</v>
          </cell>
          <cell r="CF1675">
            <v>20.601573217436204</v>
          </cell>
          <cell r="CG1675">
            <v>22.085252262534414</v>
          </cell>
          <cell r="CH1675">
            <v>18.555263085067214</v>
          </cell>
          <cell r="CI1675">
            <v>14.926604548033502</v>
          </cell>
          <cell r="CJ1675">
            <v>22.183921622100925</v>
          </cell>
          <cell r="CU1675">
            <v>12.372082706800979</v>
          </cell>
          <cell r="CV1675">
            <v>13.67289934744978</v>
          </cell>
          <cell r="CW1675">
            <v>11.062153668663059</v>
          </cell>
          <cell r="CX1675">
            <v>8.6510321273089765</v>
          </cell>
          <cell r="CY1675">
            <v>13.473275210017142</v>
          </cell>
        </row>
        <row r="1676">
          <cell r="A1676">
            <v>41884</v>
          </cell>
          <cell r="CF1676">
            <v>20.620506906493393</v>
          </cell>
          <cell r="CG1676">
            <v>22.085252262534414</v>
          </cell>
          <cell r="CH1676">
            <v>18.555263085067214</v>
          </cell>
          <cell r="CI1676">
            <v>14.926604548033502</v>
          </cell>
          <cell r="CJ1676">
            <v>22.183921622100925</v>
          </cell>
          <cell r="CU1676">
            <v>12.382281109267415</v>
          </cell>
          <cell r="CV1676">
            <v>13.67289934744978</v>
          </cell>
          <cell r="CW1676">
            <v>11.062153668663059</v>
          </cell>
          <cell r="CX1676">
            <v>8.6510321273089765</v>
          </cell>
          <cell r="CY1676">
            <v>13.473275210017142</v>
          </cell>
        </row>
        <row r="1677">
          <cell r="A1677">
            <v>41885</v>
          </cell>
          <cell r="CF1677">
            <v>20.575756271784499</v>
          </cell>
          <cell r="CG1677">
            <v>22.085252262534414</v>
          </cell>
          <cell r="CH1677">
            <v>18.555263085067214</v>
          </cell>
          <cell r="CI1677">
            <v>14.926604548033502</v>
          </cell>
          <cell r="CJ1677">
            <v>22.183921622100925</v>
          </cell>
          <cell r="CU1677">
            <v>12.358176721474244</v>
          </cell>
          <cell r="CV1677">
            <v>13.67289934744978</v>
          </cell>
          <cell r="CW1677">
            <v>11.062153668663059</v>
          </cell>
          <cell r="CX1677">
            <v>8.6510321273089765</v>
          </cell>
          <cell r="CY1677">
            <v>13.473275210017142</v>
          </cell>
        </row>
        <row r="1678">
          <cell r="A1678">
            <v>41886</v>
          </cell>
          <cell r="CF1678">
            <v>20.434612504840999</v>
          </cell>
          <cell r="CG1678">
            <v>22.085252262534414</v>
          </cell>
          <cell r="CH1678">
            <v>18.555263085067214</v>
          </cell>
          <cell r="CI1678">
            <v>14.926604548033502</v>
          </cell>
          <cell r="CJ1678">
            <v>22.183921622100925</v>
          </cell>
          <cell r="CU1678">
            <v>12.282151339596947</v>
          </cell>
          <cell r="CV1678">
            <v>13.67289934744978</v>
          </cell>
          <cell r="CW1678">
            <v>11.062153668663059</v>
          </cell>
          <cell r="CX1678">
            <v>8.6510321273089765</v>
          </cell>
          <cell r="CY1678">
            <v>13.473275210017142</v>
          </cell>
        </row>
        <row r="1679">
          <cell r="A1679">
            <v>41887</v>
          </cell>
          <cell r="CF1679">
            <v>20.517233960153192</v>
          </cell>
          <cell r="CG1679">
            <v>22.085252262534414</v>
          </cell>
          <cell r="CH1679">
            <v>18.555263085067214</v>
          </cell>
          <cell r="CI1679">
            <v>14.926604548033502</v>
          </cell>
          <cell r="CJ1679">
            <v>22.183921622100925</v>
          </cell>
          <cell r="CU1679">
            <v>12.326654386577985</v>
          </cell>
          <cell r="CV1679">
            <v>13.67289934744978</v>
          </cell>
          <cell r="CW1679">
            <v>11.062153668663059</v>
          </cell>
          <cell r="CX1679">
            <v>8.6510321273089765</v>
          </cell>
          <cell r="CY1679">
            <v>13.473275210017142</v>
          </cell>
        </row>
        <row r="1680">
          <cell r="A1680">
            <v>41890</v>
          </cell>
          <cell r="CF1680">
            <v>20.546495115968845</v>
          </cell>
          <cell r="CG1680">
            <v>22.085252262534414</v>
          </cell>
          <cell r="CH1680">
            <v>18.555263085067214</v>
          </cell>
          <cell r="CI1680">
            <v>14.926604548033502</v>
          </cell>
          <cell r="CJ1680">
            <v>22.183921622100925</v>
          </cell>
          <cell r="CU1680">
            <v>12.342415554026116</v>
          </cell>
          <cell r="CV1680">
            <v>13.67289934744978</v>
          </cell>
          <cell r="CW1680">
            <v>11.062153668663059</v>
          </cell>
          <cell r="CX1680">
            <v>8.6510321273089765</v>
          </cell>
          <cell r="CY1680">
            <v>13.473275210017142</v>
          </cell>
        </row>
        <row r="1681">
          <cell r="A1681">
            <v>41891</v>
          </cell>
          <cell r="CF1681">
            <v>20.4191213047033</v>
          </cell>
          <cell r="CG1681">
            <v>22.085252262534414</v>
          </cell>
          <cell r="CH1681">
            <v>18.555263085067214</v>
          </cell>
          <cell r="CI1681">
            <v>14.926604548033502</v>
          </cell>
          <cell r="CJ1681">
            <v>22.183921622100925</v>
          </cell>
          <cell r="CU1681">
            <v>12.27380719212441</v>
          </cell>
          <cell r="CV1681">
            <v>13.67289934744978</v>
          </cell>
          <cell r="CW1681">
            <v>11.062153668663059</v>
          </cell>
          <cell r="CX1681">
            <v>8.6510321273089765</v>
          </cell>
          <cell r="CY1681">
            <v>13.473275210017142</v>
          </cell>
        </row>
        <row r="1682">
          <cell r="A1682">
            <v>41892</v>
          </cell>
          <cell r="CF1682">
            <v>20.367483970910968</v>
          </cell>
          <cell r="CG1682">
            <v>22.085252262534414</v>
          </cell>
          <cell r="CH1682">
            <v>18.555263085067214</v>
          </cell>
          <cell r="CI1682">
            <v>14.926604548033502</v>
          </cell>
          <cell r="CJ1682">
            <v>22.183921622100925</v>
          </cell>
          <cell r="CU1682">
            <v>12.245993367215945</v>
          </cell>
          <cell r="CV1682">
            <v>13.67289934744978</v>
          </cell>
          <cell r="CW1682">
            <v>11.062153668663059</v>
          </cell>
          <cell r="CX1682">
            <v>8.6510321273089765</v>
          </cell>
          <cell r="CY1682">
            <v>13.473275210017142</v>
          </cell>
        </row>
        <row r="1683">
          <cell r="A1683">
            <v>41893</v>
          </cell>
          <cell r="CF1683">
            <v>20.286585481302982</v>
          </cell>
          <cell r="CG1683">
            <v>22.085252262534414</v>
          </cell>
          <cell r="CH1683">
            <v>18.555263085067214</v>
          </cell>
          <cell r="CI1683">
            <v>14.926604548033502</v>
          </cell>
          <cell r="CJ1683">
            <v>22.183921622100925</v>
          </cell>
          <cell r="CU1683">
            <v>12.202418374859352</v>
          </cell>
          <cell r="CV1683">
            <v>13.67289934744978</v>
          </cell>
          <cell r="CW1683">
            <v>11.062153668663059</v>
          </cell>
          <cell r="CX1683">
            <v>8.6510321273089765</v>
          </cell>
          <cell r="CY1683">
            <v>13.473275210017142</v>
          </cell>
        </row>
        <row r="1684">
          <cell r="A1684">
            <v>41894</v>
          </cell>
          <cell r="CF1684">
            <v>20.097250311975557</v>
          </cell>
          <cell r="CG1684">
            <v>22.085252262534414</v>
          </cell>
          <cell r="CH1684">
            <v>18.555263085067214</v>
          </cell>
          <cell r="CI1684">
            <v>14.926604548033502</v>
          </cell>
          <cell r="CJ1684">
            <v>22.183921622100925</v>
          </cell>
          <cell r="CU1684">
            <v>12.100435277322482</v>
          </cell>
          <cell r="CV1684">
            <v>13.67289934744978</v>
          </cell>
          <cell r="CW1684">
            <v>11.062153668663059</v>
          </cell>
          <cell r="CX1684">
            <v>8.6510321273089765</v>
          </cell>
          <cell r="CY1684">
            <v>13.473275210017142</v>
          </cell>
        </row>
        <row r="1685">
          <cell r="A1685">
            <v>41897</v>
          </cell>
          <cell r="CF1685">
            <v>19.969876500710015</v>
          </cell>
          <cell r="CG1685">
            <v>22.085252262534414</v>
          </cell>
          <cell r="CH1685">
            <v>18.555263085067214</v>
          </cell>
          <cell r="CI1685">
            <v>14.926604548033502</v>
          </cell>
          <cell r="CJ1685">
            <v>22.183921622100925</v>
          </cell>
          <cell r="CU1685">
            <v>12.031826915420778</v>
          </cell>
          <cell r="CV1685">
            <v>13.67289934744978</v>
          </cell>
          <cell r="CW1685">
            <v>11.062153668663059</v>
          </cell>
          <cell r="CX1685">
            <v>8.6510321273089765</v>
          </cell>
          <cell r="CY1685">
            <v>13.473275210017142</v>
          </cell>
        </row>
        <row r="1686">
          <cell r="A1686">
            <v>41898</v>
          </cell>
          <cell r="CF1686">
            <v>20.086062222987216</v>
          </cell>
          <cell r="CG1686">
            <v>22.085252262534414</v>
          </cell>
          <cell r="CH1686">
            <v>18.555263085067214</v>
          </cell>
          <cell r="CI1686">
            <v>14.926604548033502</v>
          </cell>
          <cell r="CJ1686">
            <v>22.183921622100925</v>
          </cell>
          <cell r="CU1686">
            <v>12.094408948592314</v>
          </cell>
          <cell r="CV1686">
            <v>13.67289934744978</v>
          </cell>
          <cell r="CW1686">
            <v>11.062153668663059</v>
          </cell>
          <cell r="CX1686">
            <v>8.6510321273089765</v>
          </cell>
          <cell r="CY1686">
            <v>13.473275210017142</v>
          </cell>
        </row>
        <row r="1687">
          <cell r="A1687">
            <v>41899</v>
          </cell>
          <cell r="CF1687">
            <v>20.16093463574164</v>
          </cell>
          <cell r="CG1687">
            <v>22.085252262534414</v>
          </cell>
          <cell r="CH1687">
            <v>18.555263085067214</v>
          </cell>
          <cell r="CI1687">
            <v>14.926604548033502</v>
          </cell>
          <cell r="CJ1687">
            <v>22.183921622100925</v>
          </cell>
          <cell r="CU1687">
            <v>12.134738067582093</v>
          </cell>
          <cell r="CV1687">
            <v>13.67289934744978</v>
          </cell>
          <cell r="CW1687">
            <v>11.062153668663059</v>
          </cell>
          <cell r="CX1687">
            <v>8.6510321273089765</v>
          </cell>
          <cell r="CY1687">
            <v>13.473275210017142</v>
          </cell>
        </row>
        <row r="1688">
          <cell r="A1688">
            <v>41900</v>
          </cell>
          <cell r="CF1688">
            <v>20.21601617969792</v>
          </cell>
          <cell r="CG1688">
            <v>22.085252262534414</v>
          </cell>
          <cell r="CH1688">
            <v>18.555263085067214</v>
          </cell>
          <cell r="CI1688">
            <v>14.926604548033502</v>
          </cell>
          <cell r="CJ1688">
            <v>22.183921622100925</v>
          </cell>
          <cell r="CU1688">
            <v>12.164407074611949</v>
          </cell>
          <cell r="CV1688">
            <v>13.67289934744978</v>
          </cell>
          <cell r="CW1688">
            <v>11.062153668663059</v>
          </cell>
          <cell r="CX1688">
            <v>8.6510321273089765</v>
          </cell>
          <cell r="CY1688">
            <v>13.473275210017142</v>
          </cell>
        </row>
        <row r="1689">
          <cell r="A1689">
            <v>41901</v>
          </cell>
          <cell r="CF1689">
            <v>20.147164680063685</v>
          </cell>
          <cell r="CG1689">
            <v>22.085252262534414</v>
          </cell>
          <cell r="CH1689">
            <v>18.555263085067214</v>
          </cell>
          <cell r="CI1689">
            <v>14.926604548033502</v>
          </cell>
          <cell r="CJ1689">
            <v>22.183921622100925</v>
          </cell>
          <cell r="CU1689">
            <v>12.1273210476065</v>
          </cell>
          <cell r="CV1689">
            <v>13.67289934744978</v>
          </cell>
          <cell r="CW1689">
            <v>11.062153668663059</v>
          </cell>
          <cell r="CX1689">
            <v>8.6510321273089765</v>
          </cell>
          <cell r="CY1689">
            <v>13.473275210017142</v>
          </cell>
        </row>
        <row r="1690">
          <cell r="A1690">
            <v>41904</v>
          </cell>
          <cell r="CF1690">
            <v>20.185032058178063</v>
          </cell>
          <cell r="CG1690">
            <v>22.085252262534414</v>
          </cell>
          <cell r="CH1690">
            <v>18.555263085067214</v>
          </cell>
          <cell r="CI1690">
            <v>14.926604548033502</v>
          </cell>
          <cell r="CJ1690">
            <v>22.183921622100925</v>
          </cell>
          <cell r="CU1690">
            <v>12.147717852539374</v>
          </cell>
          <cell r="CV1690">
            <v>13.67289934744978</v>
          </cell>
          <cell r="CW1690">
            <v>11.062153668663059</v>
          </cell>
          <cell r="CX1690">
            <v>8.6510321273089765</v>
          </cell>
          <cell r="CY1690">
            <v>13.473275210017142</v>
          </cell>
        </row>
        <row r="1691">
          <cell r="A1691">
            <v>41905</v>
          </cell>
          <cell r="CF1691">
            <v>20.167821334825078</v>
          </cell>
          <cell r="CG1691">
            <v>22.085252262534414</v>
          </cell>
          <cell r="CH1691">
            <v>18.555263085067214</v>
          </cell>
          <cell r="CI1691">
            <v>14.926604548033502</v>
          </cell>
          <cell r="CJ1691">
            <v>22.183921622100925</v>
          </cell>
          <cell r="CU1691">
            <v>12.138447504697384</v>
          </cell>
          <cell r="CV1691">
            <v>13.67289934744978</v>
          </cell>
          <cell r="CW1691">
            <v>11.062153668663059</v>
          </cell>
          <cell r="CX1691">
            <v>8.6510321273089765</v>
          </cell>
          <cell r="CY1691">
            <v>13.473275210017142</v>
          </cell>
        </row>
        <row r="1692">
          <cell r="A1692">
            <v>41906</v>
          </cell>
          <cell r="CF1692">
            <v>20.370928181074916</v>
          </cell>
          <cell r="CG1692">
            <v>22.085252262534414</v>
          </cell>
          <cell r="CH1692">
            <v>18.555263085067214</v>
          </cell>
          <cell r="CI1692">
            <v>14.926604548033502</v>
          </cell>
          <cell r="CJ1692">
            <v>22.183921622100925</v>
          </cell>
          <cell r="CU1692">
            <v>12.247848549337339</v>
          </cell>
          <cell r="CV1692">
            <v>13.67289934744978</v>
          </cell>
          <cell r="CW1692">
            <v>11.062153668663059</v>
          </cell>
          <cell r="CX1692">
            <v>8.6510321273089765</v>
          </cell>
          <cell r="CY1692">
            <v>13.473275210017142</v>
          </cell>
        </row>
        <row r="1693">
          <cell r="A1693">
            <v>41907</v>
          </cell>
          <cell r="CF1693">
            <v>20.080036146133654</v>
          </cell>
          <cell r="CG1693">
            <v>22.085252262534414</v>
          </cell>
          <cell r="CH1693">
            <v>18.555263085067214</v>
          </cell>
          <cell r="CI1693">
            <v>14.926604548033502</v>
          </cell>
          <cell r="CJ1693">
            <v>22.183921622100925</v>
          </cell>
          <cell r="CU1693">
            <v>12.091163075225497</v>
          </cell>
          <cell r="CV1693">
            <v>13.67289934744978</v>
          </cell>
          <cell r="CW1693">
            <v>11.062153668663059</v>
          </cell>
          <cell r="CX1693">
            <v>8.6510321273089765</v>
          </cell>
          <cell r="CY1693">
            <v>13.473275210017142</v>
          </cell>
        </row>
        <row r="1694">
          <cell r="A1694">
            <v>41908</v>
          </cell>
          <cell r="CF1694">
            <v>20.16093463574164</v>
          </cell>
          <cell r="CG1694">
            <v>22.085252262534414</v>
          </cell>
          <cell r="CH1694">
            <v>18.555263085067214</v>
          </cell>
          <cell r="CI1694">
            <v>14.926604548033502</v>
          </cell>
          <cell r="CJ1694">
            <v>22.183921622100925</v>
          </cell>
          <cell r="CU1694">
            <v>12.134738067582093</v>
          </cell>
          <cell r="CV1694">
            <v>13.67289934744978</v>
          </cell>
          <cell r="CW1694">
            <v>11.062153668663059</v>
          </cell>
          <cell r="CX1694">
            <v>8.6510321273089765</v>
          </cell>
          <cell r="CY1694">
            <v>13.473275210017142</v>
          </cell>
        </row>
        <row r="1695">
          <cell r="A1695">
            <v>41911</v>
          </cell>
          <cell r="CF1695">
            <v>20.176425835879339</v>
          </cell>
          <cell r="CG1695">
            <v>22.085252262534414</v>
          </cell>
          <cell r="CH1695">
            <v>18.555263085067214</v>
          </cell>
          <cell r="CI1695">
            <v>14.926604548033502</v>
          </cell>
          <cell r="CJ1695">
            <v>22.183921622100925</v>
          </cell>
          <cell r="CU1695">
            <v>12.14308221505463</v>
          </cell>
          <cell r="CV1695">
            <v>13.67289934744978</v>
          </cell>
          <cell r="CW1695">
            <v>11.062153668663059</v>
          </cell>
          <cell r="CX1695">
            <v>8.6510321273089765</v>
          </cell>
          <cell r="CY1695">
            <v>13.473275210017142</v>
          </cell>
        </row>
        <row r="1696">
          <cell r="A1696">
            <v>41912</v>
          </cell>
          <cell r="CF1696">
            <v>20.047332501398511</v>
          </cell>
          <cell r="CG1696">
            <v>22.085252262534414</v>
          </cell>
          <cell r="CH1696">
            <v>18.555263085067214</v>
          </cell>
          <cell r="CI1696">
            <v>14.926604548033502</v>
          </cell>
          <cell r="CJ1696">
            <v>22.183921622100925</v>
          </cell>
          <cell r="CU1696">
            <v>12.07354765278347</v>
          </cell>
          <cell r="CV1696">
            <v>13.67289934744978</v>
          </cell>
          <cell r="CW1696">
            <v>11.062153668663059</v>
          </cell>
          <cell r="CX1696">
            <v>8.6510321273089765</v>
          </cell>
          <cell r="CY1696">
            <v>13.473275210017142</v>
          </cell>
        </row>
        <row r="1697">
          <cell r="A1697">
            <v>41913</v>
          </cell>
          <cell r="CF1697">
            <v>19.654289372601102</v>
          </cell>
          <cell r="CG1697">
            <v>22.085252262534414</v>
          </cell>
          <cell r="CH1697">
            <v>18.555263085067214</v>
          </cell>
          <cell r="CI1697">
            <v>14.926604548033502</v>
          </cell>
          <cell r="CJ1697">
            <v>22.183921622100925</v>
          </cell>
          <cell r="CU1697">
            <v>11.87185514559447</v>
          </cell>
          <cell r="CV1697">
            <v>13.67289934744978</v>
          </cell>
          <cell r="CW1697">
            <v>11.062153668663059</v>
          </cell>
          <cell r="CX1697">
            <v>8.6510321273089765</v>
          </cell>
          <cell r="CY1697">
            <v>13.473275210017142</v>
          </cell>
        </row>
        <row r="1698">
          <cell r="A1698">
            <v>41914</v>
          </cell>
          <cell r="CF1698">
            <v>19.581732821171308</v>
          </cell>
          <cell r="CG1698">
            <v>22.085252262534414</v>
          </cell>
          <cell r="CH1698">
            <v>18.555263085067214</v>
          </cell>
          <cell r="CI1698">
            <v>14.926604548033502</v>
          </cell>
          <cell r="CJ1698">
            <v>22.183921622100925</v>
          </cell>
          <cell r="CU1698">
            <v>11.832706127500424</v>
          </cell>
          <cell r="CV1698">
            <v>13.67289934744978</v>
          </cell>
          <cell r="CW1698">
            <v>11.062153668663059</v>
          </cell>
          <cell r="CX1698">
            <v>8.6510321273089765</v>
          </cell>
          <cell r="CY1698">
            <v>13.473275210017142</v>
          </cell>
        </row>
        <row r="1699">
          <cell r="A1699">
            <v>41915</v>
          </cell>
          <cell r="CF1699">
            <v>19.783182244986946</v>
          </cell>
          <cell r="CG1699">
            <v>22.085252262534414</v>
          </cell>
          <cell r="CH1699">
            <v>18.555263085067214</v>
          </cell>
          <cell r="CI1699">
            <v>14.926604548033502</v>
          </cell>
          <cell r="CJ1699">
            <v>22.183921622100925</v>
          </cell>
          <cell r="CU1699">
            <v>11.949691683945733</v>
          </cell>
          <cell r="CV1699">
            <v>13.67289934744978</v>
          </cell>
          <cell r="CW1699">
            <v>11.062153668663059</v>
          </cell>
          <cell r="CX1699">
            <v>8.6510321273089765</v>
          </cell>
          <cell r="CY1699">
            <v>13.473275210017142</v>
          </cell>
        </row>
        <row r="1700">
          <cell r="A1700">
            <v>41918</v>
          </cell>
          <cell r="CF1700">
            <v>19.721145604024919</v>
          </cell>
          <cell r="CG1700">
            <v>22.085252262534414</v>
          </cell>
          <cell r="CH1700">
            <v>18.555263085067214</v>
          </cell>
          <cell r="CI1700">
            <v>14.926604548033502</v>
          </cell>
          <cell r="CJ1700">
            <v>22.183921622100925</v>
          </cell>
          <cell r="CU1700">
            <v>11.91653016273666</v>
          </cell>
          <cell r="CV1700">
            <v>13.67289934744978</v>
          </cell>
          <cell r="CW1700">
            <v>11.062153668663059</v>
          </cell>
          <cell r="CX1700">
            <v>8.6510321273089765</v>
          </cell>
          <cell r="CY1700">
            <v>13.473275210017142</v>
          </cell>
        </row>
        <row r="1701">
          <cell r="A1701">
            <v>41919</v>
          </cell>
          <cell r="CF1701">
            <v>19.518153059372562</v>
          </cell>
          <cell r="CG1701">
            <v>22.085252262534414</v>
          </cell>
          <cell r="CH1701">
            <v>18.555263085067214</v>
          </cell>
          <cell r="CI1701">
            <v>14.926604548033502</v>
          </cell>
          <cell r="CJ1701">
            <v>22.183921622100925</v>
          </cell>
          <cell r="CU1701">
            <v>11.806913833226698</v>
          </cell>
          <cell r="CV1701">
            <v>13.67289934744978</v>
          </cell>
          <cell r="CW1701">
            <v>11.062153668663059</v>
          </cell>
          <cell r="CX1701">
            <v>8.6510321273089765</v>
          </cell>
          <cell r="CY1701">
            <v>13.473275210017142</v>
          </cell>
        </row>
        <row r="1702">
          <cell r="A1702">
            <v>41920</v>
          </cell>
          <cell r="CF1702">
            <v>19.651208114313224</v>
          </cell>
          <cell r="CG1702">
            <v>22.085252262534414</v>
          </cell>
          <cell r="CH1702">
            <v>18.555263085067214</v>
          </cell>
          <cell r="CI1702">
            <v>14.926604548033502</v>
          </cell>
          <cell r="CJ1702">
            <v>22.183921622100925</v>
          </cell>
          <cell r="CU1702">
            <v>11.878763795846359</v>
          </cell>
          <cell r="CV1702">
            <v>13.67289934744978</v>
          </cell>
          <cell r="CW1702">
            <v>11.062153668663059</v>
          </cell>
          <cell r="CX1702">
            <v>8.6510321273089765</v>
          </cell>
          <cell r="CY1702">
            <v>13.473275210017142</v>
          </cell>
        </row>
        <row r="1703">
          <cell r="A1703">
            <v>41921</v>
          </cell>
          <cell r="CF1703">
            <v>19.395333008658103</v>
          </cell>
          <cell r="CG1703">
            <v>22.085252262534414</v>
          </cell>
          <cell r="CH1703">
            <v>18.555263085067214</v>
          </cell>
          <cell r="CI1703">
            <v>14.926604548033502</v>
          </cell>
          <cell r="CJ1703">
            <v>22.183921622100925</v>
          </cell>
          <cell r="CU1703">
            <v>11.74059079080855</v>
          </cell>
          <cell r="CV1703">
            <v>13.67289934744978</v>
          </cell>
          <cell r="CW1703">
            <v>11.062153668663059</v>
          </cell>
          <cell r="CX1703">
            <v>8.6510321273089765</v>
          </cell>
          <cell r="CY1703">
            <v>13.473275210017142</v>
          </cell>
        </row>
        <row r="1704">
          <cell r="A1704">
            <v>41922</v>
          </cell>
          <cell r="CF1704">
            <v>19.287056545756634</v>
          </cell>
          <cell r="CG1704">
            <v>22.085252262534414</v>
          </cell>
          <cell r="CH1704">
            <v>18.555263085067214</v>
          </cell>
          <cell r="CI1704">
            <v>14.926604548033502</v>
          </cell>
          <cell r="CJ1704">
            <v>22.183921622100925</v>
          </cell>
          <cell r="CU1704">
            <v>11.763209764777454</v>
          </cell>
          <cell r="CV1704">
            <v>13.67289934744978</v>
          </cell>
          <cell r="CW1704">
            <v>11.062153668663059</v>
          </cell>
          <cell r="CX1704">
            <v>8.6510321273089765</v>
          </cell>
          <cell r="CY1704">
            <v>13.473275210017142</v>
          </cell>
        </row>
        <row r="1705">
          <cell r="A1705">
            <v>41925</v>
          </cell>
          <cell r="CF1705">
            <v>19.104263424635949</v>
          </cell>
          <cell r="CG1705">
            <v>22.085252262534414</v>
          </cell>
          <cell r="CH1705">
            <v>18.555263085067214</v>
          </cell>
          <cell r="CI1705">
            <v>14.926604548033502</v>
          </cell>
          <cell r="CJ1705">
            <v>22.183921622100925</v>
          </cell>
          <cell r="CU1705">
            <v>11.590621301019899</v>
          </cell>
          <cell r="CV1705">
            <v>13.67289934744978</v>
          </cell>
          <cell r="CW1705">
            <v>11.062153668663059</v>
          </cell>
          <cell r="CX1705">
            <v>8.6510321273089765</v>
          </cell>
          <cell r="CY1705">
            <v>13.473275210017142</v>
          </cell>
        </row>
        <row r="1706">
          <cell r="A1706">
            <v>41926</v>
          </cell>
          <cell r="CF1706">
            <v>19.256304880133943</v>
          </cell>
          <cell r="CG1706">
            <v>22.085252262534414</v>
          </cell>
          <cell r="CH1706">
            <v>18.555263085067214</v>
          </cell>
          <cell r="CI1706">
            <v>14.926604548033502</v>
          </cell>
          <cell r="CJ1706">
            <v>22.183921622100925</v>
          </cell>
          <cell r="CU1706">
            <v>11.672761895318445</v>
          </cell>
          <cell r="CV1706">
            <v>13.67289934744978</v>
          </cell>
          <cell r="CW1706">
            <v>11.062153668663059</v>
          </cell>
          <cell r="CX1706">
            <v>8.6510321273089765</v>
          </cell>
          <cell r="CY1706">
            <v>13.473275210017142</v>
          </cell>
        </row>
        <row r="1707">
          <cell r="A1707">
            <v>41927</v>
          </cell>
          <cell r="CF1707">
            <v>19.058140197029317</v>
          </cell>
          <cell r="CG1707">
            <v>22.085252262534414</v>
          </cell>
          <cell r="CH1707">
            <v>18.555263085067214</v>
          </cell>
          <cell r="CI1707">
            <v>14.926604548033502</v>
          </cell>
          <cell r="CJ1707">
            <v>22.183921622100925</v>
          </cell>
          <cell r="CU1707">
            <v>11.565703167250616</v>
          </cell>
          <cell r="CV1707">
            <v>13.67289934744978</v>
          </cell>
          <cell r="CW1707">
            <v>11.062153668663059</v>
          </cell>
          <cell r="CX1707">
            <v>8.6510321273089765</v>
          </cell>
          <cell r="CY1707">
            <v>13.473275210017142</v>
          </cell>
        </row>
        <row r="1708">
          <cell r="A1708">
            <v>41928</v>
          </cell>
          <cell r="CF1708">
            <v>18.955640339390222</v>
          </cell>
          <cell r="CG1708">
            <v>22.085252262534414</v>
          </cell>
          <cell r="CH1708">
            <v>18.555263085067214</v>
          </cell>
          <cell r="CI1708">
            <v>14.926604548033502</v>
          </cell>
          <cell r="CJ1708">
            <v>22.183921622100925</v>
          </cell>
          <cell r="CU1708">
            <v>11.510327485701033</v>
          </cell>
          <cell r="CV1708">
            <v>13.67289934744978</v>
          </cell>
          <cell r="CW1708">
            <v>11.062153668663059</v>
          </cell>
          <cell r="CX1708">
            <v>8.6510321273089765</v>
          </cell>
          <cell r="CY1708">
            <v>13.473275210017142</v>
          </cell>
        </row>
        <row r="1709">
          <cell r="A1709">
            <v>41929</v>
          </cell>
          <cell r="CF1709">
            <v>19.348556460340092</v>
          </cell>
          <cell r="CG1709">
            <v>22.085252262534414</v>
          </cell>
          <cell r="CH1709">
            <v>18.555263085067214</v>
          </cell>
          <cell r="CI1709">
            <v>14.926604548033502</v>
          </cell>
          <cell r="CJ1709">
            <v>22.183921622100925</v>
          </cell>
          <cell r="CU1709">
            <v>11.510327485701033</v>
          </cell>
          <cell r="CV1709">
            <v>13.67289934744978</v>
          </cell>
          <cell r="CW1709">
            <v>11.062153668663059</v>
          </cell>
          <cell r="CX1709">
            <v>8.6510321273089765</v>
          </cell>
          <cell r="CY1709">
            <v>13.473275210017142</v>
          </cell>
        </row>
        <row r="1710">
          <cell r="A1710">
            <v>41932</v>
          </cell>
          <cell r="CF1710">
            <v>19.417094117880115</v>
          </cell>
          <cell r="CG1710">
            <v>22.085252262534414</v>
          </cell>
          <cell r="CH1710">
            <v>18.555263085067214</v>
          </cell>
          <cell r="CI1710">
            <v>14.926604548033502</v>
          </cell>
          <cell r="CJ1710">
            <v>22.183921622100925</v>
          </cell>
          <cell r="CU1710">
            <v>11.765481918672464</v>
          </cell>
          <cell r="CV1710">
            <v>13.67289934744978</v>
          </cell>
          <cell r="CW1710">
            <v>11.062153668663059</v>
          </cell>
          <cell r="CX1710">
            <v>8.6510321273089765</v>
          </cell>
          <cell r="CY1710">
            <v>13.473275210017142</v>
          </cell>
        </row>
        <row r="1711">
          <cell r="A1711">
            <v>41933</v>
          </cell>
          <cell r="CF1711">
            <v>19.88379040560147</v>
          </cell>
          <cell r="CG1711">
            <v>22.085252262534414</v>
          </cell>
          <cell r="CH1711">
            <v>18.555263085067214</v>
          </cell>
          <cell r="CI1711">
            <v>14.926604548033502</v>
          </cell>
          <cell r="CJ1711">
            <v>22.183921622100925</v>
          </cell>
          <cell r="CU1711">
            <v>12.013953470769582</v>
          </cell>
          <cell r="CV1711">
            <v>13.67289934744978</v>
          </cell>
          <cell r="CW1711">
            <v>11.062153668663059</v>
          </cell>
          <cell r="CX1711">
            <v>8.6510321273089765</v>
          </cell>
          <cell r="CY1711">
            <v>13.473275210017142</v>
          </cell>
        </row>
        <row r="1712">
          <cell r="A1712">
            <v>41934</v>
          </cell>
          <cell r="CF1712">
            <v>19.765810256412138</v>
          </cell>
          <cell r="CG1712">
            <v>22.085252262534414</v>
          </cell>
          <cell r="CH1712">
            <v>18.555263085067214</v>
          </cell>
          <cell r="CI1712">
            <v>14.926604548033502</v>
          </cell>
          <cell r="CJ1712">
            <v>22.183921622100925</v>
          </cell>
          <cell r="CU1712">
            <v>11.95114189450878</v>
          </cell>
          <cell r="CV1712">
            <v>13.67289934744978</v>
          </cell>
          <cell r="CW1712">
            <v>11.062153668663059</v>
          </cell>
          <cell r="CX1712">
            <v>8.6510321273089765</v>
          </cell>
          <cell r="CY1712">
            <v>13.473275210017142</v>
          </cell>
        </row>
        <row r="1713">
          <cell r="A1713">
            <v>41935</v>
          </cell>
          <cell r="CF1713">
            <v>19.92649572649762</v>
          </cell>
          <cell r="CG1713">
            <v>22.085252262534414</v>
          </cell>
          <cell r="CH1713">
            <v>18.555263085067214</v>
          </cell>
          <cell r="CI1713">
            <v>14.926604548033502</v>
          </cell>
          <cell r="CJ1713">
            <v>22.183921622100925</v>
          </cell>
          <cell r="CU1713">
            <v>12.037969308518745</v>
          </cell>
          <cell r="CV1713">
            <v>13.67289934744978</v>
          </cell>
          <cell r="CW1713">
            <v>11.062153668663059</v>
          </cell>
          <cell r="CX1713">
            <v>8.6510321273089765</v>
          </cell>
          <cell r="CY1713">
            <v>13.473275210017142</v>
          </cell>
        </row>
        <row r="1714">
          <cell r="A1714">
            <v>41936</v>
          </cell>
          <cell r="CF1714">
            <v>20.140170940172855</v>
          </cell>
          <cell r="CG1714">
            <v>22.085252262534414</v>
          </cell>
          <cell r="CH1714">
            <v>18.555263085067214</v>
          </cell>
          <cell r="CI1714">
            <v>14.926604548033502</v>
          </cell>
          <cell r="CJ1714">
            <v>22.183921622100925</v>
          </cell>
          <cell r="CU1714">
            <v>12.153430066928188</v>
          </cell>
          <cell r="CV1714">
            <v>13.67289934744978</v>
          </cell>
          <cell r="CW1714">
            <v>11.062153668663059</v>
          </cell>
          <cell r="CX1714">
            <v>8.6510321273089765</v>
          </cell>
          <cell r="CY1714">
            <v>13.473275210017142</v>
          </cell>
        </row>
        <row r="1715">
          <cell r="A1715">
            <v>41939</v>
          </cell>
          <cell r="CF1715">
            <v>20.151866912325314</v>
          </cell>
          <cell r="CG1715">
            <v>22.085252262534414</v>
          </cell>
          <cell r="CH1715">
            <v>18.555263085067214</v>
          </cell>
          <cell r="CI1715">
            <v>14.926604548033502</v>
          </cell>
          <cell r="CJ1715">
            <v>22.183921622100925</v>
          </cell>
          <cell r="CU1715">
            <v>12.159895869399117</v>
          </cell>
          <cell r="CV1715">
            <v>13.67289934744978</v>
          </cell>
          <cell r="CW1715">
            <v>11.062153668663059</v>
          </cell>
          <cell r="CX1715">
            <v>8.6510321273089765</v>
          </cell>
          <cell r="CY1715">
            <v>13.473275210017142</v>
          </cell>
        </row>
        <row r="1716">
          <cell r="A1716">
            <v>41940</v>
          </cell>
          <cell r="CF1716">
            <v>20.295454733229153</v>
          </cell>
          <cell r="CG1716">
            <v>22.085252262534414</v>
          </cell>
          <cell r="CH1716">
            <v>18.555263085067214</v>
          </cell>
          <cell r="CI1716">
            <v>14.926604548033502</v>
          </cell>
          <cell r="CJ1716">
            <v>22.183921622100925</v>
          </cell>
          <cell r="CU1716">
            <v>12.237485499050264</v>
          </cell>
          <cell r="CV1716">
            <v>13.67289934744978</v>
          </cell>
          <cell r="CW1716">
            <v>11.062153668663059</v>
          </cell>
          <cell r="CX1716">
            <v>8.6510321273089765</v>
          </cell>
          <cell r="CY1716">
            <v>13.473275210017142</v>
          </cell>
        </row>
        <row r="1717">
          <cell r="A1717">
            <v>41941</v>
          </cell>
          <cell r="CF1717">
            <v>20.353573613118797</v>
          </cell>
          <cell r="CG1717">
            <v>22.085252262534414</v>
          </cell>
          <cell r="CH1717">
            <v>18.555263085067214</v>
          </cell>
          <cell r="CI1717">
            <v>14.926604548033502</v>
          </cell>
          <cell r="CJ1717">
            <v>22.183921622100925</v>
          </cell>
          <cell r="CU1717">
            <v>12.268890825337628</v>
          </cell>
          <cell r="CV1717">
            <v>13.67289934744978</v>
          </cell>
          <cell r="CW1717">
            <v>11.062153668663059</v>
          </cell>
          <cell r="CX1717">
            <v>8.6510321273089765</v>
          </cell>
          <cell r="CY1717">
            <v>13.473275210017142</v>
          </cell>
        </row>
        <row r="1718">
          <cell r="A1718">
            <v>41942</v>
          </cell>
          <cell r="CF1718">
            <v>20.548442798631147</v>
          </cell>
          <cell r="CG1718">
            <v>22.085252262534414</v>
          </cell>
          <cell r="CH1718">
            <v>18.555263085067214</v>
          </cell>
          <cell r="CI1718">
            <v>14.926604548033502</v>
          </cell>
          <cell r="CJ1718">
            <v>22.183921622100925</v>
          </cell>
          <cell r="CU1718">
            <v>12.374191037007041</v>
          </cell>
          <cell r="CV1718">
            <v>13.67289934744978</v>
          </cell>
          <cell r="CW1718">
            <v>11.062153668663059</v>
          </cell>
          <cell r="CX1718">
            <v>8.6510321273089765</v>
          </cell>
          <cell r="CY1718">
            <v>13.473275210017142</v>
          </cell>
        </row>
        <row r="1719">
          <cell r="A1719">
            <v>41943</v>
          </cell>
          <cell r="CF1719">
            <v>20.517673979866039</v>
          </cell>
          <cell r="CG1719">
            <v>22.085252262534414</v>
          </cell>
          <cell r="CH1719">
            <v>18.555263085067214</v>
          </cell>
          <cell r="CI1719">
            <v>14.926604548033502</v>
          </cell>
          <cell r="CJ1719">
            <v>22.183921622100925</v>
          </cell>
          <cell r="CU1719">
            <v>12.374191037007041</v>
          </cell>
          <cell r="CV1719">
            <v>13.67289934744978</v>
          </cell>
          <cell r="CW1719">
            <v>11.062153668663059</v>
          </cell>
          <cell r="CX1719">
            <v>8.6510321273089765</v>
          </cell>
          <cell r="CY1719">
            <v>13.473275210017142</v>
          </cell>
        </row>
        <row r="1720">
          <cell r="A1720">
            <v>41946</v>
          </cell>
          <cell r="CF1720">
            <v>20.285040030096567</v>
          </cell>
          <cell r="CG1720">
            <v>22.085252262534414</v>
          </cell>
          <cell r="CH1720">
            <v>18.555263085067214</v>
          </cell>
          <cell r="CI1720">
            <v>14.926604548033502</v>
          </cell>
          <cell r="CJ1720">
            <v>22.183921622100925</v>
          </cell>
          <cell r="CU1720">
            <v>12.220380286244534</v>
          </cell>
          <cell r="CV1720">
            <v>13.67289934744978</v>
          </cell>
          <cell r="CW1720">
            <v>11.062153668663059</v>
          </cell>
          <cell r="CX1720">
            <v>8.6510321273089765</v>
          </cell>
          <cell r="CY1720">
            <v>13.473275210017142</v>
          </cell>
        </row>
        <row r="1721">
          <cell r="A1721">
            <v>41947</v>
          </cell>
          <cell r="CF1721">
            <v>20.476520234206575</v>
          </cell>
          <cell r="CG1721">
            <v>22.085252262534414</v>
          </cell>
          <cell r="CH1721">
            <v>18.555263085067214</v>
          </cell>
          <cell r="CI1721">
            <v>14.926604548033502</v>
          </cell>
          <cell r="CJ1721">
            <v>22.183921622100925</v>
          </cell>
          <cell r="CU1721">
            <v>12.323845579813373</v>
          </cell>
          <cell r="CV1721">
            <v>13.67289934744978</v>
          </cell>
          <cell r="CW1721">
            <v>11.062153668663059</v>
          </cell>
          <cell r="CX1721">
            <v>8.6510321273089765</v>
          </cell>
          <cell r="CY1721">
            <v>13.473275210017142</v>
          </cell>
        </row>
        <row r="1722">
          <cell r="A1722">
            <v>41948</v>
          </cell>
          <cell r="CF1722">
            <v>20.708668800251452</v>
          </cell>
          <cell r="CG1722">
            <v>22.085252262534414</v>
          </cell>
          <cell r="CH1722">
            <v>18.555263085067214</v>
          </cell>
          <cell r="CI1722">
            <v>14.926604548033502</v>
          </cell>
          <cell r="CJ1722">
            <v>22.183921622100925</v>
          </cell>
          <cell r="CU1722">
            <v>12.449285802989754</v>
          </cell>
          <cell r="CV1722">
            <v>13.67289934744978</v>
          </cell>
          <cell r="CW1722">
            <v>11.062153668663059</v>
          </cell>
          <cell r="CX1722">
            <v>8.6510321273089765</v>
          </cell>
          <cell r="CY1722">
            <v>13.473275210017142</v>
          </cell>
        </row>
        <row r="1723">
          <cell r="A1723">
            <v>41949</v>
          </cell>
          <cell r="CF1723">
            <v>22.048152255372237</v>
          </cell>
          <cell r="CG1723">
            <v>22.085252262534414</v>
          </cell>
          <cell r="CH1723">
            <v>18.555263085067214</v>
          </cell>
          <cell r="CI1723">
            <v>14.926604548033502</v>
          </cell>
          <cell r="CJ1723">
            <v>22.183921622100925</v>
          </cell>
          <cell r="CU1723">
            <v>13.221375653900006</v>
          </cell>
          <cell r="CV1723">
            <v>13.67289934744978</v>
          </cell>
          <cell r="CW1723">
            <v>11.062153668663059</v>
          </cell>
          <cell r="CX1723">
            <v>8.6510321273089765</v>
          </cell>
          <cell r="CY1723">
            <v>13.473275210017142</v>
          </cell>
        </row>
        <row r="1724">
          <cell r="A1724">
            <v>41950</v>
          </cell>
          <cell r="CF1724">
            <v>21.760144121830105</v>
          </cell>
          <cell r="CG1724">
            <v>22.085252262534414</v>
          </cell>
          <cell r="CH1724">
            <v>18.555263085067214</v>
          </cell>
          <cell r="CI1724">
            <v>14.926604548033502</v>
          </cell>
          <cell r="CJ1724">
            <v>22.183921622100925</v>
          </cell>
          <cell r="CU1724">
            <v>13.228994076714525</v>
          </cell>
          <cell r="CV1724">
            <v>13.67289934744978</v>
          </cell>
          <cell r="CW1724">
            <v>11.062153668663059</v>
          </cell>
          <cell r="CX1724">
            <v>8.6510321273089765</v>
          </cell>
          <cell r="CY1724">
            <v>13.473275210017142</v>
          </cell>
        </row>
        <row r="1725">
          <cell r="A1725">
            <v>41953</v>
          </cell>
          <cell r="CF1725">
            <v>21.961820398046726</v>
          </cell>
          <cell r="CG1725">
            <v>22.085252262534414</v>
          </cell>
          <cell r="CH1725">
            <v>18.555263085067214</v>
          </cell>
          <cell r="CI1725">
            <v>14.926604548033502</v>
          </cell>
          <cell r="CJ1725">
            <v>22.183921622100925</v>
          </cell>
          <cell r="CU1725">
            <v>13.239992719025805</v>
          </cell>
          <cell r="CV1725">
            <v>13.67289934744978</v>
          </cell>
          <cell r="CW1725">
            <v>11.062153668663059</v>
          </cell>
          <cell r="CX1725">
            <v>8.6510321273089765</v>
          </cell>
          <cell r="CY1725">
            <v>13.473275210017142</v>
          </cell>
        </row>
        <row r="1726">
          <cell r="A1726">
            <v>41954</v>
          </cell>
          <cell r="CF1726">
            <v>21.930229905762182</v>
          </cell>
          <cell r="CG1726">
            <v>22.085252262534414</v>
          </cell>
          <cell r="CH1726">
            <v>18.555263085067214</v>
          </cell>
          <cell r="CI1726">
            <v>14.926604548033502</v>
          </cell>
          <cell r="CJ1726">
            <v>22.183921622100925</v>
          </cell>
          <cell r="CU1726">
            <v>13.209349383068872</v>
          </cell>
          <cell r="CV1726">
            <v>13.67289934744978</v>
          </cell>
          <cell r="CW1726">
            <v>11.062153668663059</v>
          </cell>
          <cell r="CX1726">
            <v>8.6510321273089765</v>
          </cell>
          <cell r="CY1726">
            <v>13.473275210017142</v>
          </cell>
        </row>
        <row r="1727">
          <cell r="A1727">
            <v>41955</v>
          </cell>
          <cell r="CF1727">
            <v>21.96579898448482</v>
          </cell>
          <cell r="CG1727">
            <v>22.085252262534414</v>
          </cell>
          <cell r="CH1727">
            <v>18.555263085067214</v>
          </cell>
          <cell r="CI1727">
            <v>14.926604548033502</v>
          </cell>
          <cell r="CJ1727">
            <v>22.183921622100925</v>
          </cell>
          <cell r="CU1727">
            <v>13.233255845027669</v>
          </cell>
          <cell r="CV1727">
            <v>13.67289934744978</v>
          </cell>
          <cell r="CW1727">
            <v>11.062153668663059</v>
          </cell>
          <cell r="CX1727">
            <v>8.6510321273089765</v>
          </cell>
          <cell r="CY1727">
            <v>13.473275210017142</v>
          </cell>
        </row>
        <row r="1728">
          <cell r="A1728">
            <v>41956</v>
          </cell>
          <cell r="CF1728">
            <v>22.125732401145697</v>
          </cell>
          <cell r="CG1728">
            <v>22.085252262534414</v>
          </cell>
          <cell r="CH1728">
            <v>18.555263085067214</v>
          </cell>
          <cell r="CI1728">
            <v>14.926604548033502</v>
          </cell>
          <cell r="CJ1728">
            <v>22.183921622100925</v>
          </cell>
          <cell r="CU1728">
            <v>13.286833558642096</v>
          </cell>
          <cell r="CV1728">
            <v>13.67289934744978</v>
          </cell>
          <cell r="CW1728">
            <v>11.062153668663059</v>
          </cell>
          <cell r="CX1728">
            <v>8.6510321273089765</v>
          </cell>
          <cell r="CY1728">
            <v>13.473275210017142</v>
          </cell>
        </row>
        <row r="1729">
          <cell r="A1729">
            <v>41957</v>
          </cell>
          <cell r="CF1729">
            <v>22.103654221746336</v>
          </cell>
          <cell r="CG1729">
            <v>22.085252262534414</v>
          </cell>
          <cell r="CH1729">
            <v>18.555263085067214</v>
          </cell>
          <cell r="CI1729">
            <v>14.926604548033502</v>
          </cell>
          <cell r="CJ1729">
            <v>22.183921622100925</v>
          </cell>
          <cell r="CU1729">
            <v>13.274980859648549</v>
          </cell>
          <cell r="CV1729">
            <v>13.67289934744978</v>
          </cell>
          <cell r="CW1729">
            <v>11.062153668663059</v>
          </cell>
          <cell r="CX1729">
            <v>8.6510321273089765</v>
          </cell>
          <cell r="CY1729">
            <v>13.473275210017142</v>
          </cell>
        </row>
        <row r="1730">
          <cell r="A1730">
            <v>41960</v>
          </cell>
          <cell r="CF1730">
            <v>22.236403999803478</v>
          </cell>
          <cell r="CG1730">
            <v>22.085252262534414</v>
          </cell>
          <cell r="CH1730">
            <v>18.555263085067214</v>
          </cell>
          <cell r="CI1730">
            <v>14.926604548033502</v>
          </cell>
          <cell r="CJ1730">
            <v>22.183921622100925</v>
          </cell>
          <cell r="CU1730">
            <v>13.34702295734682</v>
          </cell>
          <cell r="CV1730">
            <v>13.67289934744978</v>
          </cell>
          <cell r="CW1730">
            <v>11.062153668663059</v>
          </cell>
          <cell r="CX1730">
            <v>8.6510321273089765</v>
          </cell>
          <cell r="CY1730">
            <v>13.473275210017142</v>
          </cell>
        </row>
        <row r="1731">
          <cell r="A1731">
            <v>41961</v>
          </cell>
          <cell r="CF1731">
            <v>22.418986454880354</v>
          </cell>
          <cell r="CG1731">
            <v>22.085252262534414</v>
          </cell>
          <cell r="CH1731">
            <v>18.555263085067214</v>
          </cell>
          <cell r="CI1731">
            <v>14.926604548033502</v>
          </cell>
          <cell r="CJ1731">
            <v>22.183921622100925</v>
          </cell>
          <cell r="CU1731">
            <v>13.479225357883536</v>
          </cell>
          <cell r="CV1731">
            <v>13.67289934744978</v>
          </cell>
          <cell r="CW1731">
            <v>11.062153668663059</v>
          </cell>
          <cell r="CX1731">
            <v>8.6510321273089765</v>
          </cell>
          <cell r="CY1731">
            <v>13.473275210017142</v>
          </cell>
        </row>
        <row r="1732">
          <cell r="A1732">
            <v>41962</v>
          </cell>
          <cell r="CF1732">
            <v>22.369879408411204</v>
          </cell>
          <cell r="CG1732">
            <v>22.085252262534414</v>
          </cell>
          <cell r="CH1732">
            <v>18.555263085067214</v>
          </cell>
          <cell r="CI1732">
            <v>14.926604548033502</v>
          </cell>
          <cell r="CJ1732">
            <v>22.183921622100925</v>
          </cell>
          <cell r="CU1732">
            <v>13.452785607173778</v>
          </cell>
          <cell r="CV1732">
            <v>13.67289934744978</v>
          </cell>
          <cell r="CW1732">
            <v>11.062153668663059</v>
          </cell>
          <cell r="CX1732">
            <v>8.6510321273089765</v>
          </cell>
          <cell r="CY1732">
            <v>13.473275210017142</v>
          </cell>
        </row>
        <row r="1733">
          <cell r="A1733">
            <v>41963</v>
          </cell>
          <cell r="CF1733">
            <v>22.285209167249182</v>
          </cell>
          <cell r="CG1733">
            <v>22.085252262534414</v>
          </cell>
          <cell r="CH1733">
            <v>18.555263085067214</v>
          </cell>
          <cell r="CI1733">
            <v>14.926604548033502</v>
          </cell>
          <cell r="CJ1733">
            <v>22.183921622100925</v>
          </cell>
          <cell r="CU1733">
            <v>13.407198258110434</v>
          </cell>
          <cell r="CV1733">
            <v>13.67289934744978</v>
          </cell>
          <cell r="CW1733">
            <v>11.062153668663059</v>
          </cell>
          <cell r="CX1733">
            <v>8.6510321273089765</v>
          </cell>
          <cell r="CY1733">
            <v>13.473275210017142</v>
          </cell>
        </row>
        <row r="1734">
          <cell r="A1734">
            <v>41964</v>
          </cell>
          <cell r="CF1734">
            <v>22.417398146975152</v>
          </cell>
          <cell r="CG1734">
            <v>22.085252262534414</v>
          </cell>
          <cell r="CH1734">
            <v>18.555263085067214</v>
          </cell>
          <cell r="CI1734">
            <v>14.926604548033502</v>
          </cell>
          <cell r="CJ1734">
            <v>22.183921622100925</v>
          </cell>
          <cell r="CU1734">
            <v>13.401162631847622</v>
          </cell>
          <cell r="CV1734">
            <v>13.67289934744978</v>
          </cell>
          <cell r="CW1734">
            <v>11.062153668663059</v>
          </cell>
          <cell r="CX1734">
            <v>8.6510321273089765</v>
          </cell>
          <cell r="CY1734">
            <v>13.473275210017142</v>
          </cell>
        </row>
        <row r="1735">
          <cell r="A1735">
            <v>41967</v>
          </cell>
          <cell r="CF1735">
            <v>22.701696492788948</v>
          </cell>
          <cell r="CG1735">
            <v>22.085252262534414</v>
          </cell>
          <cell r="CH1735">
            <v>18.555263085067214</v>
          </cell>
          <cell r="CI1735">
            <v>14.926604548033502</v>
          </cell>
          <cell r="CJ1735">
            <v>22.183921622100925</v>
          </cell>
          <cell r="CU1735">
            <v>13.633552536374047</v>
          </cell>
          <cell r="CV1735">
            <v>13.67289934744978</v>
          </cell>
          <cell r="CW1735">
            <v>11.062153668663059</v>
          </cell>
          <cell r="CX1735">
            <v>8.6510321273089765</v>
          </cell>
          <cell r="CY1735">
            <v>13.473275210017142</v>
          </cell>
        </row>
        <row r="1736">
          <cell r="A1736">
            <v>41968</v>
          </cell>
          <cell r="CF1736">
            <v>22.989382747389811</v>
          </cell>
          <cell r="CG1736">
            <v>22.085252262534414</v>
          </cell>
          <cell r="CH1736">
            <v>18.555263085067214</v>
          </cell>
          <cell r="CI1736">
            <v>14.926604548033502</v>
          </cell>
          <cell r="CJ1736">
            <v>22.183921622100925</v>
          </cell>
          <cell r="CU1736">
            <v>13.788480658285881</v>
          </cell>
          <cell r="CV1736">
            <v>13.67289934744978</v>
          </cell>
          <cell r="CW1736">
            <v>11.062153668663059</v>
          </cell>
          <cell r="CX1736">
            <v>8.6510321273089765</v>
          </cell>
          <cell r="CY1736">
            <v>13.473275210017142</v>
          </cell>
        </row>
        <row r="1737">
          <cell r="A1737">
            <v>41969</v>
          </cell>
          <cell r="CF1737">
            <v>22.957229766893132</v>
          </cell>
          <cell r="CG1737">
            <v>22.085252262534414</v>
          </cell>
          <cell r="CH1737">
            <v>18.555263085067214</v>
          </cell>
          <cell r="CI1737">
            <v>14.926604548033502</v>
          </cell>
          <cell r="CJ1737">
            <v>22.183921622100925</v>
          </cell>
          <cell r="CU1737">
            <v>13.771165264162761</v>
          </cell>
          <cell r="CV1737">
            <v>13.67289934744978</v>
          </cell>
          <cell r="CW1737">
            <v>11.062153668663059</v>
          </cell>
          <cell r="CX1737">
            <v>8.6510321273089765</v>
          </cell>
          <cell r="CY1737">
            <v>13.473275210017142</v>
          </cell>
        </row>
        <row r="1738">
          <cell r="A1738">
            <v>41970</v>
          </cell>
          <cell r="CF1738">
            <v>22.957229766893132</v>
          </cell>
          <cell r="CG1738">
            <v>22.085252262534414</v>
          </cell>
          <cell r="CH1738">
            <v>18.555263085067214</v>
          </cell>
          <cell r="CI1738">
            <v>14.926604548033502</v>
          </cell>
          <cell r="CJ1738">
            <v>22.183921622100925</v>
          </cell>
          <cell r="CU1738">
            <v>13.771165264162761</v>
          </cell>
          <cell r="CV1738">
            <v>13.67289934744978</v>
          </cell>
          <cell r="CW1738">
            <v>11.062153668663059</v>
          </cell>
          <cell r="CX1738">
            <v>8.6510321273089765</v>
          </cell>
          <cell r="CY1738">
            <v>13.473275210017142</v>
          </cell>
        </row>
        <row r="1739">
          <cell r="A1739">
            <v>41971</v>
          </cell>
          <cell r="CF1739">
            <v>23.21657593579004</v>
          </cell>
          <cell r="CG1739">
            <v>22.085252262534414</v>
          </cell>
          <cell r="CH1739">
            <v>18.555263085067214</v>
          </cell>
          <cell r="CI1739">
            <v>14.926604548033502</v>
          </cell>
          <cell r="CJ1739">
            <v>22.183921622100925</v>
          </cell>
          <cell r="CU1739">
            <v>13.911510178876794</v>
          </cell>
          <cell r="CV1739">
            <v>13.67289934744978</v>
          </cell>
          <cell r="CW1739">
            <v>11.062153668663059</v>
          </cell>
          <cell r="CX1739">
            <v>8.6510321273089765</v>
          </cell>
          <cell r="CY1739">
            <v>13.473275210017142</v>
          </cell>
        </row>
        <row r="1740">
          <cell r="A1740">
            <v>41974</v>
          </cell>
          <cell r="CF1740">
            <v>23.02701704616986</v>
          </cell>
          <cell r="CG1740">
            <v>22.085252262534414</v>
          </cell>
          <cell r="CH1740">
            <v>18.555263085067214</v>
          </cell>
          <cell r="CI1740">
            <v>14.926604548033502</v>
          </cell>
          <cell r="CJ1740">
            <v>22.183921622100925</v>
          </cell>
          <cell r="CU1740">
            <v>13.822776484505141</v>
          </cell>
          <cell r="CV1740">
            <v>13.67289934744978</v>
          </cell>
          <cell r="CW1740">
            <v>11.062153668663059</v>
          </cell>
          <cell r="CX1740">
            <v>8.6510321273089765</v>
          </cell>
          <cell r="CY1740">
            <v>13.473275210017142</v>
          </cell>
        </row>
        <row r="1741">
          <cell r="A1741">
            <v>41975</v>
          </cell>
          <cell r="CF1741">
            <v>23.013589935122159</v>
          </cell>
          <cell r="CG1741">
            <v>22.085252262534414</v>
          </cell>
          <cell r="CH1741">
            <v>18.555263085067214</v>
          </cell>
          <cell r="CI1741">
            <v>14.926604548033502</v>
          </cell>
          <cell r="CJ1741">
            <v>22.183921622100925</v>
          </cell>
          <cell r="CU1741">
            <v>13.815532251856725</v>
          </cell>
          <cell r="CV1741">
            <v>13.67289934744978</v>
          </cell>
          <cell r="CW1741">
            <v>11.062153668663059</v>
          </cell>
          <cell r="CX1741">
            <v>8.6510321273089765</v>
          </cell>
          <cell r="CY1741">
            <v>13.473275210017142</v>
          </cell>
        </row>
        <row r="1742">
          <cell r="A1742">
            <v>41976</v>
          </cell>
          <cell r="CF1742">
            <v>22.976660763594552</v>
          </cell>
          <cell r="CG1742">
            <v>22.085252262534414</v>
          </cell>
          <cell r="CH1742">
            <v>18.555263085067214</v>
          </cell>
          <cell r="CI1742">
            <v>14.926604548033502</v>
          </cell>
          <cell r="CJ1742">
            <v>22.183921622100925</v>
          </cell>
          <cell r="CU1742">
            <v>13.795608121557304</v>
          </cell>
          <cell r="CV1742">
            <v>13.67289934744978</v>
          </cell>
          <cell r="CW1742">
            <v>11.062153668663059</v>
          </cell>
          <cell r="CX1742">
            <v>8.6510321273089765</v>
          </cell>
          <cell r="CY1742">
            <v>13.473275210017142</v>
          </cell>
        </row>
        <row r="1743">
          <cell r="A1743">
            <v>41977</v>
          </cell>
          <cell r="CF1743">
            <v>22.956515900526238</v>
          </cell>
          <cell r="CG1743">
            <v>22.085252262534414</v>
          </cell>
          <cell r="CH1743">
            <v>18.555263085067214</v>
          </cell>
          <cell r="CI1743">
            <v>14.926604548033502</v>
          </cell>
          <cell r="CJ1743">
            <v>22.183921622100925</v>
          </cell>
          <cell r="CU1743">
            <v>13.784739508478967</v>
          </cell>
          <cell r="CV1743">
            <v>13.67289934744978</v>
          </cell>
          <cell r="CW1743">
            <v>11.062153668663059</v>
          </cell>
          <cell r="CX1743">
            <v>8.6510321273089765</v>
          </cell>
          <cell r="CY1743">
            <v>13.473275210017142</v>
          </cell>
        </row>
        <row r="1744">
          <cell r="A1744">
            <v>41978</v>
          </cell>
          <cell r="CF1744">
            <v>23.006711409395972</v>
          </cell>
          <cell r="CG1744">
            <v>22.085252262534414</v>
          </cell>
          <cell r="CH1744">
            <v>18.555263085067214</v>
          </cell>
          <cell r="CI1744">
            <v>14.926604548033502</v>
          </cell>
          <cell r="CJ1744">
            <v>22.183921622100925</v>
          </cell>
          <cell r="CU1744">
            <v>13.784739508478967</v>
          </cell>
          <cell r="CV1744">
            <v>13.67289934744978</v>
          </cell>
          <cell r="CW1744">
            <v>11.062153668663059</v>
          </cell>
          <cell r="CX1744">
            <v>8.6510321273089765</v>
          </cell>
          <cell r="CY1744">
            <v>13.473275210017142</v>
          </cell>
        </row>
        <row r="1745">
          <cell r="A1745">
            <v>41981</v>
          </cell>
          <cell r="CF1745">
            <v>22.879196308724829</v>
          </cell>
          <cell r="CG1745">
            <v>22.085252262534414</v>
          </cell>
          <cell r="CH1745">
            <v>18.555263085067214</v>
          </cell>
          <cell r="CI1745">
            <v>14.926604548033502</v>
          </cell>
          <cell r="CJ1745">
            <v>22.183921622100925</v>
          </cell>
          <cell r="CU1745">
            <v>13.748514722667757</v>
          </cell>
          <cell r="CV1745">
            <v>13.67289934744978</v>
          </cell>
          <cell r="CW1745">
            <v>11.062153668663059</v>
          </cell>
          <cell r="CX1745">
            <v>8.6510321273089765</v>
          </cell>
          <cell r="CY1745">
            <v>13.473275210017142</v>
          </cell>
        </row>
        <row r="1746">
          <cell r="A1746">
            <v>41982</v>
          </cell>
          <cell r="CF1746">
            <v>22.713926174496645</v>
          </cell>
          <cell r="CG1746">
            <v>22.085252262534414</v>
          </cell>
          <cell r="CH1746">
            <v>18.555263085067214</v>
          </cell>
          <cell r="CI1746">
            <v>14.926604548033502</v>
          </cell>
          <cell r="CJ1746">
            <v>22.183921622100925</v>
          </cell>
          <cell r="CU1746">
            <v>13.65930805182124</v>
          </cell>
          <cell r="CV1746">
            <v>13.67289934744978</v>
          </cell>
          <cell r="CW1746">
            <v>11.062153668663059</v>
          </cell>
          <cell r="CX1746">
            <v>8.6510321273089765</v>
          </cell>
          <cell r="CY1746">
            <v>13.473275210017142</v>
          </cell>
        </row>
        <row r="1747">
          <cell r="A1747">
            <v>41983</v>
          </cell>
          <cell r="CF1747">
            <v>22.402686241610741</v>
          </cell>
          <cell r="CG1747">
            <v>22.085252262534414</v>
          </cell>
          <cell r="CH1747">
            <v>18.555263085067214</v>
          </cell>
          <cell r="CI1747">
            <v>14.926604548033502</v>
          </cell>
          <cell r="CJ1747">
            <v>22.183921622100925</v>
          </cell>
          <cell r="CU1747">
            <v>13.491312313347938</v>
          </cell>
          <cell r="CV1747">
            <v>13.67289934744978</v>
          </cell>
          <cell r="CW1747">
            <v>11.062153668663059</v>
          </cell>
          <cell r="CX1747">
            <v>8.6510321273089765</v>
          </cell>
          <cell r="CY1747">
            <v>13.473275210017142</v>
          </cell>
        </row>
        <row r="1748">
          <cell r="A1748">
            <v>41984</v>
          </cell>
          <cell r="CF1748">
            <v>22.651006711409398</v>
          </cell>
          <cell r="CG1748">
            <v>22.085252262534414</v>
          </cell>
          <cell r="CH1748">
            <v>18.555263085067214</v>
          </cell>
          <cell r="CI1748">
            <v>14.926604548033502</v>
          </cell>
          <cell r="CJ1748">
            <v>22.183921622100925</v>
          </cell>
          <cell r="CU1748">
            <v>13.625346466083586</v>
          </cell>
          <cell r="CV1748">
            <v>13.67289934744978</v>
          </cell>
          <cell r="CW1748">
            <v>11.062153668663059</v>
          </cell>
          <cell r="CX1748">
            <v>8.6510321273089765</v>
          </cell>
          <cell r="CY1748">
            <v>13.473275210017142</v>
          </cell>
        </row>
        <row r="1749">
          <cell r="A1749">
            <v>41985</v>
          </cell>
          <cell r="CF1749">
            <v>22.449662751677852</v>
          </cell>
          <cell r="CG1749">
            <v>22.085252262534414</v>
          </cell>
          <cell r="CH1749">
            <v>18.555263085067214</v>
          </cell>
          <cell r="CI1749">
            <v>14.926604548033502</v>
          </cell>
          <cell r="CJ1749">
            <v>22.183921622100925</v>
          </cell>
          <cell r="CU1749">
            <v>13.625346466083586</v>
          </cell>
          <cell r="CV1749">
            <v>13.67289934744978</v>
          </cell>
          <cell r="CW1749">
            <v>11.062153668663059</v>
          </cell>
          <cell r="CX1749">
            <v>8.6510321273089765</v>
          </cell>
          <cell r="CY1749">
            <v>13.473275210017142</v>
          </cell>
        </row>
        <row r="1750">
          <cell r="A1750">
            <v>41988</v>
          </cell>
          <cell r="CF1750">
            <v>22.082424038945778</v>
          </cell>
          <cell r="CG1750">
            <v>22.085252262534414</v>
          </cell>
          <cell r="CH1750">
            <v>18.555263085067214</v>
          </cell>
          <cell r="CI1750">
            <v>14.926604548033502</v>
          </cell>
          <cell r="CJ1750">
            <v>22.183921622100925</v>
          </cell>
          <cell r="CU1750">
            <v>13.319608991068325</v>
          </cell>
          <cell r="CV1750">
            <v>13.67289934744978</v>
          </cell>
          <cell r="CW1750">
            <v>11.062153668663059</v>
          </cell>
          <cell r="CX1750">
            <v>8.6510321273089765</v>
          </cell>
          <cell r="CY1750">
            <v>13.473275210017142</v>
          </cell>
        </row>
        <row r="1751">
          <cell r="A1751">
            <v>41989</v>
          </cell>
          <cell r="CF1751">
            <v>22.22595266073527</v>
          </cell>
          <cell r="CG1751">
            <v>22.085252262534414</v>
          </cell>
          <cell r="CH1751">
            <v>18.555263085067214</v>
          </cell>
          <cell r="CI1751">
            <v>14.926604548033502</v>
          </cell>
          <cell r="CJ1751">
            <v>22.183921622100925</v>
          </cell>
          <cell r="CU1751">
            <v>13.397083064249738</v>
          </cell>
          <cell r="CV1751">
            <v>13.67289934744978</v>
          </cell>
          <cell r="CW1751">
            <v>11.062153668663059</v>
          </cell>
          <cell r="CX1751">
            <v>8.6510321273089765</v>
          </cell>
          <cell r="CY1751">
            <v>13.473275210017142</v>
          </cell>
        </row>
        <row r="1752">
          <cell r="A1752">
            <v>41990</v>
          </cell>
          <cell r="CF1752">
            <v>22.509652509652511</v>
          </cell>
          <cell r="CG1752">
            <v>22.085252262534414</v>
          </cell>
          <cell r="CH1752">
            <v>18.555263085067214</v>
          </cell>
          <cell r="CI1752">
            <v>14.926604548033502</v>
          </cell>
          <cell r="CJ1752">
            <v>22.183921622100925</v>
          </cell>
          <cell r="CU1752">
            <v>13.550218951590777</v>
          </cell>
          <cell r="CV1752">
            <v>13.67289934744978</v>
          </cell>
          <cell r="CW1752">
            <v>11.062153668663059</v>
          </cell>
          <cell r="CX1752">
            <v>8.6510321273089765</v>
          </cell>
          <cell r="CY1752">
            <v>13.473275210017142</v>
          </cell>
        </row>
        <row r="1753">
          <cell r="A1753">
            <v>41991</v>
          </cell>
          <cell r="CF1753">
            <v>22.79671143192882</v>
          </cell>
          <cell r="CG1753">
            <v>22.085252262534414</v>
          </cell>
          <cell r="CH1753">
            <v>18.555263085067214</v>
          </cell>
          <cell r="CI1753">
            <v>14.926604548033502</v>
          </cell>
          <cell r="CJ1753">
            <v>22.183921622100925</v>
          </cell>
          <cell r="CU1753">
            <v>13.705168004083111</v>
          </cell>
          <cell r="CV1753">
            <v>13.67289934744978</v>
          </cell>
          <cell r="CW1753">
            <v>11.062153668663059</v>
          </cell>
          <cell r="CX1753">
            <v>8.6510321273089765</v>
          </cell>
          <cell r="CY1753">
            <v>13.473275210017142</v>
          </cell>
        </row>
        <row r="1754">
          <cell r="A1754">
            <v>41992</v>
          </cell>
          <cell r="CF1754">
            <v>23.083766996810475</v>
          </cell>
          <cell r="CG1754">
            <v>22.085252262534414</v>
          </cell>
          <cell r="CH1754">
            <v>18.555263085067214</v>
          </cell>
          <cell r="CI1754">
            <v>14.926604548033502</v>
          </cell>
          <cell r="CJ1754">
            <v>22.183921622100925</v>
          </cell>
          <cell r="CU1754">
            <v>13.860115244316427</v>
          </cell>
          <cell r="CV1754">
            <v>13.67289934744978</v>
          </cell>
          <cell r="CW1754">
            <v>11.062153668663059</v>
          </cell>
          <cell r="CX1754">
            <v>8.6510321273089765</v>
          </cell>
          <cell r="CY1754">
            <v>13.473275210017142</v>
          </cell>
        </row>
        <row r="1755">
          <cell r="A1755">
            <v>41995</v>
          </cell>
          <cell r="CF1755">
            <v>23.080411280846064</v>
          </cell>
          <cell r="CG1755">
            <v>22.085252262534414</v>
          </cell>
          <cell r="CH1755">
            <v>18.555263085067214</v>
          </cell>
          <cell r="CI1755">
            <v>14.926604548033502</v>
          </cell>
          <cell r="CJ1755">
            <v>22.183921622100925</v>
          </cell>
          <cell r="CU1755">
            <v>13.858303891424152</v>
          </cell>
          <cell r="CV1755">
            <v>13.67289934744978</v>
          </cell>
          <cell r="CW1755">
            <v>11.062153668663059</v>
          </cell>
          <cell r="CX1755">
            <v>8.6510321273089765</v>
          </cell>
          <cell r="CY1755">
            <v>13.473275210017142</v>
          </cell>
        </row>
        <row r="1756">
          <cell r="A1756">
            <v>41996</v>
          </cell>
          <cell r="CF1756">
            <v>23.119021319456103</v>
          </cell>
          <cell r="CG1756">
            <v>22.085252262534414</v>
          </cell>
          <cell r="CH1756">
            <v>18.555263085067214</v>
          </cell>
          <cell r="CI1756">
            <v>14.926604548033502</v>
          </cell>
          <cell r="CJ1756">
            <v>22.183921622100925</v>
          </cell>
          <cell r="CU1756">
            <v>13.879144870174706</v>
          </cell>
          <cell r="CV1756">
            <v>13.67289934744978</v>
          </cell>
          <cell r="CW1756">
            <v>11.062153668663059</v>
          </cell>
          <cell r="CX1756">
            <v>8.6510321273089765</v>
          </cell>
          <cell r="CY1756">
            <v>13.473275210017142</v>
          </cell>
        </row>
        <row r="1757">
          <cell r="A1757">
            <v>41997</v>
          </cell>
          <cell r="CF1757">
            <v>23.144200100721839</v>
          </cell>
          <cell r="CG1757">
            <v>22.085252262534414</v>
          </cell>
          <cell r="CH1757">
            <v>18.555263085067214</v>
          </cell>
          <cell r="CI1757">
            <v>14.926604548033502</v>
          </cell>
          <cell r="CJ1757">
            <v>22.183921622100925</v>
          </cell>
          <cell r="CU1757">
            <v>13.892735906708602</v>
          </cell>
          <cell r="CV1757">
            <v>13.67289934744978</v>
          </cell>
          <cell r="CW1757">
            <v>11.062153668663059</v>
          </cell>
          <cell r="CX1757">
            <v>8.6510321273089765</v>
          </cell>
          <cell r="CY1757">
            <v>13.473275210017142</v>
          </cell>
        </row>
        <row r="1758">
          <cell r="A1758">
            <v>41998</v>
          </cell>
          <cell r="CF1758">
            <v>23.144200100721839</v>
          </cell>
          <cell r="CG1758">
            <v>22.085252262534414</v>
          </cell>
          <cell r="CH1758">
            <v>18.555263085067214</v>
          </cell>
          <cell r="CI1758">
            <v>14.926604548033502</v>
          </cell>
          <cell r="CJ1758">
            <v>22.183921622100925</v>
          </cell>
          <cell r="CU1758">
            <v>13.892735906708602</v>
          </cell>
          <cell r="CV1758">
            <v>13.67289934744978</v>
          </cell>
          <cell r="CW1758">
            <v>11.062153668663059</v>
          </cell>
          <cell r="CX1758">
            <v>8.6510321273089765</v>
          </cell>
          <cell r="CY1758">
            <v>13.473275210017142</v>
          </cell>
        </row>
        <row r="1759">
          <cell r="A1759">
            <v>41999</v>
          </cell>
          <cell r="CF1759">
            <v>23.062783280174585</v>
          </cell>
          <cell r="CG1759">
            <v>22.085252262534414</v>
          </cell>
          <cell r="CH1759">
            <v>18.555263085067214</v>
          </cell>
          <cell r="CI1759">
            <v>14.926604548033502</v>
          </cell>
          <cell r="CJ1759">
            <v>22.183921622100925</v>
          </cell>
          <cell r="CU1759">
            <v>13.848788625430254</v>
          </cell>
          <cell r="CV1759">
            <v>13.67289934744978</v>
          </cell>
          <cell r="CW1759">
            <v>11.062153668663059</v>
          </cell>
          <cell r="CX1759">
            <v>8.6510321273089765</v>
          </cell>
          <cell r="CY1759">
            <v>13.473275210017142</v>
          </cell>
        </row>
        <row r="1760">
          <cell r="A1760">
            <v>42002</v>
          </cell>
          <cell r="CF1760">
            <v>23.08880308880309</v>
          </cell>
          <cell r="CG1760">
            <v>22.085252262534414</v>
          </cell>
          <cell r="CH1760">
            <v>18.555263085067214</v>
          </cell>
          <cell r="CI1760">
            <v>14.926604548033502</v>
          </cell>
          <cell r="CJ1760">
            <v>22.183921622100925</v>
          </cell>
          <cell r="CU1760">
            <v>13.862833632849107</v>
          </cell>
          <cell r="CV1760">
            <v>13.67289934744978</v>
          </cell>
          <cell r="CW1760">
            <v>11.062153668663059</v>
          </cell>
          <cell r="CX1760">
            <v>8.6510321273089765</v>
          </cell>
          <cell r="CY1760">
            <v>13.473275210017142</v>
          </cell>
        </row>
        <row r="1761">
          <cell r="A1761">
            <v>42003</v>
          </cell>
          <cell r="CF1761">
            <v>23.108949135470876</v>
          </cell>
          <cell r="CG1761">
            <v>22.085252262534414</v>
          </cell>
          <cell r="CH1761">
            <v>18.555263085067214</v>
          </cell>
          <cell r="CI1761">
            <v>14.926604548033502</v>
          </cell>
          <cell r="CJ1761">
            <v>22.183921622100925</v>
          </cell>
          <cell r="CU1761">
            <v>13.873708093109345</v>
          </cell>
          <cell r="CV1761">
            <v>13.67289934744978</v>
          </cell>
          <cell r="CW1761">
            <v>11.062153668663059</v>
          </cell>
          <cell r="CX1761">
            <v>8.6510321273089765</v>
          </cell>
          <cell r="CY1761">
            <v>13.473275210017142</v>
          </cell>
        </row>
        <row r="1762">
          <cell r="A1762">
            <v>42004</v>
          </cell>
          <cell r="CF1762">
            <v>22.855464159811987</v>
          </cell>
          <cell r="CG1762">
            <v>22.085252262534414</v>
          </cell>
          <cell r="CH1762">
            <v>18.555263085067214</v>
          </cell>
          <cell r="CI1762">
            <v>14.926604548033502</v>
          </cell>
          <cell r="CJ1762">
            <v>22.183921622100925</v>
          </cell>
          <cell r="CU1762">
            <v>13.873708093109345</v>
          </cell>
          <cell r="CV1762">
            <v>13.67289934744978</v>
          </cell>
          <cell r="CW1762">
            <v>11.062153668663059</v>
          </cell>
          <cell r="CX1762">
            <v>8.6510321273089765</v>
          </cell>
          <cell r="CY1762">
            <v>13.473275210017142</v>
          </cell>
        </row>
        <row r="1763">
          <cell r="A1763">
            <v>42005</v>
          </cell>
          <cell r="CF1763">
            <v>22.640430115515915</v>
          </cell>
          <cell r="CG1763">
            <v>22.085252262534414</v>
          </cell>
          <cell r="CH1763">
            <v>18.555263085067214</v>
          </cell>
          <cell r="CI1763">
            <v>14.926604548033502</v>
          </cell>
          <cell r="CJ1763">
            <v>22.183921622100925</v>
          </cell>
          <cell r="CU1763">
            <v>13.64330969285637</v>
          </cell>
          <cell r="CV1763">
            <v>13.67289934744978</v>
          </cell>
          <cell r="CW1763">
            <v>11.062153668663059</v>
          </cell>
          <cell r="CX1763">
            <v>8.6510321273089765</v>
          </cell>
          <cell r="CY1763">
            <v>13.473275210017142</v>
          </cell>
        </row>
        <row r="1764">
          <cell r="A1764">
            <v>42006</v>
          </cell>
          <cell r="CF1764">
            <v>22.756614339570387</v>
          </cell>
          <cell r="CG1764">
            <v>22.085252262534414</v>
          </cell>
          <cell r="CH1764">
            <v>18.555263085067214</v>
          </cell>
          <cell r="CI1764">
            <v>14.926604548033502</v>
          </cell>
          <cell r="CJ1764">
            <v>22.183921622100925</v>
          </cell>
          <cell r="CU1764">
            <v>13.704957661062149</v>
          </cell>
          <cell r="CV1764">
            <v>13.67289934744978</v>
          </cell>
          <cell r="CW1764">
            <v>11.062153668663059</v>
          </cell>
          <cell r="CX1764">
            <v>8.6510321273089765</v>
          </cell>
          <cell r="CY1764">
            <v>13.473275210017142</v>
          </cell>
        </row>
        <row r="1765">
          <cell r="A1765">
            <v>42009</v>
          </cell>
          <cell r="CF1765">
            <v>22.544992726620123</v>
          </cell>
          <cell r="CG1765">
            <v>22.085252262534414</v>
          </cell>
          <cell r="CH1765">
            <v>18.555263085067214</v>
          </cell>
          <cell r="CI1765">
            <v>14.926604548033502</v>
          </cell>
          <cell r="CJ1765">
            <v>22.183921622100925</v>
          </cell>
          <cell r="CU1765">
            <v>13.581935493011052</v>
          </cell>
          <cell r="CV1765">
            <v>13.67289934744978</v>
          </cell>
          <cell r="CW1765">
            <v>11.062153668663059</v>
          </cell>
          <cell r="CX1765">
            <v>8.6510321273089765</v>
          </cell>
          <cell r="CY1765">
            <v>13.473275210017142</v>
          </cell>
        </row>
        <row r="1766">
          <cell r="A1766">
            <v>42010</v>
          </cell>
          <cell r="CF1766">
            <v>22.413656225324758</v>
          </cell>
          <cell r="CG1766">
            <v>22.085252262534414</v>
          </cell>
          <cell r="CH1766">
            <v>18.555263085067214</v>
          </cell>
          <cell r="CI1766">
            <v>14.926604548033502</v>
          </cell>
          <cell r="CJ1766">
            <v>22.183921622100925</v>
          </cell>
          <cell r="CU1766">
            <v>13.510905696508962</v>
          </cell>
          <cell r="CV1766">
            <v>13.67289934744978</v>
          </cell>
          <cell r="CW1766">
            <v>11.062153668663059</v>
          </cell>
          <cell r="CX1766">
            <v>8.6510321273089765</v>
          </cell>
          <cell r="CY1766">
            <v>13.473275210017142</v>
          </cell>
        </row>
        <row r="1767">
          <cell r="A1767">
            <v>42011</v>
          </cell>
          <cell r="CF1767">
            <v>23.033764009921875</v>
          </cell>
          <cell r="CG1767">
            <v>22.085252262534414</v>
          </cell>
          <cell r="CH1767">
            <v>18.555263085067214</v>
          </cell>
          <cell r="CI1767">
            <v>14.926604548033502</v>
          </cell>
          <cell r="CJ1767">
            <v>22.183921622100925</v>
          </cell>
          <cell r="CU1767">
            <v>13.846274229360606</v>
          </cell>
          <cell r="CV1767">
            <v>13.67289934744978</v>
          </cell>
          <cell r="CW1767">
            <v>11.062153668663059</v>
          </cell>
          <cell r="CX1767">
            <v>8.6510321273089765</v>
          </cell>
          <cell r="CY1767">
            <v>13.473275210017142</v>
          </cell>
        </row>
        <row r="1768">
          <cell r="A1768">
            <v>42012</v>
          </cell>
          <cell r="CF1768">
            <v>23.357947382277516</v>
          </cell>
          <cell r="CG1768">
            <v>22.085252262534414</v>
          </cell>
          <cell r="CH1768">
            <v>18.555263085067214</v>
          </cell>
          <cell r="CI1768">
            <v>14.926604548033502</v>
          </cell>
          <cell r="CJ1768">
            <v>22.183921622100925</v>
          </cell>
          <cell r="CU1768">
            <v>14.021600043134171</v>
          </cell>
          <cell r="CV1768">
            <v>13.67289934744978</v>
          </cell>
          <cell r="CW1768">
            <v>11.062153668663059</v>
          </cell>
          <cell r="CX1768">
            <v>8.6510321273089765</v>
          </cell>
          <cell r="CY1768">
            <v>13.473275210017142</v>
          </cell>
        </row>
        <row r="1769">
          <cell r="A1769">
            <v>42013</v>
          </cell>
          <cell r="CF1769">
            <v>23.475985647194889</v>
          </cell>
          <cell r="CG1769">
            <v>22.085252262534414</v>
          </cell>
          <cell r="CH1769">
            <v>18.555263085067214</v>
          </cell>
          <cell r="CI1769">
            <v>14.926604548033502</v>
          </cell>
          <cell r="CJ1769">
            <v>22.183921622100925</v>
          </cell>
          <cell r="CU1769">
            <v>14.08543784796259</v>
          </cell>
          <cell r="CV1769">
            <v>13.67289934744978</v>
          </cell>
          <cell r="CW1769">
            <v>11.062153668663059</v>
          </cell>
          <cell r="CX1769">
            <v>8.6510321273089765</v>
          </cell>
          <cell r="CY1769">
            <v>13.473275210017142</v>
          </cell>
        </row>
        <row r="1770">
          <cell r="A1770">
            <v>42016</v>
          </cell>
          <cell r="CF1770">
            <v>23.251549853842043</v>
          </cell>
          <cell r="CG1770">
            <v>22.085252262534414</v>
          </cell>
          <cell r="CH1770">
            <v>18.555263085067214</v>
          </cell>
          <cell r="CI1770">
            <v>14.926604548033502</v>
          </cell>
          <cell r="CJ1770">
            <v>22.183921622100925</v>
          </cell>
          <cell r="CU1770">
            <v>13.964057815965342</v>
          </cell>
          <cell r="CV1770">
            <v>13.67289934744978</v>
          </cell>
          <cell r="CW1770">
            <v>11.062153668663059</v>
          </cell>
          <cell r="CX1770">
            <v>8.6510321273089765</v>
          </cell>
          <cell r="CY1770">
            <v>13.473275210017142</v>
          </cell>
        </row>
        <row r="1771">
          <cell r="A1771">
            <v>42017</v>
          </cell>
          <cell r="CF1771">
            <v>23.198348595893268</v>
          </cell>
          <cell r="CG1771">
            <v>22.085252262534414</v>
          </cell>
          <cell r="CH1771">
            <v>18.555263085067214</v>
          </cell>
          <cell r="CI1771">
            <v>14.926604548033502</v>
          </cell>
          <cell r="CJ1771">
            <v>22.183921622100925</v>
          </cell>
          <cell r="CU1771">
            <v>13.964057815965342</v>
          </cell>
          <cell r="CV1771">
            <v>13.67289934744978</v>
          </cell>
          <cell r="CW1771">
            <v>11.062153668663059</v>
          </cell>
          <cell r="CX1771">
            <v>8.6510321273089765</v>
          </cell>
          <cell r="CY1771">
            <v>13.473275210017142</v>
          </cell>
        </row>
        <row r="1772">
          <cell r="A1772">
            <v>42018</v>
          </cell>
          <cell r="CF1772">
            <v>23.122707083583929</v>
          </cell>
          <cell r="CG1772">
            <v>22.085252262534414</v>
          </cell>
          <cell r="CH1772">
            <v>18.555263085067214</v>
          </cell>
          <cell r="CI1772">
            <v>14.926604548033502</v>
          </cell>
          <cell r="CJ1772">
            <v>22.183921622100925</v>
          </cell>
          <cell r="CU1772">
            <v>13.894376686485444</v>
          </cell>
          <cell r="CV1772">
            <v>13.67289934744978</v>
          </cell>
          <cell r="CW1772">
            <v>11.062153668663059</v>
          </cell>
          <cell r="CX1772">
            <v>8.6510321273089765</v>
          </cell>
          <cell r="CY1772">
            <v>13.473275210017142</v>
          </cell>
        </row>
        <row r="1773">
          <cell r="A1773">
            <v>42019</v>
          </cell>
          <cell r="CF1773">
            <v>22.914896163812777</v>
          </cell>
          <cell r="CG1773">
            <v>22.085252262534414</v>
          </cell>
          <cell r="CH1773">
            <v>18.555263085067214</v>
          </cell>
          <cell r="CI1773">
            <v>14.926604548033502</v>
          </cell>
          <cell r="CJ1773">
            <v>22.183921622100925</v>
          </cell>
          <cell r="CU1773">
            <v>13.781987767969476</v>
          </cell>
          <cell r="CV1773">
            <v>13.67289934744978</v>
          </cell>
          <cell r="CW1773">
            <v>11.062153668663059</v>
          </cell>
          <cell r="CX1773">
            <v>8.6510321273089765</v>
          </cell>
          <cell r="CY1773">
            <v>13.473275210017142</v>
          </cell>
        </row>
        <row r="1774">
          <cell r="A1774">
            <v>42020</v>
          </cell>
          <cell r="CF1774">
            <v>23.191698646460594</v>
          </cell>
          <cell r="CG1774">
            <v>22.085252262534414</v>
          </cell>
          <cell r="CH1774">
            <v>18.555263085067214</v>
          </cell>
          <cell r="CI1774">
            <v>14.926604548033502</v>
          </cell>
          <cell r="CJ1774">
            <v>22.183921622100925</v>
          </cell>
          <cell r="CU1774">
            <v>13.781987767969476</v>
          </cell>
          <cell r="CV1774">
            <v>13.67289934744978</v>
          </cell>
          <cell r="CW1774">
            <v>11.062153668663059</v>
          </cell>
          <cell r="CX1774">
            <v>8.6510321273089765</v>
          </cell>
          <cell r="CY1774">
            <v>13.473275210017142</v>
          </cell>
        </row>
        <row r="1775">
          <cell r="A1775">
            <v>42023</v>
          </cell>
          <cell r="CF1775">
            <v>23.191698646460594</v>
          </cell>
          <cell r="CG1775">
            <v>22.085252262534414</v>
          </cell>
          <cell r="CH1775">
            <v>18.555263085067214</v>
          </cell>
          <cell r="CI1775">
            <v>14.926604548033502</v>
          </cell>
          <cell r="CJ1775">
            <v>22.183921622100925</v>
          </cell>
          <cell r="CU1775">
            <v>13.931688908321396</v>
          </cell>
          <cell r="CV1775">
            <v>13.67289934744978</v>
          </cell>
          <cell r="CW1775">
            <v>11.062153668663059</v>
          </cell>
          <cell r="CX1775">
            <v>8.6510321273089765</v>
          </cell>
          <cell r="CY1775">
            <v>13.473275210017142</v>
          </cell>
        </row>
        <row r="1776">
          <cell r="A1776">
            <v>42024</v>
          </cell>
          <cell r="CF1776">
            <v>23.025449910643673</v>
          </cell>
          <cell r="CG1776">
            <v>22.085252262534414</v>
          </cell>
          <cell r="CH1776">
            <v>18.555263085067214</v>
          </cell>
          <cell r="CI1776">
            <v>14.926604548033502</v>
          </cell>
          <cell r="CJ1776">
            <v>22.183921622100925</v>
          </cell>
          <cell r="CU1776">
            <v>13.931688908321396</v>
          </cell>
          <cell r="CV1776">
            <v>13.67289934744978</v>
          </cell>
          <cell r="CW1776">
            <v>11.062153668663059</v>
          </cell>
          <cell r="CX1776">
            <v>8.6510321273089765</v>
          </cell>
          <cell r="CY1776">
            <v>13.473275210017142</v>
          </cell>
        </row>
        <row r="1777">
          <cell r="A1777">
            <v>42025</v>
          </cell>
          <cell r="CF1777">
            <v>22.985680395752219</v>
          </cell>
          <cell r="CG1777">
            <v>22.085252262534414</v>
          </cell>
          <cell r="CH1777">
            <v>18.555263085067214</v>
          </cell>
          <cell r="CI1777">
            <v>14.926604548033502</v>
          </cell>
          <cell r="CJ1777">
            <v>22.183921622100925</v>
          </cell>
          <cell r="CU1777">
            <v>13.811226089803885</v>
          </cell>
          <cell r="CV1777">
            <v>13.67289934744978</v>
          </cell>
          <cell r="CW1777">
            <v>11.062153668663059</v>
          </cell>
          <cell r="CX1777">
            <v>8.6510321273089765</v>
          </cell>
          <cell r="CY1777">
            <v>13.473275210017142</v>
          </cell>
        </row>
        <row r="1778">
          <cell r="A1778">
            <v>42026</v>
          </cell>
          <cell r="CF1778">
            <v>23.561328911179299</v>
          </cell>
          <cell r="CG1778">
            <v>22.085252262534414</v>
          </cell>
          <cell r="CH1778">
            <v>18.555263085067214</v>
          </cell>
          <cell r="CI1778">
            <v>14.926604548033502</v>
          </cell>
          <cell r="CJ1778">
            <v>22.183921622100925</v>
          </cell>
          <cell r="CU1778">
            <v>14.206834676631841</v>
          </cell>
          <cell r="CV1778">
            <v>13.67289934744978</v>
          </cell>
          <cell r="CW1778">
            <v>11.062153668663059</v>
          </cell>
          <cell r="CX1778">
            <v>8.6510321273089765</v>
          </cell>
          <cell r="CY1778">
            <v>13.473275210017142</v>
          </cell>
        </row>
        <row r="1779">
          <cell r="A1779">
            <v>42027</v>
          </cell>
          <cell r="CF1779">
            <v>23.846087681327038</v>
          </cell>
          <cell r="CG1779">
            <v>22.085252262534414</v>
          </cell>
          <cell r="CH1779">
            <v>18.555263085067214</v>
          </cell>
          <cell r="CI1779">
            <v>14.926604548033502</v>
          </cell>
          <cell r="CJ1779">
            <v>22.183921622100925</v>
          </cell>
          <cell r="CU1779">
            <v>14.275046111652028</v>
          </cell>
          <cell r="CV1779">
            <v>13.67289934744978</v>
          </cell>
          <cell r="CW1779">
            <v>11.062153668663059</v>
          </cell>
          <cell r="CX1779">
            <v>8.6510321273089765</v>
          </cell>
          <cell r="CY1779">
            <v>13.473275210017142</v>
          </cell>
        </row>
        <row r="1780">
          <cell r="A1780">
            <v>42030</v>
          </cell>
          <cell r="CF1780">
            <v>23.8917707278551</v>
          </cell>
          <cell r="CG1780">
            <v>22.085252262534414</v>
          </cell>
          <cell r="CH1780">
            <v>18.555263085067214</v>
          </cell>
          <cell r="CI1780">
            <v>14.926604548033502</v>
          </cell>
          <cell r="CJ1780">
            <v>22.183921622100925</v>
          </cell>
          <cell r="CU1780">
            <v>14.309876756089444</v>
          </cell>
          <cell r="CV1780">
            <v>13.67289934744978</v>
          </cell>
          <cell r="CW1780">
            <v>11.062153668663059</v>
          </cell>
          <cell r="CX1780">
            <v>8.6510321273089765</v>
          </cell>
          <cell r="CY1780">
            <v>13.473275210017142</v>
          </cell>
        </row>
        <row r="1781">
          <cell r="A1781">
            <v>42031</v>
          </cell>
          <cell r="CF1781">
            <v>23.750341894364123</v>
          </cell>
          <cell r="CG1781">
            <v>22.085252262534414</v>
          </cell>
          <cell r="CH1781">
            <v>18.555263085067214</v>
          </cell>
          <cell r="CI1781">
            <v>14.926604548033502</v>
          </cell>
          <cell r="CJ1781">
            <v>22.183921622100925</v>
          </cell>
          <cell r="CU1781">
            <v>14.233397333393812</v>
          </cell>
          <cell r="CV1781">
            <v>13.67289934744978</v>
          </cell>
          <cell r="CW1781">
            <v>11.062153668663059</v>
          </cell>
          <cell r="CX1781">
            <v>8.6510321273089765</v>
          </cell>
          <cell r="CY1781">
            <v>13.473275210017142</v>
          </cell>
        </row>
        <row r="1782">
          <cell r="A1782">
            <v>42032</v>
          </cell>
          <cell r="CF1782">
            <v>23.394709524151338</v>
          </cell>
          <cell r="CG1782">
            <v>22.085252262534414</v>
          </cell>
          <cell r="CH1782">
            <v>18.555263085067214</v>
          </cell>
          <cell r="CI1782">
            <v>14.926604548033502</v>
          </cell>
          <cell r="CJ1782">
            <v>22.183921622100925</v>
          </cell>
          <cell r="CU1782">
            <v>14.039946206216039</v>
          </cell>
          <cell r="CV1782">
            <v>13.67289934744978</v>
          </cell>
          <cell r="CW1782">
            <v>11.062153668663059</v>
          </cell>
          <cell r="CX1782">
            <v>8.6510321273089765</v>
          </cell>
          <cell r="CY1782">
            <v>13.473275210017142</v>
          </cell>
        </row>
        <row r="1783">
          <cell r="A1783">
            <v>42033</v>
          </cell>
          <cell r="CF1783">
            <v>23.2981953231128</v>
          </cell>
          <cell r="CG1783">
            <v>22.085252262534414</v>
          </cell>
          <cell r="CH1783">
            <v>18.555263085067214</v>
          </cell>
          <cell r="CI1783">
            <v>14.926604548033502</v>
          </cell>
          <cell r="CJ1783">
            <v>22.183921622100925</v>
          </cell>
          <cell r="CU1783">
            <v>13.987759633240511</v>
          </cell>
          <cell r="CV1783">
            <v>13.67289934744978</v>
          </cell>
          <cell r="CW1783">
            <v>11.062153668663059</v>
          </cell>
          <cell r="CX1783">
            <v>8.6510321273089765</v>
          </cell>
          <cell r="CY1783">
            <v>13.473275210017142</v>
          </cell>
        </row>
        <row r="1784">
          <cell r="A1784">
            <v>42034</v>
          </cell>
          <cell r="CF1784">
            <v>22.975373625056339</v>
          </cell>
          <cell r="CG1784">
            <v>22.085252262534414</v>
          </cell>
          <cell r="CH1784">
            <v>18.555263085067214</v>
          </cell>
          <cell r="CI1784">
            <v>14.926604548033502</v>
          </cell>
          <cell r="CJ1784">
            <v>22.183921622100925</v>
          </cell>
          <cell r="CU1784">
            <v>13.987759633240511</v>
          </cell>
          <cell r="CV1784">
            <v>13.67289934744978</v>
          </cell>
          <cell r="CW1784">
            <v>11.062153668663059</v>
          </cell>
          <cell r="CX1784">
            <v>8.6510321273089765</v>
          </cell>
          <cell r="CY1784">
            <v>13.473275210017142</v>
          </cell>
        </row>
        <row r="1785">
          <cell r="A1785">
            <v>42037</v>
          </cell>
          <cell r="CF1785">
            <v>22.942890804243767</v>
          </cell>
          <cell r="CG1785">
            <v>22.085252262534414</v>
          </cell>
          <cell r="CH1785">
            <v>18.555263085067214</v>
          </cell>
          <cell r="CI1785">
            <v>14.926604548033502</v>
          </cell>
          <cell r="CJ1785">
            <v>22.183921622100925</v>
          </cell>
          <cell r="CU1785">
            <v>13.776522433320331</v>
          </cell>
          <cell r="CV1785">
            <v>13.67289934744978</v>
          </cell>
          <cell r="CW1785">
            <v>11.062153668663059</v>
          </cell>
          <cell r="CX1785">
            <v>8.6510321273089765</v>
          </cell>
          <cell r="CY1785">
            <v>13.473275210017142</v>
          </cell>
        </row>
        <row r="1786">
          <cell r="A1786">
            <v>42038</v>
          </cell>
          <cell r="CF1786">
            <v>22.977878303086236</v>
          </cell>
          <cell r="CG1786">
            <v>22.085252262534414</v>
          </cell>
          <cell r="CH1786">
            <v>18.555263085067214</v>
          </cell>
          <cell r="CI1786">
            <v>14.926604548033502</v>
          </cell>
          <cell r="CJ1786">
            <v>22.183921622100925</v>
          </cell>
          <cell r="CU1786">
            <v>13.784563229197023</v>
          </cell>
          <cell r="CV1786">
            <v>13.67289934744978</v>
          </cell>
          <cell r="CW1786">
            <v>11.062153668663059</v>
          </cell>
          <cell r="CX1786">
            <v>8.6510321273089765</v>
          </cell>
          <cell r="CY1786">
            <v>13.473275210017142</v>
          </cell>
        </row>
        <row r="1787">
          <cell r="A1787">
            <v>42039</v>
          </cell>
          <cell r="CF1787">
            <v>23.118554090585562</v>
          </cell>
          <cell r="CG1787">
            <v>22.085252262534414</v>
          </cell>
          <cell r="CH1787">
            <v>18.555263085067214</v>
          </cell>
          <cell r="CI1787">
            <v>14.926604548033502</v>
          </cell>
          <cell r="CJ1787">
            <v>22.183921622100925</v>
          </cell>
          <cell r="CU1787">
            <v>13.860504972565307</v>
          </cell>
          <cell r="CV1787">
            <v>13.67289934744978</v>
          </cell>
          <cell r="CW1787">
            <v>11.062153668663059</v>
          </cell>
          <cell r="CX1787">
            <v>8.6510321273089765</v>
          </cell>
          <cell r="CY1787">
            <v>13.473275210017142</v>
          </cell>
        </row>
        <row r="1788">
          <cell r="A1788">
            <v>42040</v>
          </cell>
          <cell r="CF1788">
            <v>23.363490925141772</v>
          </cell>
          <cell r="CG1788">
            <v>22.085252262534414</v>
          </cell>
          <cell r="CH1788">
            <v>18.555263085067214</v>
          </cell>
          <cell r="CI1788">
            <v>14.926604548033502</v>
          </cell>
          <cell r="CJ1788">
            <v>22.183921622100925</v>
          </cell>
          <cell r="CU1788">
            <v>13.860504972565307</v>
          </cell>
          <cell r="CV1788">
            <v>13.67289934744978</v>
          </cell>
          <cell r="CW1788">
            <v>11.062153668663059</v>
          </cell>
          <cell r="CX1788">
            <v>8.6510321273089765</v>
          </cell>
          <cell r="CY1788">
            <v>13.473275210017142</v>
          </cell>
        </row>
        <row r="1789">
          <cell r="A1789">
            <v>42041</v>
          </cell>
          <cell r="CF1789">
            <v>23.141723947704776</v>
          </cell>
          <cell r="CG1789">
            <v>22.085252262534414</v>
          </cell>
          <cell r="CH1789">
            <v>18.555263085067214</v>
          </cell>
          <cell r="CI1789">
            <v>14.926604548033502</v>
          </cell>
          <cell r="CJ1789">
            <v>22.183921622100925</v>
          </cell>
          <cell r="CU1789">
            <v>13.992730500226894</v>
          </cell>
          <cell r="CV1789">
            <v>13.67289934744978</v>
          </cell>
          <cell r="CW1789">
            <v>11.062153668663059</v>
          </cell>
          <cell r="CX1789">
            <v>8.6510321273089765</v>
          </cell>
          <cell r="CY1789">
            <v>13.473275210017142</v>
          </cell>
        </row>
        <row r="1790">
          <cell r="A1790">
            <v>42044</v>
          </cell>
          <cell r="CF1790">
            <v>23.043071217871979</v>
          </cell>
          <cell r="CG1790">
            <v>22.085252262534414</v>
          </cell>
          <cell r="CH1790">
            <v>18.555263085067214</v>
          </cell>
          <cell r="CI1790">
            <v>14.926604548033502</v>
          </cell>
          <cell r="CJ1790">
            <v>22.183921622100925</v>
          </cell>
          <cell r="CU1790">
            <v>13.758422822806947</v>
          </cell>
          <cell r="CV1790">
            <v>13.67289934744978</v>
          </cell>
          <cell r="CW1790">
            <v>11.062153668663059</v>
          </cell>
          <cell r="CX1790">
            <v>8.6510321273089765</v>
          </cell>
          <cell r="CY1790">
            <v>13.473275210017142</v>
          </cell>
        </row>
        <row r="1791">
          <cell r="A1791">
            <v>42045</v>
          </cell>
          <cell r="CF1791">
            <v>23.372425108228065</v>
          </cell>
          <cell r="CG1791">
            <v>22.085252262534414</v>
          </cell>
          <cell r="CH1791">
            <v>18.555263085067214</v>
          </cell>
          <cell r="CI1791">
            <v>14.926604548033502</v>
          </cell>
          <cell r="CJ1791">
            <v>22.183921622100925</v>
          </cell>
          <cell r="CU1791">
            <v>13.935343006960618</v>
          </cell>
          <cell r="CV1791">
            <v>13.67289934744978</v>
          </cell>
          <cell r="CW1791">
            <v>11.062153668663059</v>
          </cell>
          <cell r="CX1791">
            <v>8.6510321273089765</v>
          </cell>
          <cell r="CY1791">
            <v>13.473275210017142</v>
          </cell>
        </row>
        <row r="1792">
          <cell r="A1792">
            <v>42046</v>
          </cell>
          <cell r="CF1792">
            <v>23.473167207664527</v>
          </cell>
          <cell r="CG1792">
            <v>22.085252262534414</v>
          </cell>
          <cell r="CH1792">
            <v>18.555263085067214</v>
          </cell>
          <cell r="CI1792">
            <v>14.926604548033502</v>
          </cell>
          <cell r="CJ1792">
            <v>22.183921622100925</v>
          </cell>
          <cell r="CU1792">
            <v>14.021910318777778</v>
          </cell>
          <cell r="CV1792">
            <v>13.67289934744978</v>
          </cell>
          <cell r="CW1792">
            <v>11.062153668663059</v>
          </cell>
          <cell r="CX1792">
            <v>8.6510321273089765</v>
          </cell>
          <cell r="CY1792">
            <v>13.473275210017142</v>
          </cell>
        </row>
        <row r="1793">
          <cell r="A1793">
            <v>42047</v>
          </cell>
          <cell r="CF1793">
            <v>23.523779722591652</v>
          </cell>
          <cell r="CG1793">
            <v>22.085252262534414</v>
          </cell>
          <cell r="CH1793">
            <v>18.555263085067214</v>
          </cell>
          <cell r="CI1793">
            <v>14.926604548033502</v>
          </cell>
          <cell r="CJ1793">
            <v>22.183921622100925</v>
          </cell>
          <cell r="CU1793">
            <v>14.066563455387637</v>
          </cell>
          <cell r="CV1793">
            <v>13.67289934744978</v>
          </cell>
          <cell r="CW1793">
            <v>11.062153668663059</v>
          </cell>
          <cell r="CX1793">
            <v>8.6510321273089765</v>
          </cell>
          <cell r="CY1793">
            <v>13.473275210017142</v>
          </cell>
        </row>
        <row r="1794">
          <cell r="A1794">
            <v>42048</v>
          </cell>
          <cell r="CF1794">
            <v>23.641844451785847</v>
          </cell>
          <cell r="CG1794">
            <v>22.085252262534414</v>
          </cell>
          <cell r="CH1794">
            <v>18.555263085067214</v>
          </cell>
          <cell r="CI1794">
            <v>14.926604548033502</v>
          </cell>
          <cell r="CJ1794">
            <v>22.183921622100925</v>
          </cell>
          <cell r="CU1794">
            <v>14.066563455387637</v>
          </cell>
          <cell r="CV1794">
            <v>13.67289934744978</v>
          </cell>
          <cell r="CW1794">
            <v>11.062153668663059</v>
          </cell>
          <cell r="CX1794">
            <v>8.6510321273089765</v>
          </cell>
          <cell r="CY1794">
            <v>13.473275210017142</v>
          </cell>
        </row>
        <row r="1795">
          <cell r="A1795">
            <v>42051</v>
          </cell>
          <cell r="CF1795">
            <v>23.642787924993996</v>
          </cell>
          <cell r="CG1795">
            <v>22.085252262534414</v>
          </cell>
          <cell r="CH1795">
            <v>18.555263085067214</v>
          </cell>
          <cell r="CI1795">
            <v>14.926604548033502</v>
          </cell>
          <cell r="CJ1795">
            <v>22.183921622100925</v>
          </cell>
          <cell r="CU1795">
            <v>14.130224882285679</v>
          </cell>
          <cell r="CV1795">
            <v>13.67289934744978</v>
          </cell>
          <cell r="CW1795">
            <v>11.062153668663059</v>
          </cell>
          <cell r="CX1795">
            <v>8.6510321273089765</v>
          </cell>
          <cell r="CY1795">
            <v>13.473275210017142</v>
          </cell>
        </row>
        <row r="1796">
          <cell r="A1796">
            <v>42052</v>
          </cell>
          <cell r="CF1796">
            <v>23.501599992296317</v>
          </cell>
          <cell r="CG1796">
            <v>22.085252262534414</v>
          </cell>
          <cell r="CH1796">
            <v>18.555263085067214</v>
          </cell>
          <cell r="CI1796">
            <v>14.926604548033502</v>
          </cell>
          <cell r="CJ1796">
            <v>22.183921622100925</v>
          </cell>
          <cell r="CU1796">
            <v>13.956686724928453</v>
          </cell>
          <cell r="CV1796">
            <v>13.67289934744978</v>
          </cell>
          <cell r="CW1796">
            <v>11.062153668663059</v>
          </cell>
          <cell r="CX1796">
            <v>8.6510321273089765</v>
          </cell>
          <cell r="CY1796">
            <v>13.473275210017142</v>
          </cell>
        </row>
        <row r="1797">
          <cell r="A1797">
            <v>42053</v>
          </cell>
          <cell r="CF1797">
            <v>23.468316357432418</v>
          </cell>
          <cell r="CG1797">
            <v>22.085252262534414</v>
          </cell>
          <cell r="CH1797">
            <v>18.555263085067214</v>
          </cell>
          <cell r="CI1797">
            <v>14.926604548033502</v>
          </cell>
          <cell r="CJ1797">
            <v>22.183921622100925</v>
          </cell>
          <cell r="CU1797">
            <v>13.928602919658815</v>
          </cell>
          <cell r="CV1797">
            <v>13.67289934744978</v>
          </cell>
          <cell r="CW1797">
            <v>11.062153668663059</v>
          </cell>
          <cell r="CX1797">
            <v>8.6510321273089765</v>
          </cell>
          <cell r="CY1797">
            <v>13.473275210017142</v>
          </cell>
        </row>
        <row r="1798">
          <cell r="A1798">
            <v>42054</v>
          </cell>
          <cell r="CF1798">
            <v>23.265981941311708</v>
          </cell>
          <cell r="CG1798">
            <v>22.085252262534414</v>
          </cell>
          <cell r="CH1798">
            <v>18.555263085067214</v>
          </cell>
          <cell r="CI1798">
            <v>14.926604548033502</v>
          </cell>
          <cell r="CJ1798">
            <v>22.183921622100925</v>
          </cell>
          <cell r="CU1798">
            <v>13.819588682522514</v>
          </cell>
          <cell r="CV1798">
            <v>13.67289934744978</v>
          </cell>
          <cell r="CW1798">
            <v>11.062153668663059</v>
          </cell>
          <cell r="CX1798">
            <v>8.6510321273089765</v>
          </cell>
          <cell r="CY1798">
            <v>13.473275210017142</v>
          </cell>
        </row>
        <row r="1799">
          <cell r="A1799">
            <v>42055</v>
          </cell>
          <cell r="CF1799">
            <v>23.545120850082316</v>
          </cell>
          <cell r="CG1799">
            <v>22.085252262534414</v>
          </cell>
          <cell r="CH1799">
            <v>18.555263085067214</v>
          </cell>
          <cell r="CI1799">
            <v>14.926604548033502</v>
          </cell>
          <cell r="CJ1799">
            <v>22.183921622100925</v>
          </cell>
          <cell r="CU1799">
            <v>13.819588682522514</v>
          </cell>
          <cell r="CV1799">
            <v>13.67289934744978</v>
          </cell>
          <cell r="CW1799">
            <v>11.062153668663059</v>
          </cell>
          <cell r="CX1799">
            <v>8.6510321273089765</v>
          </cell>
          <cell r="CY1799">
            <v>13.473275210017142</v>
          </cell>
        </row>
        <row r="1800">
          <cell r="A1800">
            <v>42058</v>
          </cell>
          <cell r="CF1800">
            <v>23.619446126743668</v>
          </cell>
          <cell r="CG1800">
            <v>22.085252262534414</v>
          </cell>
          <cell r="CH1800">
            <v>18.555263085067214</v>
          </cell>
          <cell r="CI1800">
            <v>14.926604548033502</v>
          </cell>
          <cell r="CJ1800">
            <v>22.183921622100925</v>
          </cell>
          <cell r="CU1800">
            <v>14.010028990546438</v>
          </cell>
          <cell r="CV1800">
            <v>13.67289934744978</v>
          </cell>
          <cell r="CW1800">
            <v>11.062153668663059</v>
          </cell>
          <cell r="CX1800">
            <v>8.6510321273089765</v>
          </cell>
          <cell r="CY1800">
            <v>13.473275210017142</v>
          </cell>
        </row>
        <row r="1801">
          <cell r="A1801">
            <v>42059</v>
          </cell>
          <cell r="CF1801">
            <v>23.353520894127882</v>
          </cell>
          <cell r="CG1801">
            <v>22.085252262534414</v>
          </cell>
          <cell r="CH1801">
            <v>18.555263085067214</v>
          </cell>
          <cell r="CI1801">
            <v>14.926604548033502</v>
          </cell>
          <cell r="CJ1801">
            <v>22.183921622100925</v>
          </cell>
          <cell r="CU1801">
            <v>13.866753136024446</v>
          </cell>
          <cell r="CV1801">
            <v>13.67289934744978</v>
          </cell>
          <cell r="CW1801">
            <v>11.062153668663059</v>
          </cell>
          <cell r="CX1801">
            <v>8.6510321273089765</v>
          </cell>
          <cell r="CY1801">
            <v>13.473275210017142</v>
          </cell>
        </row>
        <row r="1802">
          <cell r="A1802">
            <v>42060</v>
          </cell>
          <cell r="CF1802">
            <v>23.290755932392479</v>
          </cell>
          <cell r="CG1802">
            <v>22.085252262534414</v>
          </cell>
          <cell r="CH1802">
            <v>18.555263085067214</v>
          </cell>
          <cell r="CI1802">
            <v>14.926604548033502</v>
          </cell>
          <cell r="CJ1802">
            <v>22.183921622100925</v>
          </cell>
          <cell r="CU1802">
            <v>13.832936474708696</v>
          </cell>
          <cell r="CV1802">
            <v>13.67289934744978</v>
          </cell>
          <cell r="CW1802">
            <v>11.062153668663059</v>
          </cell>
          <cell r="CX1802">
            <v>8.6510321273089765</v>
          </cell>
          <cell r="CY1802">
            <v>13.473275210017142</v>
          </cell>
        </row>
        <row r="1803">
          <cell r="A1803">
            <v>42061</v>
          </cell>
          <cell r="CF1803">
            <v>23.196610141498898</v>
          </cell>
          <cell r="CG1803">
            <v>22.085252262534414</v>
          </cell>
          <cell r="CH1803">
            <v>18.555263085067214</v>
          </cell>
          <cell r="CI1803">
            <v>14.926604548033502</v>
          </cell>
          <cell r="CJ1803">
            <v>22.183921622100925</v>
          </cell>
          <cell r="CU1803">
            <v>13.832936474708696</v>
          </cell>
          <cell r="CV1803">
            <v>13.67289934744978</v>
          </cell>
          <cell r="CW1803">
            <v>11.062153668663059</v>
          </cell>
          <cell r="CX1803">
            <v>8.6510321273089765</v>
          </cell>
          <cell r="CY1803">
            <v>13.473275210017142</v>
          </cell>
        </row>
        <row r="1804">
          <cell r="A1804">
            <v>42062</v>
          </cell>
          <cell r="CF1804">
            <v>23.13219347024414</v>
          </cell>
          <cell r="CG1804">
            <v>22.085252262534414</v>
          </cell>
          <cell r="CH1804">
            <v>18.555263085067214</v>
          </cell>
          <cell r="CI1804">
            <v>14.926604548033502</v>
          </cell>
          <cell r="CJ1804">
            <v>22.183921622100925</v>
          </cell>
          <cell r="CU1804">
            <v>13.782212372647212</v>
          </cell>
          <cell r="CV1804">
            <v>13.67289934744978</v>
          </cell>
          <cell r="CW1804">
            <v>11.062153668663059</v>
          </cell>
          <cell r="CX1804">
            <v>8.6510321273089765</v>
          </cell>
          <cell r="CY1804">
            <v>13.473275210017142</v>
          </cell>
        </row>
        <row r="1805">
          <cell r="A1805">
            <v>42065</v>
          </cell>
          <cell r="CF1805">
            <v>23.220998406297884</v>
          </cell>
          <cell r="CG1805">
            <v>22.085252262534414</v>
          </cell>
          <cell r="CH1805">
            <v>18.555263085067214</v>
          </cell>
          <cell r="CI1805">
            <v>14.926604548033502</v>
          </cell>
          <cell r="CJ1805">
            <v>22.183921622100925</v>
          </cell>
          <cell r="CU1805">
            <v>13.811961936553967</v>
          </cell>
          <cell r="CV1805">
            <v>13.67289934744978</v>
          </cell>
          <cell r="CW1805">
            <v>11.062153668663059</v>
          </cell>
          <cell r="CX1805">
            <v>8.6510321273089765</v>
          </cell>
          <cell r="CY1805">
            <v>13.473275210017142</v>
          </cell>
        </row>
        <row r="1806">
          <cell r="A1806">
            <v>42066</v>
          </cell>
          <cell r="CF1806">
            <v>23.039328640197713</v>
          </cell>
          <cell r="CG1806">
            <v>22.085252262534414</v>
          </cell>
          <cell r="CH1806">
            <v>18.555263085067214</v>
          </cell>
          <cell r="CI1806">
            <v>14.926604548033502</v>
          </cell>
          <cell r="CJ1806">
            <v>22.183921622100925</v>
          </cell>
          <cell r="CU1806">
            <v>13.702376240529084</v>
          </cell>
          <cell r="CV1806">
            <v>13.67289934744978</v>
          </cell>
          <cell r="CW1806">
            <v>11.062153668663059</v>
          </cell>
          <cell r="CX1806">
            <v>8.6510321273089765</v>
          </cell>
          <cell r="CY1806">
            <v>13.473275210017142</v>
          </cell>
        </row>
        <row r="1807">
          <cell r="A1807">
            <v>42067</v>
          </cell>
          <cell r="CF1807">
            <v>23.05402402122273</v>
          </cell>
          <cell r="CG1807">
            <v>22.085252262534414</v>
          </cell>
          <cell r="CH1807">
            <v>18.555263085067214</v>
          </cell>
          <cell r="CI1807">
            <v>14.926604548033502</v>
          </cell>
          <cell r="CJ1807">
            <v>22.183921622100925</v>
          </cell>
          <cell r="CU1807">
            <v>13.711204116873182</v>
          </cell>
          <cell r="CV1807">
            <v>13.67289934744978</v>
          </cell>
          <cell r="CW1807">
            <v>11.062153668663059</v>
          </cell>
          <cell r="CX1807">
            <v>8.6510321273089765</v>
          </cell>
          <cell r="CY1807">
            <v>13.473275210017142</v>
          </cell>
        </row>
        <row r="1808">
          <cell r="A1808">
            <v>42068</v>
          </cell>
          <cell r="CF1808">
            <v>23.013788306534099</v>
          </cell>
          <cell r="CG1808">
            <v>22.085252262534414</v>
          </cell>
          <cell r="CH1808">
            <v>18.555263085067214</v>
          </cell>
          <cell r="CI1808">
            <v>14.926604548033502</v>
          </cell>
          <cell r="CJ1808">
            <v>22.183921622100925</v>
          </cell>
          <cell r="CU1808">
            <v>13.689132218823131</v>
          </cell>
          <cell r="CV1808">
            <v>13.67289934744978</v>
          </cell>
          <cell r="CW1808">
            <v>11.062153668663059</v>
          </cell>
          <cell r="CX1808">
            <v>8.6510321273089765</v>
          </cell>
          <cell r="CY1808">
            <v>13.473275210017142</v>
          </cell>
        </row>
        <row r="1809">
          <cell r="A1809">
            <v>42069</v>
          </cell>
          <cell r="CF1809">
            <v>22.5588151057649</v>
          </cell>
          <cell r="CG1809">
            <v>22.085252262534414</v>
          </cell>
          <cell r="CH1809">
            <v>18.555263085067214</v>
          </cell>
          <cell r="CI1809">
            <v>14.926604548033502</v>
          </cell>
          <cell r="CJ1809">
            <v>22.183921622100925</v>
          </cell>
          <cell r="CU1809">
            <v>13.689132218823131</v>
          </cell>
          <cell r="CV1809">
            <v>13.67289934744978</v>
          </cell>
          <cell r="CW1809">
            <v>11.062153668663059</v>
          </cell>
          <cell r="CX1809">
            <v>8.6510321273089765</v>
          </cell>
          <cell r="CY1809">
            <v>13.473275210017142</v>
          </cell>
        </row>
        <row r="1810">
          <cell r="A1810">
            <v>42072</v>
          </cell>
          <cell r="CF1810">
            <v>22.743240097293338</v>
          </cell>
          <cell r="CG1810">
            <v>22.085252262534414</v>
          </cell>
          <cell r="CH1810">
            <v>18.555263085067214</v>
          </cell>
          <cell r="CI1810">
            <v>14.926604548033502</v>
          </cell>
          <cell r="CJ1810">
            <v>22.183921622100925</v>
          </cell>
          <cell r="CU1810">
            <v>13.543472843002865</v>
          </cell>
          <cell r="CV1810">
            <v>13.67289934744978</v>
          </cell>
          <cell r="CW1810">
            <v>11.062153668663059</v>
          </cell>
          <cell r="CX1810">
            <v>8.6510321273089765</v>
          </cell>
          <cell r="CY1810">
            <v>13.473275210017142</v>
          </cell>
        </row>
        <row r="1811">
          <cell r="A1811">
            <v>42073</v>
          </cell>
          <cell r="CF1811">
            <v>22.450294682620374</v>
          </cell>
          <cell r="CG1811">
            <v>22.085252262534414</v>
          </cell>
          <cell r="CH1811">
            <v>18.555263085067214</v>
          </cell>
          <cell r="CI1811">
            <v>14.926604548033502</v>
          </cell>
          <cell r="CJ1811">
            <v>22.183921622100925</v>
          </cell>
          <cell r="CU1811">
            <v>13.385437003593328</v>
          </cell>
          <cell r="CV1811">
            <v>13.67289934744978</v>
          </cell>
          <cell r="CW1811">
            <v>11.062153668663059</v>
          </cell>
          <cell r="CX1811">
            <v>8.6510321273089765</v>
          </cell>
          <cell r="CY1811">
            <v>13.473275210017142</v>
          </cell>
        </row>
        <row r="1812">
          <cell r="A1812">
            <v>42074</v>
          </cell>
          <cell r="CF1812">
            <v>22.389742058093699</v>
          </cell>
          <cell r="CG1812">
            <v>22.085252262534414</v>
          </cell>
          <cell r="CH1812">
            <v>18.555263085067214</v>
          </cell>
          <cell r="CI1812">
            <v>14.926604548033502</v>
          </cell>
          <cell r="CJ1812">
            <v>22.183921622100925</v>
          </cell>
          <cell r="CU1812">
            <v>13.352770560064224</v>
          </cell>
          <cell r="CV1812">
            <v>13.67289934744978</v>
          </cell>
          <cell r="CW1812">
            <v>11.062153668663059</v>
          </cell>
          <cell r="CX1812">
            <v>8.6510321273089765</v>
          </cell>
          <cell r="CY1812">
            <v>13.473275210017142</v>
          </cell>
        </row>
        <row r="1813">
          <cell r="A1813">
            <v>42075</v>
          </cell>
          <cell r="CF1813">
            <v>22.640366672123097</v>
          </cell>
          <cell r="CG1813">
            <v>22.085252262534414</v>
          </cell>
          <cell r="CH1813">
            <v>18.555263085067214</v>
          </cell>
          <cell r="CI1813">
            <v>14.926604548033502</v>
          </cell>
          <cell r="CJ1813">
            <v>22.183921622100925</v>
          </cell>
          <cell r="CU1813">
            <v>13.485202087884911</v>
          </cell>
          <cell r="CV1813">
            <v>13.67289934744978</v>
          </cell>
          <cell r="CW1813">
            <v>11.062153668663059</v>
          </cell>
          <cell r="CX1813">
            <v>8.6510321273089765</v>
          </cell>
          <cell r="CY1813">
            <v>13.473275210017142</v>
          </cell>
        </row>
        <row r="1814">
          <cell r="A1814">
            <v>42076</v>
          </cell>
          <cell r="CF1814">
            <v>22.322802422655101</v>
          </cell>
          <cell r="CG1814">
            <v>22.085252262534414</v>
          </cell>
          <cell r="CH1814">
            <v>18.555263085067214</v>
          </cell>
          <cell r="CI1814">
            <v>14.926604548033502</v>
          </cell>
          <cell r="CJ1814">
            <v>22.183921622100925</v>
          </cell>
          <cell r="CU1814">
            <v>13.488616198008325</v>
          </cell>
          <cell r="CV1814">
            <v>13.67289934744978</v>
          </cell>
          <cell r="CW1814">
            <v>11.062153668663059</v>
          </cell>
          <cell r="CX1814">
            <v>8.6510321273089765</v>
          </cell>
          <cell r="CY1814">
            <v>13.473275210017142</v>
          </cell>
        </row>
        <row r="1815">
          <cell r="A1815">
            <v>42079</v>
          </cell>
          <cell r="CF1815">
            <v>22.778528806213934</v>
          </cell>
          <cell r="CG1815">
            <v>22.085252262534414</v>
          </cell>
          <cell r="CH1815">
            <v>18.555263085067214</v>
          </cell>
          <cell r="CI1815">
            <v>14.926604548033502</v>
          </cell>
          <cell r="CJ1815">
            <v>22.183921622100925</v>
          </cell>
          <cell r="CU1815">
            <v>13.56543520915074</v>
          </cell>
          <cell r="CV1815">
            <v>13.67289934744978</v>
          </cell>
          <cell r="CW1815">
            <v>11.062153668663059</v>
          </cell>
          <cell r="CX1815">
            <v>8.6510321273089765</v>
          </cell>
          <cell r="CY1815">
            <v>13.473275210017142</v>
          </cell>
        </row>
        <row r="1816">
          <cell r="A1816">
            <v>42080</v>
          </cell>
          <cell r="CF1816">
            <v>22.641052414510959</v>
          </cell>
          <cell r="CG1816">
            <v>22.085252262534414</v>
          </cell>
          <cell r="CH1816">
            <v>18.555263085067214</v>
          </cell>
          <cell r="CI1816">
            <v>14.926604548033502</v>
          </cell>
          <cell r="CJ1816">
            <v>22.183921622100925</v>
          </cell>
          <cell r="CU1816">
            <v>13.491254836354786</v>
          </cell>
          <cell r="CV1816">
            <v>13.67289934744978</v>
          </cell>
          <cell r="CW1816">
            <v>11.062153668663059</v>
          </cell>
          <cell r="CX1816">
            <v>8.6510321273089765</v>
          </cell>
          <cell r="CY1816">
            <v>13.473275210017142</v>
          </cell>
        </row>
        <row r="1817">
          <cell r="A1817">
            <v>42081</v>
          </cell>
          <cell r="CF1817">
            <v>22.776073870647807</v>
          </cell>
          <cell r="CG1817">
            <v>22.085252262534414</v>
          </cell>
          <cell r="CH1817">
            <v>18.555263085067214</v>
          </cell>
          <cell r="CI1817">
            <v>14.926604548033502</v>
          </cell>
          <cell r="CJ1817">
            <v>22.183921622100925</v>
          </cell>
          <cell r="CU1817">
            <v>13.564110559636525</v>
          </cell>
          <cell r="CV1817">
            <v>13.67289934744978</v>
          </cell>
          <cell r="CW1817">
            <v>11.062153668663059</v>
          </cell>
          <cell r="CX1817">
            <v>8.6510321273089765</v>
          </cell>
          <cell r="CY1817">
            <v>13.473275210017142</v>
          </cell>
        </row>
        <row r="1818">
          <cell r="A1818">
            <v>42082</v>
          </cell>
          <cell r="CF1818">
            <v>23.025660623160842</v>
          </cell>
          <cell r="CG1818">
            <v>22.085252262534414</v>
          </cell>
          <cell r="CH1818">
            <v>18.555263085067214</v>
          </cell>
          <cell r="CI1818">
            <v>14.926604548033502</v>
          </cell>
          <cell r="CJ1818">
            <v>22.183921622100925</v>
          </cell>
          <cell r="CU1818">
            <v>13.698784143347904</v>
          </cell>
          <cell r="CV1818">
            <v>13.67289934744978</v>
          </cell>
          <cell r="CW1818">
            <v>11.062153668663059</v>
          </cell>
          <cell r="CX1818">
            <v>8.6510321273089765</v>
          </cell>
          <cell r="CY1818">
            <v>13.473275210017142</v>
          </cell>
        </row>
        <row r="1819">
          <cell r="A1819">
            <v>42083</v>
          </cell>
          <cell r="CF1819">
            <v>23.405355687431054</v>
          </cell>
          <cell r="CG1819">
            <v>22.085252262534414</v>
          </cell>
          <cell r="CH1819">
            <v>18.555263085067214</v>
          </cell>
          <cell r="CI1819">
            <v>14.926604548033502</v>
          </cell>
          <cell r="CJ1819">
            <v>22.183921622100925</v>
          </cell>
          <cell r="CU1819">
            <v>13.698784143347904</v>
          </cell>
          <cell r="CV1819">
            <v>13.67289934744978</v>
          </cell>
          <cell r="CW1819">
            <v>11.062153668663059</v>
          </cell>
          <cell r="CX1819">
            <v>8.6510321273089765</v>
          </cell>
          <cell r="CY1819">
            <v>13.473275210017142</v>
          </cell>
        </row>
        <row r="1820">
          <cell r="A1820">
            <v>42086</v>
          </cell>
          <cell r="CF1820">
            <v>23.265406334397245</v>
          </cell>
          <cell r="CG1820">
            <v>22.085252262534414</v>
          </cell>
          <cell r="CH1820">
            <v>18.555263085067214</v>
          </cell>
          <cell r="CI1820">
            <v>14.926604548033502</v>
          </cell>
          <cell r="CJ1820">
            <v>22.183921622100925</v>
          </cell>
          <cell r="CU1820">
            <v>13.827065847678146</v>
          </cell>
          <cell r="CV1820">
            <v>13.67289934744978</v>
          </cell>
          <cell r="CW1820">
            <v>11.062153668663059</v>
          </cell>
          <cell r="CX1820">
            <v>8.6510321273089765</v>
          </cell>
          <cell r="CY1820">
            <v>13.473275210017142</v>
          </cell>
        </row>
        <row r="1821">
          <cell r="A1821">
            <v>42087</v>
          </cell>
          <cell r="CF1821">
            <v>23.024797446599553</v>
          </cell>
          <cell r="CG1821">
            <v>22.085252262534414</v>
          </cell>
          <cell r="CH1821">
            <v>18.555263085067214</v>
          </cell>
          <cell r="CI1821">
            <v>14.926604548033502</v>
          </cell>
          <cell r="CJ1821">
            <v>22.183921622100925</v>
          </cell>
          <cell r="CU1821">
            <v>13.697248006461983</v>
          </cell>
          <cell r="CV1821">
            <v>13.67289934744978</v>
          </cell>
          <cell r="CW1821">
            <v>11.062153668663059</v>
          </cell>
          <cell r="CX1821">
            <v>8.6510321273089765</v>
          </cell>
          <cell r="CY1821">
            <v>13.473275210017142</v>
          </cell>
        </row>
        <row r="1822">
          <cell r="A1822">
            <v>42088</v>
          </cell>
          <cell r="CF1822">
            <v>22.677798510516403</v>
          </cell>
          <cell r="CG1822">
            <v>22.085252262534414</v>
          </cell>
          <cell r="CH1822">
            <v>18.555263085067214</v>
          </cell>
          <cell r="CI1822">
            <v>14.926604548033502</v>
          </cell>
          <cell r="CJ1822">
            <v>22.183921622100925</v>
          </cell>
          <cell r="CU1822">
            <v>13.510028601564121</v>
          </cell>
          <cell r="CV1822">
            <v>13.67289934744978</v>
          </cell>
          <cell r="CW1822">
            <v>11.062153668663059</v>
          </cell>
          <cell r="CX1822">
            <v>8.6510321273089765</v>
          </cell>
          <cell r="CY1822">
            <v>13.473275210017142</v>
          </cell>
        </row>
        <row r="1823">
          <cell r="A1823">
            <v>42089</v>
          </cell>
          <cell r="CF1823">
            <v>22.460923152467466</v>
          </cell>
          <cell r="CG1823">
            <v>22.085252262534414</v>
          </cell>
          <cell r="CH1823">
            <v>18.555263085067214</v>
          </cell>
          <cell r="CI1823">
            <v>14.926604548033502</v>
          </cell>
          <cell r="CJ1823">
            <v>22.183921622100925</v>
          </cell>
          <cell r="CU1823">
            <v>13.393015921556357</v>
          </cell>
          <cell r="CV1823">
            <v>13.67289934744978</v>
          </cell>
          <cell r="CW1823">
            <v>11.062153668663059</v>
          </cell>
          <cell r="CX1823">
            <v>8.6510321273089765</v>
          </cell>
          <cell r="CY1823">
            <v>13.473275210017142</v>
          </cell>
        </row>
        <row r="1824">
          <cell r="A1824">
            <v>42090</v>
          </cell>
          <cell r="CF1824">
            <v>22.718718389393562</v>
          </cell>
          <cell r="CG1824">
            <v>22.085252262534414</v>
          </cell>
          <cell r="CH1824">
            <v>18.555263085067214</v>
          </cell>
          <cell r="CI1824">
            <v>14.926604548033502</v>
          </cell>
          <cell r="CJ1824">
            <v>22.183921622100925</v>
          </cell>
          <cell r="CU1824">
            <v>13.393015921556357</v>
          </cell>
          <cell r="CV1824">
            <v>13.67289934744978</v>
          </cell>
          <cell r="CW1824">
            <v>11.062153668663059</v>
          </cell>
          <cell r="CX1824">
            <v>8.6510321273089765</v>
          </cell>
          <cell r="CY1824">
            <v>13.473275210017142</v>
          </cell>
        </row>
        <row r="1825">
          <cell r="A1825">
            <v>42093</v>
          </cell>
          <cell r="CF1825">
            <v>23.052622964236026</v>
          </cell>
          <cell r="CG1825">
            <v>22.085252262534414</v>
          </cell>
          <cell r="CH1825">
            <v>18.555263085067214</v>
          </cell>
          <cell r="CI1825">
            <v>14.926604548033502</v>
          </cell>
          <cell r="CJ1825">
            <v>22.183921622100925</v>
          </cell>
          <cell r="CU1825">
            <v>13.71226095408562</v>
          </cell>
          <cell r="CV1825">
            <v>13.67289934744978</v>
          </cell>
          <cell r="CW1825">
            <v>11.062153668663059</v>
          </cell>
          <cell r="CX1825">
            <v>8.6510321273089765</v>
          </cell>
          <cell r="CY1825">
            <v>13.473275210017142</v>
          </cell>
        </row>
        <row r="1826">
          <cell r="A1826">
            <v>42094</v>
          </cell>
          <cell r="CF1826">
            <v>22.854196463099484</v>
          </cell>
          <cell r="CG1826">
            <v>22.085252262534414</v>
          </cell>
          <cell r="CH1826">
            <v>18.555263085067214</v>
          </cell>
          <cell r="CI1826">
            <v>14.926604548033502</v>
          </cell>
          <cell r="CJ1826">
            <v>22.183921622100925</v>
          </cell>
          <cell r="CU1826">
            <v>13.604510224562153</v>
          </cell>
          <cell r="CV1826">
            <v>13.67289934744978</v>
          </cell>
          <cell r="CW1826">
            <v>11.062153668663059</v>
          </cell>
          <cell r="CX1826">
            <v>8.6510321273089765</v>
          </cell>
          <cell r="CY1826">
            <v>13.473275210017142</v>
          </cell>
        </row>
        <row r="1827">
          <cell r="A1827">
            <v>42095</v>
          </cell>
          <cell r="CF1827">
            <v>22.422394382345512</v>
          </cell>
          <cell r="CG1827">
            <v>22.085252262534414</v>
          </cell>
          <cell r="CH1827">
            <v>18.555263085067214</v>
          </cell>
          <cell r="CI1827">
            <v>14.926604548033502</v>
          </cell>
          <cell r="CJ1827">
            <v>22.183921622100925</v>
          </cell>
          <cell r="CU1827">
            <v>13.382805488173016</v>
          </cell>
          <cell r="CV1827">
            <v>13.67289934744978</v>
          </cell>
          <cell r="CW1827">
            <v>11.062153668663059</v>
          </cell>
          <cell r="CX1827">
            <v>8.6510321273089765</v>
          </cell>
          <cell r="CY1827">
            <v>13.473275210017142</v>
          </cell>
        </row>
        <row r="1828">
          <cell r="A1828">
            <v>42096</v>
          </cell>
          <cell r="CF1828">
            <v>22.609650223615951</v>
          </cell>
          <cell r="CG1828">
            <v>22.085252262534414</v>
          </cell>
          <cell r="CH1828">
            <v>18.555263085067214</v>
          </cell>
          <cell r="CI1828">
            <v>14.926604548033502</v>
          </cell>
          <cell r="CJ1828">
            <v>22.183921622100925</v>
          </cell>
          <cell r="CU1828">
            <v>13.489822594516047</v>
          </cell>
          <cell r="CV1828">
            <v>13.67289934744978</v>
          </cell>
          <cell r="CW1828">
            <v>11.062153668663059</v>
          </cell>
          <cell r="CX1828">
            <v>8.6510321273089765</v>
          </cell>
          <cell r="CY1828">
            <v>13.473275210017142</v>
          </cell>
        </row>
        <row r="1829">
          <cell r="A1829">
            <v>42097</v>
          </cell>
          <cell r="CF1829">
            <v>22.609650223615951</v>
          </cell>
          <cell r="CG1829">
            <v>22.085252262534414</v>
          </cell>
          <cell r="CH1829">
            <v>18.555263085067214</v>
          </cell>
          <cell r="CI1829">
            <v>14.926604548033502</v>
          </cell>
          <cell r="CJ1829">
            <v>22.183921622100925</v>
          </cell>
          <cell r="CU1829">
            <v>13.489822594516047</v>
          </cell>
          <cell r="CV1829">
            <v>13.67289934744978</v>
          </cell>
          <cell r="CW1829">
            <v>11.062153668663059</v>
          </cell>
          <cell r="CX1829">
            <v>8.6510321273089765</v>
          </cell>
          <cell r="CY1829">
            <v>13.473275210017142</v>
          </cell>
        </row>
        <row r="1830">
          <cell r="A1830">
            <v>42100</v>
          </cell>
          <cell r="CF1830">
            <v>22.776792533663333</v>
          </cell>
          <cell r="CG1830">
            <v>22.085252262534414</v>
          </cell>
          <cell r="CH1830">
            <v>18.555263085067214</v>
          </cell>
          <cell r="CI1830">
            <v>14.926604548033502</v>
          </cell>
          <cell r="CJ1830">
            <v>22.183921622100925</v>
          </cell>
          <cell r="CU1830">
            <v>13.580186616389277</v>
          </cell>
          <cell r="CV1830">
            <v>13.67289934744978</v>
          </cell>
          <cell r="CW1830">
            <v>11.062153668663059</v>
          </cell>
          <cell r="CX1830">
            <v>8.6510321273089765</v>
          </cell>
          <cell r="CY1830">
            <v>13.473275210017142</v>
          </cell>
        </row>
        <row r="1831">
          <cell r="A1831">
            <v>42101</v>
          </cell>
          <cell r="CF1831">
            <v>22.698900971699505</v>
          </cell>
          <cell r="CG1831">
            <v>22.085252262534414</v>
          </cell>
          <cell r="CH1831">
            <v>18.555263085067214</v>
          </cell>
          <cell r="CI1831">
            <v>14.926604548033502</v>
          </cell>
          <cell r="CJ1831">
            <v>22.183921622100925</v>
          </cell>
          <cell r="CU1831">
            <v>13.538075227555151</v>
          </cell>
          <cell r="CV1831">
            <v>13.67289934744978</v>
          </cell>
          <cell r="CW1831">
            <v>11.062153668663059</v>
          </cell>
          <cell r="CX1831">
            <v>8.6510321273089765</v>
          </cell>
          <cell r="CY1831">
            <v>13.473275210017142</v>
          </cell>
        </row>
        <row r="1832">
          <cell r="A1832">
            <v>42102</v>
          </cell>
          <cell r="CF1832">
            <v>22.747224041174888</v>
          </cell>
          <cell r="CG1832">
            <v>22.085252262534414</v>
          </cell>
          <cell r="CH1832">
            <v>18.555263085067214</v>
          </cell>
          <cell r="CI1832">
            <v>14.926604548033502</v>
          </cell>
          <cell r="CJ1832">
            <v>22.183921622100925</v>
          </cell>
          <cell r="CU1832">
            <v>13.558251846730302</v>
          </cell>
          <cell r="CV1832">
            <v>13.67289934744978</v>
          </cell>
          <cell r="CW1832">
            <v>11.062153668663059</v>
          </cell>
          <cell r="CX1832">
            <v>8.6510321273089765</v>
          </cell>
          <cell r="CY1832">
            <v>13.473275210017142</v>
          </cell>
        </row>
        <row r="1833">
          <cell r="A1833">
            <v>42103</v>
          </cell>
          <cell r="CF1833">
            <v>23.063162374629574</v>
          </cell>
          <cell r="CG1833">
            <v>22.085252262534414</v>
          </cell>
          <cell r="CH1833">
            <v>18.555263085067214</v>
          </cell>
          <cell r="CI1833">
            <v>14.926604548033502</v>
          </cell>
          <cell r="CJ1833">
            <v>22.183921622100925</v>
          </cell>
          <cell r="CU1833">
            <v>13.706519028250451</v>
          </cell>
          <cell r="CV1833">
            <v>13.67289934744978</v>
          </cell>
          <cell r="CW1833">
            <v>11.062153668663059</v>
          </cell>
          <cell r="CX1833">
            <v>8.6510321273089765</v>
          </cell>
          <cell r="CY1833">
            <v>13.473275210017142</v>
          </cell>
        </row>
        <row r="1834">
          <cell r="A1834">
            <v>42104</v>
          </cell>
          <cell r="CF1834">
            <v>23.072106261861887</v>
          </cell>
          <cell r="CG1834">
            <v>22.085252262534414</v>
          </cell>
          <cell r="CH1834">
            <v>18.555263085067214</v>
          </cell>
          <cell r="CI1834">
            <v>14.926604548033502</v>
          </cell>
          <cell r="CJ1834">
            <v>22.183921622100925</v>
          </cell>
          <cell r="CU1834">
            <v>13.71134516887496</v>
          </cell>
          <cell r="CV1834">
            <v>13.67289934744978</v>
          </cell>
          <cell r="CW1834">
            <v>11.062153668663059</v>
          </cell>
          <cell r="CX1834">
            <v>8.6510321273089765</v>
          </cell>
          <cell r="CY1834">
            <v>13.473275210017142</v>
          </cell>
        </row>
        <row r="1835">
          <cell r="A1835">
            <v>42107</v>
          </cell>
          <cell r="CF1835">
            <v>23.118460287343051</v>
          </cell>
          <cell r="CG1835">
            <v>22.085252262534414</v>
          </cell>
          <cell r="CH1835">
            <v>18.555263085067214</v>
          </cell>
          <cell r="CI1835">
            <v>14.926604548033502</v>
          </cell>
          <cell r="CJ1835">
            <v>22.183921622100925</v>
          </cell>
          <cell r="CU1835">
            <v>13.73634880599522</v>
          </cell>
          <cell r="CV1835">
            <v>13.67289934744978</v>
          </cell>
          <cell r="CW1835">
            <v>11.062153668663059</v>
          </cell>
          <cell r="CX1835">
            <v>8.6510321273089765</v>
          </cell>
          <cell r="CY1835">
            <v>13.473275210017142</v>
          </cell>
        </row>
        <row r="1836">
          <cell r="A1836">
            <v>42108</v>
          </cell>
          <cell r="CF1836">
            <v>22.864734616429498</v>
          </cell>
          <cell r="CG1836">
            <v>22.085252262534414</v>
          </cell>
          <cell r="CH1836">
            <v>18.555263085067214</v>
          </cell>
          <cell r="CI1836">
            <v>14.926604548033502</v>
          </cell>
          <cell r="CJ1836">
            <v>22.183921622100925</v>
          </cell>
          <cell r="CU1836">
            <v>13.599487669604914</v>
          </cell>
          <cell r="CV1836">
            <v>13.67289934744978</v>
          </cell>
          <cell r="CW1836">
            <v>11.062153668663059</v>
          </cell>
          <cell r="CX1836">
            <v>8.6510321273089765</v>
          </cell>
          <cell r="CY1836">
            <v>13.473275210017142</v>
          </cell>
        </row>
        <row r="1837">
          <cell r="A1837">
            <v>42109</v>
          </cell>
          <cell r="CF1837">
            <v>22.777717538630629</v>
          </cell>
          <cell r="CG1837">
            <v>22.085252262534414</v>
          </cell>
          <cell r="CH1837">
            <v>18.555263085067214</v>
          </cell>
          <cell r="CI1837">
            <v>14.926604548033502</v>
          </cell>
          <cell r="CJ1837">
            <v>22.183921622100925</v>
          </cell>
          <cell r="CU1837">
            <v>13.55255014014628</v>
          </cell>
          <cell r="CV1837">
            <v>13.67289934744978</v>
          </cell>
          <cell r="CW1837">
            <v>11.062153668663059</v>
          </cell>
          <cell r="CX1837">
            <v>8.6510321273089765</v>
          </cell>
          <cell r="CY1837">
            <v>13.473275210017142</v>
          </cell>
        </row>
        <row r="1838">
          <cell r="A1838">
            <v>42110</v>
          </cell>
          <cell r="CF1838">
            <v>22.812686364870807</v>
          </cell>
          <cell r="CG1838">
            <v>22.085252262534414</v>
          </cell>
          <cell r="CH1838">
            <v>18.555263085067214</v>
          </cell>
          <cell r="CI1838">
            <v>14.926604548033502</v>
          </cell>
          <cell r="CJ1838">
            <v>22.183921622100925</v>
          </cell>
          <cell r="CU1838">
            <v>13.571412533061565</v>
          </cell>
          <cell r="CV1838">
            <v>13.67289934744978</v>
          </cell>
          <cell r="CW1838">
            <v>11.062153668663059</v>
          </cell>
          <cell r="CX1838">
            <v>8.6510321273089765</v>
          </cell>
          <cell r="CY1838">
            <v>13.473275210017142</v>
          </cell>
        </row>
        <row r="1839">
          <cell r="A1839">
            <v>42111</v>
          </cell>
          <cell r="CF1839">
            <v>22.489023041476905</v>
          </cell>
          <cell r="CG1839">
            <v>22.085252262534414</v>
          </cell>
          <cell r="CH1839">
            <v>18.555263085067214</v>
          </cell>
          <cell r="CI1839">
            <v>14.926604548033502</v>
          </cell>
          <cell r="CJ1839">
            <v>22.183921622100925</v>
          </cell>
          <cell r="CU1839">
            <v>13.39682485619949</v>
          </cell>
          <cell r="CV1839">
            <v>13.67289934744978</v>
          </cell>
          <cell r="CW1839">
            <v>11.062153668663059</v>
          </cell>
          <cell r="CX1839">
            <v>8.6510321273089765</v>
          </cell>
          <cell r="CY1839">
            <v>13.473275210017142</v>
          </cell>
        </row>
        <row r="1840">
          <cell r="A1840">
            <v>42114</v>
          </cell>
          <cell r="CF1840">
            <v>22.72448708423272</v>
          </cell>
          <cell r="CG1840">
            <v>22.085252262534414</v>
          </cell>
          <cell r="CH1840">
            <v>18.555263085067214</v>
          </cell>
          <cell r="CI1840">
            <v>14.926604548033502</v>
          </cell>
          <cell r="CJ1840">
            <v>22.183921622100925</v>
          </cell>
          <cell r="CU1840">
            <v>13.519627028138466</v>
          </cell>
          <cell r="CV1840">
            <v>13.67289934744978</v>
          </cell>
          <cell r="CW1840">
            <v>11.062153668663059</v>
          </cell>
          <cell r="CX1840">
            <v>8.6510321273089765</v>
          </cell>
          <cell r="CY1840">
            <v>13.473275210017142</v>
          </cell>
        </row>
        <row r="1841">
          <cell r="A1841">
            <v>42115</v>
          </cell>
          <cell r="CF1841">
            <v>22.773299093756176</v>
          </cell>
          <cell r="CG1841">
            <v>22.085252262534414</v>
          </cell>
          <cell r="CH1841">
            <v>18.555263085067214</v>
          </cell>
          <cell r="CI1841">
            <v>14.926604548033502</v>
          </cell>
          <cell r="CJ1841">
            <v>22.183921622100925</v>
          </cell>
          <cell r="CU1841">
            <v>13.545947477555625</v>
          </cell>
          <cell r="CV1841">
            <v>13.67289934744978</v>
          </cell>
          <cell r="CW1841">
            <v>11.062153668663059</v>
          </cell>
          <cell r="CX1841">
            <v>8.6510321273089765</v>
          </cell>
          <cell r="CY1841">
            <v>13.473275210017142</v>
          </cell>
        </row>
        <row r="1842">
          <cell r="A1842">
            <v>42116</v>
          </cell>
          <cell r="CF1842">
            <v>22.968669224711423</v>
          </cell>
          <cell r="CG1842">
            <v>22.085252262534414</v>
          </cell>
          <cell r="CH1842">
            <v>18.555263085067214</v>
          </cell>
          <cell r="CI1842">
            <v>14.926604548033502</v>
          </cell>
          <cell r="CJ1842">
            <v>22.183921622100925</v>
          </cell>
          <cell r="CU1842">
            <v>13.656312705690924</v>
          </cell>
          <cell r="CV1842">
            <v>13.67289934744978</v>
          </cell>
          <cell r="CW1842">
            <v>11.062153668663059</v>
          </cell>
          <cell r="CX1842">
            <v>8.6510321273089765</v>
          </cell>
          <cell r="CY1842">
            <v>13.473275210017142</v>
          </cell>
        </row>
        <row r="1843">
          <cell r="A1843">
            <v>42117</v>
          </cell>
          <cell r="CF1843">
            <v>23.044679122666803</v>
          </cell>
          <cell r="CG1843">
            <v>22.085252262534414</v>
          </cell>
          <cell r="CH1843">
            <v>18.555263085067214</v>
          </cell>
          <cell r="CI1843">
            <v>14.926604548033502</v>
          </cell>
          <cell r="CJ1843">
            <v>22.183921622100925</v>
          </cell>
          <cell r="CU1843">
            <v>13.720404699247524</v>
          </cell>
          <cell r="CV1843">
            <v>13.67289934744978</v>
          </cell>
          <cell r="CW1843">
            <v>11.062153668663059</v>
          </cell>
          <cell r="CX1843">
            <v>8.6510321273089765</v>
          </cell>
          <cell r="CY1843">
            <v>13.473275210017142</v>
          </cell>
        </row>
        <row r="1844">
          <cell r="A1844">
            <v>42118</v>
          </cell>
          <cell r="CF1844">
            <v>23.15840779854009</v>
          </cell>
          <cell r="CG1844">
            <v>22.085252262534414</v>
          </cell>
          <cell r="CH1844">
            <v>18.555263085067214</v>
          </cell>
          <cell r="CI1844">
            <v>14.926604548033502</v>
          </cell>
          <cell r="CJ1844">
            <v>22.183921622100925</v>
          </cell>
          <cell r="CU1844">
            <v>13.781863617163685</v>
          </cell>
          <cell r="CV1844">
            <v>13.67289934744978</v>
          </cell>
          <cell r="CW1844">
            <v>11.062153668663059</v>
          </cell>
          <cell r="CX1844">
            <v>8.6510321273089765</v>
          </cell>
          <cell r="CY1844">
            <v>13.473275210017142</v>
          </cell>
        </row>
        <row r="1845">
          <cell r="A1845">
            <v>42121</v>
          </cell>
          <cell r="CF1845">
            <v>22.744112103982779</v>
          </cell>
          <cell r="CG1845">
            <v>22.085252262534414</v>
          </cell>
          <cell r="CH1845">
            <v>18.555263085067214</v>
          </cell>
          <cell r="CI1845">
            <v>14.926604548033502</v>
          </cell>
          <cell r="CJ1845">
            <v>22.183921622100925</v>
          </cell>
          <cell r="CU1845">
            <v>13.531009426654874</v>
          </cell>
          <cell r="CV1845">
            <v>13.67289934744978</v>
          </cell>
          <cell r="CW1845">
            <v>11.062153668663059</v>
          </cell>
          <cell r="CX1845">
            <v>8.6510321273089765</v>
          </cell>
          <cell r="CY1845">
            <v>13.473275210017142</v>
          </cell>
        </row>
        <row r="1846">
          <cell r="A1846">
            <v>42122</v>
          </cell>
          <cell r="CF1846">
            <v>22.752233956135498</v>
          </cell>
          <cell r="CG1846">
            <v>22.085252262534414</v>
          </cell>
          <cell r="CH1846">
            <v>18.555263085067214</v>
          </cell>
          <cell r="CI1846">
            <v>14.926604548033502</v>
          </cell>
          <cell r="CJ1846">
            <v>22.183921622100925</v>
          </cell>
          <cell r="CU1846">
            <v>13.535388840828359</v>
          </cell>
          <cell r="CV1846">
            <v>13.67289934744978</v>
          </cell>
          <cell r="CW1846">
            <v>11.062153668663059</v>
          </cell>
          <cell r="CX1846">
            <v>8.6510321273089765</v>
          </cell>
          <cell r="CY1846">
            <v>13.473275210017142</v>
          </cell>
        </row>
        <row r="1847">
          <cell r="A1847">
            <v>42123</v>
          </cell>
          <cell r="CF1847">
            <v>22.607636068239465</v>
          </cell>
          <cell r="CG1847">
            <v>22.085252262534414</v>
          </cell>
          <cell r="CH1847">
            <v>18.555263085067214</v>
          </cell>
          <cell r="CI1847">
            <v>14.926604548033502</v>
          </cell>
          <cell r="CJ1847">
            <v>22.183921622100925</v>
          </cell>
          <cell r="CU1847">
            <v>13.457419674707069</v>
          </cell>
          <cell r="CV1847">
            <v>13.67289934744978</v>
          </cell>
          <cell r="CW1847">
            <v>11.062153668663059</v>
          </cell>
          <cell r="CX1847">
            <v>8.6510321273089765</v>
          </cell>
          <cell r="CY1847">
            <v>13.473275210017142</v>
          </cell>
        </row>
        <row r="1848">
          <cell r="A1848">
            <v>42124</v>
          </cell>
          <cell r="CF1848">
            <v>22.274575142163069</v>
          </cell>
          <cell r="CG1848">
            <v>22.085252262534414</v>
          </cell>
          <cell r="CH1848">
            <v>18.555263085067214</v>
          </cell>
          <cell r="CI1848">
            <v>14.926604548033502</v>
          </cell>
          <cell r="CJ1848">
            <v>22.183921622100925</v>
          </cell>
          <cell r="CU1848">
            <v>13.277828651272248</v>
          </cell>
          <cell r="CV1848">
            <v>13.67289934744978</v>
          </cell>
          <cell r="CW1848">
            <v>11.062153668663059</v>
          </cell>
          <cell r="CX1848">
            <v>8.6510321273089765</v>
          </cell>
          <cell r="CY1848">
            <v>13.473275210017142</v>
          </cell>
        </row>
        <row r="1849">
          <cell r="A1849">
            <v>42125</v>
          </cell>
          <cell r="CF1849">
            <v>22.355687947832585</v>
          </cell>
          <cell r="CG1849">
            <v>22.085252262534414</v>
          </cell>
          <cell r="CH1849">
            <v>18.555263085067214</v>
          </cell>
          <cell r="CI1849">
            <v>14.926604548033502</v>
          </cell>
          <cell r="CJ1849">
            <v>22.183921622100925</v>
          </cell>
          <cell r="CU1849">
            <v>13.337708702505569</v>
          </cell>
          <cell r="CV1849">
            <v>13.67289934744978</v>
          </cell>
          <cell r="CW1849">
            <v>11.062153668663059</v>
          </cell>
          <cell r="CX1849">
            <v>8.6510321273089765</v>
          </cell>
          <cell r="CY1849">
            <v>13.473275210017142</v>
          </cell>
        </row>
        <row r="1850">
          <cell r="A1850">
            <v>42128</v>
          </cell>
          <cell r="CF1850">
            <v>22.881315323968415</v>
          </cell>
          <cell r="CG1850">
            <v>22.085252262534414</v>
          </cell>
          <cell r="CH1850">
            <v>18.555263085067214</v>
          </cell>
          <cell r="CI1850">
            <v>14.926604548033502</v>
          </cell>
          <cell r="CJ1850">
            <v>22.183921622100925</v>
          </cell>
          <cell r="CU1850">
            <v>13.806993769782698</v>
          </cell>
          <cell r="CV1850">
            <v>13.67289934744978</v>
          </cell>
          <cell r="CW1850">
            <v>11.062153668663059</v>
          </cell>
          <cell r="CX1850">
            <v>8.6510321273089765</v>
          </cell>
          <cell r="CY1850">
            <v>13.473275210017142</v>
          </cell>
        </row>
        <row r="1851">
          <cell r="A1851">
            <v>42129</v>
          </cell>
          <cell r="CF1851">
            <v>22.280084843529924</v>
          </cell>
          <cell r="CG1851">
            <v>22.085252262534414</v>
          </cell>
          <cell r="CH1851">
            <v>18.555263085067214</v>
          </cell>
          <cell r="CI1851">
            <v>14.926604548033502</v>
          </cell>
          <cell r="CJ1851">
            <v>22.183921622100925</v>
          </cell>
          <cell r="CU1851">
            <v>13.479262868085328</v>
          </cell>
          <cell r="CV1851">
            <v>13.67289934744978</v>
          </cell>
          <cell r="CW1851">
            <v>11.062153668663059</v>
          </cell>
          <cell r="CX1851">
            <v>8.6510321273089765</v>
          </cell>
          <cell r="CY1851">
            <v>13.473275210017142</v>
          </cell>
        </row>
        <row r="1852">
          <cell r="A1852">
            <v>42130</v>
          </cell>
          <cell r="CF1852">
            <v>21.965867010145551</v>
          </cell>
          <cell r="CG1852">
            <v>22.085252262534414</v>
          </cell>
          <cell r="CH1852">
            <v>18.555263085067214</v>
          </cell>
          <cell r="CI1852">
            <v>14.926604548033502</v>
          </cell>
          <cell r="CJ1852">
            <v>22.183921622100925</v>
          </cell>
          <cell r="CU1852">
            <v>13.290655378125612</v>
          </cell>
          <cell r="CV1852">
            <v>13.67289934744978</v>
          </cell>
          <cell r="CW1852">
            <v>11.062153668663059</v>
          </cell>
          <cell r="CX1852">
            <v>8.6510321273089765</v>
          </cell>
          <cell r="CY1852">
            <v>13.473275210017142</v>
          </cell>
        </row>
        <row r="1853">
          <cell r="A1853">
            <v>42131</v>
          </cell>
          <cell r="CF1853">
            <v>22.055226211562399</v>
          </cell>
          <cell r="CG1853">
            <v>22.085252262534414</v>
          </cell>
          <cell r="CH1853">
            <v>18.555263085067214</v>
          </cell>
          <cell r="CI1853">
            <v>14.926604548033502</v>
          </cell>
          <cell r="CJ1853">
            <v>22.183921622100925</v>
          </cell>
          <cell r="CU1853">
            <v>13.339010023435511</v>
          </cell>
          <cell r="CV1853">
            <v>13.67289934744978</v>
          </cell>
          <cell r="CW1853">
            <v>11.062153668663059</v>
          </cell>
          <cell r="CX1853">
            <v>8.6510321273089765</v>
          </cell>
          <cell r="CY1853">
            <v>13.473275210017142</v>
          </cell>
        </row>
        <row r="1854">
          <cell r="A1854">
            <v>42132</v>
          </cell>
          <cell r="CF1854">
            <v>22.262117211401421</v>
          </cell>
          <cell r="CG1854">
            <v>22.085252262534414</v>
          </cell>
          <cell r="CH1854">
            <v>18.555263085067214</v>
          </cell>
          <cell r="CI1854">
            <v>14.926604548033502</v>
          </cell>
          <cell r="CJ1854">
            <v>22.183921622100925</v>
          </cell>
          <cell r="CU1854">
            <v>13.450962514616419</v>
          </cell>
          <cell r="CV1854">
            <v>13.67289934744978</v>
          </cell>
          <cell r="CW1854">
            <v>11.062153668663059</v>
          </cell>
          <cell r="CX1854">
            <v>8.6510321273089765</v>
          </cell>
          <cell r="CY1854">
            <v>13.473275210017142</v>
          </cell>
        </row>
        <row r="1855">
          <cell r="A1855">
            <v>42135</v>
          </cell>
          <cell r="CF1855">
            <v>22.125086998475446</v>
          </cell>
          <cell r="CG1855">
            <v>22.085252262534414</v>
          </cell>
          <cell r="CH1855">
            <v>18.555263085067214</v>
          </cell>
          <cell r="CI1855">
            <v>14.926604548033502</v>
          </cell>
          <cell r="CJ1855">
            <v>22.183921622100925</v>
          </cell>
          <cell r="CU1855">
            <v>13.384196786330826</v>
          </cell>
          <cell r="CV1855">
            <v>13.67289934744978</v>
          </cell>
          <cell r="CW1855">
            <v>11.062153668663059</v>
          </cell>
          <cell r="CX1855">
            <v>8.6510321273089765</v>
          </cell>
          <cell r="CY1855">
            <v>13.473275210017142</v>
          </cell>
        </row>
        <row r="1856">
          <cell r="A1856">
            <v>42136</v>
          </cell>
          <cell r="CF1856">
            <v>22.128305690396797</v>
          </cell>
          <cell r="CG1856">
            <v>22.085252262534414</v>
          </cell>
          <cell r="CH1856">
            <v>18.555263085067214</v>
          </cell>
          <cell r="CI1856">
            <v>14.926604548033502</v>
          </cell>
          <cell r="CJ1856">
            <v>22.183921622100925</v>
          </cell>
          <cell r="CU1856">
            <v>13.385939455779781</v>
          </cell>
          <cell r="CV1856">
            <v>13.67289934744978</v>
          </cell>
          <cell r="CW1856">
            <v>11.062153668663059</v>
          </cell>
          <cell r="CX1856">
            <v>8.6510321273089765</v>
          </cell>
          <cell r="CY1856">
            <v>13.473275210017142</v>
          </cell>
        </row>
        <row r="1857">
          <cell r="A1857">
            <v>42137</v>
          </cell>
          <cell r="CF1857">
            <v>22.208009776839372</v>
          </cell>
          <cell r="CG1857">
            <v>22.085252262534414</v>
          </cell>
          <cell r="CH1857">
            <v>18.555263085067214</v>
          </cell>
          <cell r="CI1857">
            <v>14.926604548033502</v>
          </cell>
          <cell r="CJ1857">
            <v>22.183921622100925</v>
          </cell>
          <cell r="CU1857">
            <v>13.429092972734619</v>
          </cell>
          <cell r="CV1857">
            <v>13.67289934744978</v>
          </cell>
          <cell r="CW1857">
            <v>11.062153668663059</v>
          </cell>
          <cell r="CX1857">
            <v>8.6510321273089765</v>
          </cell>
          <cell r="CY1857">
            <v>13.473275210017142</v>
          </cell>
        </row>
        <row r="1858">
          <cell r="A1858">
            <v>42138</v>
          </cell>
          <cell r="CF1858">
            <v>22.597006923203093</v>
          </cell>
          <cell r="CG1858">
            <v>22.085252262534414</v>
          </cell>
          <cell r="CH1858">
            <v>18.555263085067214</v>
          </cell>
          <cell r="CI1858">
            <v>14.926604548033502</v>
          </cell>
          <cell r="CJ1858">
            <v>22.183921622100925</v>
          </cell>
          <cell r="CU1858">
            <v>13.640497345606862</v>
          </cell>
          <cell r="CV1858">
            <v>13.67289934744978</v>
          </cell>
          <cell r="CW1858">
            <v>11.062153668663059</v>
          </cell>
          <cell r="CX1858">
            <v>8.6510321273089765</v>
          </cell>
          <cell r="CY1858">
            <v>13.473275210017142</v>
          </cell>
        </row>
        <row r="1859">
          <cell r="A1859">
            <v>42139</v>
          </cell>
          <cell r="CF1859">
            <v>22.503624215104551</v>
          </cell>
          <cell r="CG1859">
            <v>22.085252262534414</v>
          </cell>
          <cell r="CH1859">
            <v>18.555263085067214</v>
          </cell>
          <cell r="CI1859">
            <v>14.926604548033502</v>
          </cell>
          <cell r="CJ1859">
            <v>22.183921622100925</v>
          </cell>
          <cell r="CU1859">
            <v>13.589932906698262</v>
          </cell>
          <cell r="CV1859">
            <v>13.67289934744978</v>
          </cell>
          <cell r="CW1859">
            <v>11.062153668663059</v>
          </cell>
          <cell r="CX1859">
            <v>8.6510321273089765</v>
          </cell>
          <cell r="CY1859">
            <v>13.473275210017142</v>
          </cell>
        </row>
        <row r="1860">
          <cell r="A1860">
            <v>42142</v>
          </cell>
          <cell r="CF1860">
            <v>22.709710191597889</v>
          </cell>
          <cell r="CG1860">
            <v>22.085252262534414</v>
          </cell>
          <cell r="CH1860">
            <v>18.555263085067214</v>
          </cell>
          <cell r="CI1860">
            <v>14.926604548033502</v>
          </cell>
          <cell r="CJ1860">
            <v>22.183921622100925</v>
          </cell>
          <cell r="CU1860">
            <v>13.701521288291634</v>
          </cell>
          <cell r="CV1860">
            <v>13.67289934744978</v>
          </cell>
          <cell r="CW1860">
            <v>11.062153668663059</v>
          </cell>
          <cell r="CX1860">
            <v>8.6510321273089765</v>
          </cell>
          <cell r="CY1860">
            <v>13.473275210017142</v>
          </cell>
        </row>
        <row r="1861">
          <cell r="A1861">
            <v>42143</v>
          </cell>
          <cell r="CF1861">
            <v>22.777332152634767</v>
          </cell>
          <cell r="CG1861">
            <v>22.085252262534414</v>
          </cell>
          <cell r="CH1861">
            <v>18.555263085067214</v>
          </cell>
          <cell r="CI1861">
            <v>14.926604548033502</v>
          </cell>
          <cell r="CJ1861">
            <v>22.183921622100925</v>
          </cell>
          <cell r="CU1861">
            <v>13.738135653902496</v>
          </cell>
          <cell r="CV1861">
            <v>13.67289934744978</v>
          </cell>
          <cell r="CW1861">
            <v>11.062153668663059</v>
          </cell>
          <cell r="CX1861">
            <v>8.6510321273089765</v>
          </cell>
          <cell r="CY1861">
            <v>13.473275210017142</v>
          </cell>
        </row>
        <row r="1862">
          <cell r="A1862">
            <v>42144</v>
          </cell>
          <cell r="CF1862">
            <v>22.743519562069636</v>
          </cell>
          <cell r="CG1862">
            <v>22.085252262534414</v>
          </cell>
          <cell r="CH1862">
            <v>18.555263085067214</v>
          </cell>
          <cell r="CI1862">
            <v>14.926604548033502</v>
          </cell>
          <cell r="CJ1862">
            <v>22.183921622100925</v>
          </cell>
          <cell r="CU1862">
            <v>13.719827599326454</v>
          </cell>
          <cell r="CV1862">
            <v>13.67289934744978</v>
          </cell>
          <cell r="CW1862">
            <v>11.062153668663059</v>
          </cell>
          <cell r="CX1862">
            <v>8.6510321273089765</v>
          </cell>
          <cell r="CY1862">
            <v>13.473275210017142</v>
          </cell>
        </row>
        <row r="1863">
          <cell r="A1863">
            <v>42145</v>
          </cell>
          <cell r="CF1863">
            <v>22.801481242958388</v>
          </cell>
          <cell r="CG1863">
            <v>22.085252262534414</v>
          </cell>
          <cell r="CH1863">
            <v>18.555263085067214</v>
          </cell>
          <cell r="CI1863">
            <v>14.926604548033502</v>
          </cell>
          <cell r="CJ1863">
            <v>22.183921622100925</v>
          </cell>
          <cell r="CU1863">
            <v>13.751211341278623</v>
          </cell>
          <cell r="CV1863">
            <v>13.67289934744978</v>
          </cell>
          <cell r="CW1863">
            <v>11.062153668663059</v>
          </cell>
          <cell r="CX1863">
            <v>8.6510321273089765</v>
          </cell>
          <cell r="CY1863">
            <v>13.473275210017142</v>
          </cell>
        </row>
        <row r="1864">
          <cell r="A1864">
            <v>42146</v>
          </cell>
          <cell r="CF1864">
            <v>22.870714860733308</v>
          </cell>
          <cell r="CG1864">
            <v>22.085252262534414</v>
          </cell>
          <cell r="CH1864">
            <v>18.555263085067214</v>
          </cell>
          <cell r="CI1864">
            <v>14.926604548033502</v>
          </cell>
          <cell r="CJ1864">
            <v>22.183921622100925</v>
          </cell>
          <cell r="CU1864">
            <v>13.788696605728658</v>
          </cell>
          <cell r="CV1864">
            <v>13.67289934744978</v>
          </cell>
          <cell r="CW1864">
            <v>11.062153668663059</v>
          </cell>
          <cell r="CX1864">
            <v>8.6510321273089765</v>
          </cell>
          <cell r="CY1864">
            <v>13.473275210017142</v>
          </cell>
        </row>
        <row r="1865">
          <cell r="A1865">
            <v>42149</v>
          </cell>
          <cell r="CF1865">
            <v>22.870714860733308</v>
          </cell>
          <cell r="CG1865">
            <v>22.085252262534414</v>
          </cell>
          <cell r="CH1865">
            <v>18.555263085067214</v>
          </cell>
          <cell r="CI1865">
            <v>14.926604548033502</v>
          </cell>
          <cell r="CJ1865">
            <v>22.183921622100925</v>
          </cell>
          <cell r="CU1865">
            <v>13.788698349269875</v>
          </cell>
          <cell r="CV1865">
            <v>13.67289934744978</v>
          </cell>
          <cell r="CW1865">
            <v>11.062153668663059</v>
          </cell>
          <cell r="CX1865">
            <v>8.6510321273089765</v>
          </cell>
          <cell r="CY1865">
            <v>13.473275210017142</v>
          </cell>
        </row>
        <row r="1866">
          <cell r="A1866">
            <v>42150</v>
          </cell>
          <cell r="CF1866">
            <v>22.749961358881745</v>
          </cell>
          <cell r="CG1866">
            <v>22.085252262534414</v>
          </cell>
          <cell r="CH1866">
            <v>18.555263085067214</v>
          </cell>
          <cell r="CI1866">
            <v>14.926604548033502</v>
          </cell>
          <cell r="CJ1866">
            <v>22.183921622100925</v>
          </cell>
          <cell r="CU1866">
            <v>13.723315553536194</v>
          </cell>
          <cell r="CV1866">
            <v>13.67289934744978</v>
          </cell>
          <cell r="CW1866">
            <v>11.062153668663059</v>
          </cell>
          <cell r="CX1866">
            <v>8.6510321273089765</v>
          </cell>
          <cell r="CY1866">
            <v>13.473275210017142</v>
          </cell>
        </row>
        <row r="1867">
          <cell r="A1867">
            <v>42151</v>
          </cell>
          <cell r="CF1867">
            <v>22.985026565772767</v>
          </cell>
          <cell r="CG1867">
            <v>22.085252262534414</v>
          </cell>
          <cell r="CH1867">
            <v>18.555263085067214</v>
          </cell>
          <cell r="CI1867">
            <v>14.926604548033502</v>
          </cell>
          <cell r="CJ1867">
            <v>22.183921622100925</v>
          </cell>
          <cell r="CU1867">
            <v>13.85059319079382</v>
          </cell>
          <cell r="CV1867">
            <v>13.67289934744978</v>
          </cell>
          <cell r="CW1867">
            <v>11.062153668663059</v>
          </cell>
          <cell r="CX1867">
            <v>8.6510321273089765</v>
          </cell>
          <cell r="CY1867">
            <v>13.473275210017142</v>
          </cell>
        </row>
        <row r="1868">
          <cell r="A1868">
            <v>42152</v>
          </cell>
          <cell r="CF1868">
            <v>22.96892770890592</v>
          </cell>
          <cell r="CG1868">
            <v>22.085252262534414</v>
          </cell>
          <cell r="CH1868">
            <v>18.555263085067214</v>
          </cell>
          <cell r="CI1868">
            <v>14.926604548033502</v>
          </cell>
          <cell r="CJ1868">
            <v>22.183921622100925</v>
          </cell>
          <cell r="CU1868">
            <v>13.841874612925384</v>
          </cell>
          <cell r="CV1868">
            <v>13.67289934744978</v>
          </cell>
          <cell r="CW1868">
            <v>11.062153668663059</v>
          </cell>
          <cell r="CX1868">
            <v>8.6510321273089765</v>
          </cell>
          <cell r="CY1868">
            <v>13.473275210017142</v>
          </cell>
        </row>
        <row r="1869">
          <cell r="A1869">
            <v>42153</v>
          </cell>
          <cell r="CF1869">
            <v>22.80953147641516</v>
          </cell>
          <cell r="CG1869">
            <v>22.085252262534414</v>
          </cell>
          <cell r="CH1869">
            <v>18.555263085067214</v>
          </cell>
          <cell r="CI1869">
            <v>14.926604548033502</v>
          </cell>
          <cell r="CJ1869">
            <v>22.183921622100925</v>
          </cell>
          <cell r="CU1869">
            <v>13.755570194327532</v>
          </cell>
          <cell r="CV1869">
            <v>13.67289934744978</v>
          </cell>
          <cell r="CW1869">
            <v>11.062153668663059</v>
          </cell>
          <cell r="CX1869">
            <v>8.6510321273089765</v>
          </cell>
          <cell r="CY1869">
            <v>13.473275210017142</v>
          </cell>
        </row>
        <row r="1870">
          <cell r="A1870">
            <v>42156</v>
          </cell>
          <cell r="CF1870">
            <v>22.814743896601247</v>
          </cell>
          <cell r="CG1870">
            <v>22.085252262534414</v>
          </cell>
          <cell r="CH1870">
            <v>18.555263085067214</v>
          </cell>
          <cell r="CI1870">
            <v>14.926604548033502</v>
          </cell>
          <cell r="CJ1870">
            <v>22.183921622100925</v>
          </cell>
          <cell r="CU1870">
            <v>13.777207027114912</v>
          </cell>
          <cell r="CV1870">
            <v>13.67289934744978</v>
          </cell>
          <cell r="CW1870">
            <v>11.062153668663059</v>
          </cell>
          <cell r="CX1870">
            <v>8.6510321273089765</v>
          </cell>
          <cell r="CY1870">
            <v>13.473275210017142</v>
          </cell>
        </row>
        <row r="1871">
          <cell r="A1871">
            <v>42157</v>
          </cell>
          <cell r="CF1871">
            <v>22.679114408808044</v>
          </cell>
          <cell r="CG1871">
            <v>22.085252262534414</v>
          </cell>
          <cell r="CH1871">
            <v>18.555263085067214</v>
          </cell>
          <cell r="CI1871">
            <v>14.926604548033502</v>
          </cell>
          <cell r="CJ1871">
            <v>22.183921622100925</v>
          </cell>
          <cell r="CU1871">
            <v>13.703601928677312</v>
          </cell>
          <cell r="CV1871">
            <v>13.67289934744978</v>
          </cell>
          <cell r="CW1871">
            <v>11.062153668663059</v>
          </cell>
          <cell r="CX1871">
            <v>8.6510321273089765</v>
          </cell>
          <cell r="CY1871">
            <v>13.473275210017142</v>
          </cell>
        </row>
        <row r="1872">
          <cell r="A1872">
            <v>42158</v>
          </cell>
          <cell r="CF1872">
            <v>22.738152225945431</v>
          </cell>
          <cell r="CG1872">
            <v>22.085252262534414</v>
          </cell>
          <cell r="CH1872">
            <v>18.555263085067214</v>
          </cell>
          <cell r="CI1872">
            <v>14.926604548033502</v>
          </cell>
          <cell r="CJ1872">
            <v>22.183921622100925</v>
          </cell>
          <cell r="CU1872">
            <v>13.735641306047549</v>
          </cell>
          <cell r="CV1872">
            <v>13.67289934744978</v>
          </cell>
          <cell r="CW1872">
            <v>11.062153668663059</v>
          </cell>
          <cell r="CX1872">
            <v>8.6510321273089765</v>
          </cell>
          <cell r="CY1872">
            <v>13.473275210017142</v>
          </cell>
        </row>
        <row r="1873">
          <cell r="A1873">
            <v>42159</v>
          </cell>
          <cell r="CF1873">
            <v>22.479656933141857</v>
          </cell>
          <cell r="CG1873">
            <v>22.085252262534414</v>
          </cell>
          <cell r="CH1873">
            <v>18.555263085067214</v>
          </cell>
          <cell r="CI1873">
            <v>14.926604548033502</v>
          </cell>
          <cell r="CJ1873">
            <v>22.183921622100925</v>
          </cell>
          <cell r="CU1873">
            <v>13.595357863397718</v>
          </cell>
          <cell r="CV1873">
            <v>13.67289934744978</v>
          </cell>
          <cell r="CW1873">
            <v>11.062153668663059</v>
          </cell>
          <cell r="CX1873">
            <v>8.6510321273089765</v>
          </cell>
          <cell r="CY1873">
            <v>13.473275210017142</v>
          </cell>
        </row>
        <row r="1874">
          <cell r="A1874">
            <v>42160</v>
          </cell>
          <cell r="CF1874">
            <v>22.374343385990109</v>
          </cell>
          <cell r="CG1874">
            <v>22.085252262534414</v>
          </cell>
          <cell r="CH1874">
            <v>18.555263085067214</v>
          </cell>
          <cell r="CI1874">
            <v>14.926604548033502</v>
          </cell>
          <cell r="CJ1874">
            <v>22.183921622100925</v>
          </cell>
          <cell r="CU1874">
            <v>13.538203265025047</v>
          </cell>
          <cell r="CV1874">
            <v>13.67289934744978</v>
          </cell>
          <cell r="CW1874">
            <v>11.062153668663059</v>
          </cell>
          <cell r="CX1874">
            <v>8.6510321273089765</v>
          </cell>
          <cell r="CY1874">
            <v>13.473275210017142</v>
          </cell>
        </row>
        <row r="1875">
          <cell r="A1875">
            <v>42163</v>
          </cell>
          <cell r="CF1875">
            <v>22.304346299789053</v>
          </cell>
          <cell r="CG1875">
            <v>22.085252262534414</v>
          </cell>
          <cell r="CH1875">
            <v>18.555263085067214</v>
          </cell>
          <cell r="CI1875">
            <v>14.926604548033502</v>
          </cell>
          <cell r="CJ1875">
            <v>22.183921622100925</v>
          </cell>
          <cell r="CU1875">
            <v>13.500088239412117</v>
          </cell>
          <cell r="CV1875">
            <v>13.67289934744978</v>
          </cell>
          <cell r="CW1875">
            <v>11.062153668663059</v>
          </cell>
          <cell r="CX1875">
            <v>8.6510321273089765</v>
          </cell>
          <cell r="CY1875">
            <v>13.473275210017142</v>
          </cell>
        </row>
        <row r="1876">
          <cell r="A1876">
            <v>42164</v>
          </cell>
          <cell r="CF1876">
            <v>22.22186936757317</v>
          </cell>
          <cell r="CG1876">
            <v>22.085252262534414</v>
          </cell>
          <cell r="CH1876">
            <v>18.555263085067214</v>
          </cell>
          <cell r="CI1876">
            <v>14.926604548033502</v>
          </cell>
          <cell r="CJ1876">
            <v>22.183921622100925</v>
          </cell>
          <cell r="CU1876">
            <v>13.453136104479977</v>
          </cell>
          <cell r="CV1876">
            <v>13.67289934744978</v>
          </cell>
          <cell r="CW1876">
            <v>11.062153668663059</v>
          </cell>
          <cell r="CX1876">
            <v>8.6510321273089765</v>
          </cell>
          <cell r="CY1876">
            <v>13.473275210017142</v>
          </cell>
        </row>
        <row r="1877">
          <cell r="A1877">
            <v>42165</v>
          </cell>
          <cell r="CF1877">
            <v>22.72749182550443</v>
          </cell>
          <cell r="CG1877">
            <v>22.085252262534414</v>
          </cell>
          <cell r="CH1877">
            <v>18.555263085067214</v>
          </cell>
          <cell r="CI1877">
            <v>14.926604548033502</v>
          </cell>
          <cell r="CJ1877">
            <v>22.183921622100925</v>
          </cell>
          <cell r="CU1877">
            <v>13.727497581197195</v>
          </cell>
          <cell r="CV1877">
            <v>13.67289934744978</v>
          </cell>
          <cell r="CW1877">
            <v>11.062153668663059</v>
          </cell>
          <cell r="CX1877">
            <v>8.6510321273089765</v>
          </cell>
          <cell r="CY1877">
            <v>13.473275210017142</v>
          </cell>
        </row>
        <row r="1878">
          <cell r="A1878">
            <v>42166</v>
          </cell>
          <cell r="CF1878">
            <v>22.873434883164528</v>
          </cell>
          <cell r="CG1878">
            <v>22.085252262534414</v>
          </cell>
          <cell r="CH1878">
            <v>18.555263085067214</v>
          </cell>
          <cell r="CI1878">
            <v>14.926604548033502</v>
          </cell>
          <cell r="CJ1878">
            <v>22.183921622100925</v>
          </cell>
          <cell r="CU1878">
            <v>13.806689381696083</v>
          </cell>
          <cell r="CV1878">
            <v>13.67289934744978</v>
          </cell>
          <cell r="CW1878">
            <v>11.062153668663059</v>
          </cell>
          <cell r="CX1878">
            <v>8.6510321273089765</v>
          </cell>
          <cell r="CY1878">
            <v>13.473275210017142</v>
          </cell>
        </row>
        <row r="1879">
          <cell r="A1879">
            <v>42167</v>
          </cell>
          <cell r="CF1879">
            <v>22.674856049126724</v>
          </cell>
          <cell r="CG1879">
            <v>22.085252262534414</v>
          </cell>
          <cell r="CH1879">
            <v>18.555263085067214</v>
          </cell>
          <cell r="CI1879">
            <v>14.926604548033502</v>
          </cell>
          <cell r="CJ1879">
            <v>22.183921622100925</v>
          </cell>
          <cell r="CU1879">
            <v>13.698936291822847</v>
          </cell>
          <cell r="CV1879">
            <v>13.67289934744978</v>
          </cell>
          <cell r="CW1879">
            <v>11.062153668663059</v>
          </cell>
          <cell r="CX1879">
            <v>8.6510321273089765</v>
          </cell>
          <cell r="CY1879">
            <v>13.473275210017142</v>
          </cell>
        </row>
        <row r="1880">
          <cell r="A1880">
            <v>42170</v>
          </cell>
          <cell r="CF1880">
            <v>22.497808437674454</v>
          </cell>
          <cell r="CG1880">
            <v>22.085252262534414</v>
          </cell>
          <cell r="CH1880">
            <v>18.555263085067214</v>
          </cell>
          <cell r="CI1880">
            <v>14.926604548033502</v>
          </cell>
          <cell r="CJ1880">
            <v>22.183921622100925</v>
          </cell>
          <cell r="CU1880">
            <v>13.602866500290951</v>
          </cell>
          <cell r="CV1880">
            <v>13.67289934744978</v>
          </cell>
          <cell r="CW1880">
            <v>11.062153668663059</v>
          </cell>
          <cell r="CX1880">
            <v>8.6510321273089765</v>
          </cell>
          <cell r="CY1880">
            <v>13.473275210017142</v>
          </cell>
        </row>
        <row r="1881">
          <cell r="A1881">
            <v>42171</v>
          </cell>
          <cell r="CF1881">
            <v>22.682831166759712</v>
          </cell>
          <cell r="CG1881">
            <v>22.085252262534414</v>
          </cell>
          <cell r="CH1881">
            <v>18.555263085067214</v>
          </cell>
          <cell r="CI1881">
            <v>14.926604548033502</v>
          </cell>
          <cell r="CJ1881">
            <v>22.183921622100925</v>
          </cell>
          <cell r="CU1881">
            <v>13.70326375990987</v>
          </cell>
          <cell r="CV1881">
            <v>13.67289934744978</v>
          </cell>
          <cell r="CW1881">
            <v>11.062153668663059</v>
          </cell>
          <cell r="CX1881">
            <v>8.6510321273089765</v>
          </cell>
          <cell r="CY1881">
            <v>13.473275210017142</v>
          </cell>
        </row>
        <row r="1882">
          <cell r="A1882">
            <v>42172</v>
          </cell>
          <cell r="CF1882">
            <v>22.788101124491586</v>
          </cell>
          <cell r="CG1882">
            <v>22.085252262534414</v>
          </cell>
          <cell r="CH1882">
            <v>18.555263085067214</v>
          </cell>
          <cell r="CI1882">
            <v>14.926604548033502</v>
          </cell>
          <cell r="CJ1882">
            <v>22.183921622100925</v>
          </cell>
          <cell r="CU1882">
            <v>13.760385473164947</v>
          </cell>
          <cell r="CV1882">
            <v>13.67289934744978</v>
          </cell>
          <cell r="CW1882">
            <v>11.062153668663059</v>
          </cell>
          <cell r="CX1882">
            <v>8.6510321273089765</v>
          </cell>
          <cell r="CY1882">
            <v>13.473275210017142</v>
          </cell>
        </row>
        <row r="1883">
          <cell r="A1883">
            <v>42173</v>
          </cell>
          <cell r="CF1883">
            <v>23.138210383603159</v>
          </cell>
          <cell r="CG1883">
            <v>22.085252262534414</v>
          </cell>
          <cell r="CH1883">
            <v>18.555263085067214</v>
          </cell>
          <cell r="CI1883">
            <v>14.926604548033502</v>
          </cell>
          <cell r="CJ1883">
            <v>22.183921622100925</v>
          </cell>
          <cell r="CU1883">
            <v>13.950362187678843</v>
          </cell>
          <cell r="CV1883">
            <v>13.67289934744978</v>
          </cell>
          <cell r="CW1883">
            <v>11.062153668663059</v>
          </cell>
          <cell r="CX1883">
            <v>8.6510321273089765</v>
          </cell>
          <cell r="CY1883">
            <v>13.473275210017142</v>
          </cell>
        </row>
        <row r="1884">
          <cell r="A1884">
            <v>42174</v>
          </cell>
          <cell r="CF1884">
            <v>23.102320759231201</v>
          </cell>
          <cell r="CG1884">
            <v>22.085252262534414</v>
          </cell>
          <cell r="CH1884">
            <v>18.555263085067214</v>
          </cell>
          <cell r="CI1884">
            <v>14.926604548033502</v>
          </cell>
          <cell r="CJ1884">
            <v>22.183921622100925</v>
          </cell>
          <cell r="CU1884">
            <v>13.930887715793624</v>
          </cell>
          <cell r="CV1884">
            <v>13.67289934744978</v>
          </cell>
          <cell r="CW1884">
            <v>11.062153668663059</v>
          </cell>
          <cell r="CX1884">
            <v>8.6510321273089765</v>
          </cell>
          <cell r="CY1884">
            <v>13.473275210017142</v>
          </cell>
        </row>
        <row r="1885">
          <cell r="A1885">
            <v>42177</v>
          </cell>
          <cell r="CF1885">
            <v>23.241089401068667</v>
          </cell>
          <cell r="CG1885">
            <v>22.085252262534414</v>
          </cell>
          <cell r="CH1885">
            <v>18.555263085067214</v>
          </cell>
          <cell r="CI1885">
            <v>14.926604548033502</v>
          </cell>
          <cell r="CJ1885">
            <v>22.183921622100925</v>
          </cell>
          <cell r="CU1885">
            <v>14.006186526001432</v>
          </cell>
          <cell r="CV1885">
            <v>13.67289934744978</v>
          </cell>
          <cell r="CW1885">
            <v>11.062153668663059</v>
          </cell>
          <cell r="CX1885">
            <v>8.6510321273089765</v>
          </cell>
          <cell r="CY1885">
            <v>13.473275210017142</v>
          </cell>
        </row>
        <row r="1886">
          <cell r="A1886">
            <v>42178</v>
          </cell>
          <cell r="CF1886">
            <v>23.236302735465351</v>
          </cell>
          <cell r="CG1886">
            <v>22.085252262534414</v>
          </cell>
          <cell r="CH1886">
            <v>18.555263085067214</v>
          </cell>
          <cell r="CI1886">
            <v>14.926604548033502</v>
          </cell>
          <cell r="CJ1886">
            <v>22.183921622100925</v>
          </cell>
          <cell r="CU1886">
            <v>14.0035891796556</v>
          </cell>
          <cell r="CV1886">
            <v>13.67289934744978</v>
          </cell>
          <cell r="CW1886">
            <v>11.062153668663059</v>
          </cell>
          <cell r="CX1886">
            <v>8.6510321273089765</v>
          </cell>
          <cell r="CY1886">
            <v>13.473275210017142</v>
          </cell>
        </row>
        <row r="1887">
          <cell r="A1887">
            <v>42179</v>
          </cell>
          <cell r="CF1887">
            <v>23.019381130871679</v>
          </cell>
          <cell r="CG1887">
            <v>22.085252262534414</v>
          </cell>
          <cell r="CH1887">
            <v>18.555263085067214</v>
          </cell>
          <cell r="CI1887">
            <v>14.926604548033502</v>
          </cell>
          <cell r="CJ1887">
            <v>22.183921622100925</v>
          </cell>
          <cell r="CU1887">
            <v>13.885882913182209</v>
          </cell>
          <cell r="CV1887">
            <v>13.67289934744978</v>
          </cell>
          <cell r="CW1887">
            <v>11.062153668663059</v>
          </cell>
          <cell r="CX1887">
            <v>8.6510321273089765</v>
          </cell>
          <cell r="CY1887">
            <v>13.473275210017142</v>
          </cell>
        </row>
        <row r="1888">
          <cell r="A1888">
            <v>42180</v>
          </cell>
          <cell r="CF1888">
            <v>23.046496530823831</v>
          </cell>
          <cell r="CG1888">
            <v>22.085252262534414</v>
          </cell>
          <cell r="CH1888">
            <v>18.555263085067214</v>
          </cell>
          <cell r="CI1888">
            <v>14.926604548033502</v>
          </cell>
          <cell r="CJ1888">
            <v>22.183921622100925</v>
          </cell>
          <cell r="CU1888">
            <v>13.900596304678087</v>
          </cell>
          <cell r="CV1888">
            <v>13.67289934744978</v>
          </cell>
          <cell r="CW1888">
            <v>11.062153668663059</v>
          </cell>
          <cell r="CX1888">
            <v>8.6510321273089765</v>
          </cell>
          <cell r="CY1888">
            <v>13.473275210017142</v>
          </cell>
        </row>
        <row r="1889">
          <cell r="A1889">
            <v>42181</v>
          </cell>
          <cell r="CF1889">
            <v>23.199617194353614</v>
          </cell>
          <cell r="CG1889">
            <v>22.085252262534414</v>
          </cell>
          <cell r="CH1889">
            <v>18.555263085067214</v>
          </cell>
          <cell r="CI1889">
            <v>14.926604548033502</v>
          </cell>
          <cell r="CJ1889">
            <v>22.183921622100925</v>
          </cell>
          <cell r="CU1889">
            <v>13.983682826455297</v>
          </cell>
          <cell r="CV1889">
            <v>13.67289934744978</v>
          </cell>
          <cell r="CW1889">
            <v>11.062153668663059</v>
          </cell>
          <cell r="CX1889">
            <v>8.6510321273089765</v>
          </cell>
          <cell r="CY1889">
            <v>13.473275210017142</v>
          </cell>
        </row>
        <row r="1890">
          <cell r="A1890">
            <v>42184</v>
          </cell>
          <cell r="CF1890">
            <v>22.684426190286306</v>
          </cell>
          <cell r="CG1890">
            <v>22.085252262534414</v>
          </cell>
          <cell r="CH1890">
            <v>18.555263085067214</v>
          </cell>
          <cell r="CI1890">
            <v>14.926604548033502</v>
          </cell>
          <cell r="CJ1890">
            <v>22.183921622100925</v>
          </cell>
          <cell r="CU1890">
            <v>13.704129253527272</v>
          </cell>
          <cell r="CV1890">
            <v>13.67289934744978</v>
          </cell>
          <cell r="CW1890">
            <v>11.062153668663059</v>
          </cell>
          <cell r="CX1890">
            <v>8.6510321273089765</v>
          </cell>
          <cell r="CY1890">
            <v>13.473275210017142</v>
          </cell>
        </row>
        <row r="1891">
          <cell r="A1891">
            <v>42185</v>
          </cell>
          <cell r="CF1891">
            <v>22.668474359996811</v>
          </cell>
          <cell r="CG1891">
            <v>22.085252262534414</v>
          </cell>
          <cell r="CH1891">
            <v>18.555263085067214</v>
          </cell>
          <cell r="CI1891">
            <v>14.926604548033502</v>
          </cell>
          <cell r="CJ1891">
            <v>22.183921622100925</v>
          </cell>
          <cell r="CU1891">
            <v>13.695473451859611</v>
          </cell>
          <cell r="CV1891">
            <v>13.67289934744978</v>
          </cell>
          <cell r="CW1891">
            <v>11.062153668663059</v>
          </cell>
          <cell r="CX1891">
            <v>8.6510321273089765</v>
          </cell>
          <cell r="CY1891">
            <v>13.473275210017142</v>
          </cell>
        </row>
        <row r="1892">
          <cell r="A1892">
            <v>42186</v>
          </cell>
          <cell r="CF1892">
            <v>22.80264165360466</v>
          </cell>
          <cell r="CG1892">
            <v>22.085252262534414</v>
          </cell>
          <cell r="CH1892">
            <v>18.555263085067214</v>
          </cell>
          <cell r="CI1892">
            <v>14.926604548033502</v>
          </cell>
          <cell r="CJ1892">
            <v>22.183921622100925</v>
          </cell>
          <cell r="CU1892">
            <v>13.786458763763692</v>
          </cell>
          <cell r="CV1892">
            <v>13.67289934744978</v>
          </cell>
          <cell r="CW1892">
            <v>11.062153668663059</v>
          </cell>
          <cell r="CX1892">
            <v>8.6510321273089765</v>
          </cell>
          <cell r="CY1892">
            <v>13.473275210017142</v>
          </cell>
        </row>
        <row r="1893">
          <cell r="A1893">
            <v>42187</v>
          </cell>
          <cell r="CF1893">
            <v>22.835838591963441</v>
          </cell>
          <cell r="CG1893">
            <v>22.085252262534414</v>
          </cell>
          <cell r="CH1893">
            <v>18.555263085067214</v>
          </cell>
          <cell r="CI1893">
            <v>14.926604548033502</v>
          </cell>
          <cell r="CJ1893">
            <v>22.183921622100925</v>
          </cell>
          <cell r="CU1893">
            <v>13.804512135198326</v>
          </cell>
          <cell r="CV1893">
            <v>13.67289934744978</v>
          </cell>
          <cell r="CW1893">
            <v>11.062153668663059</v>
          </cell>
          <cell r="CX1893">
            <v>8.6510321273089765</v>
          </cell>
          <cell r="CY1893">
            <v>13.473275210017142</v>
          </cell>
        </row>
        <row r="1894">
          <cell r="A1894">
            <v>42188</v>
          </cell>
          <cell r="CF1894">
            <v>22.835838591963441</v>
          </cell>
          <cell r="CG1894">
            <v>22.085252262534414</v>
          </cell>
          <cell r="CH1894">
            <v>18.555263085067214</v>
          </cell>
          <cell r="CI1894">
            <v>14.926604548033502</v>
          </cell>
          <cell r="CJ1894">
            <v>22.183921622100925</v>
          </cell>
          <cell r="CU1894">
            <v>13.804512135198326</v>
          </cell>
          <cell r="CV1894">
            <v>13.67289934744978</v>
          </cell>
          <cell r="CW1894">
            <v>11.062153668663059</v>
          </cell>
          <cell r="CX1894">
            <v>8.6510321273089765</v>
          </cell>
          <cell r="CY1894">
            <v>13.473275210017142</v>
          </cell>
        </row>
        <row r="1895">
          <cell r="A1895">
            <v>42191</v>
          </cell>
          <cell r="CF1895">
            <v>22.844353933611579</v>
          </cell>
          <cell r="CG1895">
            <v>22.085252262534414</v>
          </cell>
          <cell r="CH1895">
            <v>18.555263085067214</v>
          </cell>
          <cell r="CI1895">
            <v>14.926604548033502</v>
          </cell>
          <cell r="CJ1895">
            <v>22.183921622100925</v>
          </cell>
          <cell r="CU1895">
            <v>13.808785916151987</v>
          </cell>
          <cell r="CV1895">
            <v>13.67289934744978</v>
          </cell>
          <cell r="CW1895">
            <v>11.062153668663059</v>
          </cell>
          <cell r="CX1895">
            <v>8.6510321273089765</v>
          </cell>
          <cell r="CY1895">
            <v>13.473275210017142</v>
          </cell>
        </row>
        <row r="1896">
          <cell r="A1896">
            <v>42192</v>
          </cell>
          <cell r="CF1896">
            <v>22.947114003209141</v>
          </cell>
          <cell r="CG1896">
            <v>22.085252262534414</v>
          </cell>
          <cell r="CH1896">
            <v>18.555263085067214</v>
          </cell>
          <cell r="CI1896">
            <v>14.926604548033502</v>
          </cell>
          <cell r="CJ1896">
            <v>22.183921622100925</v>
          </cell>
          <cell r="CU1896">
            <v>13.86466795967244</v>
          </cell>
          <cell r="CV1896">
            <v>13.67289934744978</v>
          </cell>
          <cell r="CW1896">
            <v>11.062153668663059</v>
          </cell>
          <cell r="CX1896">
            <v>8.6510321273089765</v>
          </cell>
          <cell r="CY1896">
            <v>13.473275210017142</v>
          </cell>
        </row>
        <row r="1897">
          <cell r="A1897">
            <v>42193</v>
          </cell>
          <cell r="CF1897">
            <v>22.532807905140533</v>
          </cell>
          <cell r="CG1897">
            <v>22.085252262534414</v>
          </cell>
          <cell r="CH1897">
            <v>18.555263085067214</v>
          </cell>
          <cell r="CI1897">
            <v>14.926604548033502</v>
          </cell>
          <cell r="CJ1897">
            <v>22.183921622100925</v>
          </cell>
          <cell r="CU1897">
            <v>13.633024325257498</v>
          </cell>
          <cell r="CV1897">
            <v>13.67289934744978</v>
          </cell>
          <cell r="CW1897">
            <v>11.062153668663059</v>
          </cell>
          <cell r="CX1897">
            <v>8.6510321273089765</v>
          </cell>
          <cell r="CY1897">
            <v>13.473275210017142</v>
          </cell>
        </row>
        <row r="1898">
          <cell r="A1898">
            <v>42194</v>
          </cell>
          <cell r="CF1898">
            <v>22.678262450595092</v>
          </cell>
          <cell r="CG1898">
            <v>22.085252262534414</v>
          </cell>
          <cell r="CH1898">
            <v>18.555263085067214</v>
          </cell>
          <cell r="CI1898">
            <v>14.926604548033502</v>
          </cell>
          <cell r="CJ1898">
            <v>22.183921622100925</v>
          </cell>
          <cell r="CU1898">
            <v>13.712086808120175</v>
          </cell>
          <cell r="CV1898">
            <v>13.67289934744978</v>
          </cell>
          <cell r="CW1898">
            <v>11.062153668663059</v>
          </cell>
          <cell r="CX1898">
            <v>8.6510321273089765</v>
          </cell>
          <cell r="CY1898">
            <v>13.473275210017142</v>
          </cell>
        </row>
        <row r="1899">
          <cell r="A1899">
            <v>42195</v>
          </cell>
          <cell r="CF1899">
            <v>22.999211067195915</v>
          </cell>
          <cell r="CG1899">
            <v>22.085252262534414</v>
          </cell>
          <cell r="CH1899">
            <v>18.555263085067214</v>
          </cell>
          <cell r="CI1899">
            <v>14.926604548033502</v>
          </cell>
          <cell r="CJ1899">
            <v>22.183921622100925</v>
          </cell>
          <cell r="CU1899">
            <v>13.886539895306298</v>
          </cell>
          <cell r="CV1899">
            <v>13.67289934744978</v>
          </cell>
          <cell r="CW1899">
            <v>11.062153668663059</v>
          </cell>
          <cell r="CX1899">
            <v>8.6510321273089765</v>
          </cell>
          <cell r="CY1899">
            <v>13.473275210017142</v>
          </cell>
        </row>
        <row r="1900">
          <cell r="A1900">
            <v>42198</v>
          </cell>
          <cell r="CF1900">
            <v>23.167076179703489</v>
          </cell>
          <cell r="CG1900">
            <v>22.085252262534414</v>
          </cell>
          <cell r="CH1900">
            <v>18.555263085067214</v>
          </cell>
          <cell r="CI1900">
            <v>14.926604548033502</v>
          </cell>
          <cell r="CJ1900">
            <v>22.183921622100925</v>
          </cell>
          <cell r="CU1900">
            <v>13.977609345919184</v>
          </cell>
          <cell r="CV1900">
            <v>13.67289934744978</v>
          </cell>
          <cell r="CW1900">
            <v>11.062153668663059</v>
          </cell>
          <cell r="CX1900">
            <v>8.6510321273089765</v>
          </cell>
          <cell r="CY1900">
            <v>13.473275210017142</v>
          </cell>
        </row>
        <row r="1901">
          <cell r="A1901">
            <v>42199</v>
          </cell>
          <cell r="CF1901">
            <v>23.271081316020496</v>
          </cell>
          <cell r="CG1901">
            <v>22.085252262534414</v>
          </cell>
          <cell r="CH1901">
            <v>18.555263085067214</v>
          </cell>
          <cell r="CI1901">
            <v>14.926604548033502</v>
          </cell>
          <cell r="CJ1901">
            <v>22.183921622100925</v>
          </cell>
          <cell r="CU1901">
            <v>14.030334602003073</v>
          </cell>
          <cell r="CV1901">
            <v>13.67289934744978</v>
          </cell>
          <cell r="CW1901">
            <v>11.062153668663059</v>
          </cell>
          <cell r="CX1901">
            <v>8.6510321273089765</v>
          </cell>
          <cell r="CY1901">
            <v>13.473275210017142</v>
          </cell>
        </row>
        <row r="1902">
          <cell r="A1902">
            <v>42200</v>
          </cell>
          <cell r="CF1902">
            <v>23.302691041279303</v>
          </cell>
          <cell r="CG1902">
            <v>22.085252262534414</v>
          </cell>
          <cell r="CH1902">
            <v>18.555263085067214</v>
          </cell>
          <cell r="CI1902">
            <v>14.926604548033502</v>
          </cell>
          <cell r="CJ1902">
            <v>22.183921622100925</v>
          </cell>
          <cell r="CU1902">
            <v>14.047511916579536</v>
          </cell>
          <cell r="CV1902">
            <v>13.67289934744978</v>
          </cell>
          <cell r="CW1902">
            <v>11.062153668663059</v>
          </cell>
          <cell r="CX1902">
            <v>8.6510321273089765</v>
          </cell>
          <cell r="CY1902">
            <v>13.473275210017142</v>
          </cell>
        </row>
        <row r="1903">
          <cell r="A1903">
            <v>42201</v>
          </cell>
          <cell r="CF1903">
            <v>23.41648605221101</v>
          </cell>
          <cell r="CG1903">
            <v>22.085252262534414</v>
          </cell>
          <cell r="CH1903">
            <v>18.555263085067214</v>
          </cell>
          <cell r="CI1903">
            <v>14.926604548033502</v>
          </cell>
          <cell r="CJ1903">
            <v>22.183921622100925</v>
          </cell>
          <cell r="CU1903">
            <v>14.109350249054804</v>
          </cell>
          <cell r="CV1903">
            <v>13.67289934744978</v>
          </cell>
          <cell r="CW1903">
            <v>11.062153668663059</v>
          </cell>
          <cell r="CX1903">
            <v>8.6510321273089765</v>
          </cell>
          <cell r="CY1903">
            <v>13.473275210017142</v>
          </cell>
        </row>
        <row r="1904">
          <cell r="A1904">
            <v>42202</v>
          </cell>
          <cell r="CF1904">
            <v>23.407003134633367</v>
          </cell>
          <cell r="CG1904">
            <v>22.085252262534414</v>
          </cell>
          <cell r="CH1904">
            <v>18.555263085067214</v>
          </cell>
          <cell r="CI1904">
            <v>14.926604548033502</v>
          </cell>
          <cell r="CJ1904">
            <v>22.183921622100925</v>
          </cell>
          <cell r="CU1904">
            <v>14.104196195816137</v>
          </cell>
          <cell r="CV1904">
            <v>13.67289934744978</v>
          </cell>
          <cell r="CW1904">
            <v>11.062153668663059</v>
          </cell>
          <cell r="CX1904">
            <v>8.6510321273089765</v>
          </cell>
          <cell r="CY1904">
            <v>13.473275210017142</v>
          </cell>
        </row>
        <row r="1905">
          <cell r="A1905">
            <v>42205</v>
          </cell>
          <cell r="CF1905">
            <v>23.391196691517703</v>
          </cell>
          <cell r="CG1905">
            <v>22.085252262534414</v>
          </cell>
          <cell r="CH1905">
            <v>18.555263085067214</v>
          </cell>
          <cell r="CI1905">
            <v>14.926604548033502</v>
          </cell>
          <cell r="CJ1905">
            <v>22.183921622100925</v>
          </cell>
          <cell r="CU1905">
            <v>14.095607538527904</v>
          </cell>
          <cell r="CV1905">
            <v>13.67289934744978</v>
          </cell>
          <cell r="CW1905">
            <v>11.062153668663059</v>
          </cell>
          <cell r="CX1905">
            <v>8.6510321273089765</v>
          </cell>
          <cell r="CY1905">
            <v>13.473275210017142</v>
          </cell>
        </row>
        <row r="1906">
          <cell r="A1906">
            <v>42206</v>
          </cell>
          <cell r="CF1906">
            <v>23.301108974530099</v>
          </cell>
          <cell r="CG1906">
            <v>22.085252262534414</v>
          </cell>
          <cell r="CH1906">
            <v>18.555263085067214</v>
          </cell>
          <cell r="CI1906">
            <v>14.926604548033502</v>
          </cell>
          <cell r="CJ1906">
            <v>22.183921622100925</v>
          </cell>
          <cell r="CU1906">
            <v>14.046652191984986</v>
          </cell>
          <cell r="CV1906">
            <v>13.67289934744978</v>
          </cell>
          <cell r="CW1906">
            <v>11.062153668663059</v>
          </cell>
          <cell r="CX1906">
            <v>8.6510321273089765</v>
          </cell>
          <cell r="CY1906">
            <v>13.473275210017142</v>
          </cell>
        </row>
        <row r="1907">
          <cell r="A1907">
            <v>42207</v>
          </cell>
          <cell r="CF1907">
            <v>23.490768906569208</v>
          </cell>
          <cell r="CG1907">
            <v>22.085252262534414</v>
          </cell>
          <cell r="CH1907">
            <v>18.555263085067214</v>
          </cell>
          <cell r="CI1907">
            <v>14.926604548033502</v>
          </cell>
          <cell r="CJ1907">
            <v>22.183921622100925</v>
          </cell>
          <cell r="CU1907">
            <v>14.149716938309494</v>
          </cell>
          <cell r="CV1907">
            <v>13.67289934744978</v>
          </cell>
          <cell r="CW1907">
            <v>11.062153668663059</v>
          </cell>
          <cell r="CX1907">
            <v>8.6510321273089765</v>
          </cell>
          <cell r="CY1907">
            <v>13.473275210017142</v>
          </cell>
        </row>
        <row r="1908">
          <cell r="A1908">
            <v>42208</v>
          </cell>
          <cell r="CF1908">
            <v>23.291626056952456</v>
          </cell>
          <cell r="CG1908">
            <v>22.085252262534414</v>
          </cell>
          <cell r="CH1908">
            <v>18.555263085067214</v>
          </cell>
          <cell r="CI1908">
            <v>14.926604548033502</v>
          </cell>
          <cell r="CJ1908">
            <v>22.183921622100925</v>
          </cell>
          <cell r="CU1908">
            <v>14.041498997612045</v>
          </cell>
          <cell r="CV1908">
            <v>13.67289934744978</v>
          </cell>
          <cell r="CW1908">
            <v>11.062153668663059</v>
          </cell>
          <cell r="CX1908">
            <v>8.6510321273089765</v>
          </cell>
          <cell r="CY1908">
            <v>13.473275210017142</v>
          </cell>
        </row>
        <row r="1909">
          <cell r="A1909">
            <v>42209</v>
          </cell>
          <cell r="CF1909">
            <v>23.236310618235809</v>
          </cell>
          <cell r="CG1909">
            <v>22.085252262534414</v>
          </cell>
          <cell r="CH1909">
            <v>18.555263085067214</v>
          </cell>
          <cell r="CI1909">
            <v>14.926604548033502</v>
          </cell>
          <cell r="CJ1909">
            <v>22.183921622100925</v>
          </cell>
          <cell r="CU1909">
            <v>14.011437838237505</v>
          </cell>
          <cell r="CV1909">
            <v>13.67289934744978</v>
          </cell>
          <cell r="CW1909">
            <v>11.062153668663059</v>
          </cell>
          <cell r="CX1909">
            <v>8.6510321273089765</v>
          </cell>
          <cell r="CY1909">
            <v>13.473275210017142</v>
          </cell>
        </row>
        <row r="1910">
          <cell r="A1910">
            <v>42212</v>
          </cell>
          <cell r="CF1910">
            <v>23.177977575921396</v>
          </cell>
          <cell r="CG1910">
            <v>22.085252262534414</v>
          </cell>
          <cell r="CH1910">
            <v>18.555263085067214</v>
          </cell>
          <cell r="CI1910">
            <v>14.926604548033502</v>
          </cell>
          <cell r="CJ1910">
            <v>22.183921622100925</v>
          </cell>
          <cell r="CU1910">
            <v>13.97970254494858</v>
          </cell>
          <cell r="CV1910">
            <v>13.67289934744978</v>
          </cell>
          <cell r="CW1910">
            <v>11.062153668663059</v>
          </cell>
          <cell r="CX1910">
            <v>8.6510321273089765</v>
          </cell>
          <cell r="CY1910">
            <v>13.473275210017142</v>
          </cell>
        </row>
        <row r="1911">
          <cell r="A1911">
            <v>42213</v>
          </cell>
          <cell r="CF1911">
            <v>23.637142531403033</v>
          </cell>
          <cell r="CG1911">
            <v>22.085252262534414</v>
          </cell>
          <cell r="CH1911">
            <v>18.555263085067214</v>
          </cell>
          <cell r="CI1911">
            <v>14.926604548033502</v>
          </cell>
          <cell r="CJ1911">
            <v>22.183921622100925</v>
          </cell>
          <cell r="CU1911">
            <v>14.234786430578767</v>
          </cell>
          <cell r="CV1911">
            <v>13.67289934744978</v>
          </cell>
          <cell r="CW1911">
            <v>11.062153668663059</v>
          </cell>
          <cell r="CX1911">
            <v>8.6510321273089765</v>
          </cell>
          <cell r="CY1911">
            <v>13.473275210017142</v>
          </cell>
        </row>
        <row r="1912">
          <cell r="A1912">
            <v>42214</v>
          </cell>
          <cell r="CF1912">
            <v>23.155575237252485</v>
          </cell>
          <cell r="CG1912">
            <v>22.085252262534414</v>
          </cell>
          <cell r="CH1912">
            <v>18.555263085067214</v>
          </cell>
          <cell r="CI1912">
            <v>14.926604548033502</v>
          </cell>
          <cell r="CJ1912">
            <v>22.183921622100925</v>
          </cell>
          <cell r="CU1912">
            <v>13.989137632340423</v>
          </cell>
          <cell r="CV1912">
            <v>13.67289934744978</v>
          </cell>
          <cell r="CW1912">
            <v>11.062153668663059</v>
          </cell>
          <cell r="CX1912">
            <v>8.6510321273089765</v>
          </cell>
          <cell r="CY1912">
            <v>13.473275210017142</v>
          </cell>
        </row>
        <row r="1913">
          <cell r="A1913">
            <v>42215</v>
          </cell>
          <cell r="CF1913">
            <v>23.212948805822894</v>
          </cell>
          <cell r="CG1913">
            <v>22.085252262534414</v>
          </cell>
          <cell r="CH1913">
            <v>18.555263085067214</v>
          </cell>
          <cell r="CI1913">
            <v>14.926604548033502</v>
          </cell>
          <cell r="CJ1913">
            <v>22.183921622100925</v>
          </cell>
          <cell r="CU1913">
            <v>13.999823236703156</v>
          </cell>
          <cell r="CV1913">
            <v>13.67289934744978</v>
          </cell>
          <cell r="CW1913">
            <v>11.062153668663059</v>
          </cell>
          <cell r="CX1913">
            <v>8.6510321273089765</v>
          </cell>
          <cell r="CY1913">
            <v>13.473275210017142</v>
          </cell>
        </row>
        <row r="1914">
          <cell r="A1914">
            <v>42216</v>
          </cell>
          <cell r="CF1914">
            <v>23.405915537514797</v>
          </cell>
          <cell r="CG1914">
            <v>22.085252262534414</v>
          </cell>
          <cell r="CH1914">
            <v>18.555263085067214</v>
          </cell>
          <cell r="CI1914">
            <v>14.926604548033502</v>
          </cell>
          <cell r="CJ1914">
            <v>22.183921622100925</v>
          </cell>
          <cell r="CU1914">
            <v>14.104657480643302</v>
          </cell>
          <cell r="CV1914">
            <v>13.67289934744978</v>
          </cell>
          <cell r="CW1914">
            <v>11.062153668663059</v>
          </cell>
          <cell r="CX1914">
            <v>8.6510321273089765</v>
          </cell>
          <cell r="CY1914">
            <v>13.473275210017142</v>
          </cell>
        </row>
        <row r="1915">
          <cell r="A1915">
            <v>42219</v>
          </cell>
          <cell r="CF1915">
            <v>23.01173239357362</v>
          </cell>
          <cell r="CG1915">
            <v>22.085252262534414</v>
          </cell>
          <cell r="CH1915">
            <v>18.555263085067214</v>
          </cell>
          <cell r="CI1915">
            <v>14.926604548033502</v>
          </cell>
          <cell r="CJ1915">
            <v>22.183921622100925</v>
          </cell>
          <cell r="CU1915">
            <v>13.816981641840899</v>
          </cell>
          <cell r="CV1915">
            <v>13.67289934744978</v>
          </cell>
          <cell r="CW1915">
            <v>11.062153668663059</v>
          </cell>
          <cell r="CX1915">
            <v>8.6510321273089765</v>
          </cell>
          <cell r="CY1915">
            <v>13.473275210017142</v>
          </cell>
        </row>
        <row r="1916">
          <cell r="A1916">
            <v>42220</v>
          </cell>
          <cell r="CF1916">
            <v>22.931781555500713</v>
          </cell>
          <cell r="CG1916">
            <v>22.085252262534414</v>
          </cell>
          <cell r="CH1916">
            <v>18.555263085067214</v>
          </cell>
          <cell r="CI1916">
            <v>14.926604548033502</v>
          </cell>
          <cell r="CJ1916">
            <v>22.183921622100925</v>
          </cell>
          <cell r="CU1916">
            <v>13.773452892506974</v>
          </cell>
          <cell r="CV1916">
            <v>13.67289934744978</v>
          </cell>
          <cell r="CW1916">
            <v>11.062153668663059</v>
          </cell>
          <cell r="CX1916">
            <v>8.6510321273089765</v>
          </cell>
          <cell r="CY1916">
            <v>13.473275210017142</v>
          </cell>
        </row>
        <row r="1917">
          <cell r="A1917">
            <v>42221</v>
          </cell>
          <cell r="CF1917">
            <v>23.025127965282493</v>
          </cell>
          <cell r="CG1917">
            <v>22.085252262534414</v>
          </cell>
          <cell r="CH1917">
            <v>18.555263085067214</v>
          </cell>
          <cell r="CI1917">
            <v>14.926604548033502</v>
          </cell>
          <cell r="CJ1917">
            <v>22.183921622100925</v>
          </cell>
          <cell r="CU1917">
            <v>13.829636243452544</v>
          </cell>
          <cell r="CV1917">
            <v>13.67289934744978</v>
          </cell>
          <cell r="CW1917">
            <v>11.062153668663059</v>
          </cell>
          <cell r="CX1917">
            <v>8.6510321273089765</v>
          </cell>
          <cell r="CY1917">
            <v>13.473275210017142</v>
          </cell>
        </row>
        <row r="1918">
          <cell r="A1918">
            <v>42222</v>
          </cell>
          <cell r="CF1918">
            <v>22.74277205459622</v>
          </cell>
          <cell r="CG1918">
            <v>22.085252262534414</v>
          </cell>
          <cell r="CH1918">
            <v>18.555263085067214</v>
          </cell>
          <cell r="CI1918">
            <v>14.926604548033502</v>
          </cell>
          <cell r="CJ1918">
            <v>22.183921622100925</v>
          </cell>
          <cell r="CU1918">
            <v>13.667402817519784</v>
          </cell>
          <cell r="CV1918">
            <v>13.67289934744978</v>
          </cell>
          <cell r="CW1918">
            <v>11.062153668663059</v>
          </cell>
          <cell r="CX1918">
            <v>8.6510321273089765</v>
          </cell>
          <cell r="CY1918">
            <v>13.473275210017142</v>
          </cell>
        </row>
        <row r="1919">
          <cell r="A1919">
            <v>42223</v>
          </cell>
          <cell r="CF1919">
            <v>22.720808973489696</v>
          </cell>
          <cell r="CG1919">
            <v>22.085252262534414</v>
          </cell>
          <cell r="CH1919">
            <v>18.555263085067214</v>
          </cell>
          <cell r="CI1919">
            <v>14.926604548033502</v>
          </cell>
          <cell r="CJ1919">
            <v>22.183921622100925</v>
          </cell>
          <cell r="CU1919">
            <v>13.655447004963349</v>
          </cell>
          <cell r="CV1919">
            <v>13.67289934744978</v>
          </cell>
          <cell r="CW1919">
            <v>11.062153668663059</v>
          </cell>
          <cell r="CX1919">
            <v>8.6510321273089765</v>
          </cell>
          <cell r="CY1919">
            <v>13.473275210017142</v>
          </cell>
        </row>
        <row r="1920">
          <cell r="A1920">
            <v>42226</v>
          </cell>
          <cell r="CF1920">
            <v>22.868275375204924</v>
          </cell>
          <cell r="CG1920">
            <v>22.085252262534414</v>
          </cell>
          <cell r="CH1920">
            <v>18.555263085067214</v>
          </cell>
          <cell r="CI1920">
            <v>14.926604548033502</v>
          </cell>
          <cell r="CJ1920">
            <v>22.183921622100925</v>
          </cell>
          <cell r="CU1920">
            <v>13.735702612371357</v>
          </cell>
          <cell r="CV1920">
            <v>13.67289934744978</v>
          </cell>
          <cell r="CW1920">
            <v>11.062153668663059</v>
          </cell>
          <cell r="CX1920">
            <v>8.6510321273089765</v>
          </cell>
          <cell r="CY1920">
            <v>13.473275210017142</v>
          </cell>
        </row>
        <row r="1921">
          <cell r="A1921">
            <v>42227</v>
          </cell>
          <cell r="CF1921">
            <v>22.78669664801776</v>
          </cell>
          <cell r="CG1921">
            <v>22.085252262534414</v>
          </cell>
          <cell r="CH1921">
            <v>18.555263085067214</v>
          </cell>
          <cell r="CI1921">
            <v>14.926604548033502</v>
          </cell>
          <cell r="CJ1921">
            <v>22.183921622100925</v>
          </cell>
          <cell r="CU1921">
            <v>13.691300828027432</v>
          </cell>
          <cell r="CV1921">
            <v>13.67289934744978</v>
          </cell>
          <cell r="CW1921">
            <v>11.062153668663059</v>
          </cell>
          <cell r="CX1921">
            <v>8.6510321273089765</v>
          </cell>
          <cell r="CY1921">
            <v>13.473275210017142</v>
          </cell>
        </row>
        <row r="1922">
          <cell r="A1922">
            <v>42228</v>
          </cell>
          <cell r="CF1922">
            <v>22.709825864144925</v>
          </cell>
          <cell r="CG1922">
            <v>22.085252262534414</v>
          </cell>
          <cell r="CH1922">
            <v>18.555263085067214</v>
          </cell>
          <cell r="CI1922">
            <v>14.926604548033502</v>
          </cell>
          <cell r="CJ1922">
            <v>22.183921622100925</v>
          </cell>
          <cell r="CU1922">
            <v>13.649461489690626</v>
          </cell>
          <cell r="CV1922">
            <v>13.67289934744978</v>
          </cell>
          <cell r="CW1922">
            <v>11.062153668663059</v>
          </cell>
          <cell r="CX1922">
            <v>8.6510321273089765</v>
          </cell>
          <cell r="CY1922">
            <v>13.473275210017142</v>
          </cell>
        </row>
        <row r="1923">
          <cell r="A1923">
            <v>42229</v>
          </cell>
          <cell r="CF1923">
            <v>22.77100873294167</v>
          </cell>
          <cell r="CG1923">
            <v>22.085252262534414</v>
          </cell>
          <cell r="CH1923">
            <v>18.555263085067214</v>
          </cell>
          <cell r="CI1923">
            <v>14.926604548033502</v>
          </cell>
          <cell r="CJ1923">
            <v>22.183921622100925</v>
          </cell>
          <cell r="CU1923">
            <v>13.682762187550532</v>
          </cell>
          <cell r="CV1923">
            <v>13.67289934744978</v>
          </cell>
          <cell r="CW1923">
            <v>11.062153668663059</v>
          </cell>
          <cell r="CX1923">
            <v>8.6510321273089765</v>
          </cell>
          <cell r="CY1923">
            <v>13.473275210017142</v>
          </cell>
        </row>
        <row r="1924">
          <cell r="A1924">
            <v>42230</v>
          </cell>
          <cell r="CF1924">
            <v>22.763166344195135</v>
          </cell>
          <cell r="CG1924">
            <v>22.085252262534414</v>
          </cell>
          <cell r="CH1924">
            <v>18.555263085067214</v>
          </cell>
          <cell r="CI1924">
            <v>14.926604548033502</v>
          </cell>
          <cell r="CJ1924">
            <v>22.183921622100925</v>
          </cell>
          <cell r="CU1924">
            <v>13.67472280132611</v>
          </cell>
          <cell r="CV1924">
            <v>13.67289934744978</v>
          </cell>
          <cell r="CW1924">
            <v>11.062153668663059</v>
          </cell>
          <cell r="CX1924">
            <v>8.6510321273089765</v>
          </cell>
          <cell r="CY1924">
            <v>13.473275210017142</v>
          </cell>
        </row>
        <row r="1925">
          <cell r="A1925">
            <v>42233</v>
          </cell>
          <cell r="CF1925">
            <v>22.891971226787536</v>
          </cell>
          <cell r="CG1925">
            <v>22.085252262534414</v>
          </cell>
          <cell r="CH1925">
            <v>18.555263085067214</v>
          </cell>
          <cell r="CI1925">
            <v>14.926604548033502</v>
          </cell>
          <cell r="CJ1925">
            <v>22.183921622100925</v>
          </cell>
          <cell r="CU1925">
            <v>13.73959857890911</v>
          </cell>
          <cell r="CV1925">
            <v>13.67289934744978</v>
          </cell>
          <cell r="CW1925">
            <v>11.062153668663059</v>
          </cell>
          <cell r="CX1925">
            <v>8.6510321273089765</v>
          </cell>
          <cell r="CY1925">
            <v>13.473275210017142</v>
          </cell>
        </row>
        <row r="1926">
          <cell r="A1926">
            <v>42234</v>
          </cell>
          <cell r="CF1926">
            <v>23.119539628566269</v>
          </cell>
          <cell r="CG1926">
            <v>22.085252262534414</v>
          </cell>
          <cell r="CH1926">
            <v>18.555263085067214</v>
          </cell>
          <cell r="CI1926">
            <v>14.926604548033502</v>
          </cell>
          <cell r="CJ1926">
            <v>22.183921622100925</v>
          </cell>
          <cell r="CU1926">
            <v>13.863373879879608</v>
          </cell>
          <cell r="CV1926">
            <v>13.67289934744978</v>
          </cell>
          <cell r="CW1926">
            <v>11.062153668663059</v>
          </cell>
          <cell r="CX1926">
            <v>8.6510321273089765</v>
          </cell>
          <cell r="CY1926">
            <v>13.473275210017142</v>
          </cell>
        </row>
        <row r="1927">
          <cell r="A1927">
            <v>42235</v>
          </cell>
          <cell r="CF1927">
            <v>23.025374313368772</v>
          </cell>
          <cell r="CG1927">
            <v>22.085252262534414</v>
          </cell>
          <cell r="CH1927">
            <v>18.555263085067214</v>
          </cell>
          <cell r="CI1927">
            <v>14.926604548033502</v>
          </cell>
          <cell r="CJ1927">
            <v>22.183921622100925</v>
          </cell>
          <cell r="CU1927">
            <v>13.812157014363786</v>
          </cell>
          <cell r="CV1927">
            <v>13.67289934744978</v>
          </cell>
          <cell r="CW1927">
            <v>11.062153668663059</v>
          </cell>
          <cell r="CX1927">
            <v>8.6510321273089765</v>
          </cell>
          <cell r="CY1927">
            <v>13.473275210017142</v>
          </cell>
        </row>
        <row r="1928">
          <cell r="A1928">
            <v>42236</v>
          </cell>
          <cell r="CF1928">
            <v>22.381900601624</v>
          </cell>
          <cell r="CG1928">
            <v>22.085252262534414</v>
          </cell>
          <cell r="CH1928">
            <v>18.555263085067214</v>
          </cell>
          <cell r="CI1928">
            <v>14.926604548033502</v>
          </cell>
          <cell r="CJ1928">
            <v>22.183921622100925</v>
          </cell>
          <cell r="CU1928">
            <v>13.459570033451365</v>
          </cell>
          <cell r="CV1928">
            <v>13.67289934744978</v>
          </cell>
          <cell r="CW1928">
            <v>11.062153668663059</v>
          </cell>
          <cell r="CX1928">
            <v>8.6510321273089765</v>
          </cell>
          <cell r="CY1928">
            <v>13.473275210017142</v>
          </cell>
        </row>
        <row r="1929">
          <cell r="A1929">
            <v>42237</v>
          </cell>
          <cell r="CF1929">
            <v>21.674079518704758</v>
          </cell>
          <cell r="CG1929">
            <v>22.085252262534414</v>
          </cell>
          <cell r="CH1929">
            <v>18.555263085067214</v>
          </cell>
          <cell r="CI1929">
            <v>14.926604548033502</v>
          </cell>
          <cell r="CJ1929">
            <v>22.183921622100925</v>
          </cell>
          <cell r="CU1929">
            <v>13.074656989741968</v>
          </cell>
          <cell r="CV1929">
            <v>13.67289934744978</v>
          </cell>
          <cell r="CW1929">
            <v>11.062153668663059</v>
          </cell>
          <cell r="CX1929">
            <v>8.6510321273089765</v>
          </cell>
          <cell r="CY1929">
            <v>13.473275210017142</v>
          </cell>
        </row>
        <row r="1930">
          <cell r="A1930">
            <v>42240</v>
          </cell>
          <cell r="CF1930">
            <v>20.9223123201695</v>
          </cell>
          <cell r="CG1930">
            <v>22.085252262534414</v>
          </cell>
          <cell r="CH1930">
            <v>18.555263085067214</v>
          </cell>
          <cell r="CI1930">
            <v>14.926604548033502</v>
          </cell>
          <cell r="CJ1930">
            <v>22.183921622100925</v>
          </cell>
          <cell r="CU1930">
            <v>12.665847812075393</v>
          </cell>
          <cell r="CV1930">
            <v>13.67289934744978</v>
          </cell>
          <cell r="CW1930">
            <v>11.062153668663059</v>
          </cell>
          <cell r="CX1930">
            <v>8.6510321273089765</v>
          </cell>
          <cell r="CY1930">
            <v>13.473275210017142</v>
          </cell>
        </row>
        <row r="1931">
          <cell r="A1931">
            <v>42241</v>
          </cell>
          <cell r="CF1931">
            <v>20.752811927807464</v>
          </cell>
          <cell r="CG1931">
            <v>22.085252262534414</v>
          </cell>
          <cell r="CH1931">
            <v>18.555263085067214</v>
          </cell>
          <cell r="CI1931">
            <v>14.926604548033502</v>
          </cell>
          <cell r="CJ1931">
            <v>22.183921622100925</v>
          </cell>
          <cell r="CU1931">
            <v>12.57367371773721</v>
          </cell>
          <cell r="CV1931">
            <v>13.67289934744978</v>
          </cell>
          <cell r="CW1931">
            <v>11.062153668663059</v>
          </cell>
          <cell r="CX1931">
            <v>8.6510321273089765</v>
          </cell>
          <cell r="CY1931">
            <v>13.473275210017142</v>
          </cell>
        </row>
        <row r="1932">
          <cell r="A1932">
            <v>42242</v>
          </cell>
          <cell r="CF1932">
            <v>21.543815328278381</v>
          </cell>
          <cell r="CG1932">
            <v>22.085252262534414</v>
          </cell>
          <cell r="CH1932">
            <v>18.555263085067214</v>
          </cell>
          <cell r="CI1932">
            <v>14.926604548033502</v>
          </cell>
          <cell r="CJ1932">
            <v>22.183921622100925</v>
          </cell>
          <cell r="CU1932">
            <v>13.003820344779237</v>
          </cell>
          <cell r="CV1932">
            <v>13.67289934744978</v>
          </cell>
          <cell r="CW1932">
            <v>11.062153668663059</v>
          </cell>
          <cell r="CX1932">
            <v>8.6510321273089765</v>
          </cell>
          <cell r="CY1932">
            <v>13.473275210017142</v>
          </cell>
        </row>
        <row r="1933">
          <cell r="A1933">
            <v>42243</v>
          </cell>
          <cell r="CF1933">
            <v>21.765105937747403</v>
          </cell>
          <cell r="CG1933">
            <v>22.085252262534414</v>
          </cell>
          <cell r="CH1933">
            <v>18.555263085067214</v>
          </cell>
          <cell r="CI1933">
            <v>14.926604548033502</v>
          </cell>
          <cell r="CJ1933">
            <v>22.183921622100925</v>
          </cell>
          <cell r="CU1933">
            <v>13.124157892256918</v>
          </cell>
          <cell r="CV1933">
            <v>13.67289934744978</v>
          </cell>
          <cell r="CW1933">
            <v>11.062153668663059</v>
          </cell>
          <cell r="CX1933">
            <v>8.6510321273089765</v>
          </cell>
          <cell r="CY1933">
            <v>13.473275210017142</v>
          </cell>
        </row>
        <row r="1934">
          <cell r="A1934">
            <v>42244</v>
          </cell>
          <cell r="CF1934">
            <v>21.878106199322094</v>
          </cell>
          <cell r="CG1934">
            <v>22.085252262534414</v>
          </cell>
          <cell r="CH1934">
            <v>18.555263085067214</v>
          </cell>
          <cell r="CI1934">
            <v>14.926604548033502</v>
          </cell>
          <cell r="CJ1934">
            <v>22.183921622100925</v>
          </cell>
          <cell r="CU1934">
            <v>13.185607288482371</v>
          </cell>
          <cell r="CV1934">
            <v>13.67289934744978</v>
          </cell>
          <cell r="CW1934">
            <v>11.062153668663059</v>
          </cell>
          <cell r="CX1934">
            <v>8.6510321273089765</v>
          </cell>
          <cell r="CY1934">
            <v>13.473275210017142</v>
          </cell>
        </row>
        <row r="1935">
          <cell r="A1935">
            <v>42247</v>
          </cell>
          <cell r="CF1935">
            <v>21.470686860054784</v>
          </cell>
          <cell r="CG1935">
            <v>22.085252262534414</v>
          </cell>
          <cell r="CH1935">
            <v>18.555263085067214</v>
          </cell>
          <cell r="CI1935">
            <v>14.926604548033502</v>
          </cell>
          <cell r="CJ1935">
            <v>22.183921622100925</v>
          </cell>
          <cell r="CU1935">
            <v>12.959343659552111</v>
          </cell>
          <cell r="CV1935">
            <v>13.67289934744978</v>
          </cell>
          <cell r="CW1935">
            <v>11.062153668663059</v>
          </cell>
          <cell r="CX1935">
            <v>8.6510321273089765</v>
          </cell>
          <cell r="CY1935">
            <v>13.473275210017142</v>
          </cell>
        </row>
        <row r="1936">
          <cell r="A1936">
            <v>42248</v>
          </cell>
          <cell r="CF1936">
            <v>20.623215975524712</v>
          </cell>
          <cell r="CG1936">
            <v>22.085252262534414</v>
          </cell>
          <cell r="CH1936">
            <v>18.555263085067214</v>
          </cell>
          <cell r="CI1936">
            <v>14.926604548033502</v>
          </cell>
          <cell r="CJ1936">
            <v>22.183921622100925</v>
          </cell>
          <cell r="CU1936">
            <v>12.512581347511695</v>
          </cell>
          <cell r="CV1936">
            <v>13.67289934744978</v>
          </cell>
          <cell r="CW1936">
            <v>11.062153668663059</v>
          </cell>
          <cell r="CX1936">
            <v>8.6510321273089765</v>
          </cell>
          <cell r="CY1936">
            <v>13.473275210017142</v>
          </cell>
        </row>
        <row r="1937">
          <cell r="A1937">
            <v>42249</v>
          </cell>
          <cell r="CF1937">
            <v>21.060984754200373</v>
          </cell>
          <cell r="CG1937">
            <v>22.085252262534414</v>
          </cell>
          <cell r="CH1937">
            <v>18.555263085067214</v>
          </cell>
          <cell r="CI1937">
            <v>14.926604548033502</v>
          </cell>
          <cell r="CJ1937">
            <v>22.183921622100925</v>
          </cell>
          <cell r="CU1937">
            <v>12.762863023690709</v>
          </cell>
          <cell r="CV1937">
            <v>13.67289934744978</v>
          </cell>
          <cell r="CW1937">
            <v>11.062153668663059</v>
          </cell>
          <cell r="CX1937">
            <v>8.6510321273089765</v>
          </cell>
          <cell r="CY1937">
            <v>13.473275210017142</v>
          </cell>
        </row>
        <row r="1938">
          <cell r="A1938">
            <v>42250</v>
          </cell>
          <cell r="CF1938">
            <v>21.025202240199128</v>
          </cell>
          <cell r="CG1938">
            <v>22.085252262534414</v>
          </cell>
          <cell r="CH1938">
            <v>18.555263085067214</v>
          </cell>
          <cell r="CI1938">
            <v>14.926604548033502</v>
          </cell>
          <cell r="CJ1938">
            <v>22.183921622100925</v>
          </cell>
          <cell r="CU1938">
            <v>12.743354255640758</v>
          </cell>
          <cell r="CV1938">
            <v>13.67289934744978</v>
          </cell>
          <cell r="CW1938">
            <v>11.062153668663059</v>
          </cell>
          <cell r="CX1938">
            <v>8.6510321273089765</v>
          </cell>
          <cell r="CY1938">
            <v>13.473275210017142</v>
          </cell>
        </row>
        <row r="1939">
          <cell r="A1939">
            <v>42251</v>
          </cell>
          <cell r="CF1939">
            <v>20.732733354075918</v>
          </cell>
          <cell r="CG1939">
            <v>22.085252262534414</v>
          </cell>
          <cell r="CH1939">
            <v>18.555263085067214</v>
          </cell>
          <cell r="CI1939">
            <v>14.926604548033502</v>
          </cell>
          <cell r="CJ1939">
            <v>22.183921622100925</v>
          </cell>
          <cell r="CU1939">
            <v>12.583897366715968</v>
          </cell>
          <cell r="CV1939">
            <v>13.67289934744978</v>
          </cell>
          <cell r="CW1939">
            <v>11.062153668663059</v>
          </cell>
          <cell r="CX1939">
            <v>8.6510321273089765</v>
          </cell>
          <cell r="CY1939">
            <v>13.473275210017142</v>
          </cell>
        </row>
        <row r="1940">
          <cell r="A1940">
            <v>42254</v>
          </cell>
          <cell r="CF1940">
            <v>20.732733354075918</v>
          </cell>
          <cell r="CG1940">
            <v>22.085252262534414</v>
          </cell>
          <cell r="CH1940">
            <v>18.555263085067214</v>
          </cell>
          <cell r="CI1940">
            <v>14.926604548033502</v>
          </cell>
          <cell r="CJ1940">
            <v>22.183921622100925</v>
          </cell>
          <cell r="CU1940">
            <v>12.583899063056828</v>
          </cell>
          <cell r="CV1940">
            <v>13.67289934744978</v>
          </cell>
          <cell r="CW1940">
            <v>11.062153668663059</v>
          </cell>
          <cell r="CX1940">
            <v>8.6510321273089765</v>
          </cell>
          <cell r="CY1940">
            <v>13.473275210017142</v>
          </cell>
        </row>
        <row r="1941">
          <cell r="A1941">
            <v>42255</v>
          </cell>
          <cell r="CF1941">
            <v>21.249222153080275</v>
          </cell>
          <cell r="CG1941">
            <v>22.085252262534414</v>
          </cell>
          <cell r="CH1941">
            <v>18.555263085067214</v>
          </cell>
          <cell r="CI1941">
            <v>14.926604548033502</v>
          </cell>
          <cell r="CJ1941">
            <v>22.183921622100925</v>
          </cell>
          <cell r="CU1941">
            <v>12.865490797495161</v>
          </cell>
          <cell r="CV1941">
            <v>13.67289934744978</v>
          </cell>
          <cell r="CW1941">
            <v>11.062153668663059</v>
          </cell>
          <cell r="CX1941">
            <v>8.6510321273089765</v>
          </cell>
          <cell r="CY1941">
            <v>13.473275210017142</v>
          </cell>
        </row>
        <row r="1942">
          <cell r="A1942">
            <v>42256</v>
          </cell>
          <cell r="CF1942">
            <v>20.902303982576228</v>
          </cell>
          <cell r="CG1942">
            <v>22.085252262534414</v>
          </cell>
          <cell r="CH1942">
            <v>18.555263085067214</v>
          </cell>
          <cell r="CI1942">
            <v>14.926604548033502</v>
          </cell>
          <cell r="CJ1942">
            <v>22.183921622100925</v>
          </cell>
          <cell r="CU1942">
            <v>12.676349639877172</v>
          </cell>
          <cell r="CV1942">
            <v>13.67289934744978</v>
          </cell>
          <cell r="CW1942">
            <v>11.062153668663059</v>
          </cell>
          <cell r="CX1942">
            <v>8.6510321273089765</v>
          </cell>
          <cell r="CY1942">
            <v>13.473275210017142</v>
          </cell>
        </row>
        <row r="1943">
          <cell r="A1943">
            <v>42257</v>
          </cell>
          <cell r="CF1943">
            <v>20.978532980709396</v>
          </cell>
          <cell r="CG1943">
            <v>22.085252262534414</v>
          </cell>
          <cell r="CH1943">
            <v>18.555263085067214</v>
          </cell>
          <cell r="CI1943">
            <v>14.926604548033502</v>
          </cell>
          <cell r="CJ1943">
            <v>22.183921622100925</v>
          </cell>
          <cell r="CU1943">
            <v>12.717909142754422</v>
          </cell>
          <cell r="CV1943">
            <v>13.67289934744978</v>
          </cell>
          <cell r="CW1943">
            <v>11.062153668663059</v>
          </cell>
          <cell r="CX1943">
            <v>8.6510321273089765</v>
          </cell>
          <cell r="CY1943">
            <v>13.473275210017142</v>
          </cell>
        </row>
        <row r="1944">
          <cell r="A1944">
            <v>42258</v>
          </cell>
          <cell r="CF1944">
            <v>21.039205040448042</v>
          </cell>
          <cell r="CG1944">
            <v>22.085252262534414</v>
          </cell>
          <cell r="CH1944">
            <v>18.555263085067214</v>
          </cell>
          <cell r="CI1944">
            <v>14.926604548033502</v>
          </cell>
          <cell r="CJ1944">
            <v>22.183921622100925</v>
          </cell>
          <cell r="CU1944">
            <v>12.750987789506658</v>
          </cell>
          <cell r="CV1944">
            <v>13.67289934744978</v>
          </cell>
          <cell r="CW1944">
            <v>11.062153668663059</v>
          </cell>
          <cell r="CX1944">
            <v>8.6510321273089765</v>
          </cell>
          <cell r="CY1944">
            <v>13.473275210017142</v>
          </cell>
        </row>
        <row r="1945">
          <cell r="A1945">
            <v>42261</v>
          </cell>
          <cell r="CF1945">
            <v>21.075326905532801</v>
          </cell>
          <cell r="CG1945">
            <v>22.085252262534414</v>
          </cell>
          <cell r="CH1945">
            <v>18.555263085067214</v>
          </cell>
          <cell r="CI1945">
            <v>14.926604548033502</v>
          </cell>
          <cell r="CJ1945">
            <v>22.183921622100925</v>
          </cell>
          <cell r="CU1945">
            <v>12.772231867581791</v>
          </cell>
          <cell r="CV1945">
            <v>13.67289934744978</v>
          </cell>
          <cell r="CW1945">
            <v>11.062153668663059</v>
          </cell>
          <cell r="CX1945">
            <v>8.6510321273089765</v>
          </cell>
          <cell r="CY1945">
            <v>13.473275210017142</v>
          </cell>
        </row>
        <row r="1946">
          <cell r="A1946">
            <v>42262</v>
          </cell>
          <cell r="CF1946">
            <v>21.062882990646067</v>
          </cell>
          <cell r="CG1946">
            <v>22.085252262534414</v>
          </cell>
          <cell r="CH1946">
            <v>18.555263085067214</v>
          </cell>
          <cell r="CI1946">
            <v>14.926604548033502</v>
          </cell>
          <cell r="CJ1946">
            <v>22.183921622100925</v>
          </cell>
          <cell r="CU1946">
            <v>12.765446483442652</v>
          </cell>
          <cell r="CV1946">
            <v>13.67289934744978</v>
          </cell>
          <cell r="CW1946">
            <v>11.062153668663059</v>
          </cell>
          <cell r="CX1946">
            <v>8.6510321273089765</v>
          </cell>
          <cell r="CY1946">
            <v>13.473275210017142</v>
          </cell>
        </row>
        <row r="1947">
          <cell r="A1947">
            <v>42263</v>
          </cell>
          <cell r="CF1947">
            <v>21.244875245864538</v>
          </cell>
          <cell r="CG1947">
            <v>22.085252262534414</v>
          </cell>
          <cell r="CH1947">
            <v>18.555263085067214</v>
          </cell>
          <cell r="CI1947">
            <v>14.926604548033502</v>
          </cell>
          <cell r="CJ1947">
            <v>22.183921622100925</v>
          </cell>
          <cell r="CU1947">
            <v>12.864682726477573</v>
          </cell>
          <cell r="CV1947">
            <v>13.67289934744978</v>
          </cell>
          <cell r="CW1947">
            <v>11.062153668663059</v>
          </cell>
          <cell r="CX1947">
            <v>8.6510321273089765</v>
          </cell>
          <cell r="CY1947">
            <v>13.473275210017142</v>
          </cell>
        </row>
        <row r="1948">
          <cell r="A1948">
            <v>42264</v>
          </cell>
          <cell r="CF1948">
            <v>21.487101669195752</v>
          </cell>
          <cell r="CG1948">
            <v>22.085252262534414</v>
          </cell>
          <cell r="CH1948">
            <v>18.555263085067214</v>
          </cell>
          <cell r="CI1948">
            <v>14.926604548033502</v>
          </cell>
          <cell r="CJ1948">
            <v>22.183921622100925</v>
          </cell>
          <cell r="CU1948">
            <v>13.032636149065407</v>
          </cell>
          <cell r="CV1948">
            <v>13.67289934744978</v>
          </cell>
          <cell r="CW1948">
            <v>11.062153668663059</v>
          </cell>
          <cell r="CX1948">
            <v>8.6510321273089765</v>
          </cell>
          <cell r="CY1948">
            <v>13.473275210017142</v>
          </cell>
        </row>
        <row r="1949">
          <cell r="A1949">
            <v>42265</v>
          </cell>
          <cell r="CF1949">
            <v>21.376601688650247</v>
          </cell>
          <cell r="CG1949">
            <v>22.085252262534414</v>
          </cell>
          <cell r="CH1949">
            <v>18.555263085067214</v>
          </cell>
          <cell r="CI1949">
            <v>14.926604548033502</v>
          </cell>
          <cell r="CJ1949">
            <v>22.183921622100925</v>
          </cell>
          <cell r="CU1949">
            <v>12.972219191717183</v>
          </cell>
          <cell r="CV1949">
            <v>13.67289934744978</v>
          </cell>
          <cell r="CW1949">
            <v>11.062153668663059</v>
          </cell>
          <cell r="CX1949">
            <v>8.6510321273089765</v>
          </cell>
          <cell r="CY1949">
            <v>13.473275210017142</v>
          </cell>
        </row>
        <row r="1950">
          <cell r="A1950">
            <v>42268</v>
          </cell>
          <cell r="CF1950">
            <v>21.314345745301736</v>
          </cell>
          <cell r="CG1950">
            <v>22.085252262534414</v>
          </cell>
          <cell r="CH1950">
            <v>18.555263085067214</v>
          </cell>
          <cell r="CI1950">
            <v>14.926604548033502</v>
          </cell>
          <cell r="CJ1950">
            <v>22.183921622100925</v>
          </cell>
          <cell r="CU1950">
            <v>12.938181469267478</v>
          </cell>
          <cell r="CV1950">
            <v>13.67289934744978</v>
          </cell>
          <cell r="CW1950">
            <v>11.062153668663059</v>
          </cell>
          <cell r="CX1950">
            <v>8.6510321273089765</v>
          </cell>
          <cell r="CY1950">
            <v>13.473275210017142</v>
          </cell>
        </row>
        <row r="1951">
          <cell r="A1951">
            <v>42269</v>
          </cell>
          <cell r="CF1951">
            <v>21.077779074744175</v>
          </cell>
          <cell r="CG1951">
            <v>22.085252262534414</v>
          </cell>
          <cell r="CH1951">
            <v>18.555263085067214</v>
          </cell>
          <cell r="CI1951">
            <v>14.926604548033502</v>
          </cell>
          <cell r="CJ1951">
            <v>22.183921622100925</v>
          </cell>
          <cell r="CU1951">
            <v>12.808838123958601</v>
          </cell>
          <cell r="CV1951">
            <v>13.67289934744978</v>
          </cell>
          <cell r="CW1951">
            <v>11.062153668663059</v>
          </cell>
          <cell r="CX1951">
            <v>8.6510321273089765</v>
          </cell>
          <cell r="CY1951">
            <v>13.473275210017142</v>
          </cell>
        </row>
        <row r="1952">
          <cell r="A1952">
            <v>42270</v>
          </cell>
          <cell r="CF1952">
            <v>21.009489811790324</v>
          </cell>
          <cell r="CG1952">
            <v>22.085252262534414</v>
          </cell>
          <cell r="CH1952">
            <v>18.555263085067214</v>
          </cell>
          <cell r="CI1952">
            <v>14.926604548033502</v>
          </cell>
          <cell r="CJ1952">
            <v>22.183921622100925</v>
          </cell>
          <cell r="CU1952">
            <v>12.778205024696931</v>
          </cell>
          <cell r="CV1952">
            <v>13.67289934744978</v>
          </cell>
          <cell r="CW1952">
            <v>11.062153668663059</v>
          </cell>
          <cell r="CX1952">
            <v>8.6510321273089765</v>
          </cell>
          <cell r="CY1952">
            <v>13.473275210017142</v>
          </cell>
        </row>
        <row r="1953">
          <cell r="A1953">
            <v>42271</v>
          </cell>
          <cell r="CF1953">
            <v>20.818167677710374</v>
          </cell>
          <cell r="CG1953">
            <v>22.085252262534414</v>
          </cell>
          <cell r="CH1953">
            <v>18.555263085067214</v>
          </cell>
          <cell r="CI1953">
            <v>14.926604548033502</v>
          </cell>
          <cell r="CJ1953">
            <v>22.183921622100925</v>
          </cell>
          <cell r="CU1953">
            <v>12.673538177221028</v>
          </cell>
          <cell r="CV1953">
            <v>13.67289934744978</v>
          </cell>
          <cell r="CW1953">
            <v>11.062153668663059</v>
          </cell>
          <cell r="CX1953">
            <v>8.6510321273089765</v>
          </cell>
          <cell r="CY1953">
            <v>13.473275210017142</v>
          </cell>
        </row>
        <row r="1954">
          <cell r="A1954">
            <v>42272</v>
          </cell>
          <cell r="CF1954">
            <v>20.393530875719392</v>
          </cell>
          <cell r="CG1954">
            <v>22.085252262534414</v>
          </cell>
          <cell r="CH1954">
            <v>18.555263085067214</v>
          </cell>
          <cell r="CI1954">
            <v>14.926604548033502</v>
          </cell>
          <cell r="CJ1954">
            <v>22.183921622100925</v>
          </cell>
          <cell r="CU1954">
            <v>12.441231572444856</v>
          </cell>
          <cell r="CV1954">
            <v>13.67289934744978</v>
          </cell>
          <cell r="CW1954">
            <v>11.062153668663059</v>
          </cell>
          <cell r="CX1954">
            <v>8.6510321273089765</v>
          </cell>
          <cell r="CY1954">
            <v>13.473275210017142</v>
          </cell>
        </row>
        <row r="1955">
          <cell r="A1955">
            <v>42275</v>
          </cell>
          <cell r="CF1955">
            <v>19.987556385129878</v>
          </cell>
          <cell r="CG1955">
            <v>22.085252262534414</v>
          </cell>
          <cell r="CH1955">
            <v>18.555263085067214</v>
          </cell>
          <cell r="CI1955">
            <v>14.926604548033502</v>
          </cell>
          <cell r="CJ1955">
            <v>22.183921622100925</v>
          </cell>
          <cell r="CU1955">
            <v>12.219134582517475</v>
          </cell>
          <cell r="CV1955">
            <v>13.67289934744978</v>
          </cell>
          <cell r="CW1955">
            <v>11.062153668663059</v>
          </cell>
          <cell r="CX1955">
            <v>8.6510321273089765</v>
          </cell>
          <cell r="CY1955">
            <v>13.473275210017142</v>
          </cell>
        </row>
        <row r="1956">
          <cell r="A1956">
            <v>42276</v>
          </cell>
          <cell r="CF1956">
            <v>20.213096904650797</v>
          </cell>
          <cell r="CG1956">
            <v>22.085252262534414</v>
          </cell>
          <cell r="CH1956">
            <v>18.555263085067214</v>
          </cell>
          <cell r="CI1956">
            <v>14.926604548033502</v>
          </cell>
          <cell r="CJ1956">
            <v>22.183921622100925</v>
          </cell>
          <cell r="CU1956">
            <v>12.342521326397655</v>
          </cell>
          <cell r="CV1956">
            <v>13.67289934744978</v>
          </cell>
          <cell r="CW1956">
            <v>11.062153668663059</v>
          </cell>
          <cell r="CX1956">
            <v>8.6510321273089765</v>
          </cell>
          <cell r="CY1956">
            <v>13.473275210017142</v>
          </cell>
        </row>
        <row r="1957">
          <cell r="A1957">
            <v>42277</v>
          </cell>
          <cell r="CF1957">
            <v>20.643958624980556</v>
          </cell>
          <cell r="CG1957">
            <v>22.085252262534414</v>
          </cell>
          <cell r="CH1957">
            <v>18.555263085067214</v>
          </cell>
          <cell r="CI1957">
            <v>14.926604548033502</v>
          </cell>
          <cell r="CJ1957">
            <v>22.183921622100925</v>
          </cell>
          <cell r="CU1957">
            <v>12.104050299751188</v>
          </cell>
          <cell r="CV1957">
            <v>13.67289934744978</v>
          </cell>
          <cell r="CW1957">
            <v>11.062153668663059</v>
          </cell>
          <cell r="CX1957">
            <v>8.6510321273089765</v>
          </cell>
          <cell r="CY1957">
            <v>13.473275210017142</v>
          </cell>
        </row>
        <row r="1958">
          <cell r="A1958">
            <v>42278</v>
          </cell>
          <cell r="CF1958">
            <v>20.692161468509124</v>
          </cell>
          <cell r="CG1958">
            <v>22.085252262534414</v>
          </cell>
          <cell r="CH1958">
            <v>18.555263085067214</v>
          </cell>
          <cell r="CI1958">
            <v>14.926604548033502</v>
          </cell>
          <cell r="CJ1958">
            <v>22.183921622100925</v>
          </cell>
          <cell r="CU1958">
            <v>12.082398765727371</v>
          </cell>
          <cell r="CV1958">
            <v>13.67289934744978</v>
          </cell>
          <cell r="CW1958">
            <v>11.062153668663059</v>
          </cell>
          <cell r="CX1958">
            <v>8.6510321273089765</v>
          </cell>
          <cell r="CY1958">
            <v>13.473275210017142</v>
          </cell>
        </row>
        <row r="1959">
          <cell r="A1959">
            <v>42279</v>
          </cell>
          <cell r="CF1959">
            <v>21.212915157588508</v>
          </cell>
          <cell r="CG1959">
            <v>22.085252262534414</v>
          </cell>
          <cell r="CH1959">
            <v>18.555263085067214</v>
          </cell>
          <cell r="CI1959">
            <v>14.926604548033502</v>
          </cell>
          <cell r="CJ1959">
            <v>22.183921622100925</v>
          </cell>
          <cell r="CU1959">
            <v>12.369910619015561</v>
          </cell>
          <cell r="CV1959">
            <v>13.67289934744978</v>
          </cell>
          <cell r="CW1959">
            <v>11.062153668663059</v>
          </cell>
          <cell r="CX1959">
            <v>8.6510321273089765</v>
          </cell>
          <cell r="CY1959">
            <v>13.473275210017142</v>
          </cell>
        </row>
        <row r="1960">
          <cell r="A1960">
            <v>42282</v>
          </cell>
          <cell r="CF1960">
            <v>21.300551046342775</v>
          </cell>
          <cell r="CG1960">
            <v>22.085252262534414</v>
          </cell>
          <cell r="CH1960">
            <v>18.555263085067214</v>
          </cell>
          <cell r="CI1960">
            <v>14.926604548033502</v>
          </cell>
          <cell r="CJ1960">
            <v>22.183921622100925</v>
          </cell>
          <cell r="CU1960">
            <v>12.917035165724663</v>
          </cell>
          <cell r="CV1960">
            <v>13.67289934744978</v>
          </cell>
          <cell r="CW1960">
            <v>11.062153668663059</v>
          </cell>
          <cell r="CX1960">
            <v>8.6510321273089765</v>
          </cell>
          <cell r="CY1960">
            <v>13.473275210017142</v>
          </cell>
        </row>
        <row r="1961">
          <cell r="A1961">
            <v>42283</v>
          </cell>
          <cell r="CF1961">
            <v>21.055173122369201</v>
          </cell>
          <cell r="CG1961">
            <v>22.085252262534414</v>
          </cell>
          <cell r="CH1961">
            <v>18.555263085067214</v>
          </cell>
          <cell r="CI1961">
            <v>14.926604548033502</v>
          </cell>
          <cell r="CJ1961">
            <v>22.183921622100925</v>
          </cell>
          <cell r="CU1961">
            <v>12.783065719937477</v>
          </cell>
          <cell r="CV1961">
            <v>13.67289934744978</v>
          </cell>
          <cell r="CW1961">
            <v>11.062153668663059</v>
          </cell>
          <cell r="CX1961">
            <v>8.6510321273089765</v>
          </cell>
          <cell r="CY1961">
            <v>13.473275210017142</v>
          </cell>
        </row>
        <row r="1962">
          <cell r="A1962">
            <v>42284</v>
          </cell>
          <cell r="CF1962">
            <v>21.372682686762566</v>
          </cell>
          <cell r="CG1962">
            <v>22.085252262534414</v>
          </cell>
          <cell r="CH1962">
            <v>18.555263085067214</v>
          </cell>
          <cell r="CI1962">
            <v>14.926604548033502</v>
          </cell>
          <cell r="CJ1962">
            <v>22.183921622100925</v>
          </cell>
          <cell r="CU1962">
            <v>12.956635105237948</v>
          </cell>
          <cell r="CV1962">
            <v>13.67289934744978</v>
          </cell>
          <cell r="CW1962">
            <v>11.062153668663059</v>
          </cell>
          <cell r="CX1962">
            <v>8.6510321273089765</v>
          </cell>
          <cell r="CY1962">
            <v>13.473275210017142</v>
          </cell>
        </row>
        <row r="1963">
          <cell r="A1963">
            <v>42285</v>
          </cell>
          <cell r="CF1963">
            <v>21.75951314011273</v>
          </cell>
          <cell r="CG1963">
            <v>22.085252262534414</v>
          </cell>
          <cell r="CH1963">
            <v>18.555263085067214</v>
          </cell>
          <cell r="CI1963">
            <v>14.926604548033502</v>
          </cell>
          <cell r="CJ1963">
            <v>22.183921622100925</v>
          </cell>
          <cell r="CU1963">
            <v>13.168120975528257</v>
          </cell>
          <cell r="CV1963">
            <v>13.67289934744978</v>
          </cell>
          <cell r="CW1963">
            <v>11.062153668663059</v>
          </cell>
          <cell r="CX1963">
            <v>8.6510321273089765</v>
          </cell>
          <cell r="CY1963">
            <v>13.473275210017142</v>
          </cell>
        </row>
        <row r="1964">
          <cell r="A1964">
            <v>42286</v>
          </cell>
          <cell r="CF1964">
            <v>21.838110302237201</v>
          </cell>
          <cell r="CG1964">
            <v>22.085252262534414</v>
          </cell>
          <cell r="CH1964">
            <v>18.555263085067214</v>
          </cell>
          <cell r="CI1964">
            <v>14.926604548033502</v>
          </cell>
          <cell r="CJ1964">
            <v>22.183921622100925</v>
          </cell>
          <cell r="CU1964">
            <v>13.211091194367766</v>
          </cell>
          <cell r="CV1964">
            <v>13.67289934744978</v>
          </cell>
          <cell r="CW1964">
            <v>11.062153668663059</v>
          </cell>
          <cell r="CX1964">
            <v>8.6510321273089765</v>
          </cell>
          <cell r="CY1964">
            <v>13.473275210017142</v>
          </cell>
        </row>
        <row r="1965">
          <cell r="A1965">
            <v>42289</v>
          </cell>
          <cell r="CF1965">
            <v>22.066200656840671</v>
          </cell>
          <cell r="CG1965">
            <v>22.085252262534414</v>
          </cell>
          <cell r="CH1965">
            <v>18.555263085067214</v>
          </cell>
          <cell r="CI1965">
            <v>14.926604548033502</v>
          </cell>
          <cell r="CJ1965">
            <v>22.183921622100925</v>
          </cell>
          <cell r="CU1965">
            <v>13.335791529438007</v>
          </cell>
          <cell r="CV1965">
            <v>13.67289934744978</v>
          </cell>
          <cell r="CW1965">
            <v>11.062153668663059</v>
          </cell>
          <cell r="CX1965">
            <v>8.6510321273089765</v>
          </cell>
          <cell r="CY1965">
            <v>13.473275210017142</v>
          </cell>
        </row>
        <row r="1966">
          <cell r="A1966">
            <v>42290</v>
          </cell>
          <cell r="CF1966">
            <v>21.882805223682173</v>
          </cell>
          <cell r="CG1966">
            <v>22.085252262534414</v>
          </cell>
          <cell r="CH1966">
            <v>18.555263085067214</v>
          </cell>
          <cell r="CI1966">
            <v>14.926604548033502</v>
          </cell>
          <cell r="CJ1966">
            <v>22.183921622100925</v>
          </cell>
          <cell r="CU1966">
            <v>13.235525719482881</v>
          </cell>
          <cell r="CV1966">
            <v>13.67289934744978</v>
          </cell>
          <cell r="CW1966">
            <v>11.062153668663059</v>
          </cell>
          <cell r="CX1966">
            <v>8.6510321273089765</v>
          </cell>
          <cell r="CY1966">
            <v>13.473275210017142</v>
          </cell>
        </row>
        <row r="1967">
          <cell r="A1967">
            <v>42291</v>
          </cell>
          <cell r="CF1967">
            <v>21.698389458274384</v>
          </cell>
          <cell r="CG1967">
            <v>22.085252262534414</v>
          </cell>
          <cell r="CH1967">
            <v>18.555263085067214</v>
          </cell>
          <cell r="CI1967">
            <v>14.926604548033502</v>
          </cell>
          <cell r="CJ1967">
            <v>22.183921622100925</v>
          </cell>
          <cell r="CU1967">
            <v>13.134417339696197</v>
          </cell>
          <cell r="CV1967">
            <v>13.67289934744978</v>
          </cell>
          <cell r="CW1967">
            <v>11.062153668663059</v>
          </cell>
          <cell r="CX1967">
            <v>8.6510321273089765</v>
          </cell>
          <cell r="CY1967">
            <v>13.473275210017142</v>
          </cell>
        </row>
        <row r="1968">
          <cell r="A1968">
            <v>42292</v>
          </cell>
          <cell r="CF1968">
            <v>22.00190118953013</v>
          </cell>
          <cell r="CG1968">
            <v>22.085252262534414</v>
          </cell>
          <cell r="CH1968">
            <v>18.555263085067214</v>
          </cell>
          <cell r="CI1968">
            <v>14.926604548033502</v>
          </cell>
          <cell r="CJ1968">
            <v>22.183921622100925</v>
          </cell>
          <cell r="CU1968">
            <v>13.297875887018</v>
          </cell>
          <cell r="CV1968">
            <v>13.67289934744978</v>
          </cell>
          <cell r="CW1968">
            <v>11.062153668663059</v>
          </cell>
          <cell r="CX1968">
            <v>8.6510321273089765</v>
          </cell>
          <cell r="CY1968">
            <v>13.473275210017142</v>
          </cell>
        </row>
        <row r="1969">
          <cell r="A1969">
            <v>42293</v>
          </cell>
          <cell r="CF1969">
            <v>22.327158749327712</v>
          </cell>
          <cell r="CG1969">
            <v>22.085252262534414</v>
          </cell>
          <cell r="CH1969">
            <v>18.555263085067214</v>
          </cell>
          <cell r="CI1969">
            <v>14.926604548033502</v>
          </cell>
          <cell r="CJ1969">
            <v>22.183921622100925</v>
          </cell>
          <cell r="CU1969">
            <v>13.475658121476251</v>
          </cell>
          <cell r="CV1969">
            <v>13.67289934744978</v>
          </cell>
          <cell r="CW1969">
            <v>11.062153668663059</v>
          </cell>
          <cell r="CX1969">
            <v>8.6510321273089765</v>
          </cell>
          <cell r="CY1969">
            <v>13.473275210017142</v>
          </cell>
        </row>
        <row r="1970">
          <cell r="A1970">
            <v>42296</v>
          </cell>
          <cell r="CF1970">
            <v>22.443997528490669</v>
          </cell>
          <cell r="CG1970">
            <v>22.085252262534414</v>
          </cell>
          <cell r="CH1970">
            <v>18.555263085067214</v>
          </cell>
          <cell r="CI1970">
            <v>14.926604548033502</v>
          </cell>
          <cell r="CJ1970">
            <v>22.183921622100925</v>
          </cell>
          <cell r="CU1970">
            <v>13.539739869151177</v>
          </cell>
          <cell r="CV1970">
            <v>13.67289934744978</v>
          </cell>
          <cell r="CW1970">
            <v>11.062153668663059</v>
          </cell>
          <cell r="CX1970">
            <v>8.6510321273089765</v>
          </cell>
          <cell r="CY1970">
            <v>13.473275210017142</v>
          </cell>
        </row>
        <row r="1971">
          <cell r="A1971">
            <v>42297</v>
          </cell>
          <cell r="CF1971">
            <v>22.524153115532457</v>
          </cell>
          <cell r="CG1971">
            <v>22.085252262534414</v>
          </cell>
          <cell r="CH1971">
            <v>18.555263085067214</v>
          </cell>
          <cell r="CI1971">
            <v>14.926604548033502</v>
          </cell>
          <cell r="CJ1971">
            <v>22.183921622100925</v>
          </cell>
          <cell r="CU1971">
            <v>13.583552805371472</v>
          </cell>
          <cell r="CV1971">
            <v>13.67289934744978</v>
          </cell>
          <cell r="CW1971">
            <v>11.062153668663059</v>
          </cell>
          <cell r="CX1971">
            <v>8.6510321273089765</v>
          </cell>
          <cell r="CY1971">
            <v>13.473275210017142</v>
          </cell>
        </row>
        <row r="1972">
          <cell r="A1972">
            <v>42298</v>
          </cell>
          <cell r="CF1972">
            <v>22.561099375532166</v>
          </cell>
          <cell r="CG1972">
            <v>22.085252262534414</v>
          </cell>
          <cell r="CH1972">
            <v>18.555263085067214</v>
          </cell>
          <cell r="CI1972">
            <v>14.926604548033502</v>
          </cell>
          <cell r="CJ1972">
            <v>22.183921622100925</v>
          </cell>
          <cell r="CU1972">
            <v>13.597673539043496</v>
          </cell>
          <cell r="CV1972">
            <v>13.67289934744978</v>
          </cell>
          <cell r="CW1972">
            <v>11.062153668663059</v>
          </cell>
          <cell r="CX1972">
            <v>8.6510321273089765</v>
          </cell>
          <cell r="CY1972">
            <v>13.473275210017142</v>
          </cell>
        </row>
        <row r="1973">
          <cell r="A1973">
            <v>42299</v>
          </cell>
          <cell r="CF1973">
            <v>22.872561868786377</v>
          </cell>
          <cell r="CG1973">
            <v>22.085252262534414</v>
          </cell>
          <cell r="CH1973">
            <v>18.555263085067214</v>
          </cell>
          <cell r="CI1973">
            <v>14.926604548033502</v>
          </cell>
          <cell r="CJ1973">
            <v>22.183921622100925</v>
          </cell>
          <cell r="CU1973">
            <v>13.767838192181429</v>
          </cell>
          <cell r="CV1973">
            <v>13.67289934744978</v>
          </cell>
          <cell r="CW1973">
            <v>11.062153668663059</v>
          </cell>
          <cell r="CX1973">
            <v>8.6510321273089765</v>
          </cell>
          <cell r="CY1973">
            <v>13.473275210017142</v>
          </cell>
        </row>
        <row r="1974">
          <cell r="A1974">
            <v>42300</v>
          </cell>
          <cell r="CF1974">
            <v>23.116182252719788</v>
          </cell>
          <cell r="CG1974">
            <v>22.085252262534414</v>
          </cell>
          <cell r="CH1974">
            <v>18.555263085067214</v>
          </cell>
          <cell r="CI1974">
            <v>14.926604548033502</v>
          </cell>
          <cell r="CJ1974">
            <v>22.183921622100925</v>
          </cell>
          <cell r="CU1974">
            <v>13.900937936218742</v>
          </cell>
          <cell r="CV1974">
            <v>13.67289934744978</v>
          </cell>
          <cell r="CW1974">
            <v>11.062153668663059</v>
          </cell>
          <cell r="CX1974">
            <v>8.6510321273089765</v>
          </cell>
          <cell r="CY1974">
            <v>13.473275210017142</v>
          </cell>
        </row>
        <row r="1975">
          <cell r="A1975">
            <v>42303</v>
          </cell>
          <cell r="CF1975">
            <v>23.0562921665875</v>
          </cell>
          <cell r="CG1975">
            <v>22.085252262534414</v>
          </cell>
          <cell r="CH1975">
            <v>18.555263085067214</v>
          </cell>
          <cell r="CI1975">
            <v>14.926604548033502</v>
          </cell>
          <cell r="CJ1975">
            <v>22.183921622100925</v>
          </cell>
          <cell r="CU1975">
            <v>13.860727631631411</v>
          </cell>
          <cell r="CV1975">
            <v>13.67289934744978</v>
          </cell>
          <cell r="CW1975">
            <v>11.062153668663059</v>
          </cell>
          <cell r="CX1975">
            <v>8.6510321273089765</v>
          </cell>
          <cell r="CY1975">
            <v>13.473275210017142</v>
          </cell>
        </row>
        <row r="1976">
          <cell r="A1976">
            <v>42304</v>
          </cell>
          <cell r="CF1976">
            <v>23.247437247901907</v>
          </cell>
          <cell r="CG1976">
            <v>22.085252262534414</v>
          </cell>
          <cell r="CH1976">
            <v>18.555263085067214</v>
          </cell>
          <cell r="CI1976">
            <v>14.926604548033502</v>
          </cell>
          <cell r="CJ1976">
            <v>22.183921622100925</v>
          </cell>
          <cell r="CU1976">
            <v>13.965104037716719</v>
          </cell>
          <cell r="CV1976">
            <v>13.67289934744978</v>
          </cell>
          <cell r="CW1976">
            <v>11.062153668663059</v>
          </cell>
          <cell r="CX1976">
            <v>8.6510321273089765</v>
          </cell>
          <cell r="CY1976">
            <v>13.473275210017142</v>
          </cell>
        </row>
        <row r="1977">
          <cell r="A1977">
            <v>42305</v>
          </cell>
          <cell r="CF1977">
            <v>23.270561364747991</v>
          </cell>
          <cell r="CG1977">
            <v>22.085252262534414</v>
          </cell>
          <cell r="CH1977">
            <v>18.555263085067214</v>
          </cell>
          <cell r="CI1977">
            <v>14.926604548033502</v>
          </cell>
          <cell r="CJ1977">
            <v>22.183921622100925</v>
          </cell>
          <cell r="CU1977">
            <v>13.977731159449037</v>
          </cell>
          <cell r="CV1977">
            <v>13.67289934744978</v>
          </cell>
          <cell r="CW1977">
            <v>11.062153668663059</v>
          </cell>
          <cell r="CX1977">
            <v>8.6510321273089765</v>
          </cell>
          <cell r="CY1977">
            <v>13.473275210017142</v>
          </cell>
        </row>
        <row r="1978">
          <cell r="A1978">
            <v>42306</v>
          </cell>
          <cell r="CF1978">
            <v>23.25668627803833</v>
          </cell>
          <cell r="CG1978">
            <v>22.085252262534414</v>
          </cell>
          <cell r="CH1978">
            <v>18.555263085067214</v>
          </cell>
          <cell r="CI1978">
            <v>14.926604548033502</v>
          </cell>
          <cell r="CJ1978">
            <v>22.183921622100925</v>
          </cell>
          <cell r="CU1978">
            <v>13.970154549708846</v>
          </cell>
          <cell r="CV1978">
            <v>13.67289934744978</v>
          </cell>
          <cell r="CW1978">
            <v>11.062153668663059</v>
          </cell>
          <cell r="CX1978">
            <v>8.6510321273089765</v>
          </cell>
          <cell r="CY1978">
            <v>13.473275210017142</v>
          </cell>
        </row>
        <row r="1979">
          <cell r="A1979">
            <v>42307</v>
          </cell>
          <cell r="CF1979">
            <v>23.386174241453293</v>
          </cell>
          <cell r="CG1979">
            <v>22.085252262534414</v>
          </cell>
          <cell r="CH1979">
            <v>18.555263085067214</v>
          </cell>
          <cell r="CI1979">
            <v>14.926604548033502</v>
          </cell>
          <cell r="CJ1979">
            <v>22.183921622100925</v>
          </cell>
          <cell r="CU1979">
            <v>13.970154549708846</v>
          </cell>
          <cell r="CV1979">
            <v>13.67289934744978</v>
          </cell>
          <cell r="CW1979">
            <v>11.062153668663059</v>
          </cell>
          <cell r="CX1979">
            <v>8.6510321273089765</v>
          </cell>
          <cell r="CY1979">
            <v>13.473275210017142</v>
          </cell>
        </row>
        <row r="1980">
          <cell r="A1980">
            <v>42310</v>
          </cell>
          <cell r="CF1980">
            <v>23.53761972936017</v>
          </cell>
          <cell r="CG1980">
            <v>22.085252262534414</v>
          </cell>
          <cell r="CH1980">
            <v>18.555263085067214</v>
          </cell>
          <cell r="CI1980">
            <v>14.926604548033502</v>
          </cell>
          <cell r="CJ1980">
            <v>22.183921622100925</v>
          </cell>
          <cell r="CU1980">
            <v>14.140457021263757</v>
          </cell>
          <cell r="CV1980">
            <v>13.67289934744978</v>
          </cell>
          <cell r="CW1980">
            <v>11.062153668663059</v>
          </cell>
          <cell r="CX1980">
            <v>8.6510321273089765</v>
          </cell>
          <cell r="CY1980">
            <v>13.473275210017142</v>
          </cell>
        </row>
        <row r="1981">
          <cell r="A1981">
            <v>42311</v>
          </cell>
          <cell r="CF1981">
            <v>23.301693418256107</v>
          </cell>
          <cell r="CG1981">
            <v>22.085252262534414</v>
          </cell>
          <cell r="CH1981">
            <v>18.555263085067214</v>
          </cell>
          <cell r="CI1981">
            <v>14.926604548033502</v>
          </cell>
          <cell r="CJ1981">
            <v>22.183921622100925</v>
          </cell>
          <cell r="CU1981">
            <v>14.013356540270673</v>
          </cell>
          <cell r="CV1981">
            <v>13.67289934744978</v>
          </cell>
          <cell r="CW1981">
            <v>11.062153668663059</v>
          </cell>
          <cell r="CX1981">
            <v>8.6510321273089765</v>
          </cell>
          <cell r="CY1981">
            <v>13.473275210017142</v>
          </cell>
        </row>
        <row r="1982">
          <cell r="A1982">
            <v>42312</v>
          </cell>
          <cell r="CF1982">
            <v>23.601891005285374</v>
          </cell>
          <cell r="CG1982">
            <v>22.085252262534414</v>
          </cell>
          <cell r="CH1982">
            <v>18.555263085067214</v>
          </cell>
          <cell r="CI1982">
            <v>14.926604548033502</v>
          </cell>
          <cell r="CJ1982">
            <v>22.183921622100925</v>
          </cell>
          <cell r="CU1982">
            <v>14.163873148472728</v>
          </cell>
          <cell r="CV1982">
            <v>13.67289934744978</v>
          </cell>
          <cell r="CW1982">
            <v>11.062153668663059</v>
          </cell>
          <cell r="CX1982">
            <v>8.6510321273089765</v>
          </cell>
          <cell r="CY1982">
            <v>13.473275210017142</v>
          </cell>
        </row>
        <row r="1983">
          <cell r="A1983">
            <v>42313</v>
          </cell>
          <cell r="CF1983">
            <v>23.509642342256278</v>
          </cell>
          <cell r="CG1983">
            <v>22.085252262534414</v>
          </cell>
          <cell r="CH1983">
            <v>18.555263085067214</v>
          </cell>
          <cell r="CI1983">
            <v>14.926604548033502</v>
          </cell>
          <cell r="CJ1983">
            <v>22.183921622100925</v>
          </cell>
          <cell r="CU1983">
            <v>14.044332950429929</v>
          </cell>
          <cell r="CV1983">
            <v>13.67289934744978</v>
          </cell>
          <cell r="CW1983">
            <v>11.062153668663059</v>
          </cell>
          <cell r="CX1983">
            <v>8.6510321273089765</v>
          </cell>
          <cell r="CY1983">
            <v>13.473275210017142</v>
          </cell>
        </row>
        <row r="1984">
          <cell r="A1984">
            <v>42314</v>
          </cell>
          <cell r="CF1984">
            <v>23.447716229104056</v>
          </cell>
          <cell r="CG1984">
            <v>22.085252262534414</v>
          </cell>
          <cell r="CH1984">
            <v>18.555263085067214</v>
          </cell>
          <cell r="CI1984">
            <v>14.926604548033502</v>
          </cell>
          <cell r="CJ1984">
            <v>22.183921622100925</v>
          </cell>
          <cell r="CU1984">
            <v>14.032578616757576</v>
          </cell>
          <cell r="CV1984">
            <v>13.67289934744978</v>
          </cell>
          <cell r="CW1984">
            <v>11.062153668663059</v>
          </cell>
          <cell r="CX1984">
            <v>8.6510321273089765</v>
          </cell>
          <cell r="CY1984">
            <v>13.473275210017142</v>
          </cell>
        </row>
        <row r="1985">
          <cell r="A1985">
            <v>42317</v>
          </cell>
          <cell r="CF1985">
            <v>23.338266029995101</v>
          </cell>
          <cell r="CG1985">
            <v>22.085252262534414</v>
          </cell>
          <cell r="CH1985">
            <v>18.555263085067214</v>
          </cell>
          <cell r="CI1985">
            <v>14.926604548033502</v>
          </cell>
          <cell r="CJ1985">
            <v>22.183921622100925</v>
          </cell>
          <cell r="CU1985">
            <v>13.931212084466743</v>
          </cell>
          <cell r="CV1985">
            <v>13.67289934744978</v>
          </cell>
          <cell r="CW1985">
            <v>11.062153668663059</v>
          </cell>
          <cell r="CX1985">
            <v>8.6510321273089765</v>
          </cell>
          <cell r="CY1985">
            <v>13.473275210017142</v>
          </cell>
        </row>
        <row r="1986">
          <cell r="A1986">
            <v>42318</v>
          </cell>
          <cell r="CF1986">
            <v>23.617446490414054</v>
          </cell>
          <cell r="CG1986">
            <v>22.085252262534414</v>
          </cell>
          <cell r="CH1986">
            <v>18.555263085067214</v>
          </cell>
          <cell r="CI1986">
            <v>14.926604548033502</v>
          </cell>
          <cell r="CJ1986">
            <v>22.183921622100925</v>
          </cell>
          <cell r="CU1986">
            <v>14.082100593943636</v>
          </cell>
          <cell r="CV1986">
            <v>13.67289934744978</v>
          </cell>
          <cell r="CW1986">
            <v>11.062153668663059</v>
          </cell>
          <cell r="CX1986">
            <v>8.6510321273089765</v>
          </cell>
          <cell r="CY1986">
            <v>13.473275210017142</v>
          </cell>
        </row>
        <row r="1987">
          <cell r="A1987">
            <v>42319</v>
          </cell>
          <cell r="CF1987">
            <v>23.464888861769818</v>
          </cell>
          <cell r="CG1987">
            <v>22.085252262534414</v>
          </cell>
          <cell r="CH1987">
            <v>18.555263085067214</v>
          </cell>
          <cell r="CI1987">
            <v>14.926604548033502</v>
          </cell>
          <cell r="CJ1987">
            <v>22.183921622100925</v>
          </cell>
          <cell r="CU1987">
            <v>13.99964785652457</v>
          </cell>
          <cell r="CV1987">
            <v>13.67289934744978</v>
          </cell>
          <cell r="CW1987">
            <v>11.062153668663059</v>
          </cell>
          <cell r="CX1987">
            <v>8.6510321273089765</v>
          </cell>
          <cell r="CY1987">
            <v>13.473275210017142</v>
          </cell>
        </row>
        <row r="1988">
          <cell r="A1988">
            <v>42320</v>
          </cell>
          <cell r="CF1988">
            <v>23.315383911274754</v>
          </cell>
          <cell r="CG1988">
            <v>22.085252262534414</v>
          </cell>
          <cell r="CH1988">
            <v>18.555263085067214</v>
          </cell>
          <cell r="CI1988">
            <v>14.926604548033502</v>
          </cell>
          <cell r="CJ1988">
            <v>22.183921622100925</v>
          </cell>
          <cell r="CU1988">
            <v>13.918844998381259</v>
          </cell>
          <cell r="CV1988">
            <v>13.67289934744978</v>
          </cell>
          <cell r="CW1988">
            <v>11.062153668663059</v>
          </cell>
          <cell r="CX1988">
            <v>8.6510321273089765</v>
          </cell>
          <cell r="CY1988">
            <v>13.473275210017142</v>
          </cell>
        </row>
        <row r="1989">
          <cell r="A1989">
            <v>42321</v>
          </cell>
          <cell r="CF1989">
            <v>23.044187217168055</v>
          </cell>
          <cell r="CG1989">
            <v>22.085252262534414</v>
          </cell>
          <cell r="CH1989">
            <v>18.555263085067214</v>
          </cell>
          <cell r="CI1989">
            <v>14.926604548033502</v>
          </cell>
          <cell r="CJ1989">
            <v>22.183921622100925</v>
          </cell>
          <cell r="CU1989">
            <v>13.908212902345841</v>
          </cell>
          <cell r="CV1989">
            <v>13.67289934744978</v>
          </cell>
          <cell r="CW1989">
            <v>11.062153668663059</v>
          </cell>
          <cell r="CX1989">
            <v>8.6510321273089765</v>
          </cell>
          <cell r="CY1989">
            <v>13.473275210017142</v>
          </cell>
        </row>
        <row r="1990">
          <cell r="A1990">
            <v>42324</v>
          </cell>
          <cell r="CF1990">
            <v>23.494179590178728</v>
          </cell>
          <cell r="CG1990">
            <v>22.085252262534414</v>
          </cell>
          <cell r="CH1990">
            <v>18.555263085067214</v>
          </cell>
          <cell r="CI1990">
            <v>14.926604548033502</v>
          </cell>
          <cell r="CJ1990">
            <v>22.183921622100925</v>
          </cell>
          <cell r="CU1990">
            <v>14.006256710548417</v>
          </cell>
          <cell r="CV1990">
            <v>13.67289934744978</v>
          </cell>
          <cell r="CW1990">
            <v>11.062153668663059</v>
          </cell>
          <cell r="CX1990">
            <v>8.6510321273089765</v>
          </cell>
          <cell r="CY1990">
            <v>13.473275210017142</v>
          </cell>
        </row>
        <row r="1991">
          <cell r="A1991">
            <v>42325</v>
          </cell>
          <cell r="CF1991">
            <v>23.518584430774652</v>
          </cell>
          <cell r="CG1991">
            <v>22.085252262534414</v>
          </cell>
          <cell r="CH1991">
            <v>18.555263085067214</v>
          </cell>
          <cell r="CI1991">
            <v>14.926604548033502</v>
          </cell>
          <cell r="CJ1991">
            <v>22.183921622100925</v>
          </cell>
          <cell r="CU1991">
            <v>14.0194382474176</v>
          </cell>
          <cell r="CV1991">
            <v>13.67289934744978</v>
          </cell>
          <cell r="CW1991">
            <v>11.062153668663059</v>
          </cell>
          <cell r="CX1991">
            <v>8.6510321273089765</v>
          </cell>
          <cell r="CY1991">
            <v>13.473275210017142</v>
          </cell>
        </row>
        <row r="1992">
          <cell r="A1992">
            <v>42326</v>
          </cell>
          <cell r="CF1992">
            <v>23.883156048204899</v>
          </cell>
          <cell r="CG1992">
            <v>22.085252262534414</v>
          </cell>
          <cell r="CH1992">
            <v>18.555263085067214</v>
          </cell>
          <cell r="CI1992">
            <v>14.926604548033502</v>
          </cell>
          <cell r="CJ1992">
            <v>22.183921622100925</v>
          </cell>
          <cell r="CU1992">
            <v>14.216385896486402</v>
          </cell>
          <cell r="CV1992">
            <v>13.67289934744978</v>
          </cell>
          <cell r="CW1992">
            <v>11.062153668663059</v>
          </cell>
          <cell r="CX1992">
            <v>8.6510321273089765</v>
          </cell>
          <cell r="CY1992">
            <v>13.473275210017142</v>
          </cell>
        </row>
        <row r="1993">
          <cell r="A1993">
            <v>42327</v>
          </cell>
          <cell r="CF1993">
            <v>23.651295571263809</v>
          </cell>
          <cell r="CG1993">
            <v>22.085252262534414</v>
          </cell>
          <cell r="CH1993">
            <v>18.555263085067214</v>
          </cell>
          <cell r="CI1993">
            <v>14.926604548033502</v>
          </cell>
          <cell r="CJ1993">
            <v>22.183921622100925</v>
          </cell>
          <cell r="CU1993">
            <v>14.091153158144442</v>
          </cell>
          <cell r="CV1993">
            <v>13.67289934744978</v>
          </cell>
          <cell r="CW1993">
            <v>11.062153668663059</v>
          </cell>
          <cell r="CX1993">
            <v>8.6510321273089765</v>
          </cell>
          <cell r="CY1993">
            <v>13.473275210017142</v>
          </cell>
        </row>
        <row r="1994">
          <cell r="A1994">
            <v>42328</v>
          </cell>
          <cell r="CF1994">
            <v>23.816038541721952</v>
          </cell>
          <cell r="CG1994">
            <v>22.085252262534414</v>
          </cell>
          <cell r="CH1994">
            <v>18.555263085067214</v>
          </cell>
          <cell r="CI1994">
            <v>14.926604548033502</v>
          </cell>
          <cell r="CJ1994">
            <v>22.183921622100925</v>
          </cell>
          <cell r="CU1994">
            <v>14.091153158144442</v>
          </cell>
          <cell r="CV1994">
            <v>13.67289934744978</v>
          </cell>
          <cell r="CW1994">
            <v>11.062153668663059</v>
          </cell>
          <cell r="CX1994">
            <v>8.6510321273089765</v>
          </cell>
          <cell r="CY1994">
            <v>13.473275210017142</v>
          </cell>
        </row>
        <row r="1995">
          <cell r="A1995">
            <v>42331</v>
          </cell>
          <cell r="CF1995">
            <v>23.719936950223495</v>
          </cell>
          <cell r="CG1995">
            <v>22.085252262534414</v>
          </cell>
          <cell r="CH1995">
            <v>18.555263085067214</v>
          </cell>
          <cell r="CI1995">
            <v>14.926604548033502</v>
          </cell>
          <cell r="CJ1995">
            <v>22.183921622100925</v>
          </cell>
          <cell r="CU1995">
            <v>14.128227815990824</v>
          </cell>
          <cell r="CV1995">
            <v>13.67289934744978</v>
          </cell>
          <cell r="CW1995">
            <v>11.062153668663059</v>
          </cell>
          <cell r="CX1995">
            <v>8.6510321273089765</v>
          </cell>
          <cell r="CY1995">
            <v>13.473275210017142</v>
          </cell>
        </row>
        <row r="1996">
          <cell r="A1996">
            <v>42332</v>
          </cell>
          <cell r="CF1996">
            <v>23.581125743633763</v>
          </cell>
          <cell r="CG1996">
            <v>22.085252262534414</v>
          </cell>
          <cell r="CH1996">
            <v>18.555263085067214</v>
          </cell>
          <cell r="CI1996">
            <v>14.926604548033502</v>
          </cell>
          <cell r="CJ1996">
            <v>22.183921622100925</v>
          </cell>
          <cell r="CU1996">
            <v>14.05325295290452</v>
          </cell>
          <cell r="CV1996">
            <v>13.67289934744978</v>
          </cell>
          <cell r="CW1996">
            <v>11.062153668663059</v>
          </cell>
          <cell r="CX1996">
            <v>8.6510321273089765</v>
          </cell>
          <cell r="CY1996">
            <v>13.473275210017142</v>
          </cell>
        </row>
        <row r="1997">
          <cell r="A1997">
            <v>42333</v>
          </cell>
          <cell r="CF1997">
            <v>23.713836884122919</v>
          </cell>
          <cell r="CG1997">
            <v>22.085252262534414</v>
          </cell>
          <cell r="CH1997">
            <v>18.555263085067214</v>
          </cell>
          <cell r="CI1997">
            <v>14.926604548033502</v>
          </cell>
          <cell r="CJ1997">
            <v>22.183921622100925</v>
          </cell>
          <cell r="CU1997">
            <v>14.124933041513</v>
          </cell>
          <cell r="CV1997">
            <v>13.67289934744978</v>
          </cell>
          <cell r="CW1997">
            <v>11.062153668663059</v>
          </cell>
          <cell r="CX1997">
            <v>8.6510321273089765</v>
          </cell>
          <cell r="CY1997">
            <v>13.473275210017142</v>
          </cell>
        </row>
        <row r="1998">
          <cell r="A1998">
            <v>42334</v>
          </cell>
          <cell r="CF1998">
            <v>23.713836884122919</v>
          </cell>
          <cell r="CG1998">
            <v>22.085252262534414</v>
          </cell>
          <cell r="CH1998">
            <v>18.555263085067214</v>
          </cell>
          <cell r="CI1998">
            <v>14.926604548033502</v>
          </cell>
          <cell r="CJ1998">
            <v>22.183921622100925</v>
          </cell>
          <cell r="CU1998">
            <v>14.124933041513</v>
          </cell>
          <cell r="CV1998">
            <v>13.67289934744978</v>
          </cell>
          <cell r="CW1998">
            <v>11.062153668663059</v>
          </cell>
          <cell r="CX1998">
            <v>8.6510321273089765</v>
          </cell>
          <cell r="CY1998">
            <v>13.473275210017142</v>
          </cell>
        </row>
        <row r="1999">
          <cell r="A1999">
            <v>42335</v>
          </cell>
          <cell r="CF1999">
            <v>23.892308435452573</v>
          </cell>
          <cell r="CG1999">
            <v>22.085252262534414</v>
          </cell>
          <cell r="CH1999">
            <v>18.555263085067214</v>
          </cell>
          <cell r="CI1999">
            <v>14.926604548033502</v>
          </cell>
          <cell r="CJ1999">
            <v>22.183921622100925</v>
          </cell>
          <cell r="CU1999">
            <v>14.124933041513</v>
          </cell>
          <cell r="CV1999">
            <v>13.67289934744978</v>
          </cell>
          <cell r="CW1999">
            <v>11.062153668663059</v>
          </cell>
          <cell r="CX1999">
            <v>8.6510321273089765</v>
          </cell>
          <cell r="CY1999">
            <v>13.473275210017142</v>
          </cell>
        </row>
        <row r="2000">
          <cell r="A2000">
            <v>42338</v>
          </cell>
          <cell r="CF2000">
            <v>23.869550344686839</v>
          </cell>
          <cell r="CG2000">
            <v>22.085252262534414</v>
          </cell>
          <cell r="CH2000">
            <v>18.555263085067214</v>
          </cell>
          <cell r="CI2000">
            <v>14.926604548033502</v>
          </cell>
          <cell r="CJ2000">
            <v>22.183921622100925</v>
          </cell>
          <cell r="CU2000">
            <v>14.208969976237613</v>
          </cell>
          <cell r="CV2000">
            <v>13.67289934744978</v>
          </cell>
          <cell r="CW2000">
            <v>11.062153668663059</v>
          </cell>
          <cell r="CX2000">
            <v>8.6510321273089765</v>
          </cell>
          <cell r="CY2000">
            <v>13.473275210017142</v>
          </cell>
        </row>
        <row r="2001">
          <cell r="A2001">
            <v>42339</v>
          </cell>
          <cell r="CF2001">
            <v>24.066849667271626</v>
          </cell>
          <cell r="CG2001">
            <v>22.085252262534414</v>
          </cell>
          <cell r="CH2001">
            <v>18.555263085067214</v>
          </cell>
          <cell r="CI2001">
            <v>14.926604548033502</v>
          </cell>
          <cell r="CJ2001">
            <v>22.183921622100925</v>
          </cell>
          <cell r="CU2001">
            <v>14.328900446172252</v>
          </cell>
          <cell r="CV2001">
            <v>13.67289934744978</v>
          </cell>
          <cell r="CW2001">
            <v>11.062153668663059</v>
          </cell>
          <cell r="CX2001">
            <v>8.6510321273089765</v>
          </cell>
          <cell r="CY2001">
            <v>13.473275210017142</v>
          </cell>
        </row>
        <row r="2002">
          <cell r="A2002">
            <v>42340</v>
          </cell>
          <cell r="CF2002">
            <v>24.062312462189958</v>
          </cell>
          <cell r="CG2002">
            <v>22.085252262534414</v>
          </cell>
          <cell r="CH2002">
            <v>18.555263085067214</v>
          </cell>
          <cell r="CI2002">
            <v>14.926604548033502</v>
          </cell>
          <cell r="CJ2002">
            <v>22.183921622100925</v>
          </cell>
          <cell r="CU2002">
            <v>14.326445606007898</v>
          </cell>
          <cell r="CV2002">
            <v>13.67289934744978</v>
          </cell>
          <cell r="CW2002">
            <v>11.062153668663059</v>
          </cell>
          <cell r="CX2002">
            <v>8.6510321273089765</v>
          </cell>
          <cell r="CY2002">
            <v>13.473275210017142</v>
          </cell>
        </row>
        <row r="2003">
          <cell r="A2003">
            <v>42341</v>
          </cell>
          <cell r="CF2003">
            <v>23.638839987900784</v>
          </cell>
          <cell r="CG2003">
            <v>22.085252262534414</v>
          </cell>
          <cell r="CH2003">
            <v>18.555263085067214</v>
          </cell>
          <cell r="CI2003">
            <v>14.926604548033502</v>
          </cell>
          <cell r="CJ2003">
            <v>22.183921622100925</v>
          </cell>
          <cell r="CU2003">
            <v>14.097327190668095</v>
          </cell>
          <cell r="CV2003">
            <v>13.67289934744978</v>
          </cell>
          <cell r="CW2003">
            <v>11.062153668663059</v>
          </cell>
          <cell r="CX2003">
            <v>8.6510321273089765</v>
          </cell>
          <cell r="CY2003">
            <v>13.473275210017142</v>
          </cell>
        </row>
        <row r="2004">
          <cell r="A2004">
            <v>42342</v>
          </cell>
          <cell r="CF2004">
            <v>23.934402962515115</v>
          </cell>
          <cell r="CG2004">
            <v>22.085252262534414</v>
          </cell>
          <cell r="CH2004">
            <v>18.555263085067214</v>
          </cell>
          <cell r="CI2004">
            <v>14.926604548033502</v>
          </cell>
          <cell r="CJ2004">
            <v>22.183921622100925</v>
          </cell>
          <cell r="CU2004">
            <v>14.097327190668095</v>
          </cell>
          <cell r="CV2004">
            <v>13.67289934744978</v>
          </cell>
          <cell r="CW2004">
            <v>11.062153668663059</v>
          </cell>
          <cell r="CX2004">
            <v>8.6510321273089765</v>
          </cell>
          <cell r="CY2004">
            <v>13.473275210017142</v>
          </cell>
        </row>
        <row r="2005">
          <cell r="A2005">
            <v>42345</v>
          </cell>
          <cell r="CF2005">
            <v>24.062877871825876</v>
          </cell>
          <cell r="CG2005">
            <v>22.085252262534414</v>
          </cell>
          <cell r="CH2005">
            <v>18.555263085067214</v>
          </cell>
          <cell r="CI2005">
            <v>14.926604548033502</v>
          </cell>
          <cell r="CJ2005">
            <v>22.183921622100925</v>
          </cell>
          <cell r="CU2005">
            <v>14.334627588275694</v>
          </cell>
          <cell r="CV2005">
            <v>13.67289934744978</v>
          </cell>
          <cell r="CW2005">
            <v>11.062153668663059</v>
          </cell>
          <cell r="CX2005">
            <v>8.6510321273089765</v>
          </cell>
          <cell r="CY2005">
            <v>13.473275210017142</v>
          </cell>
        </row>
        <row r="2006">
          <cell r="A2006">
            <v>42346</v>
          </cell>
          <cell r="CF2006">
            <v>23.845223700120918</v>
          </cell>
          <cell r="CG2006">
            <v>22.085252262534414</v>
          </cell>
          <cell r="CH2006">
            <v>18.555263085067214</v>
          </cell>
          <cell r="CI2006">
            <v>14.926604548033502</v>
          </cell>
          <cell r="CJ2006">
            <v>22.183921622100925</v>
          </cell>
          <cell r="CU2006">
            <v>14.216795260386652</v>
          </cell>
          <cell r="CV2006">
            <v>13.67289934744978</v>
          </cell>
          <cell r="CW2006">
            <v>11.062153668663059</v>
          </cell>
          <cell r="CX2006">
            <v>8.6510321273089765</v>
          </cell>
          <cell r="CY2006">
            <v>13.473275210017142</v>
          </cell>
        </row>
        <row r="2007">
          <cell r="A2007">
            <v>42347</v>
          </cell>
          <cell r="CF2007">
            <v>23.450725513905684</v>
          </cell>
          <cell r="CG2007">
            <v>22.085252262534414</v>
          </cell>
          <cell r="CH2007">
            <v>18.555263085067214</v>
          </cell>
          <cell r="CI2007">
            <v>14.926604548033502</v>
          </cell>
          <cell r="CJ2007">
            <v>22.183921622100925</v>
          </cell>
          <cell r="CU2007">
            <v>14.216795260386652</v>
          </cell>
          <cell r="CV2007">
            <v>13.67289934744978</v>
          </cell>
          <cell r="CW2007">
            <v>11.062153668663059</v>
          </cell>
          <cell r="CX2007">
            <v>8.6510321273089765</v>
          </cell>
          <cell r="CY2007">
            <v>13.473275210017142</v>
          </cell>
        </row>
        <row r="2008">
          <cell r="A2008">
            <v>42348</v>
          </cell>
          <cell r="CF2008">
            <v>23.396311970979443</v>
          </cell>
          <cell r="CG2008">
            <v>22.085252262534414</v>
          </cell>
          <cell r="CH2008">
            <v>18.555263085067214</v>
          </cell>
          <cell r="CI2008">
            <v>14.926604548033502</v>
          </cell>
          <cell r="CJ2008">
            <v>22.183921622100925</v>
          </cell>
          <cell r="CU2008">
            <v>14.216795260386652</v>
          </cell>
          <cell r="CV2008">
            <v>13.67289934744978</v>
          </cell>
          <cell r="CW2008">
            <v>11.062153668663059</v>
          </cell>
          <cell r="CX2008">
            <v>8.6510321273089765</v>
          </cell>
          <cell r="CY2008">
            <v>13.473275210017142</v>
          </cell>
        </row>
        <row r="2009">
          <cell r="A2009">
            <v>42349</v>
          </cell>
          <cell r="CF2009">
            <v>23.152962515114876</v>
          </cell>
          <cell r="CG2009">
            <v>22.085252262534414</v>
          </cell>
          <cell r="CH2009">
            <v>18.555263085067214</v>
          </cell>
          <cell r="CI2009">
            <v>14.926604548033502</v>
          </cell>
          <cell r="CJ2009">
            <v>22.183921622100925</v>
          </cell>
          <cell r="CU2009">
            <v>13.842022995295121</v>
          </cell>
          <cell r="CV2009">
            <v>13.67289934744978</v>
          </cell>
          <cell r="CW2009">
            <v>11.062153668663059</v>
          </cell>
          <cell r="CX2009">
            <v>8.6510321273089765</v>
          </cell>
          <cell r="CY2009">
            <v>13.473275210017142</v>
          </cell>
        </row>
        <row r="2010">
          <cell r="A2010">
            <v>42352</v>
          </cell>
          <cell r="CF2010">
            <v>23.246676239419589</v>
          </cell>
          <cell r="CG2010">
            <v>22.085252262534414</v>
          </cell>
          <cell r="CH2010">
            <v>18.555263085067214</v>
          </cell>
          <cell r="CI2010">
            <v>14.926604548033502</v>
          </cell>
          <cell r="CJ2010">
            <v>22.183921622100925</v>
          </cell>
          <cell r="CU2010">
            <v>13.892757176971845</v>
          </cell>
          <cell r="CV2010">
            <v>13.67289934744978</v>
          </cell>
          <cell r="CW2010">
            <v>11.062153668663059</v>
          </cell>
          <cell r="CX2010">
            <v>8.6510321273089765</v>
          </cell>
          <cell r="CY2010">
            <v>13.473275210017142</v>
          </cell>
        </row>
        <row r="2011">
          <cell r="A2011">
            <v>42353</v>
          </cell>
          <cell r="CF2011">
            <v>23.190749697702543</v>
          </cell>
          <cell r="CG2011">
            <v>22.085252262534414</v>
          </cell>
          <cell r="CH2011">
            <v>18.555263085067214</v>
          </cell>
          <cell r="CI2011">
            <v>14.926604548033502</v>
          </cell>
          <cell r="CJ2011">
            <v>22.183921622100925</v>
          </cell>
          <cell r="CU2011">
            <v>13.862479996664746</v>
          </cell>
          <cell r="CV2011">
            <v>13.67289934744978</v>
          </cell>
          <cell r="CW2011">
            <v>11.062153668663059</v>
          </cell>
          <cell r="CX2011">
            <v>8.6510321273089765</v>
          </cell>
          <cell r="CY2011">
            <v>13.473275210017142</v>
          </cell>
        </row>
        <row r="2012">
          <cell r="A2012">
            <v>42354</v>
          </cell>
          <cell r="CF2012">
            <v>23.412938331318021</v>
          </cell>
          <cell r="CG2012">
            <v>22.085252262534414</v>
          </cell>
          <cell r="CH2012">
            <v>18.555263085067214</v>
          </cell>
          <cell r="CI2012">
            <v>14.926604548033502</v>
          </cell>
          <cell r="CJ2012">
            <v>22.183921622100925</v>
          </cell>
          <cell r="CU2012">
            <v>13.98276716471814</v>
          </cell>
          <cell r="CV2012">
            <v>13.67289934744978</v>
          </cell>
          <cell r="CW2012">
            <v>11.062153668663059</v>
          </cell>
          <cell r="CX2012">
            <v>8.6510321273089765</v>
          </cell>
          <cell r="CY2012">
            <v>13.473275210017142</v>
          </cell>
        </row>
        <row r="2013">
          <cell r="A2013">
            <v>42355</v>
          </cell>
          <cell r="CF2013">
            <v>23.458282950423214</v>
          </cell>
          <cell r="CG2013">
            <v>22.085252262534414</v>
          </cell>
          <cell r="CH2013">
            <v>18.555263085067214</v>
          </cell>
          <cell r="CI2013">
            <v>14.926604548033502</v>
          </cell>
          <cell r="CJ2013">
            <v>22.183921622100925</v>
          </cell>
          <cell r="CU2013">
            <v>14.00731556636169</v>
          </cell>
          <cell r="CV2013">
            <v>13.67289934744978</v>
          </cell>
          <cell r="CW2013">
            <v>11.062153668663059</v>
          </cell>
          <cell r="CX2013">
            <v>8.6510321273089765</v>
          </cell>
          <cell r="CY2013">
            <v>13.473275210017142</v>
          </cell>
        </row>
        <row r="2014">
          <cell r="A2014">
            <v>42356</v>
          </cell>
          <cell r="CF2014">
            <v>22.995767835550179</v>
          </cell>
          <cell r="CG2014">
            <v>22.085252262534414</v>
          </cell>
          <cell r="CH2014">
            <v>18.555263085067214</v>
          </cell>
          <cell r="CI2014">
            <v>14.926604548033502</v>
          </cell>
          <cell r="CJ2014">
            <v>22.183921622100925</v>
          </cell>
          <cell r="CU2014">
            <v>13.756921869597479</v>
          </cell>
          <cell r="CV2014">
            <v>13.67289934744978</v>
          </cell>
          <cell r="CW2014">
            <v>11.062153668663059</v>
          </cell>
          <cell r="CX2014">
            <v>8.6510321273089765</v>
          </cell>
          <cell r="CY2014">
            <v>13.473275210017142</v>
          </cell>
        </row>
        <row r="2015">
          <cell r="A2015">
            <v>42359</v>
          </cell>
          <cell r="CF2015">
            <v>23.261930638966188</v>
          </cell>
          <cell r="CG2015">
            <v>22.085252262534414</v>
          </cell>
          <cell r="CH2015">
            <v>18.555263085067214</v>
          </cell>
          <cell r="CI2015">
            <v>14.926604548033502</v>
          </cell>
          <cell r="CJ2015">
            <v>22.183921622100925</v>
          </cell>
          <cell r="CU2015">
            <v>13.900066014978982</v>
          </cell>
          <cell r="CV2015">
            <v>13.67289934744978</v>
          </cell>
          <cell r="CW2015">
            <v>11.062153668663059</v>
          </cell>
          <cell r="CX2015">
            <v>8.6510321273089765</v>
          </cell>
          <cell r="CY2015">
            <v>13.473275210017142</v>
          </cell>
        </row>
        <row r="2016">
          <cell r="A2016">
            <v>42360</v>
          </cell>
          <cell r="CF2016">
            <v>23.391927782052232</v>
          </cell>
          <cell r="CG2016">
            <v>22.085252262534414</v>
          </cell>
          <cell r="CH2016">
            <v>18.555263085067214</v>
          </cell>
          <cell r="CI2016">
            <v>14.926604548033502</v>
          </cell>
          <cell r="CJ2016">
            <v>22.183921622100925</v>
          </cell>
          <cell r="CU2016">
            <v>13.970437821929705</v>
          </cell>
          <cell r="CV2016">
            <v>13.67289934744978</v>
          </cell>
          <cell r="CW2016">
            <v>11.062153668663059</v>
          </cell>
          <cell r="CX2016">
            <v>8.6510321273089765</v>
          </cell>
          <cell r="CY2016">
            <v>13.473275210017142</v>
          </cell>
        </row>
        <row r="2017">
          <cell r="A2017">
            <v>42361</v>
          </cell>
          <cell r="CF2017">
            <v>23.798548264462561</v>
          </cell>
          <cell r="CG2017">
            <v>22.085252262534414</v>
          </cell>
          <cell r="CH2017">
            <v>18.555263085067214</v>
          </cell>
          <cell r="CI2017">
            <v>14.926604548033502</v>
          </cell>
          <cell r="CJ2017">
            <v>22.183921622100925</v>
          </cell>
          <cell r="CU2017">
            <v>14.190555106133784</v>
          </cell>
          <cell r="CV2017">
            <v>13.67289934744978</v>
          </cell>
          <cell r="CW2017">
            <v>11.062153668663059</v>
          </cell>
          <cell r="CX2017">
            <v>8.6510321273089765</v>
          </cell>
          <cell r="CY2017">
            <v>13.473275210017142</v>
          </cell>
        </row>
        <row r="2018">
          <cell r="A2018">
            <v>42362</v>
          </cell>
          <cell r="CF2018">
            <v>23.745640938821229</v>
          </cell>
          <cell r="CG2018">
            <v>22.085252262534414</v>
          </cell>
          <cell r="CH2018">
            <v>18.555263085067214</v>
          </cell>
          <cell r="CI2018">
            <v>14.926604548033502</v>
          </cell>
          <cell r="CJ2018">
            <v>22.183921622100925</v>
          </cell>
          <cell r="CU2018">
            <v>14.161914598981665</v>
          </cell>
          <cell r="CV2018">
            <v>13.67289934744978</v>
          </cell>
          <cell r="CW2018">
            <v>11.062153668663059</v>
          </cell>
          <cell r="CX2018">
            <v>8.6510321273089765</v>
          </cell>
          <cell r="CY2018">
            <v>13.473275210017142</v>
          </cell>
        </row>
        <row r="2019">
          <cell r="A2019">
            <v>42363</v>
          </cell>
          <cell r="CF2019">
            <v>23.745640938821229</v>
          </cell>
          <cell r="CG2019">
            <v>22.085252262534414</v>
          </cell>
          <cell r="CH2019">
            <v>18.555263085067214</v>
          </cell>
          <cell r="CI2019">
            <v>14.926604548033502</v>
          </cell>
          <cell r="CJ2019">
            <v>22.183921622100925</v>
          </cell>
          <cell r="CU2019">
            <v>14.161914598981665</v>
          </cell>
          <cell r="CV2019">
            <v>13.67289934744978</v>
          </cell>
          <cell r="CW2019">
            <v>11.062153668663059</v>
          </cell>
          <cell r="CX2019">
            <v>8.6510321273089765</v>
          </cell>
          <cell r="CY2019">
            <v>13.473275210017142</v>
          </cell>
        </row>
        <row r="2020">
          <cell r="A2020">
            <v>42366</v>
          </cell>
          <cell r="CF2020">
            <v>23.957265706602499</v>
          </cell>
          <cell r="CG2020">
            <v>22.085252262534414</v>
          </cell>
          <cell r="CH2020">
            <v>18.555263085067214</v>
          </cell>
          <cell r="CI2020">
            <v>14.926604548033502</v>
          </cell>
          <cell r="CJ2020">
            <v>22.183921622100925</v>
          </cell>
          <cell r="CU2020">
            <v>14.276474172759665</v>
          </cell>
          <cell r="CV2020">
            <v>13.67289934744978</v>
          </cell>
          <cell r="CW2020">
            <v>11.062153668663059</v>
          </cell>
          <cell r="CX2020">
            <v>8.6510321273089765</v>
          </cell>
          <cell r="CY2020">
            <v>13.473275210017142</v>
          </cell>
        </row>
        <row r="2021">
          <cell r="A2021">
            <v>42367</v>
          </cell>
          <cell r="CF2021">
            <v>24.261094727104254</v>
          </cell>
          <cell r="CG2021">
            <v>22.085252262534414</v>
          </cell>
          <cell r="CH2021">
            <v>18.555263085067214</v>
          </cell>
          <cell r="CI2021">
            <v>14.926604548033502</v>
          </cell>
          <cell r="CJ2021">
            <v>22.183921622100925</v>
          </cell>
          <cell r="CU2021">
            <v>14.440946996309528</v>
          </cell>
          <cell r="CV2021">
            <v>13.67289934744978</v>
          </cell>
          <cell r="CW2021">
            <v>11.062153668663059</v>
          </cell>
          <cell r="CX2021">
            <v>8.6510321273089765</v>
          </cell>
          <cell r="CY2021">
            <v>13.473275210017142</v>
          </cell>
        </row>
        <row r="2022">
          <cell r="A2022">
            <v>42368</v>
          </cell>
          <cell r="CF2022">
            <v>24.17191215216317</v>
          </cell>
          <cell r="CG2022">
            <v>22.085252262534414</v>
          </cell>
          <cell r="CH2022">
            <v>18.555263085067214</v>
          </cell>
          <cell r="CI2022">
            <v>14.926604548033502</v>
          </cell>
          <cell r="CJ2022">
            <v>22.183921622100925</v>
          </cell>
          <cell r="CU2022">
            <v>14.392669481910859</v>
          </cell>
          <cell r="CV2022">
            <v>13.67289934744978</v>
          </cell>
          <cell r="CW2022">
            <v>11.062153668663059</v>
          </cell>
          <cell r="CX2022">
            <v>8.6510321273089765</v>
          </cell>
          <cell r="CY2022">
            <v>13.473275210017142</v>
          </cell>
        </row>
        <row r="2023">
          <cell r="A2023">
            <v>42369</v>
          </cell>
          <cell r="CF2023">
            <v>23.911917865991086</v>
          </cell>
          <cell r="CG2023">
            <v>22.085252262534414</v>
          </cell>
          <cell r="CH2023">
            <v>18.555263085067214</v>
          </cell>
          <cell r="CI2023">
            <v>14.926604548033502</v>
          </cell>
          <cell r="CJ2023">
            <v>22.183921622100925</v>
          </cell>
          <cell r="CU2023">
            <v>14.251925868009414</v>
          </cell>
          <cell r="CV2023">
            <v>13.67289934744978</v>
          </cell>
          <cell r="CW2023">
            <v>11.062153668663059</v>
          </cell>
          <cell r="CX2023">
            <v>8.6510321273089765</v>
          </cell>
          <cell r="CY2023">
            <v>13.473275210017142</v>
          </cell>
        </row>
        <row r="2024">
          <cell r="A2024">
            <v>42370</v>
          </cell>
          <cell r="CF2024">
            <v>23.703254570977521</v>
          </cell>
          <cell r="CG2024">
            <v>22.085252262534414</v>
          </cell>
          <cell r="CH2024">
            <v>18.555263085067214</v>
          </cell>
          <cell r="CI2024">
            <v>14.926604548033502</v>
          </cell>
          <cell r="CJ2024">
            <v>22.183921622100925</v>
          </cell>
          <cell r="CU2024">
            <v>14.159825014903006</v>
          </cell>
          <cell r="CV2024">
            <v>13.67289934744978</v>
          </cell>
          <cell r="CW2024">
            <v>11.062153668663059</v>
          </cell>
          <cell r="CX2024">
            <v>8.6510321273089765</v>
          </cell>
          <cell r="CY2024">
            <v>13.473275210017142</v>
          </cell>
        </row>
        <row r="2025">
          <cell r="A2025">
            <v>42373</v>
          </cell>
          <cell r="CF2025">
            <v>23.264220696932568</v>
          </cell>
          <cell r="CG2025">
            <v>22.085252262534414</v>
          </cell>
          <cell r="CH2025">
            <v>18.555263085067214</v>
          </cell>
          <cell r="CI2025">
            <v>14.926604548033502</v>
          </cell>
          <cell r="CJ2025">
            <v>22.183921622100925</v>
          </cell>
          <cell r="CU2025">
            <v>13.921618472273794</v>
          </cell>
          <cell r="CV2025">
            <v>13.67289934744978</v>
          </cell>
          <cell r="CW2025">
            <v>11.062153668663059</v>
          </cell>
          <cell r="CX2025">
            <v>8.6510321273089765</v>
          </cell>
          <cell r="CY2025">
            <v>13.473275210017142</v>
          </cell>
        </row>
        <row r="2026">
          <cell r="A2026">
            <v>42374</v>
          </cell>
          <cell r="CF2026">
            <v>23.349650994237297</v>
          </cell>
          <cell r="CG2026">
            <v>22.085252262534414</v>
          </cell>
          <cell r="CH2026">
            <v>18.555263085067214</v>
          </cell>
          <cell r="CI2026">
            <v>14.926604548033502</v>
          </cell>
          <cell r="CJ2026">
            <v>22.183921622100925</v>
          </cell>
          <cell r="CU2026">
            <v>13.97192105808467</v>
          </cell>
          <cell r="CV2026">
            <v>13.67289934744978</v>
          </cell>
          <cell r="CW2026">
            <v>11.062153668663059</v>
          </cell>
          <cell r="CX2026">
            <v>8.6510321273089765</v>
          </cell>
          <cell r="CY2026">
            <v>13.473275210017142</v>
          </cell>
        </row>
        <row r="2027">
          <cell r="A2027">
            <v>42375</v>
          </cell>
          <cell r="CF2027">
            <v>23.120230387688377</v>
          </cell>
          <cell r="CG2027">
            <v>22.085252262534414</v>
          </cell>
          <cell r="CH2027">
            <v>18.555263085067214</v>
          </cell>
          <cell r="CI2027">
            <v>14.926604548033502</v>
          </cell>
          <cell r="CJ2027">
            <v>22.183921622100925</v>
          </cell>
          <cell r="CU2027">
            <v>13.848089555271638</v>
          </cell>
          <cell r="CV2027">
            <v>13.67289934744978</v>
          </cell>
          <cell r="CW2027">
            <v>11.062153668663059</v>
          </cell>
          <cell r="CX2027">
            <v>8.6510321273089765</v>
          </cell>
          <cell r="CY2027">
            <v>13.473275210017142</v>
          </cell>
        </row>
        <row r="2028">
          <cell r="A2028">
            <v>42376</v>
          </cell>
          <cell r="CF2028">
            <v>22.739414535416316</v>
          </cell>
          <cell r="CG2028">
            <v>22.085252262534414</v>
          </cell>
          <cell r="CH2028">
            <v>18.555263085067214</v>
          </cell>
          <cell r="CI2028">
            <v>14.926604548033502</v>
          </cell>
          <cell r="CJ2028">
            <v>22.183921622100925</v>
          </cell>
          <cell r="CU2028">
            <v>13.64174536639848</v>
          </cell>
          <cell r="CV2028">
            <v>13.67289934744978</v>
          </cell>
          <cell r="CW2028">
            <v>11.062153668663059</v>
          </cell>
          <cell r="CX2028">
            <v>8.6510321273089765</v>
          </cell>
          <cell r="CY2028">
            <v>13.473275210017142</v>
          </cell>
        </row>
        <row r="2029">
          <cell r="A2029">
            <v>42377</v>
          </cell>
          <cell r="CF2029">
            <v>22.531016129639113</v>
          </cell>
          <cell r="CG2029">
            <v>22.085252262534414</v>
          </cell>
          <cell r="CH2029">
            <v>18.555263085067214</v>
          </cell>
          <cell r="CI2029">
            <v>14.926604548033502</v>
          </cell>
          <cell r="CJ2029">
            <v>22.183921622100925</v>
          </cell>
          <cell r="CU2029">
            <v>13.64174536639848</v>
          </cell>
          <cell r="CV2029">
            <v>13.67289934744978</v>
          </cell>
          <cell r="CW2029">
            <v>11.062153668663059</v>
          </cell>
          <cell r="CX2029">
            <v>8.6510321273089765</v>
          </cell>
          <cell r="CY2029">
            <v>13.473275210017142</v>
          </cell>
        </row>
        <row r="2030">
          <cell r="A2030">
            <v>42380</v>
          </cell>
          <cell r="CF2030">
            <v>21.945940745866334</v>
          </cell>
          <cell r="CG2030">
            <v>22.085252262534414</v>
          </cell>
          <cell r="CH2030">
            <v>18.555263085067214</v>
          </cell>
          <cell r="CI2030">
            <v>14.926604548033502</v>
          </cell>
          <cell r="CJ2030">
            <v>22.183921622100925</v>
          </cell>
          <cell r="CU2030">
            <v>13.211296757654122</v>
          </cell>
          <cell r="CV2030">
            <v>13.67289934744978</v>
          </cell>
          <cell r="CW2030">
            <v>11.062153668663059</v>
          </cell>
          <cell r="CX2030">
            <v>8.6510321273089765</v>
          </cell>
          <cell r="CY2030">
            <v>13.473275210017142</v>
          </cell>
        </row>
        <row r="2031">
          <cell r="A2031">
            <v>42381</v>
          </cell>
          <cell r="CF2031">
            <v>21.956796061922063</v>
          </cell>
          <cell r="CG2031">
            <v>22.085252262534414</v>
          </cell>
          <cell r="CH2031">
            <v>18.555263085067214</v>
          </cell>
          <cell r="CI2031">
            <v>14.926604548033502</v>
          </cell>
          <cell r="CJ2031">
            <v>22.183921622100925</v>
          </cell>
          <cell r="CU2031">
            <v>13.216991872035436</v>
          </cell>
          <cell r="CV2031">
            <v>13.67289934744978</v>
          </cell>
          <cell r="CW2031">
            <v>11.062153668663059</v>
          </cell>
          <cell r="CX2031">
            <v>8.6510321273089765</v>
          </cell>
          <cell r="CY2031">
            <v>13.473275210017142</v>
          </cell>
        </row>
        <row r="2032">
          <cell r="A2032">
            <v>42382</v>
          </cell>
          <cell r="CF2032">
            <v>21.689926160998738</v>
          </cell>
          <cell r="CG2032">
            <v>22.085252262534414</v>
          </cell>
          <cell r="CH2032">
            <v>18.555263085067214</v>
          </cell>
          <cell r="CI2032">
            <v>14.926604548033502</v>
          </cell>
          <cell r="CJ2032">
            <v>22.183921622100925</v>
          </cell>
          <cell r="CU2032">
            <v>13.072152557865662</v>
          </cell>
          <cell r="CV2032">
            <v>13.67289934744978</v>
          </cell>
          <cell r="CW2032">
            <v>11.062153668663059</v>
          </cell>
          <cell r="CX2032">
            <v>8.6510321273089765</v>
          </cell>
          <cell r="CY2032">
            <v>13.473275210017142</v>
          </cell>
        </row>
        <row r="2033">
          <cell r="A2033">
            <v>42383</v>
          </cell>
          <cell r="CF2033">
            <v>21.980785866892145</v>
          </cell>
          <cell r="CG2033">
            <v>22.085252262534414</v>
          </cell>
          <cell r="CH2033">
            <v>18.555263085067214</v>
          </cell>
          <cell r="CI2033">
            <v>14.926604548033502</v>
          </cell>
          <cell r="CJ2033">
            <v>22.183921622100925</v>
          </cell>
          <cell r="CU2033">
            <v>13.072152557865662</v>
          </cell>
          <cell r="CV2033">
            <v>13.67289934744978</v>
          </cell>
          <cell r="CW2033">
            <v>11.062153668663059</v>
          </cell>
          <cell r="CX2033">
            <v>8.6510321273089765</v>
          </cell>
          <cell r="CY2033">
            <v>13.473275210017142</v>
          </cell>
        </row>
        <row r="2034">
          <cell r="A2034">
            <v>42384</v>
          </cell>
          <cell r="CF2034">
            <v>21.997277827061566</v>
          </cell>
          <cell r="CG2034">
            <v>22.085252262534414</v>
          </cell>
          <cell r="CH2034">
            <v>18.555263085067214</v>
          </cell>
          <cell r="CI2034">
            <v>14.926604548033502</v>
          </cell>
          <cell r="CJ2034">
            <v>22.183921622100925</v>
          </cell>
          <cell r="CU2034">
            <v>13.230011949934484</v>
          </cell>
          <cell r="CV2034">
            <v>13.67289934744978</v>
          </cell>
          <cell r="CW2034">
            <v>11.062153668663059</v>
          </cell>
          <cell r="CX2034">
            <v>8.6510321273089765</v>
          </cell>
          <cell r="CY2034">
            <v>13.473275210017142</v>
          </cell>
        </row>
        <row r="2035">
          <cell r="A2035">
            <v>42387</v>
          </cell>
          <cell r="CF2035">
            <v>21.998720789669118</v>
          </cell>
          <cell r="CG2035">
            <v>22.085252262534414</v>
          </cell>
          <cell r="CH2035">
            <v>18.555263085067214</v>
          </cell>
          <cell r="CI2035">
            <v>14.926604548033502</v>
          </cell>
          <cell r="CJ2035">
            <v>22.183921622100925</v>
          </cell>
          <cell r="CU2035">
            <v>13.238932382634461</v>
          </cell>
          <cell r="CV2035">
            <v>13.67289934744978</v>
          </cell>
          <cell r="CW2035">
            <v>11.062153668663059</v>
          </cell>
          <cell r="CX2035">
            <v>8.6510321273089765</v>
          </cell>
          <cell r="CY2035">
            <v>13.473275210017142</v>
          </cell>
        </row>
        <row r="2036">
          <cell r="A2036">
            <v>42388</v>
          </cell>
          <cell r="CF2036">
            <v>22.243117684729039</v>
          </cell>
          <cell r="CG2036">
            <v>22.085252262534414</v>
          </cell>
          <cell r="CH2036">
            <v>18.555263085067214</v>
          </cell>
          <cell r="CI2036">
            <v>14.926604548033502</v>
          </cell>
          <cell r="CJ2036">
            <v>22.183921622100925</v>
          </cell>
          <cell r="CU2036">
            <v>13.371565832948104</v>
          </cell>
          <cell r="CV2036">
            <v>13.67289934744978</v>
          </cell>
          <cell r="CW2036">
            <v>11.062153668663059</v>
          </cell>
          <cell r="CX2036">
            <v>8.6510321273089765</v>
          </cell>
          <cell r="CY2036">
            <v>13.473275210017142</v>
          </cell>
        </row>
        <row r="2037">
          <cell r="A2037">
            <v>42389</v>
          </cell>
          <cell r="CF2037">
            <v>21.955237634125357</v>
          </cell>
          <cell r="CG2037">
            <v>22.085252262534414</v>
          </cell>
          <cell r="CH2037">
            <v>18.555263085067214</v>
          </cell>
          <cell r="CI2037">
            <v>14.926604548033502</v>
          </cell>
          <cell r="CJ2037">
            <v>22.183921622100925</v>
          </cell>
          <cell r="CU2037">
            <v>13.215334206606572</v>
          </cell>
          <cell r="CV2037">
            <v>13.67289934744978</v>
          </cell>
          <cell r="CW2037">
            <v>11.062153668663059</v>
          </cell>
          <cell r="CX2037">
            <v>8.6510321273089765</v>
          </cell>
          <cell r="CY2037">
            <v>13.473275210017142</v>
          </cell>
        </row>
        <row r="2038">
          <cell r="A2038">
            <v>42390</v>
          </cell>
          <cell r="CF2038">
            <v>21.611882487077981</v>
          </cell>
          <cell r="CG2038">
            <v>22.085252262534414</v>
          </cell>
          <cell r="CH2038">
            <v>18.555263085067214</v>
          </cell>
          <cell r="CI2038">
            <v>14.926604548033502</v>
          </cell>
          <cell r="CJ2038">
            <v>22.183921622100925</v>
          </cell>
          <cell r="CU2038">
            <v>13.028996414448139</v>
          </cell>
          <cell r="CV2038">
            <v>13.67289934744978</v>
          </cell>
          <cell r="CW2038">
            <v>11.062153668663059</v>
          </cell>
          <cell r="CX2038">
            <v>8.6510321273089765</v>
          </cell>
          <cell r="CY2038">
            <v>13.473275210017142</v>
          </cell>
        </row>
        <row r="2039">
          <cell r="A2039">
            <v>42391</v>
          </cell>
          <cell r="CF2039">
            <v>21.981929436468828</v>
          </cell>
          <cell r="CG2039">
            <v>22.085252262534414</v>
          </cell>
          <cell r="CH2039">
            <v>18.555263085067214</v>
          </cell>
          <cell r="CI2039">
            <v>14.926604548033502</v>
          </cell>
          <cell r="CJ2039">
            <v>22.183921622100925</v>
          </cell>
          <cell r="CU2039">
            <v>13.03141101804446</v>
          </cell>
          <cell r="CV2039">
            <v>13.67289934744978</v>
          </cell>
          <cell r="CW2039">
            <v>11.062153668663059</v>
          </cell>
          <cell r="CX2039">
            <v>8.6510321273089765</v>
          </cell>
          <cell r="CY2039">
            <v>13.473275210017142</v>
          </cell>
        </row>
        <row r="2040">
          <cell r="A2040">
            <v>42394</v>
          </cell>
          <cell r="CF2040">
            <v>21.701451812630861</v>
          </cell>
          <cell r="CG2040">
            <v>22.085252262534414</v>
          </cell>
          <cell r="CH2040">
            <v>18.555263085067214</v>
          </cell>
          <cell r="CI2040">
            <v>14.926604548033502</v>
          </cell>
          <cell r="CJ2040">
            <v>22.183921622100925</v>
          </cell>
          <cell r="CU2040">
            <v>13.076987852682862</v>
          </cell>
          <cell r="CV2040">
            <v>13.67289934744978</v>
          </cell>
          <cell r="CW2040">
            <v>11.062153668663059</v>
          </cell>
          <cell r="CX2040">
            <v>8.6510321273089765</v>
          </cell>
          <cell r="CY2040">
            <v>13.473275210017142</v>
          </cell>
        </row>
        <row r="2041">
          <cell r="A2041">
            <v>42395</v>
          </cell>
          <cell r="CF2041">
            <v>22.32286271275628</v>
          </cell>
          <cell r="CG2041">
            <v>22.085252262534414</v>
          </cell>
          <cell r="CH2041">
            <v>18.555263085067214</v>
          </cell>
          <cell r="CI2041">
            <v>14.926604548033502</v>
          </cell>
          <cell r="CJ2041">
            <v>22.183921622100925</v>
          </cell>
          <cell r="CU2041">
            <v>13.417464203241931</v>
          </cell>
          <cell r="CV2041">
            <v>13.67289934744978</v>
          </cell>
          <cell r="CW2041">
            <v>11.062153668663059</v>
          </cell>
          <cell r="CX2041">
            <v>8.6510321273089765</v>
          </cell>
          <cell r="CY2041">
            <v>13.473275210017142</v>
          </cell>
        </row>
        <row r="2042">
          <cell r="A2042">
            <v>42396</v>
          </cell>
          <cell r="CF2042">
            <v>22.1174192097196</v>
          </cell>
          <cell r="CG2042">
            <v>22.085252262534414</v>
          </cell>
          <cell r="CH2042">
            <v>18.555263085067214</v>
          </cell>
          <cell r="CI2042">
            <v>14.926604548033502</v>
          </cell>
          <cell r="CJ2042">
            <v>22.183921622100925</v>
          </cell>
          <cell r="CU2042">
            <v>13.305950443659411</v>
          </cell>
          <cell r="CV2042">
            <v>13.67289934744978</v>
          </cell>
          <cell r="CW2042">
            <v>11.062153668663059</v>
          </cell>
          <cell r="CX2042">
            <v>8.6510321273089765</v>
          </cell>
          <cell r="CY2042">
            <v>13.473275210017142</v>
          </cell>
        </row>
        <row r="2043">
          <cell r="A2043">
            <v>42397</v>
          </cell>
          <cell r="CF2043">
            <v>21.968958536404742</v>
          </cell>
          <cell r="CG2043">
            <v>22.085252262534414</v>
          </cell>
          <cell r="CH2043">
            <v>18.555263085067214</v>
          </cell>
          <cell r="CI2043">
            <v>14.926604548033502</v>
          </cell>
          <cell r="CJ2043">
            <v>22.183921622100925</v>
          </cell>
          <cell r="CU2043">
            <v>13.305950443659411</v>
          </cell>
          <cell r="CV2043">
            <v>13.67289934744978</v>
          </cell>
          <cell r="CW2043">
            <v>11.062153668663059</v>
          </cell>
          <cell r="CX2043">
            <v>8.6510321273089765</v>
          </cell>
          <cell r="CY2043">
            <v>13.473275210017142</v>
          </cell>
        </row>
        <row r="2044">
          <cell r="A2044">
            <v>42398</v>
          </cell>
          <cell r="CF2044">
            <v>22.709753317839922</v>
          </cell>
          <cell r="CG2044">
            <v>22.085252262534414</v>
          </cell>
          <cell r="CH2044">
            <v>18.555263085067214</v>
          </cell>
          <cell r="CI2044">
            <v>14.926604548033502</v>
          </cell>
          <cell r="CJ2044">
            <v>22.183921622100925</v>
          </cell>
          <cell r="CU2044">
            <v>13.225366693933651</v>
          </cell>
          <cell r="CV2044">
            <v>13.67289934744978</v>
          </cell>
          <cell r="CW2044">
            <v>11.062153668663059</v>
          </cell>
          <cell r="CX2044">
            <v>8.6510321273089765</v>
          </cell>
          <cell r="CY2044">
            <v>13.473275210017142</v>
          </cell>
        </row>
        <row r="2045">
          <cell r="A2045">
            <v>42401</v>
          </cell>
          <cell r="CF2045">
            <v>22.866063624203388</v>
          </cell>
          <cell r="CG2045">
            <v>22.085252262534414</v>
          </cell>
          <cell r="CH2045">
            <v>18.555263085067214</v>
          </cell>
          <cell r="CI2045">
            <v>14.926604548033502</v>
          </cell>
          <cell r="CJ2045">
            <v>22.183921622100925</v>
          </cell>
          <cell r="CU2045">
            <v>13.735977522396492</v>
          </cell>
          <cell r="CV2045">
            <v>13.67289934744978</v>
          </cell>
          <cell r="CW2045">
            <v>11.062153668663059</v>
          </cell>
          <cell r="CX2045">
            <v>8.6510321273089765</v>
          </cell>
          <cell r="CY2045">
            <v>13.473275210017142</v>
          </cell>
        </row>
        <row r="2046">
          <cell r="A2046">
            <v>42402</v>
          </cell>
          <cell r="CF2046">
            <v>22.426045785642319</v>
          </cell>
          <cell r="CG2046">
            <v>22.085252262534414</v>
          </cell>
          <cell r="CH2046">
            <v>18.555263085067214</v>
          </cell>
          <cell r="CI2046">
            <v>14.926604548033502</v>
          </cell>
          <cell r="CJ2046">
            <v>22.183921622100925</v>
          </cell>
          <cell r="CU2046">
            <v>13.496528181240404</v>
          </cell>
          <cell r="CV2046">
            <v>13.67289934744978</v>
          </cell>
          <cell r="CW2046">
            <v>11.062153668663059</v>
          </cell>
          <cell r="CX2046">
            <v>8.6510321273089765</v>
          </cell>
          <cell r="CY2046">
            <v>13.473275210017142</v>
          </cell>
        </row>
        <row r="2047">
          <cell r="A2047">
            <v>42403</v>
          </cell>
          <cell r="CF2047">
            <v>22.397799910809553</v>
          </cell>
          <cell r="CG2047">
            <v>22.085252262534414</v>
          </cell>
          <cell r="CH2047">
            <v>18.555263085067214</v>
          </cell>
          <cell r="CI2047">
            <v>14.926604548033502</v>
          </cell>
          <cell r="CJ2047">
            <v>22.183921622100925</v>
          </cell>
          <cell r="CU2047">
            <v>13.481157313229232</v>
          </cell>
          <cell r="CV2047">
            <v>13.67289934744978</v>
          </cell>
          <cell r="CW2047">
            <v>11.062153668663059</v>
          </cell>
          <cell r="CX2047">
            <v>8.6510321273089765</v>
          </cell>
          <cell r="CY2047">
            <v>13.473275210017142</v>
          </cell>
        </row>
        <row r="2048">
          <cell r="A2048">
            <v>42404</v>
          </cell>
          <cell r="CF2048">
            <v>22.314554779250155</v>
          </cell>
          <cell r="CG2048">
            <v>22.085252262534414</v>
          </cell>
          <cell r="CH2048">
            <v>18.555263085067214</v>
          </cell>
          <cell r="CI2048">
            <v>14.926604548033502</v>
          </cell>
          <cell r="CJ2048">
            <v>22.183921622100925</v>
          </cell>
          <cell r="CU2048">
            <v>13.435856895474501</v>
          </cell>
          <cell r="CV2048">
            <v>13.67289934744978</v>
          </cell>
          <cell r="CW2048">
            <v>11.062153668663059</v>
          </cell>
          <cell r="CX2048">
            <v>8.6510321273089765</v>
          </cell>
          <cell r="CY2048">
            <v>13.473275210017142</v>
          </cell>
        </row>
        <row r="2049">
          <cell r="A2049">
            <v>42405</v>
          </cell>
          <cell r="CF2049">
            <v>21.981566820278815</v>
          </cell>
          <cell r="CG2049">
            <v>22.085252262534414</v>
          </cell>
          <cell r="CH2049">
            <v>18.555263085067214</v>
          </cell>
          <cell r="CI2049">
            <v>14.926604548033502</v>
          </cell>
          <cell r="CJ2049">
            <v>22.183921622100925</v>
          </cell>
          <cell r="CU2049">
            <v>13.435856895474501</v>
          </cell>
          <cell r="CV2049">
            <v>13.67289934744978</v>
          </cell>
          <cell r="CW2049">
            <v>11.062153668663059</v>
          </cell>
          <cell r="CX2049">
            <v>8.6510321273089765</v>
          </cell>
          <cell r="CY2049">
            <v>13.473275210017142</v>
          </cell>
        </row>
        <row r="2050">
          <cell r="A2050">
            <v>42408</v>
          </cell>
          <cell r="CF2050">
            <v>21.750237465844123</v>
          </cell>
          <cell r="CG2050">
            <v>22.085252262534414</v>
          </cell>
          <cell r="CH2050">
            <v>18.555263085067214</v>
          </cell>
          <cell r="CI2050">
            <v>14.926604548033502</v>
          </cell>
          <cell r="CJ2050">
            <v>22.183921622100925</v>
          </cell>
          <cell r="CU2050">
            <v>13.129290280274148</v>
          </cell>
          <cell r="CV2050">
            <v>13.67289934744978</v>
          </cell>
          <cell r="CW2050">
            <v>11.062153668663059</v>
          </cell>
          <cell r="CX2050">
            <v>8.6510321273089765</v>
          </cell>
          <cell r="CY2050">
            <v>13.473275210017142</v>
          </cell>
        </row>
        <row r="2051">
          <cell r="A2051">
            <v>42409</v>
          </cell>
          <cell r="CF2051">
            <v>21.943478917940954</v>
          </cell>
          <cell r="CG2051">
            <v>22.085252262534414</v>
          </cell>
          <cell r="CH2051">
            <v>18.555263085067214</v>
          </cell>
          <cell r="CI2051">
            <v>14.926604548033502</v>
          </cell>
          <cell r="CJ2051">
            <v>22.183921622100925</v>
          </cell>
          <cell r="CU2051">
            <v>13.234453238493165</v>
          </cell>
          <cell r="CV2051">
            <v>13.67289934744978</v>
          </cell>
          <cell r="CW2051">
            <v>11.062153668663059</v>
          </cell>
          <cell r="CX2051">
            <v>8.6510321273089765</v>
          </cell>
          <cell r="CY2051">
            <v>13.473275210017142</v>
          </cell>
        </row>
        <row r="2052">
          <cell r="A2052">
            <v>42410</v>
          </cell>
          <cell r="CF2052">
            <v>23.281512473991764</v>
          </cell>
          <cell r="CG2052">
            <v>22.085252262534414</v>
          </cell>
          <cell r="CH2052">
            <v>18.555263085067214</v>
          </cell>
          <cell r="CI2052">
            <v>14.926604548033502</v>
          </cell>
          <cell r="CJ2052">
            <v>22.183921622100925</v>
          </cell>
          <cell r="CU2052">
            <v>13.839542937746021</v>
          </cell>
          <cell r="CV2052">
            <v>13.67289934744978</v>
          </cell>
          <cell r="CW2052">
            <v>11.062153668663059</v>
          </cell>
          <cell r="CX2052">
            <v>8.6510321273089765</v>
          </cell>
          <cell r="CY2052">
            <v>13.473275210017142</v>
          </cell>
        </row>
        <row r="2053">
          <cell r="A2053">
            <v>42411</v>
          </cell>
          <cell r="CF2053">
            <v>23.432840996218427</v>
          </cell>
          <cell r="CG2053">
            <v>22.085252262534414</v>
          </cell>
          <cell r="CH2053">
            <v>18.555263085067214</v>
          </cell>
          <cell r="CI2053">
            <v>14.926604548033502</v>
          </cell>
          <cell r="CJ2053">
            <v>22.183921622100925</v>
          </cell>
          <cell r="CU2053">
            <v>13.86190407162878</v>
          </cell>
          <cell r="CV2053">
            <v>13.67289934744978</v>
          </cell>
          <cell r="CW2053">
            <v>11.062153668663059</v>
          </cell>
          <cell r="CX2053">
            <v>8.6510321273089765</v>
          </cell>
          <cell r="CY2053">
            <v>13.473275210017142</v>
          </cell>
        </row>
        <row r="2054">
          <cell r="A2054">
            <v>42412</v>
          </cell>
          <cell r="CF2054">
            <v>23.593106126186541</v>
          </cell>
          <cell r="CG2054">
            <v>22.085252262534414</v>
          </cell>
          <cell r="CH2054">
            <v>18.555263085067214</v>
          </cell>
          <cell r="CI2054">
            <v>14.926604548033502</v>
          </cell>
          <cell r="CJ2054">
            <v>22.183921622100925</v>
          </cell>
          <cell r="CU2054">
            <v>13.86190407162878</v>
          </cell>
          <cell r="CV2054">
            <v>13.67289934744978</v>
          </cell>
          <cell r="CW2054">
            <v>11.062153668663059</v>
          </cell>
          <cell r="CX2054">
            <v>8.6510321273089765</v>
          </cell>
          <cell r="CY2054">
            <v>13.473275210017142</v>
          </cell>
        </row>
        <row r="2055">
          <cell r="A2055">
            <v>42415</v>
          </cell>
          <cell r="CF2055">
            <v>23.594045616539539</v>
          </cell>
          <cell r="CG2055">
            <v>22.085252262534414</v>
          </cell>
          <cell r="CH2055">
            <v>18.555263085067214</v>
          </cell>
          <cell r="CI2055">
            <v>14.926604548033502</v>
          </cell>
          <cell r="CJ2055">
            <v>22.183921622100925</v>
          </cell>
          <cell r="CU2055">
            <v>13.94809369864543</v>
          </cell>
          <cell r="CV2055">
            <v>13.67289934744978</v>
          </cell>
          <cell r="CW2055">
            <v>11.062153668663059</v>
          </cell>
          <cell r="CX2055">
            <v>8.6510321273089765</v>
          </cell>
          <cell r="CY2055">
            <v>13.473275210017142</v>
          </cell>
        </row>
        <row r="2056">
          <cell r="A2056">
            <v>42416</v>
          </cell>
          <cell r="CF2056">
            <v>24.019952319227762</v>
          </cell>
          <cell r="CG2056">
            <v>22.085252262534414</v>
          </cell>
          <cell r="CH2056">
            <v>18.555263085067214</v>
          </cell>
          <cell r="CI2056">
            <v>14.926604548033502</v>
          </cell>
          <cell r="CJ2056">
            <v>22.183921622100925</v>
          </cell>
          <cell r="CU2056">
            <v>14.177314173090004</v>
          </cell>
          <cell r="CV2056">
            <v>13.67289934744978</v>
          </cell>
          <cell r="CW2056">
            <v>11.062153668663059</v>
          </cell>
          <cell r="CX2056">
            <v>8.6510321273089765</v>
          </cell>
          <cell r="CY2056">
            <v>13.473275210017142</v>
          </cell>
        </row>
        <row r="2057">
          <cell r="A2057">
            <v>42417</v>
          </cell>
          <cell r="CF2057">
            <v>24.339009863378518</v>
          </cell>
          <cell r="CG2057">
            <v>22.085252262534414</v>
          </cell>
          <cell r="CH2057">
            <v>18.555263085067214</v>
          </cell>
          <cell r="CI2057">
            <v>14.926604548033502</v>
          </cell>
          <cell r="CJ2057">
            <v>22.183921622100925</v>
          </cell>
          <cell r="CU2057">
            <v>14.349029060842996</v>
          </cell>
          <cell r="CV2057">
            <v>13.67289934744978</v>
          </cell>
          <cell r="CW2057">
            <v>11.062153668663059</v>
          </cell>
          <cell r="CX2057">
            <v>8.6510321273089765</v>
          </cell>
          <cell r="CY2057">
            <v>13.473275210017142</v>
          </cell>
        </row>
        <row r="2058">
          <cell r="A2058">
            <v>42418</v>
          </cell>
          <cell r="CF2058">
            <v>24.261843582427005</v>
          </cell>
          <cell r="CG2058">
            <v>22.085252262534414</v>
          </cell>
          <cell r="CH2058">
            <v>18.555263085067214</v>
          </cell>
          <cell r="CI2058">
            <v>14.926604548033502</v>
          </cell>
          <cell r="CJ2058">
            <v>22.183921622100925</v>
          </cell>
          <cell r="CU2058">
            <v>14.307498623732741</v>
          </cell>
          <cell r="CV2058">
            <v>13.67289934744978</v>
          </cell>
          <cell r="CW2058">
            <v>11.062153668663059</v>
          </cell>
          <cell r="CX2058">
            <v>8.6510321273089765</v>
          </cell>
          <cell r="CY2058">
            <v>13.473275210017142</v>
          </cell>
        </row>
        <row r="2059">
          <cell r="A2059">
            <v>42419</v>
          </cell>
          <cell r="CF2059">
            <v>24.669942339358233</v>
          </cell>
          <cell r="CG2059">
            <v>22.085252262534414</v>
          </cell>
          <cell r="CH2059">
            <v>18.555263085067214</v>
          </cell>
          <cell r="CI2059">
            <v>14.926604548033502</v>
          </cell>
          <cell r="CJ2059">
            <v>22.183921622100925</v>
          </cell>
          <cell r="CU2059">
            <v>14.527134966841654</v>
          </cell>
          <cell r="CV2059">
            <v>13.67289934744978</v>
          </cell>
          <cell r="CW2059">
            <v>11.062153668663059</v>
          </cell>
          <cell r="CX2059">
            <v>8.6510321273089765</v>
          </cell>
          <cell r="CY2059">
            <v>13.473275210017142</v>
          </cell>
        </row>
        <row r="2060">
          <cell r="A2060">
            <v>42422</v>
          </cell>
          <cell r="CF2060">
            <v>24.767506376702109</v>
          </cell>
          <cell r="CG2060">
            <v>22.085252262534414</v>
          </cell>
          <cell r="CH2060">
            <v>18.555263085067214</v>
          </cell>
          <cell r="CI2060">
            <v>14.926604548033502</v>
          </cell>
          <cell r="CJ2060">
            <v>22.183921622100925</v>
          </cell>
          <cell r="CU2060">
            <v>14.602157525861502</v>
          </cell>
          <cell r="CV2060">
            <v>13.67289934744978</v>
          </cell>
          <cell r="CW2060">
            <v>11.062153668663059</v>
          </cell>
          <cell r="CX2060">
            <v>8.6510321273089765</v>
          </cell>
          <cell r="CY2060">
            <v>13.473275210017142</v>
          </cell>
        </row>
        <row r="2061">
          <cell r="A2061">
            <v>42423</v>
          </cell>
          <cell r="CF2061">
            <v>24.712617310009588</v>
          </cell>
          <cell r="CG2061">
            <v>22.085252262534414</v>
          </cell>
          <cell r="CH2061">
            <v>18.555263085067214</v>
          </cell>
          <cell r="CI2061">
            <v>14.926604548033502</v>
          </cell>
          <cell r="CJ2061">
            <v>22.183921622100925</v>
          </cell>
          <cell r="CU2061">
            <v>14.57257013789167</v>
          </cell>
          <cell r="CV2061">
            <v>13.67289934744978</v>
          </cell>
          <cell r="CW2061">
            <v>11.062153668663059</v>
          </cell>
          <cell r="CX2061">
            <v>8.6510321273089765</v>
          </cell>
          <cell r="CY2061">
            <v>13.473275210017142</v>
          </cell>
        </row>
        <row r="2062">
          <cell r="A2062">
            <v>42424</v>
          </cell>
          <cell r="CF2062">
            <v>24.867777173647021</v>
          </cell>
          <cell r="CG2062">
            <v>22.085252262534414</v>
          </cell>
          <cell r="CH2062">
            <v>18.555263085067214</v>
          </cell>
          <cell r="CI2062">
            <v>14.926604548033502</v>
          </cell>
          <cell r="CJ2062">
            <v>22.183921622100925</v>
          </cell>
          <cell r="CU2062">
            <v>14.662133581909972</v>
          </cell>
          <cell r="CV2062">
            <v>13.67289934744978</v>
          </cell>
          <cell r="CW2062">
            <v>11.062153668663059</v>
          </cell>
          <cell r="CX2062">
            <v>8.6510321273089765</v>
          </cell>
          <cell r="CY2062">
            <v>13.473275210017142</v>
          </cell>
        </row>
        <row r="2063">
          <cell r="A2063">
            <v>42425</v>
          </cell>
          <cell r="CF2063">
            <v>25.112452671645169</v>
          </cell>
          <cell r="CG2063">
            <v>22.085252262534414</v>
          </cell>
          <cell r="CH2063">
            <v>18.555263085067214</v>
          </cell>
          <cell r="CI2063">
            <v>14.926604548033502</v>
          </cell>
          <cell r="CJ2063">
            <v>22.183921622100925</v>
          </cell>
          <cell r="CU2063">
            <v>14.794081704897348</v>
          </cell>
          <cell r="CV2063">
            <v>13.67289934744978</v>
          </cell>
          <cell r="CW2063">
            <v>11.062153668663059</v>
          </cell>
          <cell r="CX2063">
            <v>8.6510321273089765</v>
          </cell>
          <cell r="CY2063">
            <v>13.473275210017142</v>
          </cell>
        </row>
        <row r="2064">
          <cell r="A2064">
            <v>42426</v>
          </cell>
          <cell r="CF2064">
            <v>24.842568335725019</v>
          </cell>
          <cell r="CG2064">
            <v>22.085252262534414</v>
          </cell>
          <cell r="CH2064">
            <v>18.555263085067214</v>
          </cell>
          <cell r="CI2064">
            <v>14.926604548033502</v>
          </cell>
          <cell r="CJ2064">
            <v>22.183921622100925</v>
          </cell>
          <cell r="CU2064">
            <v>14.794081704897348</v>
          </cell>
          <cell r="CV2064">
            <v>13.67289934744978</v>
          </cell>
          <cell r="CW2064">
            <v>11.062153668663059</v>
          </cell>
          <cell r="CX2064">
            <v>8.6510321273089765</v>
          </cell>
          <cell r="CY2064">
            <v>13.473275210017142</v>
          </cell>
        </row>
        <row r="2065">
          <cell r="A2065">
            <v>42429</v>
          </cell>
          <cell r="CF2065">
            <v>24.531147910443995</v>
          </cell>
          <cell r="CG2065">
            <v>22.085252262534414</v>
          </cell>
          <cell r="CH2065">
            <v>18.555263085067214</v>
          </cell>
          <cell r="CI2065">
            <v>14.926604548033502</v>
          </cell>
          <cell r="CJ2065">
            <v>22.183921622100925</v>
          </cell>
          <cell r="CU2065">
            <v>14.482177147161934</v>
          </cell>
          <cell r="CV2065">
            <v>13.67289934744978</v>
          </cell>
          <cell r="CW2065">
            <v>11.062153668663059</v>
          </cell>
          <cell r="CX2065">
            <v>8.6510321273089765</v>
          </cell>
          <cell r="CY2065">
            <v>13.473275210017142</v>
          </cell>
        </row>
        <row r="2066">
          <cell r="A2066">
            <v>42430</v>
          </cell>
          <cell r="CF2066">
            <v>25.021691052128521</v>
          </cell>
          <cell r="CG2066">
            <v>22.085252262534414</v>
          </cell>
          <cell r="CH2066">
            <v>18.555263085067214</v>
          </cell>
          <cell r="CI2066">
            <v>14.926604548033502</v>
          </cell>
          <cell r="CJ2066">
            <v>22.183921622100925</v>
          </cell>
          <cell r="CU2066">
            <v>14.71753717497602</v>
          </cell>
          <cell r="CV2066">
            <v>13.67289934744978</v>
          </cell>
          <cell r="CW2066">
            <v>11.062153668663059</v>
          </cell>
          <cell r="CX2066">
            <v>8.6510321273089765</v>
          </cell>
          <cell r="CY2066">
            <v>13.473275210017142</v>
          </cell>
        </row>
        <row r="2067">
          <cell r="A2067">
            <v>42431</v>
          </cell>
          <cell r="CF2067">
            <v>24.854526060249388</v>
          </cell>
          <cell r="CG2067">
            <v>22.085252262534414</v>
          </cell>
          <cell r="CH2067">
            <v>18.555263085067214</v>
          </cell>
          <cell r="CI2067">
            <v>14.926604548033502</v>
          </cell>
          <cell r="CJ2067">
            <v>22.183921622100925</v>
          </cell>
          <cell r="CU2067">
            <v>14.620111134036314</v>
          </cell>
          <cell r="CV2067">
            <v>13.67289934744978</v>
          </cell>
          <cell r="CW2067">
            <v>11.062153668663059</v>
          </cell>
          <cell r="CX2067">
            <v>8.6510321273089765</v>
          </cell>
          <cell r="CY2067">
            <v>13.473275210017142</v>
          </cell>
        </row>
        <row r="2068">
          <cell r="A2068">
            <v>42432</v>
          </cell>
          <cell r="CF2068">
            <v>24.673557214845331</v>
          </cell>
          <cell r="CG2068">
            <v>22.085252262534414</v>
          </cell>
          <cell r="CH2068">
            <v>18.555263085067214</v>
          </cell>
          <cell r="CI2068">
            <v>14.926604548033502</v>
          </cell>
          <cell r="CJ2068">
            <v>22.183921622100925</v>
          </cell>
          <cell r="CU2068">
            <v>14.5226858851718</v>
          </cell>
          <cell r="CV2068">
            <v>13.67289934744978</v>
          </cell>
          <cell r="CW2068">
            <v>11.062153668663059</v>
          </cell>
          <cell r="CX2068">
            <v>8.6510321273089765</v>
          </cell>
          <cell r="CY2068">
            <v>13.473275210017142</v>
          </cell>
        </row>
        <row r="2069">
          <cell r="A2069">
            <v>42433</v>
          </cell>
          <cell r="CF2069">
            <v>24.713283554640089</v>
          </cell>
          <cell r="CG2069">
            <v>22.085252262534414</v>
          </cell>
          <cell r="CH2069">
            <v>18.555263085067214</v>
          </cell>
          <cell r="CI2069">
            <v>14.926604548033502</v>
          </cell>
          <cell r="CJ2069">
            <v>22.183921622100925</v>
          </cell>
          <cell r="CU2069">
            <v>14.5226858851718</v>
          </cell>
          <cell r="CV2069">
            <v>13.67289934744978</v>
          </cell>
          <cell r="CW2069">
            <v>11.062153668663059</v>
          </cell>
          <cell r="CX2069">
            <v>8.6510321273089765</v>
          </cell>
          <cell r="CY2069">
            <v>13.473275210017142</v>
          </cell>
        </row>
        <row r="2070">
          <cell r="A2070">
            <v>42436</v>
          </cell>
          <cell r="CF2070">
            <v>24.58822231213448</v>
          </cell>
          <cell r="CG2070">
            <v>22.085252262534414</v>
          </cell>
          <cell r="CH2070">
            <v>18.555263085067214</v>
          </cell>
          <cell r="CI2070">
            <v>14.926604548033502</v>
          </cell>
          <cell r="CJ2070">
            <v>22.183921622100925</v>
          </cell>
          <cell r="CU2070">
            <v>14.476745523918614</v>
          </cell>
          <cell r="CV2070">
            <v>13.67289934744978</v>
          </cell>
          <cell r="CW2070">
            <v>11.062153668663059</v>
          </cell>
          <cell r="CX2070">
            <v>8.6510321273089765</v>
          </cell>
          <cell r="CY2070">
            <v>13.473275210017142</v>
          </cell>
        </row>
        <row r="2071">
          <cell r="A2071">
            <v>42437</v>
          </cell>
          <cell r="CF2071">
            <v>24.645602677750396</v>
          </cell>
          <cell r="CG2071">
            <v>22.085252262534414</v>
          </cell>
          <cell r="CH2071">
            <v>18.555263085067214</v>
          </cell>
          <cell r="CI2071">
            <v>14.926604548033502</v>
          </cell>
          <cell r="CJ2071">
            <v>22.183921622100925</v>
          </cell>
          <cell r="CU2071">
            <v>14.507636456485409</v>
          </cell>
          <cell r="CV2071">
            <v>13.67289934744978</v>
          </cell>
          <cell r="CW2071">
            <v>11.062153668663059</v>
          </cell>
          <cell r="CX2071">
            <v>8.6510321273089765</v>
          </cell>
          <cell r="CY2071">
            <v>13.473275210017142</v>
          </cell>
        </row>
        <row r="2072">
          <cell r="A2072">
            <v>42438</v>
          </cell>
          <cell r="CF2072">
            <v>24.620590723507561</v>
          </cell>
          <cell r="CG2072">
            <v>22.085252262534414</v>
          </cell>
          <cell r="CH2072">
            <v>18.555263085067214</v>
          </cell>
          <cell r="CI2072">
            <v>14.926604548033502</v>
          </cell>
          <cell r="CJ2072">
            <v>22.183921622100925</v>
          </cell>
          <cell r="CU2072">
            <v>14.494171178187063</v>
          </cell>
          <cell r="CV2072">
            <v>13.67289934744978</v>
          </cell>
          <cell r="CW2072">
            <v>11.062153668663059</v>
          </cell>
          <cell r="CX2072">
            <v>8.6510321273089765</v>
          </cell>
          <cell r="CY2072">
            <v>13.473275210017142</v>
          </cell>
        </row>
        <row r="2073">
          <cell r="A2073">
            <v>42439</v>
          </cell>
          <cell r="CF2073">
            <v>24.741238091735024</v>
          </cell>
          <cell r="CG2073">
            <v>22.085252262534414</v>
          </cell>
          <cell r="CH2073">
            <v>18.555263085067214</v>
          </cell>
          <cell r="CI2073">
            <v>14.926604548033502</v>
          </cell>
          <cell r="CJ2073">
            <v>22.183921622100925</v>
          </cell>
          <cell r="CU2073">
            <v>14.494171178187063</v>
          </cell>
          <cell r="CV2073">
            <v>13.67289934744978</v>
          </cell>
          <cell r="CW2073">
            <v>11.062153668663059</v>
          </cell>
          <cell r="CX2073">
            <v>8.6510321273089765</v>
          </cell>
          <cell r="CY2073">
            <v>13.473275210017142</v>
          </cell>
        </row>
        <row r="2074">
          <cell r="A2074">
            <v>42440</v>
          </cell>
          <cell r="CF2074">
            <v>24.97517195718542</v>
          </cell>
          <cell r="CG2074">
            <v>22.085252262534414</v>
          </cell>
          <cell r="CH2074">
            <v>18.555263085067214</v>
          </cell>
          <cell r="CI2074">
            <v>14.926604548033502</v>
          </cell>
          <cell r="CJ2074">
            <v>22.183921622100925</v>
          </cell>
          <cell r="CU2074">
            <v>14.559122136171933</v>
          </cell>
          <cell r="CV2074">
            <v>13.67289934744978</v>
          </cell>
          <cell r="CW2074">
            <v>11.062153668663059</v>
          </cell>
          <cell r="CX2074">
            <v>8.6510321273089765</v>
          </cell>
          <cell r="CY2074">
            <v>13.473275210017142</v>
          </cell>
        </row>
        <row r="2075">
          <cell r="A2075">
            <v>42443</v>
          </cell>
          <cell r="CF2075">
            <v>24.764551030354301</v>
          </cell>
          <cell r="CG2075">
            <v>22.085252262534414</v>
          </cell>
          <cell r="CH2075">
            <v>18.555263085067214</v>
          </cell>
          <cell r="CI2075">
            <v>14.926604548033502</v>
          </cell>
          <cell r="CJ2075">
            <v>22.183921622100925</v>
          </cell>
          <cell r="CU2075">
            <v>14.571812946185895</v>
          </cell>
          <cell r="CV2075">
            <v>13.67289934744978</v>
          </cell>
          <cell r="CW2075">
            <v>11.062153668663059</v>
          </cell>
          <cell r="CX2075">
            <v>8.6510321273089765</v>
          </cell>
          <cell r="CY2075">
            <v>13.473275210017142</v>
          </cell>
        </row>
        <row r="2076">
          <cell r="A2076">
            <v>42444</v>
          </cell>
          <cell r="CF2076">
            <v>24.655676465990492</v>
          </cell>
          <cell r="CG2076">
            <v>22.085252262534414</v>
          </cell>
          <cell r="CH2076">
            <v>18.555263085067214</v>
          </cell>
          <cell r="CI2076">
            <v>14.926604548033502</v>
          </cell>
          <cell r="CJ2076">
            <v>22.183921622100925</v>
          </cell>
          <cell r="CU2076">
            <v>14.51319931100638</v>
          </cell>
          <cell r="CV2076">
            <v>13.67289934744978</v>
          </cell>
          <cell r="CW2076">
            <v>11.062153668663059</v>
          </cell>
          <cell r="CX2076">
            <v>8.6510321273089765</v>
          </cell>
          <cell r="CY2076">
            <v>13.473275210017142</v>
          </cell>
        </row>
        <row r="2077">
          <cell r="A2077">
            <v>42445</v>
          </cell>
          <cell r="CF2077">
            <v>24.634515689953279</v>
          </cell>
          <cell r="CG2077">
            <v>22.085252262534414</v>
          </cell>
          <cell r="CH2077">
            <v>18.555263085067214</v>
          </cell>
          <cell r="CI2077">
            <v>14.926604548033502</v>
          </cell>
          <cell r="CJ2077">
            <v>22.183921622100925</v>
          </cell>
          <cell r="CU2077">
            <v>14.519762291115004</v>
          </cell>
          <cell r="CV2077">
            <v>13.67289934744978</v>
          </cell>
          <cell r="CW2077">
            <v>11.062153668663059</v>
          </cell>
          <cell r="CX2077">
            <v>8.6510321273089765</v>
          </cell>
          <cell r="CY2077">
            <v>13.473275210017142</v>
          </cell>
        </row>
        <row r="2078">
          <cell r="A2078">
            <v>42446</v>
          </cell>
          <cell r="CF2078">
            <v>24.378471839017031</v>
          </cell>
          <cell r="CG2078">
            <v>22.085252262534414</v>
          </cell>
          <cell r="CH2078">
            <v>18.555263085067214</v>
          </cell>
          <cell r="CI2078">
            <v>14.926604548033502</v>
          </cell>
          <cell r="CJ2078">
            <v>22.183921622100925</v>
          </cell>
          <cell r="CU2078">
            <v>14.381749877141077</v>
          </cell>
          <cell r="CV2078">
            <v>13.67289934744978</v>
          </cell>
          <cell r="CW2078">
            <v>11.062153668663059</v>
          </cell>
          <cell r="CX2078">
            <v>8.6510321273089765</v>
          </cell>
          <cell r="CY2078">
            <v>13.473275210017142</v>
          </cell>
        </row>
        <row r="2079">
          <cell r="A2079">
            <v>42447</v>
          </cell>
          <cell r="CF2079">
            <v>24.66541588492808</v>
          </cell>
          <cell r="CG2079">
            <v>22.085252262534414</v>
          </cell>
          <cell r="CH2079">
            <v>18.555263085067214</v>
          </cell>
          <cell r="CI2079">
            <v>14.926604548033502</v>
          </cell>
          <cell r="CJ2079">
            <v>22.183921622100925</v>
          </cell>
          <cell r="CU2079">
            <v>14.381749877141077</v>
          </cell>
          <cell r="CV2079">
            <v>13.67289934744978</v>
          </cell>
          <cell r="CW2079">
            <v>11.062153668663059</v>
          </cell>
          <cell r="CX2079">
            <v>8.6510321273089765</v>
          </cell>
          <cell r="CY2079">
            <v>13.473275210017142</v>
          </cell>
        </row>
        <row r="2080">
          <cell r="A2080">
            <v>42450</v>
          </cell>
          <cell r="CF2080">
            <v>24.598813912250105</v>
          </cell>
          <cell r="CG2080">
            <v>22.085252262534414</v>
          </cell>
          <cell r="CH2080">
            <v>18.555263085067214</v>
          </cell>
          <cell r="CI2080">
            <v>14.926604548033502</v>
          </cell>
          <cell r="CJ2080">
            <v>22.183921622100925</v>
          </cell>
          <cell r="CU2080">
            <v>14.499940052967634</v>
          </cell>
          <cell r="CV2080">
            <v>13.67289934744978</v>
          </cell>
          <cell r="CW2080">
            <v>11.062153668663059</v>
          </cell>
          <cell r="CX2080">
            <v>8.6510321273089765</v>
          </cell>
          <cell r="CY2080">
            <v>13.473275210017142</v>
          </cell>
        </row>
        <row r="2081">
          <cell r="A2081">
            <v>42451</v>
          </cell>
          <cell r="CF2081">
            <v>24.896070164595425</v>
          </cell>
          <cell r="CG2081">
            <v>22.085252262534414</v>
          </cell>
          <cell r="CH2081">
            <v>18.555263085067214</v>
          </cell>
          <cell r="CI2081">
            <v>14.926604548033502</v>
          </cell>
          <cell r="CJ2081">
            <v>22.183921622100925</v>
          </cell>
          <cell r="CU2081">
            <v>14.660159724710699</v>
          </cell>
          <cell r="CV2081">
            <v>13.67289934744978</v>
          </cell>
          <cell r="CW2081">
            <v>11.062153668663059</v>
          </cell>
          <cell r="CX2081">
            <v>8.6510321273089765</v>
          </cell>
          <cell r="CY2081">
            <v>13.473275210017142</v>
          </cell>
        </row>
        <row r="2082">
          <cell r="A2082">
            <v>42452</v>
          </cell>
          <cell r="CF2082">
            <v>24.806305689836577</v>
          </cell>
          <cell r="CG2082">
            <v>22.085252262534414</v>
          </cell>
          <cell r="CH2082">
            <v>18.555263085067214</v>
          </cell>
          <cell r="CI2082">
            <v>14.926604548033502</v>
          </cell>
          <cell r="CJ2082">
            <v>22.183921622100925</v>
          </cell>
          <cell r="CU2082">
            <v>14.611777110159858</v>
          </cell>
          <cell r="CV2082">
            <v>13.67289934744978</v>
          </cell>
          <cell r="CW2082">
            <v>11.062153668663059</v>
          </cell>
          <cell r="CX2082">
            <v>8.6510321273089765</v>
          </cell>
          <cell r="CY2082">
            <v>13.473275210017142</v>
          </cell>
        </row>
        <row r="2083">
          <cell r="A2083">
            <v>42453</v>
          </cell>
          <cell r="CF2083">
            <v>24.707482993197278</v>
          </cell>
          <cell r="CG2083">
            <v>22.085252262534414</v>
          </cell>
          <cell r="CH2083">
            <v>18.555263085067214</v>
          </cell>
          <cell r="CI2083">
            <v>14.926604548033502</v>
          </cell>
          <cell r="CJ2083">
            <v>22.183921622100925</v>
          </cell>
          <cell r="CU2083">
            <v>14.591657164142964</v>
          </cell>
          <cell r="CV2083">
            <v>13.67289934744978</v>
          </cell>
          <cell r="CW2083">
            <v>11.062153668663059</v>
          </cell>
          <cell r="CX2083">
            <v>8.6510321273089765</v>
          </cell>
          <cell r="CY2083">
            <v>13.473275210017142</v>
          </cell>
        </row>
        <row r="2084">
          <cell r="A2084">
            <v>42454</v>
          </cell>
          <cell r="CF2084">
            <v>24.707482993197278</v>
          </cell>
          <cell r="CG2084">
            <v>22.085252262534414</v>
          </cell>
          <cell r="CH2084">
            <v>18.555263085067214</v>
          </cell>
          <cell r="CI2084">
            <v>14.926604548033502</v>
          </cell>
          <cell r="CJ2084">
            <v>22.183921622100925</v>
          </cell>
          <cell r="CU2084">
            <v>14.591657164142964</v>
          </cell>
          <cell r="CV2084">
            <v>13.67289934744978</v>
          </cell>
          <cell r="CW2084">
            <v>11.062153668663059</v>
          </cell>
          <cell r="CX2084">
            <v>8.6510321273089765</v>
          </cell>
          <cell r="CY2084">
            <v>13.473275210017142</v>
          </cell>
        </row>
        <row r="2085">
          <cell r="A2085">
            <v>42457</v>
          </cell>
          <cell r="CF2085">
            <v>24.833976833976834</v>
          </cell>
          <cell r="CG2085">
            <v>22.085252262534414</v>
          </cell>
          <cell r="CH2085">
            <v>18.555263085067214</v>
          </cell>
          <cell r="CI2085">
            <v>14.926604548033502</v>
          </cell>
          <cell r="CJ2085">
            <v>22.183921622100925</v>
          </cell>
          <cell r="CU2085">
            <v>14.613042490160888</v>
          </cell>
          <cell r="CV2085">
            <v>13.67289934744978</v>
          </cell>
          <cell r="CW2085">
            <v>11.062153668663059</v>
          </cell>
          <cell r="CX2085">
            <v>8.6510321273089765</v>
          </cell>
          <cell r="CY2085">
            <v>13.473275210017142</v>
          </cell>
        </row>
        <row r="2086">
          <cell r="A2086">
            <v>42458</v>
          </cell>
          <cell r="CF2086">
            <v>25.26788012502298</v>
          </cell>
          <cell r="CG2086">
            <v>22.085252262534414</v>
          </cell>
          <cell r="CH2086">
            <v>18.555263085067214</v>
          </cell>
          <cell r="CI2086">
            <v>14.926604548033502</v>
          </cell>
          <cell r="CJ2086">
            <v>22.183921622100925</v>
          </cell>
          <cell r="CU2086">
            <v>14.846705632324955</v>
          </cell>
          <cell r="CV2086">
            <v>13.67289934744978</v>
          </cell>
          <cell r="CW2086">
            <v>11.062153668663059</v>
          </cell>
          <cell r="CX2086">
            <v>8.6510321273089765</v>
          </cell>
          <cell r="CY2086">
            <v>13.473275210017142</v>
          </cell>
        </row>
        <row r="2087">
          <cell r="A2087">
            <v>42459</v>
          </cell>
          <cell r="CF2087">
            <v>25.426732855304284</v>
          </cell>
          <cell r="CG2087">
            <v>22.085252262534414</v>
          </cell>
          <cell r="CH2087">
            <v>18.555263085067214</v>
          </cell>
          <cell r="CI2087">
            <v>14.926604548033502</v>
          </cell>
          <cell r="CJ2087">
            <v>22.183921622100925</v>
          </cell>
          <cell r="CU2087">
            <v>14.932250104710446</v>
          </cell>
          <cell r="CV2087">
            <v>13.67289934744978</v>
          </cell>
          <cell r="CW2087">
            <v>11.062153668663059</v>
          </cell>
          <cell r="CX2087">
            <v>8.6510321273089765</v>
          </cell>
          <cell r="CY2087">
            <v>13.473275210017142</v>
          </cell>
        </row>
        <row r="2088">
          <cell r="A2088">
            <v>42460</v>
          </cell>
          <cell r="CF2088">
            <v>25.391433719433721</v>
          </cell>
          <cell r="CG2088">
            <v>22.085252262534414</v>
          </cell>
          <cell r="CH2088">
            <v>18.555263085067214</v>
          </cell>
          <cell r="CI2088">
            <v>14.926604548033502</v>
          </cell>
          <cell r="CJ2088">
            <v>22.183921622100925</v>
          </cell>
          <cell r="CU2088">
            <v>14.913241014036563</v>
          </cell>
          <cell r="CV2088">
            <v>13.67289934744978</v>
          </cell>
          <cell r="CW2088">
            <v>11.062153668663059</v>
          </cell>
          <cell r="CX2088">
            <v>8.6510321273089765</v>
          </cell>
          <cell r="CY2088">
            <v>13.473275210017142</v>
          </cell>
        </row>
        <row r="2089">
          <cell r="A2089">
            <v>42461</v>
          </cell>
          <cell r="CF2089">
            <v>25.21510864809936</v>
          </cell>
          <cell r="CG2089">
            <v>22.085252262534414</v>
          </cell>
          <cell r="CH2089">
            <v>18.555263085067214</v>
          </cell>
          <cell r="CI2089">
            <v>14.926604548033502</v>
          </cell>
          <cell r="CJ2089">
            <v>22.183921622100925</v>
          </cell>
          <cell r="CU2089">
            <v>14.844910434086449</v>
          </cell>
          <cell r="CV2089">
            <v>13.67289934744978</v>
          </cell>
          <cell r="CW2089">
            <v>11.062153668663059</v>
          </cell>
          <cell r="CX2089">
            <v>8.6510321273089765</v>
          </cell>
          <cell r="CY2089">
            <v>13.473275210017142</v>
          </cell>
        </row>
        <row r="2090">
          <cell r="A2090">
            <v>42464</v>
          </cell>
          <cell r="CF2090">
            <v>25.118858101212957</v>
          </cell>
          <cell r="CG2090">
            <v>22.085252262534414</v>
          </cell>
          <cell r="CH2090">
            <v>18.555263085067214</v>
          </cell>
          <cell r="CI2090">
            <v>14.926604548033502</v>
          </cell>
          <cell r="CJ2090">
            <v>22.183921622100925</v>
          </cell>
          <cell r="CU2090">
            <v>14.792948085464284</v>
          </cell>
          <cell r="CV2090">
            <v>13.67289934744978</v>
          </cell>
          <cell r="CW2090">
            <v>11.062153668663059</v>
          </cell>
          <cell r="CX2090">
            <v>8.6510321273089765</v>
          </cell>
          <cell r="CY2090">
            <v>13.473275210017142</v>
          </cell>
        </row>
        <row r="2091">
          <cell r="A2091">
            <v>42465</v>
          </cell>
          <cell r="CF2091">
            <v>24.710516260757906</v>
          </cell>
          <cell r="CG2091">
            <v>22.085252262534414</v>
          </cell>
          <cell r="CH2091">
            <v>18.555263085067214</v>
          </cell>
          <cell r="CI2091">
            <v>14.926604548033502</v>
          </cell>
          <cell r="CJ2091">
            <v>22.183921622100925</v>
          </cell>
          <cell r="CU2091">
            <v>14.572498417829831</v>
          </cell>
          <cell r="CV2091">
            <v>13.67289934744978</v>
          </cell>
          <cell r="CW2091">
            <v>11.062153668663059</v>
          </cell>
          <cell r="CX2091">
            <v>8.6510321273089765</v>
          </cell>
          <cell r="CY2091">
            <v>13.473275210017142</v>
          </cell>
        </row>
        <row r="2092">
          <cell r="A2092">
            <v>42466</v>
          </cell>
          <cell r="CF2092">
            <v>24.999270818144545</v>
          </cell>
          <cell r="CG2092">
            <v>22.085252262534414</v>
          </cell>
          <cell r="CH2092">
            <v>18.555263085067214</v>
          </cell>
          <cell r="CI2092">
            <v>14.926604548033502</v>
          </cell>
          <cell r="CJ2092">
            <v>22.183921622100925</v>
          </cell>
          <cell r="CU2092">
            <v>14.728387038336809</v>
          </cell>
          <cell r="CV2092">
            <v>13.67289934744978</v>
          </cell>
          <cell r="CW2092">
            <v>11.062153668663059</v>
          </cell>
          <cell r="CX2092">
            <v>8.6510321273089765</v>
          </cell>
          <cell r="CY2092">
            <v>13.473275210017142</v>
          </cell>
        </row>
        <row r="2093">
          <cell r="A2093">
            <v>42467</v>
          </cell>
          <cell r="CF2093">
            <v>24.588013708621389</v>
          </cell>
          <cell r="CG2093">
            <v>22.085252262534414</v>
          </cell>
          <cell r="CH2093">
            <v>18.555263085067214</v>
          </cell>
          <cell r="CI2093">
            <v>14.926604548033502</v>
          </cell>
          <cell r="CJ2093">
            <v>22.183921622100925</v>
          </cell>
          <cell r="CU2093">
            <v>14.506363517539494</v>
          </cell>
          <cell r="CV2093">
            <v>13.67289934744978</v>
          </cell>
          <cell r="CW2093">
            <v>11.062153668663059</v>
          </cell>
          <cell r="CX2093">
            <v>8.6510321273089765</v>
          </cell>
          <cell r="CY2093">
            <v>13.473275210017142</v>
          </cell>
        </row>
        <row r="2094">
          <cell r="A2094">
            <v>42468</v>
          </cell>
          <cell r="CF2094">
            <v>24.499053521950827</v>
          </cell>
          <cell r="CG2094">
            <v>22.085252262534414</v>
          </cell>
          <cell r="CH2094">
            <v>18.555263085067214</v>
          </cell>
          <cell r="CI2094">
            <v>14.926604548033502</v>
          </cell>
          <cell r="CJ2094">
            <v>22.183921622100925</v>
          </cell>
          <cell r="CU2094">
            <v>14.458336982804846</v>
          </cell>
          <cell r="CV2094">
            <v>13.67289934744978</v>
          </cell>
          <cell r="CW2094">
            <v>11.062153668663059</v>
          </cell>
          <cell r="CX2094">
            <v>8.6510321273089765</v>
          </cell>
          <cell r="CY2094">
            <v>13.473275210017142</v>
          </cell>
        </row>
        <row r="2095">
          <cell r="A2095">
            <v>42471</v>
          </cell>
          <cell r="CF2095">
            <v>24.297238632123396</v>
          </cell>
          <cell r="CG2095">
            <v>22.085252262534414</v>
          </cell>
          <cell r="CH2095">
            <v>18.555263085067214</v>
          </cell>
          <cell r="CI2095">
            <v>14.926604548033502</v>
          </cell>
          <cell r="CJ2095">
            <v>22.183921622100925</v>
          </cell>
          <cell r="CU2095">
            <v>14.38185763182989</v>
          </cell>
          <cell r="CV2095">
            <v>13.67289934744978</v>
          </cell>
          <cell r="CW2095">
            <v>11.062153668663059</v>
          </cell>
          <cell r="CX2095">
            <v>8.6510321273089765</v>
          </cell>
          <cell r="CY2095">
            <v>13.473275210017142</v>
          </cell>
        </row>
        <row r="2096">
          <cell r="A2096">
            <v>42472</v>
          </cell>
          <cell r="CF2096">
            <v>24.5615536348372</v>
          </cell>
          <cell r="CG2096">
            <v>22.085252262534414</v>
          </cell>
          <cell r="CH2096">
            <v>18.555263085067214</v>
          </cell>
          <cell r="CI2096">
            <v>14.926604548033502</v>
          </cell>
          <cell r="CJ2096">
            <v>22.183921622100925</v>
          </cell>
          <cell r="CU2096">
            <v>14.485145880116445</v>
          </cell>
          <cell r="CV2096">
            <v>13.67289934744978</v>
          </cell>
          <cell r="CW2096">
            <v>11.062153668663059</v>
          </cell>
          <cell r="CX2096">
            <v>8.6510321273089765</v>
          </cell>
          <cell r="CY2096">
            <v>13.473275210017142</v>
          </cell>
        </row>
        <row r="2097">
          <cell r="A2097">
            <v>42473</v>
          </cell>
          <cell r="CF2097">
            <v>24.708873363866157</v>
          </cell>
          <cell r="CG2097">
            <v>22.085252262534414</v>
          </cell>
          <cell r="CH2097">
            <v>18.555263085067214</v>
          </cell>
          <cell r="CI2097">
            <v>14.926604548033502</v>
          </cell>
          <cell r="CJ2097">
            <v>22.183921622100925</v>
          </cell>
          <cell r="CU2097">
            <v>14.564656458075246</v>
          </cell>
          <cell r="CV2097">
            <v>13.67289934744978</v>
          </cell>
          <cell r="CW2097">
            <v>11.062153668663059</v>
          </cell>
          <cell r="CX2097">
            <v>8.6510321273089765</v>
          </cell>
          <cell r="CY2097">
            <v>13.473275210017142</v>
          </cell>
        </row>
        <row r="2098">
          <cell r="A2098">
            <v>42474</v>
          </cell>
          <cell r="CF2098">
            <v>24.738047046047424</v>
          </cell>
          <cell r="CG2098">
            <v>22.085252262534414</v>
          </cell>
          <cell r="CH2098">
            <v>18.555263085067214</v>
          </cell>
          <cell r="CI2098">
            <v>14.926604548033502</v>
          </cell>
          <cell r="CJ2098">
            <v>22.183921622100925</v>
          </cell>
          <cell r="CU2098">
            <v>14.580401914211425</v>
          </cell>
          <cell r="CV2098">
            <v>13.67289934744978</v>
          </cell>
          <cell r="CW2098">
            <v>11.062153668663059</v>
          </cell>
          <cell r="CX2098">
            <v>8.6510321273089765</v>
          </cell>
          <cell r="CY2098">
            <v>13.473275210017142</v>
          </cell>
        </row>
        <row r="2099">
          <cell r="A2099">
            <v>42475</v>
          </cell>
          <cell r="CF2099">
            <v>24.786856559570843</v>
          </cell>
          <cell r="CG2099">
            <v>22.085252262534414</v>
          </cell>
          <cell r="CH2099">
            <v>18.555263085067214</v>
          </cell>
          <cell r="CI2099">
            <v>14.926604548033502</v>
          </cell>
          <cell r="CJ2099">
            <v>22.183921622100925</v>
          </cell>
          <cell r="CU2099">
            <v>14.610115315906718</v>
          </cell>
          <cell r="CV2099">
            <v>13.67289934744978</v>
          </cell>
          <cell r="CW2099">
            <v>11.062153668663059</v>
          </cell>
          <cell r="CX2099">
            <v>8.6510321273089765</v>
          </cell>
          <cell r="CY2099">
            <v>13.473275210017142</v>
          </cell>
        </row>
        <row r="2100">
          <cell r="A2100">
            <v>42478</v>
          </cell>
          <cell r="CF2100">
            <v>25.133914839841136</v>
          </cell>
          <cell r="CG2100">
            <v>22.085252262534414</v>
          </cell>
          <cell r="CH2100">
            <v>18.555263085067214</v>
          </cell>
          <cell r="CI2100">
            <v>14.926604548033502</v>
          </cell>
          <cell r="CJ2100">
            <v>22.183921622100925</v>
          </cell>
          <cell r="CU2100">
            <v>14.79747508954163</v>
          </cell>
          <cell r="CV2100">
            <v>13.67289934744978</v>
          </cell>
          <cell r="CW2100">
            <v>11.062153668663059</v>
          </cell>
          <cell r="CX2100">
            <v>8.6510321273089765</v>
          </cell>
          <cell r="CY2100">
            <v>13.473275210017142</v>
          </cell>
        </row>
        <row r="2101">
          <cell r="A2101">
            <v>42479</v>
          </cell>
          <cell r="CF2101">
            <v>25.037670733488138</v>
          </cell>
          <cell r="CG2101">
            <v>22.085252262534414</v>
          </cell>
          <cell r="CH2101">
            <v>18.555263085067214</v>
          </cell>
          <cell r="CI2101">
            <v>14.926604548033502</v>
          </cell>
          <cell r="CJ2101">
            <v>22.183921622100925</v>
          </cell>
          <cell r="CU2101">
            <v>14.745517608608029</v>
          </cell>
          <cell r="CV2101">
            <v>13.67289934744978</v>
          </cell>
          <cell r="CW2101">
            <v>11.062153668663059</v>
          </cell>
          <cell r="CX2101">
            <v>8.6510321273089765</v>
          </cell>
          <cell r="CY2101">
            <v>13.473275210017142</v>
          </cell>
        </row>
        <row r="2102">
          <cell r="A2102">
            <v>42480</v>
          </cell>
          <cell r="CF2102">
            <v>25.055170855006637</v>
          </cell>
          <cell r="CG2102">
            <v>22.085252262534414</v>
          </cell>
          <cell r="CH2102">
            <v>18.555263085067214</v>
          </cell>
          <cell r="CI2102">
            <v>14.926604548033502</v>
          </cell>
          <cell r="CJ2102">
            <v>22.183921622100925</v>
          </cell>
          <cell r="CU2102">
            <v>14.754965067414474</v>
          </cell>
          <cell r="CV2102">
            <v>13.67289934744978</v>
          </cell>
          <cell r="CW2102">
            <v>11.062153668663059</v>
          </cell>
          <cell r="CX2102">
            <v>8.6510321273089765</v>
          </cell>
          <cell r="CY2102">
            <v>13.473275210017142</v>
          </cell>
        </row>
        <row r="2103">
          <cell r="A2103">
            <v>42481</v>
          </cell>
          <cell r="CF2103">
            <v>24.794147669277741</v>
          </cell>
          <cell r="CG2103">
            <v>22.085252262534414</v>
          </cell>
          <cell r="CH2103">
            <v>18.555263085067214</v>
          </cell>
          <cell r="CI2103">
            <v>14.926604548033502</v>
          </cell>
          <cell r="CJ2103">
            <v>22.183921622100925</v>
          </cell>
          <cell r="CU2103">
            <v>14.61405142906664</v>
          </cell>
          <cell r="CV2103">
            <v>13.67289934744978</v>
          </cell>
          <cell r="CW2103">
            <v>11.062153668663059</v>
          </cell>
          <cell r="CX2103">
            <v>8.6510321273089765</v>
          </cell>
          <cell r="CY2103">
            <v>13.473275210017142</v>
          </cell>
        </row>
        <row r="2104">
          <cell r="A2104">
            <v>42482</v>
          </cell>
          <cell r="CF2104">
            <v>24.91080688281005</v>
          </cell>
          <cell r="CG2104">
            <v>22.085252262534414</v>
          </cell>
          <cell r="CH2104">
            <v>18.555263085067214</v>
          </cell>
          <cell r="CI2104">
            <v>14.926604548033502</v>
          </cell>
          <cell r="CJ2104">
            <v>22.183921622100925</v>
          </cell>
          <cell r="CU2104">
            <v>14.677030026848021</v>
          </cell>
          <cell r="CV2104">
            <v>13.67289934744978</v>
          </cell>
          <cell r="CW2104">
            <v>11.062153668663059</v>
          </cell>
          <cell r="CX2104">
            <v>8.6510321273089765</v>
          </cell>
          <cell r="CY2104">
            <v>13.473275210017142</v>
          </cell>
        </row>
        <row r="2105">
          <cell r="A2105">
            <v>42485</v>
          </cell>
          <cell r="CF2105">
            <v>25.102997874911857</v>
          </cell>
          <cell r="CG2105">
            <v>22.085252262534414</v>
          </cell>
          <cell r="CH2105">
            <v>18.555263085067214</v>
          </cell>
          <cell r="CI2105">
            <v>14.926604548033502</v>
          </cell>
          <cell r="CJ2105">
            <v>22.183921622100925</v>
          </cell>
          <cell r="CU2105">
            <v>14.780956791641261</v>
          </cell>
          <cell r="CV2105">
            <v>13.67289934744978</v>
          </cell>
          <cell r="CW2105">
            <v>11.062153668663059</v>
          </cell>
          <cell r="CX2105">
            <v>8.6510321273089765</v>
          </cell>
          <cell r="CY2105">
            <v>13.473275210017142</v>
          </cell>
        </row>
        <row r="2106">
          <cell r="A2106">
            <v>42486</v>
          </cell>
          <cell r="CF2106">
            <v>25.119038129145025</v>
          </cell>
          <cell r="CG2106">
            <v>22.085252262534414</v>
          </cell>
          <cell r="CH2106">
            <v>18.555263085067214</v>
          </cell>
          <cell r="CI2106">
            <v>14.926604548033502</v>
          </cell>
          <cell r="CJ2106">
            <v>22.183921622100925</v>
          </cell>
          <cell r="CU2106">
            <v>14.789569006022784</v>
          </cell>
          <cell r="CV2106">
            <v>13.67289934744978</v>
          </cell>
          <cell r="CW2106">
            <v>11.062153668663059</v>
          </cell>
          <cell r="CX2106">
            <v>8.6510321273089765</v>
          </cell>
          <cell r="CY2106">
            <v>13.473275210017142</v>
          </cell>
        </row>
        <row r="2107">
          <cell r="A2107">
            <v>42487</v>
          </cell>
          <cell r="CF2107">
            <v>25.380017494414044</v>
          </cell>
          <cell r="CG2107">
            <v>22.085252262534414</v>
          </cell>
          <cell r="CH2107">
            <v>18.555263085067214</v>
          </cell>
          <cell r="CI2107">
            <v>14.926604548033502</v>
          </cell>
          <cell r="CJ2107">
            <v>22.183921622100925</v>
          </cell>
          <cell r="CU2107">
            <v>14.930024957223816</v>
          </cell>
          <cell r="CV2107">
            <v>13.67289934744978</v>
          </cell>
          <cell r="CW2107">
            <v>11.062153668663059</v>
          </cell>
          <cell r="CX2107">
            <v>8.6510321273089765</v>
          </cell>
          <cell r="CY2107">
            <v>13.473275210017142</v>
          </cell>
        </row>
        <row r="2108">
          <cell r="A2108">
            <v>42488</v>
          </cell>
          <cell r="CF2108">
            <v>24.861016619693416</v>
          </cell>
          <cell r="CG2108">
            <v>22.085252262534414</v>
          </cell>
          <cell r="CH2108">
            <v>18.555263085067214</v>
          </cell>
          <cell r="CI2108">
            <v>14.926604548033502</v>
          </cell>
          <cell r="CJ2108">
            <v>22.183921622100925</v>
          </cell>
          <cell r="CU2108">
            <v>14.649841988583866</v>
          </cell>
          <cell r="CV2108">
            <v>13.67289934744978</v>
          </cell>
          <cell r="CW2108">
            <v>11.062153668663059</v>
          </cell>
          <cell r="CX2108">
            <v>8.6510321273089765</v>
          </cell>
          <cell r="CY2108">
            <v>13.473275210017142</v>
          </cell>
        </row>
        <row r="2109">
          <cell r="A2109">
            <v>42489</v>
          </cell>
          <cell r="CF2109">
            <v>24.594226844205004</v>
          </cell>
          <cell r="CG2109">
            <v>22.085252262534414</v>
          </cell>
          <cell r="CH2109">
            <v>18.555263085067214</v>
          </cell>
          <cell r="CI2109">
            <v>14.926604548033502</v>
          </cell>
          <cell r="CJ2109">
            <v>22.183921622100925</v>
          </cell>
          <cell r="CU2109">
            <v>14.505815350209959</v>
          </cell>
          <cell r="CV2109">
            <v>13.67289934744978</v>
          </cell>
          <cell r="CW2109">
            <v>11.062153668663059</v>
          </cell>
          <cell r="CX2109">
            <v>8.6510321273089765</v>
          </cell>
          <cell r="CY2109">
            <v>13.473275210017142</v>
          </cell>
        </row>
        <row r="2110">
          <cell r="A2110">
            <v>42492</v>
          </cell>
          <cell r="CF2110">
            <v>24.718323143652853</v>
          </cell>
          <cell r="CG2110">
            <v>22.085252262534414</v>
          </cell>
          <cell r="CH2110">
            <v>18.555263085067214</v>
          </cell>
          <cell r="CI2110">
            <v>14.926604548033502</v>
          </cell>
          <cell r="CJ2110">
            <v>22.183921622100925</v>
          </cell>
          <cell r="CU2110">
            <v>14.596995798390831</v>
          </cell>
          <cell r="CV2110">
            <v>13.67289934744978</v>
          </cell>
          <cell r="CW2110">
            <v>11.062153668663059</v>
          </cell>
          <cell r="CX2110">
            <v>8.6510321273089765</v>
          </cell>
          <cell r="CY2110">
            <v>13.473275210017142</v>
          </cell>
        </row>
        <row r="2111">
          <cell r="A2111">
            <v>42493</v>
          </cell>
          <cell r="CF2111">
            <v>24.376189367925576</v>
          </cell>
          <cell r="CG2111">
            <v>22.085252262534414</v>
          </cell>
          <cell r="CH2111">
            <v>18.555263085067214</v>
          </cell>
          <cell r="CI2111">
            <v>14.926604548033502</v>
          </cell>
          <cell r="CJ2111">
            <v>22.183921622100925</v>
          </cell>
          <cell r="CU2111">
            <v>14.404140121514324</v>
          </cell>
          <cell r="CV2111">
            <v>13.67289934744978</v>
          </cell>
          <cell r="CW2111">
            <v>11.062153668663059</v>
          </cell>
          <cell r="CX2111">
            <v>8.6510321273089765</v>
          </cell>
          <cell r="CY2111">
            <v>13.473275210017142</v>
          </cell>
        </row>
        <row r="2112">
          <cell r="A2112">
            <v>42494</v>
          </cell>
          <cell r="CF2112">
            <v>24.066989099836441</v>
          </cell>
          <cell r="CG2112">
            <v>22.085252262534414</v>
          </cell>
          <cell r="CH2112">
            <v>18.555263085067214</v>
          </cell>
          <cell r="CI2112">
            <v>14.926604548033502</v>
          </cell>
          <cell r="CJ2112">
            <v>22.183921622100925</v>
          </cell>
          <cell r="CU2112">
            <v>14.522629076772303</v>
          </cell>
          <cell r="CV2112">
            <v>13.67289934744978</v>
          </cell>
          <cell r="CW2112">
            <v>11.062153668663059</v>
          </cell>
          <cell r="CX2112">
            <v>8.6510321273089765</v>
          </cell>
          <cell r="CY2112">
            <v>13.473275210017142</v>
          </cell>
        </row>
        <row r="2113">
          <cell r="A2113">
            <v>42495</v>
          </cell>
          <cell r="CF2113">
            <v>24.270556558148741</v>
          </cell>
          <cell r="CG2113">
            <v>22.085252262534414</v>
          </cell>
          <cell r="CH2113">
            <v>18.555263085067214</v>
          </cell>
          <cell r="CI2113">
            <v>14.926604548033502</v>
          </cell>
          <cell r="CJ2113">
            <v>22.183921622100925</v>
          </cell>
          <cell r="CU2113">
            <v>14.631612059694758</v>
          </cell>
          <cell r="CV2113">
            <v>13.67289934744978</v>
          </cell>
          <cell r="CW2113">
            <v>11.062153668663059</v>
          </cell>
          <cell r="CX2113">
            <v>8.6510321273089765</v>
          </cell>
          <cell r="CY2113">
            <v>13.473275210017142</v>
          </cell>
        </row>
        <row r="2114">
          <cell r="A2114">
            <v>42496</v>
          </cell>
          <cell r="CF2114">
            <v>24.543420197793612</v>
          </cell>
          <cell r="CG2114">
            <v>22.085252262534414</v>
          </cell>
          <cell r="CH2114">
            <v>18.555263085067214</v>
          </cell>
          <cell r="CI2114">
            <v>14.926604548033502</v>
          </cell>
          <cell r="CJ2114">
            <v>22.183921622100925</v>
          </cell>
          <cell r="CU2114">
            <v>14.779315847280511</v>
          </cell>
          <cell r="CV2114">
            <v>13.67289934744978</v>
          </cell>
          <cell r="CW2114">
            <v>11.062153668663059</v>
          </cell>
          <cell r="CX2114">
            <v>8.6510321273089765</v>
          </cell>
          <cell r="CY2114">
            <v>13.473275210017142</v>
          </cell>
        </row>
        <row r="2115">
          <cell r="A2115">
            <v>42499</v>
          </cell>
          <cell r="CF2115">
            <v>24.649788226418764</v>
          </cell>
          <cell r="CG2115">
            <v>22.085252262534414</v>
          </cell>
          <cell r="CH2115">
            <v>18.555263085067214</v>
          </cell>
          <cell r="CI2115">
            <v>14.926604548033502</v>
          </cell>
          <cell r="CJ2115">
            <v>22.183921622100925</v>
          </cell>
          <cell r="CU2115">
            <v>14.836365760209997</v>
          </cell>
          <cell r="CV2115">
            <v>13.67289934744978</v>
          </cell>
          <cell r="CW2115">
            <v>11.062153668663059</v>
          </cell>
          <cell r="CX2115">
            <v>8.6510321273089765</v>
          </cell>
          <cell r="CY2115">
            <v>13.473275210017142</v>
          </cell>
        </row>
        <row r="2116">
          <cell r="A2116">
            <v>42500</v>
          </cell>
          <cell r="CF2116">
            <v>24.863278195491272</v>
          </cell>
          <cell r="CG2116">
            <v>22.085252262534414</v>
          </cell>
          <cell r="CH2116">
            <v>18.555263085067214</v>
          </cell>
          <cell r="CI2116">
            <v>14.926604548033502</v>
          </cell>
          <cell r="CJ2116">
            <v>22.183921622100925</v>
          </cell>
          <cell r="CU2116">
            <v>14.971247569846451</v>
          </cell>
          <cell r="CV2116">
            <v>13.67289934744978</v>
          </cell>
          <cell r="CW2116">
            <v>11.062153668663059</v>
          </cell>
          <cell r="CX2116">
            <v>8.6510321273089765</v>
          </cell>
          <cell r="CY2116">
            <v>13.473275210017142</v>
          </cell>
        </row>
        <row r="2117">
          <cell r="A2117">
            <v>42501</v>
          </cell>
          <cell r="CF2117">
            <v>24.740572872182991</v>
          </cell>
          <cell r="CG2117">
            <v>22.085252262534414</v>
          </cell>
          <cell r="CH2117">
            <v>18.555263085067214</v>
          </cell>
          <cell r="CI2117">
            <v>14.926604548033502</v>
          </cell>
          <cell r="CJ2117">
            <v>22.183921622100925</v>
          </cell>
          <cell r="CU2117">
            <v>14.904741938814427</v>
          </cell>
          <cell r="CV2117">
            <v>13.67289934744978</v>
          </cell>
          <cell r="CW2117">
            <v>11.062153668663059</v>
          </cell>
          <cell r="CX2117">
            <v>8.6510321273089765</v>
          </cell>
          <cell r="CY2117">
            <v>13.473275210017142</v>
          </cell>
        </row>
        <row r="2118">
          <cell r="A2118">
            <v>42502</v>
          </cell>
          <cell r="CF2118">
            <v>24.866165413536386</v>
          </cell>
          <cell r="CG2118">
            <v>22.085252262534414</v>
          </cell>
          <cell r="CH2118">
            <v>18.555263085067214</v>
          </cell>
          <cell r="CI2118">
            <v>14.926604548033502</v>
          </cell>
          <cell r="CJ2118">
            <v>22.183921622100925</v>
          </cell>
          <cell r="CU2118">
            <v>14.972812426633755</v>
          </cell>
          <cell r="CV2118">
            <v>13.67289934744978</v>
          </cell>
          <cell r="CW2118">
            <v>11.062153668663059</v>
          </cell>
          <cell r="CX2118">
            <v>8.6510321273089765</v>
          </cell>
          <cell r="CY2118">
            <v>13.473275210017142</v>
          </cell>
        </row>
        <row r="2119">
          <cell r="A2119">
            <v>42503</v>
          </cell>
          <cell r="CF2119">
            <v>24.825745804513826</v>
          </cell>
          <cell r="CG2119">
            <v>22.085252262534414</v>
          </cell>
          <cell r="CH2119">
            <v>18.555263085067214</v>
          </cell>
          <cell r="CI2119">
            <v>14.926604548033502</v>
          </cell>
          <cell r="CJ2119">
            <v>22.183921622100925</v>
          </cell>
          <cell r="CU2119">
            <v>14.950905214039892</v>
          </cell>
          <cell r="CV2119">
            <v>13.67289934744978</v>
          </cell>
          <cell r="CW2119">
            <v>11.062153668663059</v>
          </cell>
          <cell r="CX2119">
            <v>8.6510321273089765</v>
          </cell>
          <cell r="CY2119">
            <v>13.473275210017142</v>
          </cell>
        </row>
        <row r="2120">
          <cell r="A2120">
            <v>42506</v>
          </cell>
          <cell r="CF2120">
            <v>25.137565353386037</v>
          </cell>
          <cell r="CG2120">
            <v>22.085252262534414</v>
          </cell>
          <cell r="CH2120">
            <v>18.555263085067214</v>
          </cell>
          <cell r="CI2120">
            <v>14.926604548033502</v>
          </cell>
          <cell r="CJ2120">
            <v>22.183921622100925</v>
          </cell>
          <cell r="CU2120">
            <v>15.119909747068725</v>
          </cell>
          <cell r="CV2120">
            <v>13.67289934744978</v>
          </cell>
          <cell r="CW2120">
            <v>11.062153668663059</v>
          </cell>
          <cell r="CX2120">
            <v>8.6510321273089765</v>
          </cell>
          <cell r="CY2120">
            <v>13.473275210017142</v>
          </cell>
        </row>
        <row r="2121">
          <cell r="A2121">
            <v>42507</v>
          </cell>
          <cell r="CF2121">
            <v>24.620753323310794</v>
          </cell>
          <cell r="CG2121">
            <v>22.085252262534414</v>
          </cell>
          <cell r="CH2121">
            <v>18.555263085067214</v>
          </cell>
          <cell r="CI2121">
            <v>14.926604548033502</v>
          </cell>
          <cell r="CJ2121">
            <v>22.183921622100925</v>
          </cell>
          <cell r="CU2121">
            <v>14.839800382141309</v>
          </cell>
          <cell r="CV2121">
            <v>13.67289934744978</v>
          </cell>
          <cell r="CW2121">
            <v>11.062153668663059</v>
          </cell>
          <cell r="CX2121">
            <v>8.6510321273089765</v>
          </cell>
          <cell r="CY2121">
            <v>13.473275210017142</v>
          </cell>
        </row>
        <row r="2122">
          <cell r="A2122">
            <v>42508</v>
          </cell>
          <cell r="CF2122">
            <v>24.678496240604034</v>
          </cell>
          <cell r="CG2122">
            <v>22.085252262534414</v>
          </cell>
          <cell r="CH2122">
            <v>18.555263085067214</v>
          </cell>
          <cell r="CI2122">
            <v>14.926604548033502</v>
          </cell>
          <cell r="CJ2122">
            <v>22.183921622100925</v>
          </cell>
          <cell r="CU2122">
            <v>14.871096735458995</v>
          </cell>
          <cell r="CV2122">
            <v>13.67289934744978</v>
          </cell>
          <cell r="CW2122">
            <v>11.062153668663059</v>
          </cell>
          <cell r="CX2122">
            <v>8.6510321273089765</v>
          </cell>
          <cell r="CY2122">
            <v>13.473275210017142</v>
          </cell>
        </row>
        <row r="2123">
          <cell r="A2123">
            <v>42509</v>
          </cell>
          <cell r="CF2123">
            <v>24.669834586468696</v>
          </cell>
          <cell r="CG2123">
            <v>22.085252262534414</v>
          </cell>
          <cell r="CH2123">
            <v>18.555263085067214</v>
          </cell>
          <cell r="CI2123">
            <v>14.926604548033502</v>
          </cell>
          <cell r="CJ2123">
            <v>22.183921622100925</v>
          </cell>
          <cell r="CU2123">
            <v>14.866402165097083</v>
          </cell>
          <cell r="CV2123">
            <v>13.67289934744978</v>
          </cell>
          <cell r="CW2123">
            <v>11.062153668663059</v>
          </cell>
          <cell r="CX2123">
            <v>8.6510321273089765</v>
          </cell>
          <cell r="CY2123">
            <v>13.473275210017142</v>
          </cell>
        </row>
        <row r="2124">
          <cell r="A2124">
            <v>42510</v>
          </cell>
          <cell r="CF2124">
            <v>24.649624060152906</v>
          </cell>
          <cell r="CG2124">
            <v>22.085252262534414</v>
          </cell>
          <cell r="CH2124">
            <v>18.555263085067214</v>
          </cell>
          <cell r="CI2124">
            <v>14.926604548033502</v>
          </cell>
          <cell r="CJ2124">
            <v>22.183921622100925</v>
          </cell>
          <cell r="CU2124">
            <v>14.855448167585957</v>
          </cell>
          <cell r="CV2124">
            <v>13.67289934744978</v>
          </cell>
          <cell r="CW2124">
            <v>11.062153668663059</v>
          </cell>
          <cell r="CX2124">
            <v>8.6510321273089765</v>
          </cell>
          <cell r="CY2124">
            <v>13.473275210017142</v>
          </cell>
        </row>
        <row r="2125">
          <cell r="A2125">
            <v>42513</v>
          </cell>
          <cell r="CF2125">
            <v>24.427309714288224</v>
          </cell>
          <cell r="CG2125">
            <v>22.085252262534414</v>
          </cell>
          <cell r="CH2125">
            <v>18.555263085067214</v>
          </cell>
          <cell r="CI2125">
            <v>14.926604548033502</v>
          </cell>
          <cell r="CJ2125">
            <v>22.183921622100925</v>
          </cell>
          <cell r="CU2125">
            <v>14.734954977391942</v>
          </cell>
          <cell r="CV2125">
            <v>13.67289934744978</v>
          </cell>
          <cell r="CW2125">
            <v>11.062153668663059</v>
          </cell>
          <cell r="CX2125">
            <v>8.6510321273089765</v>
          </cell>
          <cell r="CY2125">
            <v>13.473275210017142</v>
          </cell>
        </row>
        <row r="2126">
          <cell r="A2126">
            <v>42514</v>
          </cell>
          <cell r="CF2126">
            <v>24.936903699250681</v>
          </cell>
          <cell r="CG2126">
            <v>22.085252262534414</v>
          </cell>
          <cell r="CH2126">
            <v>18.555263085067214</v>
          </cell>
          <cell r="CI2126">
            <v>14.926604548033502</v>
          </cell>
          <cell r="CJ2126">
            <v>22.183921622100925</v>
          </cell>
          <cell r="CU2126">
            <v>15.011152200351098</v>
          </cell>
          <cell r="CV2126">
            <v>13.67289934744978</v>
          </cell>
          <cell r="CW2126">
            <v>11.062153668663059</v>
          </cell>
          <cell r="CX2126">
            <v>8.6510321273089765</v>
          </cell>
          <cell r="CY2126">
            <v>13.473275210017142</v>
          </cell>
        </row>
        <row r="2127">
          <cell r="A2127">
            <v>42515</v>
          </cell>
          <cell r="CF2127">
            <v>24.762225563912317</v>
          </cell>
          <cell r="CG2127">
            <v>22.085252262534414</v>
          </cell>
          <cell r="CH2127">
            <v>18.555263085067214</v>
          </cell>
          <cell r="CI2127">
            <v>14.926604548033502</v>
          </cell>
          <cell r="CJ2127">
            <v>22.183921622100925</v>
          </cell>
          <cell r="CU2127">
            <v>14.916477582290812</v>
          </cell>
          <cell r="CV2127">
            <v>13.67289934744978</v>
          </cell>
          <cell r="CW2127">
            <v>11.062153668663059</v>
          </cell>
          <cell r="CX2127">
            <v>8.6510321273089765</v>
          </cell>
          <cell r="CY2127">
            <v>13.473275210017142</v>
          </cell>
        </row>
        <row r="2128">
          <cell r="A2128">
            <v>42516</v>
          </cell>
          <cell r="CF2128">
            <v>24.934016481205568</v>
          </cell>
          <cell r="CG2128">
            <v>22.085252262534414</v>
          </cell>
          <cell r="CH2128">
            <v>18.555263085067214</v>
          </cell>
          <cell r="CI2128">
            <v>14.926604548033502</v>
          </cell>
          <cell r="CJ2128">
            <v>22.183921622100925</v>
          </cell>
          <cell r="CU2128">
            <v>15.009587343563792</v>
          </cell>
          <cell r="CV2128">
            <v>13.67289934744978</v>
          </cell>
          <cell r="CW2128">
            <v>11.062153668663059</v>
          </cell>
          <cell r="CX2128">
            <v>8.6510321273089765</v>
          </cell>
          <cell r="CY2128">
            <v>13.473275210017142</v>
          </cell>
        </row>
        <row r="2129">
          <cell r="A2129">
            <v>42517</v>
          </cell>
          <cell r="CF2129">
            <v>25.089926255641672</v>
          </cell>
          <cell r="CG2129">
            <v>22.085252262534414</v>
          </cell>
          <cell r="CH2129">
            <v>18.555263085067214</v>
          </cell>
          <cell r="CI2129">
            <v>14.926604548033502</v>
          </cell>
          <cell r="CJ2129">
            <v>22.183921622100925</v>
          </cell>
          <cell r="CU2129">
            <v>15.094088045221422</v>
          </cell>
          <cell r="CV2129">
            <v>13.67289934744978</v>
          </cell>
          <cell r="CW2129">
            <v>11.062153668663059</v>
          </cell>
          <cell r="CX2129">
            <v>8.6510321273089765</v>
          </cell>
          <cell r="CY2129">
            <v>13.473275210017142</v>
          </cell>
        </row>
        <row r="2130">
          <cell r="A2130">
            <v>42520</v>
          </cell>
          <cell r="CF2130">
            <v>25.089926255641672</v>
          </cell>
          <cell r="CG2130">
            <v>22.085252262534414</v>
          </cell>
          <cell r="CH2130">
            <v>18.555263085067214</v>
          </cell>
          <cell r="CI2130">
            <v>14.926604548033502</v>
          </cell>
          <cell r="CJ2130">
            <v>22.183921622100925</v>
          </cell>
          <cell r="CU2130">
            <v>15.094089610078209</v>
          </cell>
          <cell r="CV2130">
            <v>13.67289934744978</v>
          </cell>
          <cell r="CW2130">
            <v>11.062153668663059</v>
          </cell>
          <cell r="CX2130">
            <v>8.6510321273089765</v>
          </cell>
          <cell r="CY2130">
            <v>13.473275210017142</v>
          </cell>
        </row>
        <row r="2131">
          <cell r="A2131">
            <v>42521</v>
          </cell>
          <cell r="CF2131">
            <v>25.079819548874752</v>
          </cell>
          <cell r="CG2131">
            <v>22.085252262534414</v>
          </cell>
          <cell r="CH2131">
            <v>18.555263085067214</v>
          </cell>
          <cell r="CI2131">
            <v>14.926604548033502</v>
          </cell>
          <cell r="CJ2131">
            <v>22.183921622100925</v>
          </cell>
          <cell r="CU2131">
            <v>15.088611828894251</v>
          </cell>
          <cell r="CV2131">
            <v>13.67289934744978</v>
          </cell>
          <cell r="CW2131">
            <v>11.062153668663059</v>
          </cell>
          <cell r="CX2131">
            <v>8.6510321273089765</v>
          </cell>
          <cell r="CY2131">
            <v>13.473275210017142</v>
          </cell>
        </row>
        <row r="2132">
          <cell r="A2132">
            <v>42522</v>
          </cell>
          <cell r="CF2132">
            <v>24.776355829098978</v>
          </cell>
          <cell r="CG2132">
            <v>22.085252262534414</v>
          </cell>
          <cell r="CH2132">
            <v>18.555263085067214</v>
          </cell>
          <cell r="CI2132">
            <v>14.926604548033502</v>
          </cell>
          <cell r="CJ2132">
            <v>22.183921622100925</v>
          </cell>
          <cell r="CU2132">
            <v>14.944989787822701</v>
          </cell>
          <cell r="CV2132">
            <v>13.67289934744978</v>
          </cell>
          <cell r="CW2132">
            <v>11.062153668663059</v>
          </cell>
          <cell r="CX2132">
            <v>8.6510321273089765</v>
          </cell>
          <cell r="CY2132">
            <v>13.473275210017142</v>
          </cell>
        </row>
        <row r="2133">
          <cell r="A2133">
            <v>42523</v>
          </cell>
          <cell r="CF2133">
            <v>25.214343376511845</v>
          </cell>
          <cell r="CG2133">
            <v>22.085252262534414</v>
          </cell>
          <cell r="CH2133">
            <v>18.555263085067214</v>
          </cell>
          <cell r="CI2133">
            <v>14.926604548033502</v>
          </cell>
          <cell r="CJ2133">
            <v>22.183921622100925</v>
          </cell>
          <cell r="CU2133">
            <v>15.182911163375348</v>
          </cell>
          <cell r="CV2133">
            <v>13.67289934744978</v>
          </cell>
          <cell r="CW2133">
            <v>11.062153668663059</v>
          </cell>
          <cell r="CX2133">
            <v>8.6510321273089765</v>
          </cell>
          <cell r="CY2133">
            <v>13.473275210017142</v>
          </cell>
        </row>
        <row r="2134">
          <cell r="A2134">
            <v>42524</v>
          </cell>
          <cell r="CF2134">
            <v>25.17283332140557</v>
          </cell>
          <cell r="CG2134">
            <v>22.085252262534414</v>
          </cell>
          <cell r="CH2134">
            <v>18.555263085067214</v>
          </cell>
          <cell r="CI2134">
            <v>14.926604548033502</v>
          </cell>
          <cell r="CJ2134">
            <v>22.183921622100925</v>
          </cell>
          <cell r="CU2134">
            <v>15.160362281635472</v>
          </cell>
          <cell r="CV2134">
            <v>13.67289934744978</v>
          </cell>
          <cell r="CW2134">
            <v>11.062153668663059</v>
          </cell>
          <cell r="CX2134">
            <v>8.6510321273089765</v>
          </cell>
          <cell r="CY2134">
            <v>13.473275210017142</v>
          </cell>
        </row>
        <row r="2135">
          <cell r="A2135">
            <v>42527</v>
          </cell>
          <cell r="CF2135">
            <v>25.293066628497822</v>
          </cell>
          <cell r="CG2135">
            <v>22.085252262534414</v>
          </cell>
          <cell r="CH2135">
            <v>18.555263085067214</v>
          </cell>
          <cell r="CI2135">
            <v>14.926604548033502</v>
          </cell>
          <cell r="CJ2135">
            <v>22.183921622100925</v>
          </cell>
          <cell r="CU2135">
            <v>15.225674809308014</v>
          </cell>
          <cell r="CV2135">
            <v>13.67289934744978</v>
          </cell>
          <cell r="CW2135">
            <v>11.062153668663059</v>
          </cell>
          <cell r="CX2135">
            <v>8.6510321273089765</v>
          </cell>
          <cell r="CY2135">
            <v>13.473275210017142</v>
          </cell>
        </row>
        <row r="2136">
          <cell r="A2136">
            <v>42528</v>
          </cell>
          <cell r="CF2136">
            <v>25.174266084591714</v>
          </cell>
          <cell r="CG2136">
            <v>22.085252262534414</v>
          </cell>
          <cell r="CH2136">
            <v>18.555263085067214</v>
          </cell>
          <cell r="CI2136">
            <v>14.926604548033502</v>
          </cell>
          <cell r="CJ2136">
            <v>22.183921622100925</v>
          </cell>
          <cell r="CU2136">
            <v>15.161140579991446</v>
          </cell>
          <cell r="CV2136">
            <v>13.67289934744978</v>
          </cell>
          <cell r="CW2136">
            <v>11.062153668663059</v>
          </cell>
          <cell r="CX2136">
            <v>8.6510321273089765</v>
          </cell>
          <cell r="CY2136">
            <v>13.473275210017142</v>
          </cell>
        </row>
        <row r="2137">
          <cell r="A2137">
            <v>42529</v>
          </cell>
          <cell r="CF2137">
            <v>25.640878837758535</v>
          </cell>
          <cell r="CG2137">
            <v>22.085252262534414</v>
          </cell>
          <cell r="CH2137">
            <v>18.555263085067214</v>
          </cell>
          <cell r="CI2137">
            <v>14.926604548033502</v>
          </cell>
          <cell r="CJ2137">
            <v>22.183921622100925</v>
          </cell>
          <cell r="CU2137">
            <v>15.414611594726043</v>
          </cell>
          <cell r="CV2137">
            <v>13.67289934744978</v>
          </cell>
          <cell r="CW2137">
            <v>11.062153668663059</v>
          </cell>
          <cell r="CX2137">
            <v>8.6510321273089765</v>
          </cell>
          <cell r="CY2137">
            <v>13.473275210017142</v>
          </cell>
        </row>
        <row r="2138">
          <cell r="A2138">
            <v>42530</v>
          </cell>
          <cell r="CF2138">
            <v>25.865599370213989</v>
          </cell>
          <cell r="CG2138">
            <v>22.085252262534414</v>
          </cell>
          <cell r="CH2138">
            <v>18.555263085067214</v>
          </cell>
          <cell r="CI2138">
            <v>14.926604548033502</v>
          </cell>
          <cell r="CJ2138">
            <v>22.183921622100925</v>
          </cell>
          <cell r="CU2138">
            <v>15.536683143363762</v>
          </cell>
          <cell r="CV2138">
            <v>13.67289934744978</v>
          </cell>
          <cell r="CW2138">
            <v>11.062153668663059</v>
          </cell>
          <cell r="CX2138">
            <v>8.6510321273089765</v>
          </cell>
          <cell r="CY2138">
            <v>13.473275210017142</v>
          </cell>
        </row>
        <row r="2139">
          <cell r="A2139">
            <v>42531</v>
          </cell>
          <cell r="CF2139">
            <v>25.527805052601447</v>
          </cell>
          <cell r="CG2139">
            <v>22.085252262534414</v>
          </cell>
          <cell r="CH2139">
            <v>18.555263085067214</v>
          </cell>
          <cell r="CI2139">
            <v>14.926604548033502</v>
          </cell>
          <cell r="CJ2139">
            <v>22.183921622100925</v>
          </cell>
          <cell r="CU2139">
            <v>15.35318822627087</v>
          </cell>
          <cell r="CV2139">
            <v>13.67289934744978</v>
          </cell>
          <cell r="CW2139">
            <v>11.062153668663059</v>
          </cell>
          <cell r="CX2139">
            <v>8.6510321273089765</v>
          </cell>
          <cell r="CY2139">
            <v>13.473275210017142</v>
          </cell>
        </row>
        <row r="2140">
          <cell r="A2140">
            <v>42534</v>
          </cell>
          <cell r="CF2140">
            <v>25.331711157231805</v>
          </cell>
          <cell r="CG2140">
            <v>22.085252262534414</v>
          </cell>
          <cell r="CH2140">
            <v>18.555263085067214</v>
          </cell>
          <cell r="CI2140">
            <v>14.926604548033502</v>
          </cell>
          <cell r="CJ2140">
            <v>22.183921622100925</v>
          </cell>
          <cell r="CU2140">
            <v>15.24666709433594</v>
          </cell>
          <cell r="CV2140">
            <v>13.67289934744978</v>
          </cell>
          <cell r="CW2140">
            <v>11.062153668663059</v>
          </cell>
          <cell r="CX2140">
            <v>8.6510321273089765</v>
          </cell>
          <cell r="CY2140">
            <v>13.473275210017142</v>
          </cell>
        </row>
        <row r="2141">
          <cell r="A2141">
            <v>42535</v>
          </cell>
          <cell r="CF2141">
            <v>25.285909969226367</v>
          </cell>
          <cell r="CG2141">
            <v>22.085252262534414</v>
          </cell>
          <cell r="CH2141">
            <v>18.555263085067214</v>
          </cell>
          <cell r="CI2141">
            <v>14.926604548033502</v>
          </cell>
          <cell r="CJ2141">
            <v>22.183921622100925</v>
          </cell>
          <cell r="CU2141">
            <v>15.221787205132317</v>
          </cell>
          <cell r="CV2141">
            <v>13.67289934744978</v>
          </cell>
          <cell r="CW2141">
            <v>11.062153668663059</v>
          </cell>
          <cell r="CX2141">
            <v>8.6510321273089765</v>
          </cell>
          <cell r="CY2141">
            <v>13.473275210017142</v>
          </cell>
        </row>
        <row r="2142">
          <cell r="A2142">
            <v>42536</v>
          </cell>
          <cell r="CF2142">
            <v>25.002504830745011</v>
          </cell>
          <cell r="CG2142">
            <v>22.085252262534414</v>
          </cell>
          <cell r="CH2142">
            <v>18.555263085067214</v>
          </cell>
          <cell r="CI2142">
            <v>14.926604548033502</v>
          </cell>
          <cell r="CJ2142">
            <v>22.183921622100925</v>
          </cell>
          <cell r="CU2142">
            <v>15.067837302253887</v>
          </cell>
          <cell r="CV2142">
            <v>13.67289934744978</v>
          </cell>
          <cell r="CW2142">
            <v>11.062153668663059</v>
          </cell>
          <cell r="CX2142">
            <v>8.6510321273089765</v>
          </cell>
          <cell r="CY2142">
            <v>13.473275210017142</v>
          </cell>
        </row>
        <row r="2143">
          <cell r="A2143">
            <v>42537</v>
          </cell>
          <cell r="CF2143">
            <v>25.006800257639735</v>
          </cell>
          <cell r="CG2143">
            <v>22.085252262534414</v>
          </cell>
          <cell r="CH2143">
            <v>18.555263085067214</v>
          </cell>
          <cell r="CI2143">
            <v>14.926604548033502</v>
          </cell>
          <cell r="CJ2143">
            <v>22.183921622100925</v>
          </cell>
          <cell r="CU2143">
            <v>15.070170642280139</v>
          </cell>
          <cell r="CV2143">
            <v>13.67289934744978</v>
          </cell>
          <cell r="CW2143">
            <v>11.062153668663059</v>
          </cell>
          <cell r="CX2143">
            <v>8.6510321273089765</v>
          </cell>
          <cell r="CY2143">
            <v>13.473275210017142</v>
          </cell>
        </row>
        <row r="2144">
          <cell r="A2144">
            <v>42538</v>
          </cell>
          <cell r="CF2144">
            <v>24.747727760681318</v>
          </cell>
          <cell r="CG2144">
            <v>22.085252262534414</v>
          </cell>
          <cell r="CH2144">
            <v>18.555263085067214</v>
          </cell>
          <cell r="CI2144">
            <v>14.926604548033502</v>
          </cell>
          <cell r="CJ2144">
            <v>22.183921622100925</v>
          </cell>
          <cell r="CU2144">
            <v>14.929438593599079</v>
          </cell>
          <cell r="CV2144">
            <v>13.67289934744978</v>
          </cell>
          <cell r="CW2144">
            <v>11.062153668663059</v>
          </cell>
          <cell r="CX2144">
            <v>8.6510321273089765</v>
          </cell>
          <cell r="CY2144">
            <v>13.473275210017142</v>
          </cell>
        </row>
        <row r="2145">
          <cell r="A2145">
            <v>42541</v>
          </cell>
          <cell r="CF2145">
            <v>25.023976239891219</v>
          </cell>
          <cell r="CG2145">
            <v>22.085252262534414</v>
          </cell>
          <cell r="CH2145">
            <v>18.555263085067214</v>
          </cell>
          <cell r="CI2145">
            <v>14.926604548033502</v>
          </cell>
          <cell r="CJ2145">
            <v>22.183921622100925</v>
          </cell>
          <cell r="CU2145">
            <v>15.079500892301811</v>
          </cell>
          <cell r="CV2145">
            <v>13.67289934744978</v>
          </cell>
          <cell r="CW2145">
            <v>11.062153668663059</v>
          </cell>
          <cell r="CX2145">
            <v>8.6510321273089765</v>
          </cell>
          <cell r="CY2145">
            <v>13.473275210017142</v>
          </cell>
        </row>
        <row r="2146">
          <cell r="A2146">
            <v>42542</v>
          </cell>
          <cell r="CF2146">
            <v>25.006800257639735</v>
          </cell>
          <cell r="CG2146">
            <v>22.085252262534414</v>
          </cell>
          <cell r="CH2146">
            <v>18.555263085067214</v>
          </cell>
          <cell r="CI2146">
            <v>14.926604548033502</v>
          </cell>
          <cell r="CJ2146">
            <v>22.183921622100925</v>
          </cell>
          <cell r="CU2146">
            <v>15.070170642280139</v>
          </cell>
          <cell r="CV2146">
            <v>13.67289934744978</v>
          </cell>
          <cell r="CW2146">
            <v>11.062153668663059</v>
          </cell>
          <cell r="CX2146">
            <v>8.6510321273089765</v>
          </cell>
          <cell r="CY2146">
            <v>13.473275210017142</v>
          </cell>
        </row>
        <row r="2147">
          <cell r="A2147">
            <v>42543</v>
          </cell>
          <cell r="CF2147">
            <v>25.04115079081085</v>
          </cell>
          <cell r="CG2147">
            <v>22.085252262534414</v>
          </cell>
          <cell r="CH2147">
            <v>18.555263085067214</v>
          </cell>
          <cell r="CI2147">
            <v>14.926604548033502</v>
          </cell>
          <cell r="CJ2147">
            <v>22.183921622100925</v>
          </cell>
          <cell r="CU2147">
            <v>15.08883036480265</v>
          </cell>
          <cell r="CV2147">
            <v>13.67289934744978</v>
          </cell>
          <cell r="CW2147">
            <v>11.062153668663059</v>
          </cell>
          <cell r="CX2147">
            <v>8.6510321273089765</v>
          </cell>
          <cell r="CY2147">
            <v>13.473275210017142</v>
          </cell>
        </row>
        <row r="2148">
          <cell r="A2148">
            <v>42544</v>
          </cell>
          <cell r="CF2148">
            <v>25.421886495383955</v>
          </cell>
          <cell r="CG2148">
            <v>22.085252262534414</v>
          </cell>
          <cell r="CH2148">
            <v>18.555263085067214</v>
          </cell>
          <cell r="CI2148">
            <v>14.926604548033502</v>
          </cell>
          <cell r="CJ2148">
            <v>22.183921622100925</v>
          </cell>
          <cell r="CU2148">
            <v>15.295651684470554</v>
          </cell>
          <cell r="CV2148">
            <v>13.67289934744978</v>
          </cell>
          <cell r="CW2148">
            <v>11.062153668663059</v>
          </cell>
          <cell r="CX2148">
            <v>8.6510321273089765</v>
          </cell>
          <cell r="CY2148">
            <v>13.473275210017142</v>
          </cell>
        </row>
        <row r="2149">
          <cell r="A2149">
            <v>42545</v>
          </cell>
          <cell r="CF2149">
            <v>24.457167394260363</v>
          </cell>
          <cell r="CG2149">
            <v>22.085252262534414</v>
          </cell>
          <cell r="CH2149">
            <v>18.555263085067214</v>
          </cell>
          <cell r="CI2149">
            <v>14.926604548033502</v>
          </cell>
          <cell r="CJ2149">
            <v>22.183921622100925</v>
          </cell>
          <cell r="CU2149">
            <v>14.771601864065786</v>
          </cell>
          <cell r="CV2149">
            <v>13.67289934744978</v>
          </cell>
          <cell r="CW2149">
            <v>11.062153668663059</v>
          </cell>
          <cell r="CX2149">
            <v>8.6510321273089765</v>
          </cell>
          <cell r="CY2149">
            <v>13.473275210017142</v>
          </cell>
        </row>
        <row r="2150">
          <cell r="A2150">
            <v>42548</v>
          </cell>
          <cell r="CF2150">
            <v>24.010591855721749</v>
          </cell>
          <cell r="CG2150">
            <v>22.085252262534414</v>
          </cell>
          <cell r="CH2150">
            <v>18.555263085067214</v>
          </cell>
          <cell r="CI2150">
            <v>14.926604548033502</v>
          </cell>
          <cell r="CJ2150">
            <v>22.183921622100925</v>
          </cell>
          <cell r="CU2150">
            <v>14.529015363502303</v>
          </cell>
          <cell r="CV2150">
            <v>13.67289934744978</v>
          </cell>
          <cell r="CW2150">
            <v>11.062153668663059</v>
          </cell>
          <cell r="CX2150">
            <v>8.6510321273089765</v>
          </cell>
          <cell r="CY2150">
            <v>13.473275210017142</v>
          </cell>
        </row>
        <row r="2151">
          <cell r="A2151">
            <v>42549</v>
          </cell>
          <cell r="CF2151">
            <v>24.514422099763834</v>
          </cell>
          <cell r="CG2151">
            <v>22.085252262534414</v>
          </cell>
          <cell r="CH2151">
            <v>18.555263085067214</v>
          </cell>
          <cell r="CI2151">
            <v>14.926604548033502</v>
          </cell>
          <cell r="CJ2151">
            <v>22.183921622100925</v>
          </cell>
          <cell r="CU2151">
            <v>14.802703474992198</v>
          </cell>
          <cell r="CV2151">
            <v>13.67289934744978</v>
          </cell>
          <cell r="CW2151">
            <v>11.062153668663059</v>
          </cell>
          <cell r="CX2151">
            <v>8.6510321273089765</v>
          </cell>
          <cell r="CY2151">
            <v>13.473275210017142</v>
          </cell>
        </row>
        <row r="2152">
          <cell r="A2152">
            <v>42550</v>
          </cell>
          <cell r="CF2152">
            <v>25.12273813783726</v>
          </cell>
          <cell r="CG2152">
            <v>22.085252262534414</v>
          </cell>
          <cell r="CH2152">
            <v>18.555263085067214</v>
          </cell>
          <cell r="CI2152">
            <v>14.926604548033502</v>
          </cell>
          <cell r="CJ2152">
            <v>22.183921622100925</v>
          </cell>
          <cell r="CU2152">
            <v>15.133149829926429</v>
          </cell>
          <cell r="CV2152">
            <v>13.67289934744978</v>
          </cell>
          <cell r="CW2152">
            <v>11.062153668663059</v>
          </cell>
          <cell r="CX2152">
            <v>8.6510321273089765</v>
          </cell>
          <cell r="CY2152">
            <v>13.473275210017142</v>
          </cell>
        </row>
        <row r="2153">
          <cell r="A2153">
            <v>42551</v>
          </cell>
          <cell r="CF2153">
            <v>25.305948615186431</v>
          </cell>
          <cell r="CG2153">
            <v>22.085252262534414</v>
          </cell>
          <cell r="CH2153">
            <v>18.555263085067214</v>
          </cell>
          <cell r="CI2153">
            <v>14.926604548033502</v>
          </cell>
          <cell r="CJ2153">
            <v>22.183921622100925</v>
          </cell>
          <cell r="CU2153">
            <v>15.232672496824266</v>
          </cell>
          <cell r="CV2153">
            <v>13.67289934744978</v>
          </cell>
          <cell r="CW2153">
            <v>11.062153668663059</v>
          </cell>
          <cell r="CX2153">
            <v>8.6510321273089765</v>
          </cell>
          <cell r="CY2153">
            <v>13.473275210017142</v>
          </cell>
        </row>
        <row r="2154">
          <cell r="A2154">
            <v>42552</v>
          </cell>
          <cell r="CF2154">
            <v>25.150738844013762</v>
          </cell>
          <cell r="CG2154">
            <v>22.085252262534414</v>
          </cell>
          <cell r="CH2154">
            <v>18.555263085067214</v>
          </cell>
          <cell r="CI2154">
            <v>14.926604548033502</v>
          </cell>
          <cell r="CJ2154">
            <v>22.183921622100925</v>
          </cell>
          <cell r="CU2154">
            <v>15.169404319756882</v>
          </cell>
          <cell r="CV2154">
            <v>13.67289934744978</v>
          </cell>
          <cell r="CW2154">
            <v>11.062153668663059</v>
          </cell>
          <cell r="CX2154">
            <v>8.6510321273089765</v>
          </cell>
          <cell r="CY2154">
            <v>13.473275210017142</v>
          </cell>
        </row>
        <row r="2155">
          <cell r="A2155">
            <v>42555</v>
          </cell>
          <cell r="CF2155">
            <v>25.150738844013762</v>
          </cell>
          <cell r="CG2155">
            <v>22.085252262534414</v>
          </cell>
          <cell r="CH2155">
            <v>18.555263085067214</v>
          </cell>
          <cell r="CI2155">
            <v>14.926604548033502</v>
          </cell>
          <cell r="CJ2155">
            <v>22.183921622100925</v>
          </cell>
          <cell r="CU2155">
            <v>15.169405092431337</v>
          </cell>
          <cell r="CV2155">
            <v>13.67289934744978</v>
          </cell>
          <cell r="CW2155">
            <v>11.062153668663059</v>
          </cell>
          <cell r="CX2155">
            <v>8.6510321273089765</v>
          </cell>
          <cell r="CY2155">
            <v>13.473275210017142</v>
          </cell>
        </row>
        <row r="2156">
          <cell r="A2156">
            <v>42556</v>
          </cell>
          <cell r="CF2156">
            <v>25.156414471741403</v>
          </cell>
          <cell r="CG2156">
            <v>22.085252262534414</v>
          </cell>
          <cell r="CH2156">
            <v>18.555263085067214</v>
          </cell>
          <cell r="CI2156">
            <v>14.926604548033502</v>
          </cell>
          <cell r="CJ2156">
            <v>22.183921622100925</v>
          </cell>
          <cell r="CU2156">
            <v>15.17249501757855</v>
          </cell>
          <cell r="CV2156">
            <v>13.67289934744978</v>
          </cell>
          <cell r="CW2156">
            <v>11.062153668663059</v>
          </cell>
          <cell r="CX2156">
            <v>8.6510321273089765</v>
          </cell>
          <cell r="CY2156">
            <v>13.473275210017142</v>
          </cell>
        </row>
        <row r="2157">
          <cell r="A2157">
            <v>42557</v>
          </cell>
          <cell r="CF2157">
            <v>25.282728767255364</v>
          </cell>
          <cell r="CG2157">
            <v>22.085252262534414</v>
          </cell>
          <cell r="CH2157">
            <v>18.555263085067214</v>
          </cell>
          <cell r="CI2157">
            <v>14.926604548033502</v>
          </cell>
          <cell r="CJ2157">
            <v>22.183921622100925</v>
          </cell>
          <cell r="CU2157">
            <v>15.24126304411068</v>
          </cell>
          <cell r="CV2157">
            <v>13.67289934744978</v>
          </cell>
          <cell r="CW2157">
            <v>11.062153668663059</v>
          </cell>
          <cell r="CX2157">
            <v>8.6510321273089765</v>
          </cell>
          <cell r="CY2157">
            <v>13.473275210017142</v>
          </cell>
        </row>
        <row r="2158">
          <cell r="A2158">
            <v>42558</v>
          </cell>
          <cell r="CF2158">
            <v>25.260020579297798</v>
          </cell>
          <cell r="CG2158">
            <v>22.085252262534414</v>
          </cell>
          <cell r="CH2158">
            <v>18.555263085067214</v>
          </cell>
          <cell r="CI2158">
            <v>14.926604548033502</v>
          </cell>
          <cell r="CJ2158">
            <v>22.183921622100925</v>
          </cell>
          <cell r="CU2158">
            <v>15.228900252824005</v>
          </cell>
          <cell r="CV2158">
            <v>13.67289934744978</v>
          </cell>
          <cell r="CW2158">
            <v>11.062153668663059</v>
          </cell>
          <cell r="CX2158">
            <v>8.6510321273089765</v>
          </cell>
          <cell r="CY2158">
            <v>13.473275210017142</v>
          </cell>
        </row>
        <row r="2159">
          <cell r="A2159">
            <v>42559</v>
          </cell>
          <cell r="CF2159">
            <v>25.648899717332871</v>
          </cell>
          <cell r="CG2159">
            <v>22.085252262534414</v>
          </cell>
          <cell r="CH2159">
            <v>18.555263085067214</v>
          </cell>
          <cell r="CI2159">
            <v>14.926604548033502</v>
          </cell>
          <cell r="CJ2159">
            <v>22.183921622100925</v>
          </cell>
          <cell r="CU2159">
            <v>15.440613826282769</v>
          </cell>
          <cell r="CV2159">
            <v>13.67289934744978</v>
          </cell>
          <cell r="CW2159">
            <v>11.062153668663059</v>
          </cell>
          <cell r="CX2159">
            <v>8.6510321273089765</v>
          </cell>
          <cell r="CY2159">
            <v>13.473275210017142</v>
          </cell>
        </row>
        <row r="2160">
          <cell r="A2160">
            <v>42562</v>
          </cell>
          <cell r="CF2160">
            <v>25.78689355388202</v>
          </cell>
          <cell r="CG2160">
            <v>22.085252262534414</v>
          </cell>
          <cell r="CH2160">
            <v>18.555263085067214</v>
          </cell>
          <cell r="CI2160">
            <v>14.926604548033502</v>
          </cell>
          <cell r="CJ2160">
            <v>22.183921622100925</v>
          </cell>
          <cell r="CU2160">
            <v>15.510790936281897</v>
          </cell>
          <cell r="CV2160">
            <v>13.67289934744978</v>
          </cell>
          <cell r="CW2160">
            <v>11.062153668663059</v>
          </cell>
          <cell r="CX2160">
            <v>8.6510321273089765</v>
          </cell>
          <cell r="CY2160">
            <v>13.473275210017142</v>
          </cell>
        </row>
        <row r="2161">
          <cell r="A2161">
            <v>42563</v>
          </cell>
          <cell r="CF2161">
            <v>25.656541779933953</v>
          </cell>
          <cell r="CG2161">
            <v>22.085252262534414</v>
          </cell>
          <cell r="CH2161">
            <v>18.555263085067214</v>
          </cell>
          <cell r="CI2161">
            <v>14.926604548033502</v>
          </cell>
          <cell r="CJ2161">
            <v>22.183921622100925</v>
          </cell>
          <cell r="CU2161">
            <v>15.427089592018035</v>
          </cell>
          <cell r="CV2161">
            <v>13.67289934744978</v>
          </cell>
          <cell r="CW2161">
            <v>11.062153668663059</v>
          </cell>
          <cell r="CX2161">
            <v>8.6510321273089765</v>
          </cell>
          <cell r="CY2161">
            <v>13.473275210017142</v>
          </cell>
        </row>
        <row r="2162">
          <cell r="A2162">
            <v>42564</v>
          </cell>
          <cell r="CF2162">
            <v>25.686326911715067</v>
          </cell>
          <cell r="CG2162">
            <v>22.085252262534414</v>
          </cell>
          <cell r="CH2162">
            <v>18.555263085067214</v>
          </cell>
          <cell r="CI2162">
            <v>14.926604548033502</v>
          </cell>
          <cell r="CJ2162">
            <v>22.183921622100925</v>
          </cell>
          <cell r="CU2162">
            <v>15.443287725626423</v>
          </cell>
          <cell r="CV2162">
            <v>13.67289934744978</v>
          </cell>
          <cell r="CW2162">
            <v>11.062153668663059</v>
          </cell>
          <cell r="CX2162">
            <v>8.6510321273089765</v>
          </cell>
          <cell r="CY2162">
            <v>13.473275210017142</v>
          </cell>
        </row>
        <row r="2163">
          <cell r="A2163">
            <v>42565</v>
          </cell>
          <cell r="CF2163">
            <v>25.734546743886209</v>
          </cell>
          <cell r="CG2163">
            <v>22.085252262534414</v>
          </cell>
          <cell r="CH2163">
            <v>18.555263085067214</v>
          </cell>
          <cell r="CI2163">
            <v>14.926604548033502</v>
          </cell>
          <cell r="CJ2163">
            <v>22.183921622100925</v>
          </cell>
          <cell r="CU2163">
            <v>15.469511255198901</v>
          </cell>
          <cell r="CV2163">
            <v>13.67289934744978</v>
          </cell>
          <cell r="CW2163">
            <v>11.062153668663059</v>
          </cell>
          <cell r="CX2163">
            <v>8.6510321273089765</v>
          </cell>
          <cell r="CY2163">
            <v>13.473275210017142</v>
          </cell>
        </row>
        <row r="2164">
          <cell r="A2164">
            <v>42566</v>
          </cell>
          <cell r="CF2164">
            <v>25.611158491906526</v>
          </cell>
          <cell r="CG2164">
            <v>22.085252262534414</v>
          </cell>
          <cell r="CH2164">
            <v>18.555263085067214</v>
          </cell>
          <cell r="CI2164">
            <v>14.926604548033502</v>
          </cell>
          <cell r="CJ2164">
            <v>22.183921622100925</v>
          </cell>
          <cell r="CU2164">
            <v>15.402408668379408</v>
          </cell>
          <cell r="CV2164">
            <v>13.67289934744978</v>
          </cell>
          <cell r="CW2164">
            <v>11.062153668663059</v>
          </cell>
          <cell r="CX2164">
            <v>8.6510321273089765</v>
          </cell>
          <cell r="CY2164">
            <v>13.473275210017142</v>
          </cell>
        </row>
        <row r="2165">
          <cell r="A2165">
            <v>42569</v>
          </cell>
          <cell r="CF2165">
            <v>25.658620180235918</v>
          </cell>
          <cell r="CG2165">
            <v>22.085252262534414</v>
          </cell>
          <cell r="CH2165">
            <v>18.555263085067214</v>
          </cell>
          <cell r="CI2165">
            <v>14.926604548033502</v>
          </cell>
          <cell r="CJ2165">
            <v>22.183921622100925</v>
          </cell>
          <cell r="CU2165">
            <v>15.428666032830614</v>
          </cell>
          <cell r="CV2165">
            <v>13.67289934744978</v>
          </cell>
          <cell r="CW2165">
            <v>11.062153668663059</v>
          </cell>
          <cell r="CX2165">
            <v>8.6510321273089765</v>
          </cell>
          <cell r="CY2165">
            <v>13.473275210017142</v>
          </cell>
        </row>
        <row r="2166">
          <cell r="A2166">
            <v>42570</v>
          </cell>
          <cell r="CF2166">
            <v>25.600472743391474</v>
          </cell>
          <cell r="CG2166">
            <v>22.085252262534414</v>
          </cell>
          <cell r="CH2166">
            <v>18.555263085067214</v>
          </cell>
          <cell r="CI2166">
            <v>14.926604548033502</v>
          </cell>
          <cell r="CJ2166">
            <v>22.183921622100925</v>
          </cell>
          <cell r="CU2166">
            <v>15.39706666016229</v>
          </cell>
          <cell r="CV2166">
            <v>13.67289934744978</v>
          </cell>
          <cell r="CW2166">
            <v>11.062153668663059</v>
          </cell>
          <cell r="CX2166">
            <v>8.6510321273089765</v>
          </cell>
          <cell r="CY2166">
            <v>13.473275210017142</v>
          </cell>
        </row>
        <row r="2167">
          <cell r="A2167">
            <v>42571</v>
          </cell>
          <cell r="CF2167">
            <v>25.650112217464461</v>
          </cell>
          <cell r="CG2167">
            <v>22.085252262534414</v>
          </cell>
          <cell r="CH2167">
            <v>18.555263085067214</v>
          </cell>
          <cell r="CI2167">
            <v>14.926604548033502</v>
          </cell>
          <cell r="CJ2167">
            <v>22.183921622100925</v>
          </cell>
          <cell r="CU2167">
            <v>15.424063136798392</v>
          </cell>
          <cell r="CV2167">
            <v>13.67289934744978</v>
          </cell>
          <cell r="CW2167">
            <v>11.062153668663059</v>
          </cell>
          <cell r="CX2167">
            <v>8.6510321273089765</v>
          </cell>
          <cell r="CY2167">
            <v>13.473275210017142</v>
          </cell>
        </row>
        <row r="2168">
          <cell r="A2168">
            <v>42572</v>
          </cell>
          <cell r="CF2168">
            <v>25.500639928111081</v>
          </cell>
          <cell r="CG2168">
            <v>22.085252262534414</v>
          </cell>
          <cell r="CH2168">
            <v>18.555263085067214</v>
          </cell>
          <cell r="CI2168">
            <v>14.926604548033502</v>
          </cell>
          <cell r="CJ2168">
            <v>22.183921622100925</v>
          </cell>
          <cell r="CU2168">
            <v>15.346721264237731</v>
          </cell>
          <cell r="CV2168">
            <v>13.67289934744978</v>
          </cell>
          <cell r="CW2168">
            <v>11.062153668663059</v>
          </cell>
          <cell r="CX2168">
            <v>8.6510321273089765</v>
          </cell>
          <cell r="CY2168">
            <v>13.473275210017142</v>
          </cell>
        </row>
        <row r="2169">
          <cell r="A2169">
            <v>42573</v>
          </cell>
          <cell r="CF2169">
            <v>25.634017405290301</v>
          </cell>
          <cell r="CG2169">
            <v>22.085252262534414</v>
          </cell>
          <cell r="CH2169">
            <v>18.555263085067214</v>
          </cell>
          <cell r="CI2169">
            <v>14.926604548033502</v>
          </cell>
          <cell r="CJ2169">
            <v>22.183921622100925</v>
          </cell>
          <cell r="CU2169">
            <v>15.419274066533069</v>
          </cell>
          <cell r="CV2169">
            <v>13.67289934744978</v>
          </cell>
          <cell r="CW2169">
            <v>11.062153668663059</v>
          </cell>
          <cell r="CX2169">
            <v>8.6510321273089765</v>
          </cell>
          <cell r="CY2169">
            <v>13.473275210017142</v>
          </cell>
        </row>
        <row r="2170">
          <cell r="A2170">
            <v>42576</v>
          </cell>
          <cell r="CF2170">
            <v>25.516305255855471</v>
          </cell>
          <cell r="CG2170">
            <v>22.085252262534414</v>
          </cell>
          <cell r="CH2170">
            <v>18.555263085067214</v>
          </cell>
          <cell r="CI2170">
            <v>14.926604548033502</v>
          </cell>
          <cell r="CJ2170">
            <v>22.183921622100925</v>
          </cell>
          <cell r="CU2170">
            <v>15.355249996926958</v>
          </cell>
          <cell r="CV2170">
            <v>13.67289934744978</v>
          </cell>
          <cell r="CW2170">
            <v>11.062153668663059</v>
          </cell>
          <cell r="CX2170">
            <v>8.6510321273089765</v>
          </cell>
          <cell r="CY2170">
            <v>13.473275210017142</v>
          </cell>
        </row>
        <row r="2171">
          <cell r="A2171">
            <v>42577</v>
          </cell>
          <cell r="CF2171">
            <v>25.666708564002725</v>
          </cell>
          <cell r="CG2171">
            <v>22.085252262534414</v>
          </cell>
          <cell r="CH2171">
            <v>18.555263085067214</v>
          </cell>
          <cell r="CI2171">
            <v>14.926604548033502</v>
          </cell>
          <cell r="CJ2171">
            <v>22.183921622100925</v>
          </cell>
          <cell r="CU2171">
            <v>15.437064292442662</v>
          </cell>
          <cell r="CV2171">
            <v>13.67289934744978</v>
          </cell>
          <cell r="CW2171">
            <v>11.062153668663059</v>
          </cell>
          <cell r="CX2171">
            <v>8.6510321273089765</v>
          </cell>
          <cell r="CY2171">
            <v>13.473275210017142</v>
          </cell>
        </row>
        <row r="2172">
          <cell r="A2172">
            <v>42578</v>
          </cell>
          <cell r="CF2172">
            <v>25.399953010349538</v>
          </cell>
          <cell r="CG2172">
            <v>22.085252262534414</v>
          </cell>
          <cell r="CH2172">
            <v>18.555263085067214</v>
          </cell>
          <cell r="CI2172">
            <v>14.926604548033502</v>
          </cell>
          <cell r="CJ2172">
            <v>22.183921622100925</v>
          </cell>
          <cell r="CU2172">
            <v>15.291958323924542</v>
          </cell>
          <cell r="CV2172">
            <v>13.67289934744978</v>
          </cell>
          <cell r="CW2172">
            <v>11.062153668663059</v>
          </cell>
          <cell r="CX2172">
            <v>8.6510321273089765</v>
          </cell>
          <cell r="CY2172">
            <v>13.473275210017142</v>
          </cell>
        </row>
        <row r="2173">
          <cell r="A2173">
            <v>42579</v>
          </cell>
          <cell r="CF2173">
            <v>25.4382636483742</v>
          </cell>
          <cell r="CG2173">
            <v>22.085252262534414</v>
          </cell>
          <cell r="CH2173">
            <v>18.555263085067214</v>
          </cell>
          <cell r="CI2173">
            <v>14.926604548033502</v>
          </cell>
          <cell r="CJ2173">
            <v>22.183921622100925</v>
          </cell>
          <cell r="CU2173">
            <v>15.312798010892569</v>
          </cell>
          <cell r="CV2173">
            <v>13.67289934744978</v>
          </cell>
          <cell r="CW2173">
            <v>11.062153668663059</v>
          </cell>
          <cell r="CX2173">
            <v>8.6510321273089765</v>
          </cell>
          <cell r="CY2173">
            <v>13.473275210017142</v>
          </cell>
        </row>
        <row r="2174">
          <cell r="A2174">
            <v>42580</v>
          </cell>
          <cell r="CF2174">
            <v>25.679478776677612</v>
          </cell>
          <cell r="CG2174">
            <v>22.085252262534414</v>
          </cell>
          <cell r="CH2174">
            <v>18.555263085067214</v>
          </cell>
          <cell r="CI2174">
            <v>14.926604548033502</v>
          </cell>
          <cell r="CJ2174">
            <v>22.183921622100925</v>
          </cell>
          <cell r="CU2174">
            <v>15.444010854765338</v>
          </cell>
          <cell r="CV2174">
            <v>13.67289934744978</v>
          </cell>
          <cell r="CW2174">
            <v>11.062153668663059</v>
          </cell>
          <cell r="CX2174">
            <v>8.6510321273089765</v>
          </cell>
          <cell r="CY2174">
            <v>13.473275210017142</v>
          </cell>
        </row>
        <row r="2175">
          <cell r="A2175">
            <v>42583</v>
          </cell>
          <cell r="CF2175">
            <v>25.345640490744263</v>
          </cell>
          <cell r="CG2175">
            <v>22.085252262534414</v>
          </cell>
          <cell r="CH2175">
            <v>18.555263085067214</v>
          </cell>
          <cell r="CI2175">
            <v>14.926604548033502</v>
          </cell>
          <cell r="CJ2175">
            <v>22.183921622100925</v>
          </cell>
          <cell r="CU2175">
            <v>15.320435696628639</v>
          </cell>
          <cell r="CV2175">
            <v>13.67289934744978</v>
          </cell>
          <cell r="CW2175">
            <v>11.062153668663059</v>
          </cell>
          <cell r="CX2175">
            <v>8.6510321273089765</v>
          </cell>
          <cell r="CY2175">
            <v>13.473275210017142</v>
          </cell>
        </row>
        <row r="2176">
          <cell r="A2176">
            <v>42584</v>
          </cell>
          <cell r="CF2176">
            <v>25.318907551401299</v>
          </cell>
          <cell r="CG2176">
            <v>22.085252262534414</v>
          </cell>
          <cell r="CH2176">
            <v>18.555263085067214</v>
          </cell>
          <cell r="CI2176">
            <v>14.926604548033502</v>
          </cell>
          <cell r="CJ2176">
            <v>22.183921622100925</v>
          </cell>
          <cell r="CU2176">
            <v>15.320435696628639</v>
          </cell>
          <cell r="CV2176">
            <v>13.67289934744978</v>
          </cell>
          <cell r="CW2176">
            <v>11.062153668663059</v>
          </cell>
          <cell r="CX2176">
            <v>8.6510321273089765</v>
          </cell>
          <cell r="CY2176">
            <v>13.473275210017142</v>
          </cell>
        </row>
        <row r="2177">
          <cell r="A2177">
            <v>42585</v>
          </cell>
          <cell r="CF2177">
            <v>25.280918637598141</v>
          </cell>
          <cell r="CG2177">
            <v>22.085252262534414</v>
          </cell>
          <cell r="CH2177">
            <v>18.555263085067214</v>
          </cell>
          <cell r="CI2177">
            <v>14.926604548033502</v>
          </cell>
          <cell r="CJ2177">
            <v>22.183921622100925</v>
          </cell>
          <cell r="CU2177">
            <v>15.320435696628639</v>
          </cell>
          <cell r="CV2177">
            <v>13.67289934744978</v>
          </cell>
          <cell r="CW2177">
            <v>11.062153668663059</v>
          </cell>
          <cell r="CX2177">
            <v>8.6510321273089765</v>
          </cell>
          <cell r="CY2177">
            <v>13.473275210017142</v>
          </cell>
        </row>
        <row r="2178">
          <cell r="A2178">
            <v>42586</v>
          </cell>
          <cell r="CF2178">
            <v>23.133519342065199</v>
          </cell>
          <cell r="CG2178">
            <v>22.085252262534414</v>
          </cell>
          <cell r="CH2178">
            <v>18.555263085067214</v>
          </cell>
          <cell r="CI2178">
            <v>14.926604548033502</v>
          </cell>
          <cell r="CJ2178">
            <v>22.183921622100925</v>
          </cell>
          <cell r="CU2178">
            <v>15.525633956794643</v>
          </cell>
          <cell r="CV2178">
            <v>13.67289934744978</v>
          </cell>
          <cell r="CW2178">
            <v>11.062153668663059</v>
          </cell>
          <cell r="CX2178">
            <v>8.6510321273089765</v>
          </cell>
          <cell r="CY2178">
            <v>13.473275210017142</v>
          </cell>
        </row>
        <row r="2179">
          <cell r="A2179">
            <v>42587</v>
          </cell>
          <cell r="CF2179">
            <v>23.810883467012847</v>
          </cell>
          <cell r="CG2179">
            <v>22.085252262534414</v>
          </cell>
          <cell r="CH2179">
            <v>18.555263085067214</v>
          </cell>
          <cell r="CI2179">
            <v>14.926604548033502</v>
          </cell>
          <cell r="CJ2179">
            <v>22.183921622100925</v>
          </cell>
          <cell r="CU2179">
            <v>15.604087004620817</v>
          </cell>
          <cell r="CV2179">
            <v>13.67289934744978</v>
          </cell>
          <cell r="CW2179">
            <v>11.062153668663059</v>
          </cell>
          <cell r="CX2179">
            <v>8.6510321273089765</v>
          </cell>
          <cell r="CY2179">
            <v>13.473275210017142</v>
          </cell>
        </row>
        <row r="2180">
          <cell r="A2180">
            <v>42590</v>
          </cell>
          <cell r="CF2180">
            <v>23.677681483244587</v>
          </cell>
          <cell r="CG2180">
            <v>22.085252262534414</v>
          </cell>
          <cell r="CH2180">
            <v>18.555263085067214</v>
          </cell>
          <cell r="CI2180">
            <v>14.926604548033502</v>
          </cell>
          <cell r="CJ2180">
            <v>22.183921622100925</v>
          </cell>
          <cell r="CU2180">
            <v>14.35960080866937</v>
          </cell>
          <cell r="CV2180">
            <v>13.67289934744978</v>
          </cell>
          <cell r="CW2180">
            <v>11.062153668663059</v>
          </cell>
          <cell r="CX2180">
            <v>8.6510321273089765</v>
          </cell>
          <cell r="CY2180">
            <v>13.473275210017142</v>
          </cell>
        </row>
        <row r="2181">
          <cell r="A2181">
            <v>42591</v>
          </cell>
          <cell r="CF2181">
            <v>23.468030900881832</v>
          </cell>
          <cell r="CG2181">
            <v>22.085252262534414</v>
          </cell>
          <cell r="CH2181">
            <v>18.555263085067214</v>
          </cell>
          <cell r="CI2181">
            <v>14.926604548033502</v>
          </cell>
          <cell r="CJ2181">
            <v>22.183921622100925</v>
          </cell>
          <cell r="CU2181">
            <v>14.244860099259007</v>
          </cell>
          <cell r="CV2181">
            <v>13.67289934744978</v>
          </cell>
          <cell r="CW2181">
            <v>11.062153668663059</v>
          </cell>
          <cell r="CX2181">
            <v>8.6510321273089765</v>
          </cell>
          <cell r="CY2181">
            <v>13.473275210017142</v>
          </cell>
        </row>
        <row r="2182">
          <cell r="A2182">
            <v>42592</v>
          </cell>
          <cell r="CF2182">
            <v>23.706205372001421</v>
          </cell>
          <cell r="CG2182">
            <v>22.085252262534414</v>
          </cell>
          <cell r="CH2182">
            <v>18.555263085067214</v>
          </cell>
          <cell r="CI2182">
            <v>14.926604548033502</v>
          </cell>
          <cell r="CJ2182">
            <v>22.183921622100925</v>
          </cell>
          <cell r="CU2182">
            <v>14.375211789541527</v>
          </cell>
          <cell r="CV2182">
            <v>13.67289934744978</v>
          </cell>
          <cell r="CW2182">
            <v>11.062153668663059</v>
          </cell>
          <cell r="CX2182">
            <v>8.6510321273089765</v>
          </cell>
          <cell r="CY2182">
            <v>13.473275210017142</v>
          </cell>
        </row>
        <row r="2183">
          <cell r="A2183">
            <v>42593</v>
          </cell>
          <cell r="CF2183">
            <v>23.883053482293811</v>
          </cell>
          <cell r="CG2183">
            <v>22.085252262534414</v>
          </cell>
          <cell r="CH2183">
            <v>18.555263085067214</v>
          </cell>
          <cell r="CI2183">
            <v>14.926604548033502</v>
          </cell>
          <cell r="CJ2183">
            <v>22.183921622100925</v>
          </cell>
          <cell r="CU2183">
            <v>14.471999870948908</v>
          </cell>
          <cell r="CV2183">
            <v>13.67289934744978</v>
          </cell>
          <cell r="CW2183">
            <v>11.062153668663059</v>
          </cell>
          <cell r="CX2183">
            <v>8.6510321273089765</v>
          </cell>
          <cell r="CY2183">
            <v>13.473275210017142</v>
          </cell>
        </row>
        <row r="2184">
          <cell r="A2184">
            <v>42594</v>
          </cell>
          <cell r="CF2184">
            <v>23.597814594725442</v>
          </cell>
          <cell r="CG2184">
            <v>22.085252262534414</v>
          </cell>
          <cell r="CH2184">
            <v>18.555263085067214</v>
          </cell>
          <cell r="CI2184">
            <v>14.926604548033502</v>
          </cell>
          <cell r="CJ2184">
            <v>22.183921622100925</v>
          </cell>
          <cell r="CU2184">
            <v>14.315890062227327</v>
          </cell>
          <cell r="CV2184">
            <v>13.67289934744978</v>
          </cell>
          <cell r="CW2184">
            <v>11.062153668663059</v>
          </cell>
          <cell r="CX2184">
            <v>8.6510321273089765</v>
          </cell>
          <cell r="CY2184">
            <v>13.473275210017142</v>
          </cell>
        </row>
        <row r="2185">
          <cell r="A2185">
            <v>42597</v>
          </cell>
          <cell r="CF2185">
            <v>23.449488946995451</v>
          </cell>
          <cell r="CG2185">
            <v>22.085252262534414</v>
          </cell>
          <cell r="CH2185">
            <v>18.555263085067214</v>
          </cell>
          <cell r="CI2185">
            <v>14.926604548033502</v>
          </cell>
          <cell r="CJ2185">
            <v>22.183921622100925</v>
          </cell>
          <cell r="CU2185">
            <v>14.256379307019927</v>
          </cell>
          <cell r="CV2185">
            <v>13.67289934744978</v>
          </cell>
          <cell r="CW2185">
            <v>11.062153668663059</v>
          </cell>
          <cell r="CX2185">
            <v>8.6510321273089765</v>
          </cell>
          <cell r="CY2185">
            <v>13.473275210017142</v>
          </cell>
        </row>
        <row r="2186">
          <cell r="A2186">
            <v>42598</v>
          </cell>
          <cell r="CF2186">
            <v>23.228428809129969</v>
          </cell>
          <cell r="CG2186">
            <v>22.085252262534414</v>
          </cell>
          <cell r="CH2186">
            <v>18.555263085067214</v>
          </cell>
          <cell r="CI2186">
            <v>14.926604548033502</v>
          </cell>
          <cell r="CJ2186">
            <v>22.183921622100925</v>
          </cell>
          <cell r="CU2186">
            <v>14.135210049838687</v>
          </cell>
          <cell r="CV2186">
            <v>13.67289934744978</v>
          </cell>
          <cell r="CW2186">
            <v>11.062153668663059</v>
          </cell>
          <cell r="CX2186">
            <v>8.6510321273089765</v>
          </cell>
          <cell r="CY2186">
            <v>13.473275210017142</v>
          </cell>
        </row>
        <row r="2187">
          <cell r="A2187">
            <v>42599</v>
          </cell>
          <cell r="CF2187">
            <v>23.018778226767221</v>
          </cell>
          <cell r="CG2187">
            <v>22.085252262534414</v>
          </cell>
          <cell r="CH2187">
            <v>18.555263085067214</v>
          </cell>
          <cell r="CI2187">
            <v>14.926604548033502</v>
          </cell>
          <cell r="CJ2187">
            <v>22.183921622100925</v>
          </cell>
          <cell r="CU2187">
            <v>14.020294689802281</v>
          </cell>
          <cell r="CV2187">
            <v>13.67289934744978</v>
          </cell>
          <cell r="CW2187">
            <v>11.062153668663059</v>
          </cell>
          <cell r="CX2187">
            <v>8.6510321273089765</v>
          </cell>
          <cell r="CY2187">
            <v>13.473275210017142</v>
          </cell>
        </row>
        <row r="2188">
          <cell r="A2188">
            <v>42600</v>
          </cell>
          <cell r="CF2188">
            <v>23.017352032329374</v>
          </cell>
          <cell r="CG2188">
            <v>22.085252262534414</v>
          </cell>
          <cell r="CH2188">
            <v>18.555263085067214</v>
          </cell>
          <cell r="CI2188">
            <v>14.926604548033502</v>
          </cell>
          <cell r="CJ2188">
            <v>22.183921622100925</v>
          </cell>
          <cell r="CU2188">
            <v>14.019512952659175</v>
          </cell>
          <cell r="CV2188">
            <v>13.67289934744978</v>
          </cell>
          <cell r="CW2188">
            <v>11.062153668663059</v>
          </cell>
          <cell r="CX2188">
            <v>8.6510321273089765</v>
          </cell>
          <cell r="CY2188">
            <v>13.473275210017142</v>
          </cell>
        </row>
        <row r="2189">
          <cell r="A2189">
            <v>42601</v>
          </cell>
          <cell r="CF2189">
            <v>23.003090087950959</v>
          </cell>
          <cell r="CG2189">
            <v>22.085252262534414</v>
          </cell>
          <cell r="CH2189">
            <v>18.555263085067214</v>
          </cell>
          <cell r="CI2189">
            <v>14.926604548033502</v>
          </cell>
          <cell r="CJ2189">
            <v>22.183921622100925</v>
          </cell>
          <cell r="CU2189">
            <v>14.011695581228127</v>
          </cell>
          <cell r="CV2189">
            <v>13.67289934744978</v>
          </cell>
          <cell r="CW2189">
            <v>11.062153668663059</v>
          </cell>
          <cell r="CX2189">
            <v>8.6510321273089765</v>
          </cell>
          <cell r="CY2189">
            <v>13.473275210017142</v>
          </cell>
        </row>
        <row r="2190">
          <cell r="A2190">
            <v>42604</v>
          </cell>
          <cell r="CF2190">
            <v>23.172807226054136</v>
          </cell>
          <cell r="CG2190">
            <v>22.085252262534414</v>
          </cell>
          <cell r="CH2190">
            <v>18.555263085067214</v>
          </cell>
          <cell r="CI2190">
            <v>14.926604548033502</v>
          </cell>
          <cell r="CJ2190">
            <v>22.183921622100925</v>
          </cell>
          <cell r="CU2190">
            <v>14.104722301257597</v>
          </cell>
          <cell r="CV2190">
            <v>13.67289934744978</v>
          </cell>
          <cell r="CW2190">
            <v>11.062153668663059</v>
          </cell>
          <cell r="CX2190">
            <v>8.6510321273089765</v>
          </cell>
          <cell r="CY2190">
            <v>13.473275210017142</v>
          </cell>
        </row>
        <row r="2191">
          <cell r="A2191">
            <v>42605</v>
          </cell>
          <cell r="CF2191">
            <v>22.890420727361455</v>
          </cell>
          <cell r="CG2191">
            <v>22.085252262534414</v>
          </cell>
          <cell r="CH2191">
            <v>18.555263085067214</v>
          </cell>
          <cell r="CI2191">
            <v>14.926604548033502</v>
          </cell>
          <cell r="CJ2191">
            <v>22.183921622100925</v>
          </cell>
          <cell r="CU2191">
            <v>13.949938346922849</v>
          </cell>
          <cell r="CV2191">
            <v>13.67289934744978</v>
          </cell>
          <cell r="CW2191">
            <v>11.062153668663059</v>
          </cell>
          <cell r="CX2191">
            <v>8.6510321273089765</v>
          </cell>
          <cell r="CY2191">
            <v>13.473275210017142</v>
          </cell>
        </row>
        <row r="2192">
          <cell r="A2192">
            <v>42606</v>
          </cell>
          <cell r="CF2192">
            <v>22.794867126220488</v>
          </cell>
          <cell r="CG2192">
            <v>22.085252262534414</v>
          </cell>
          <cell r="CH2192">
            <v>18.555263085067214</v>
          </cell>
          <cell r="CI2192">
            <v>14.926604548033502</v>
          </cell>
          <cell r="CJ2192">
            <v>22.183921622100925</v>
          </cell>
          <cell r="CU2192">
            <v>13.897562740071969</v>
          </cell>
          <cell r="CV2192">
            <v>13.67289934744978</v>
          </cell>
          <cell r="CW2192">
            <v>11.062153668663059</v>
          </cell>
          <cell r="CX2192">
            <v>8.6510321273089765</v>
          </cell>
          <cell r="CY2192">
            <v>13.473275210017142</v>
          </cell>
        </row>
        <row r="2193">
          <cell r="A2193">
            <v>42607</v>
          </cell>
          <cell r="CF2193">
            <v>22.936060375566829</v>
          </cell>
          <cell r="CG2193">
            <v>22.085252262534414</v>
          </cell>
          <cell r="CH2193">
            <v>18.555263085067214</v>
          </cell>
          <cell r="CI2193">
            <v>14.926604548033502</v>
          </cell>
          <cell r="CJ2193">
            <v>22.183921622100925</v>
          </cell>
          <cell r="CU2193">
            <v>13.974954717239346</v>
          </cell>
          <cell r="CV2193">
            <v>13.67289934744978</v>
          </cell>
          <cell r="CW2193">
            <v>11.062153668663059</v>
          </cell>
          <cell r="CX2193">
            <v>8.6510321273089765</v>
          </cell>
          <cell r="CY2193">
            <v>13.473275210017142</v>
          </cell>
        </row>
        <row r="2194">
          <cell r="A2194">
            <v>42608</v>
          </cell>
          <cell r="CF2194">
            <v>23.298313762778655</v>
          </cell>
          <cell r="CG2194">
            <v>22.085252262534414</v>
          </cell>
          <cell r="CH2194">
            <v>18.555263085067214</v>
          </cell>
          <cell r="CI2194">
            <v>14.926604548033502</v>
          </cell>
          <cell r="CJ2194">
            <v>22.183921622100925</v>
          </cell>
          <cell r="CU2194">
            <v>14.173515951587964</v>
          </cell>
          <cell r="CV2194">
            <v>13.67289934744978</v>
          </cell>
          <cell r="CW2194">
            <v>11.062153668663059</v>
          </cell>
          <cell r="CX2194">
            <v>8.6510321273089765</v>
          </cell>
          <cell r="CY2194">
            <v>13.473275210017142</v>
          </cell>
        </row>
        <row r="2195">
          <cell r="A2195">
            <v>42611</v>
          </cell>
          <cell r="CF2195">
            <v>23.420966484433055</v>
          </cell>
          <cell r="CG2195">
            <v>22.085252262534414</v>
          </cell>
          <cell r="CH2195">
            <v>18.555263085067214</v>
          </cell>
          <cell r="CI2195">
            <v>14.926604548033502</v>
          </cell>
          <cell r="CJ2195">
            <v>22.183921622100925</v>
          </cell>
          <cell r="CU2195">
            <v>14.240745345894975</v>
          </cell>
          <cell r="CV2195">
            <v>13.67289934744978</v>
          </cell>
          <cell r="CW2195">
            <v>11.062153668663059</v>
          </cell>
          <cell r="CX2195">
            <v>8.6510321273089765</v>
          </cell>
          <cell r="CY2195">
            <v>13.473275210017142</v>
          </cell>
        </row>
        <row r="2196">
          <cell r="A2196">
            <v>42612</v>
          </cell>
          <cell r="CF2196">
            <v>23.3624910862871</v>
          </cell>
          <cell r="CG2196">
            <v>22.085252262534414</v>
          </cell>
          <cell r="CH2196">
            <v>18.555263085067214</v>
          </cell>
          <cell r="CI2196">
            <v>14.926604548033502</v>
          </cell>
          <cell r="CJ2196">
            <v>22.183921622100925</v>
          </cell>
          <cell r="CU2196">
            <v>14.208693341290536</v>
          </cell>
          <cell r="CV2196">
            <v>13.67289934744978</v>
          </cell>
          <cell r="CW2196">
            <v>11.062153668663059</v>
          </cell>
          <cell r="CX2196">
            <v>8.6510321273089765</v>
          </cell>
          <cell r="CY2196">
            <v>13.473275210017142</v>
          </cell>
        </row>
        <row r="2197">
          <cell r="A2197">
            <v>42613</v>
          </cell>
          <cell r="CF2197">
            <v>23.359638697411416</v>
          </cell>
          <cell r="CG2197">
            <v>22.085252262534414</v>
          </cell>
          <cell r="CH2197">
            <v>18.555263085067214</v>
          </cell>
          <cell r="CI2197">
            <v>14.926604548033502</v>
          </cell>
          <cell r="CJ2197">
            <v>22.183921622100925</v>
          </cell>
          <cell r="CU2197">
            <v>14.207129867004326</v>
          </cell>
          <cell r="CV2197">
            <v>13.67289934744978</v>
          </cell>
          <cell r="CW2197">
            <v>11.062153668663059</v>
          </cell>
          <cell r="CX2197">
            <v>8.6510321273089765</v>
          </cell>
          <cell r="CY2197">
            <v>13.473275210017142</v>
          </cell>
        </row>
        <row r="2198">
          <cell r="A2198">
            <v>42614</v>
          </cell>
          <cell r="CF2198">
            <v>23.063751503573197</v>
          </cell>
          <cell r="CG2198">
            <v>22.085252262534414</v>
          </cell>
          <cell r="CH2198">
            <v>18.555263085067214</v>
          </cell>
          <cell r="CI2198">
            <v>14.926604548033502</v>
          </cell>
          <cell r="CJ2198">
            <v>22.183921622100925</v>
          </cell>
          <cell r="CU2198">
            <v>14.056497216475849</v>
          </cell>
          <cell r="CV2198">
            <v>13.67289934744978</v>
          </cell>
          <cell r="CW2198">
            <v>11.062153668663059</v>
          </cell>
          <cell r="CX2198">
            <v>8.6510321273089765</v>
          </cell>
          <cell r="CY2198">
            <v>13.473275210017142</v>
          </cell>
        </row>
        <row r="2199">
          <cell r="A2199">
            <v>42615</v>
          </cell>
          <cell r="CF2199">
            <v>23.249133234274392</v>
          </cell>
          <cell r="CG2199">
            <v>22.085252262534414</v>
          </cell>
          <cell r="CH2199">
            <v>18.555263085067214</v>
          </cell>
          <cell r="CI2199">
            <v>14.926604548033502</v>
          </cell>
          <cell r="CJ2199">
            <v>22.183921622100925</v>
          </cell>
          <cell r="CU2199">
            <v>14.158272604332291</v>
          </cell>
          <cell r="CV2199">
            <v>13.67289934744978</v>
          </cell>
          <cell r="CW2199">
            <v>11.062153668663059</v>
          </cell>
          <cell r="CX2199">
            <v>8.6510321273089765</v>
          </cell>
          <cell r="CY2199">
            <v>13.473275210017142</v>
          </cell>
        </row>
        <row r="2200">
          <cell r="A2200">
            <v>42618</v>
          </cell>
          <cell r="CF2200">
            <v>23.250070936137664</v>
          </cell>
          <cell r="CG2200">
            <v>22.085252262534414</v>
          </cell>
          <cell r="CH2200">
            <v>18.555263085067214</v>
          </cell>
          <cell r="CI2200">
            <v>14.926604548033502</v>
          </cell>
          <cell r="CJ2200">
            <v>22.183921622100925</v>
          </cell>
          <cell r="CU2200">
            <v>14.158232261281618</v>
          </cell>
          <cell r="CV2200">
            <v>13.67289934744978</v>
          </cell>
          <cell r="CW2200">
            <v>11.062153668663059</v>
          </cell>
          <cell r="CX2200">
            <v>8.6510321273089765</v>
          </cell>
          <cell r="CY2200">
            <v>13.473275210017142</v>
          </cell>
        </row>
        <row r="2201">
          <cell r="A2201">
            <v>42619</v>
          </cell>
          <cell r="CF2201">
            <v>23.25290130572025</v>
          </cell>
          <cell r="CG2201">
            <v>22.085252262534414</v>
          </cell>
          <cell r="CH2201">
            <v>18.555263085067214</v>
          </cell>
          <cell r="CI2201">
            <v>14.926604548033502</v>
          </cell>
          <cell r="CJ2201">
            <v>22.183921622100925</v>
          </cell>
          <cell r="CU2201">
            <v>14.159786079569471</v>
          </cell>
          <cell r="CV2201">
            <v>13.67289934744978</v>
          </cell>
          <cell r="CW2201">
            <v>11.062153668663059</v>
          </cell>
          <cell r="CX2201">
            <v>8.6510321273089765</v>
          </cell>
          <cell r="CY2201">
            <v>13.473275210017142</v>
          </cell>
        </row>
        <row r="2202">
          <cell r="A2202">
            <v>42620</v>
          </cell>
          <cell r="CF2202">
            <v>23.268468338424459</v>
          </cell>
          <cell r="CG2202">
            <v>22.085252262534414</v>
          </cell>
          <cell r="CH2202">
            <v>18.555263085067214</v>
          </cell>
          <cell r="CI2202">
            <v>14.926604548033502</v>
          </cell>
          <cell r="CJ2202">
            <v>22.183921622100925</v>
          </cell>
          <cell r="CU2202">
            <v>14.168332080152654</v>
          </cell>
          <cell r="CV2202">
            <v>13.67289934744978</v>
          </cell>
          <cell r="CW2202">
            <v>11.062153668663059</v>
          </cell>
          <cell r="CX2202">
            <v>8.6510321273089765</v>
          </cell>
          <cell r="CY2202">
            <v>13.473275210017142</v>
          </cell>
        </row>
        <row r="2203">
          <cell r="A2203">
            <v>42621</v>
          </cell>
          <cell r="CF2203">
            <v>23.226012794685701</v>
          </cell>
          <cell r="CG2203">
            <v>22.085252262534414</v>
          </cell>
          <cell r="CH2203">
            <v>18.555263085067214</v>
          </cell>
          <cell r="CI2203">
            <v>14.926604548033502</v>
          </cell>
          <cell r="CJ2203">
            <v>22.183921622100925</v>
          </cell>
          <cell r="CU2203">
            <v>14.145024805834881</v>
          </cell>
          <cell r="CV2203">
            <v>13.67289934744978</v>
          </cell>
          <cell r="CW2203">
            <v>11.062153668663059</v>
          </cell>
          <cell r="CX2203">
            <v>8.6510321273089765</v>
          </cell>
          <cell r="CY2203">
            <v>13.473275210017142</v>
          </cell>
        </row>
        <row r="2204">
          <cell r="A2204">
            <v>42622</v>
          </cell>
          <cell r="CF2204">
            <v>22.48162700965085</v>
          </cell>
          <cell r="CG2204">
            <v>22.085252262534414</v>
          </cell>
          <cell r="CH2204">
            <v>18.555263085067214</v>
          </cell>
          <cell r="CI2204">
            <v>14.926604548033502</v>
          </cell>
          <cell r="CJ2204">
            <v>22.183921622100925</v>
          </cell>
          <cell r="CU2204">
            <v>13.736371373039043</v>
          </cell>
          <cell r="CV2204">
            <v>13.67289934744978</v>
          </cell>
          <cell r="CW2204">
            <v>11.062153668663059</v>
          </cell>
          <cell r="CX2204">
            <v>8.6510321273089765</v>
          </cell>
          <cell r="CY2204">
            <v>13.473275210017142</v>
          </cell>
        </row>
        <row r="2205">
          <cell r="A2205">
            <v>42625</v>
          </cell>
          <cell r="CF2205">
            <v>22.888654648285613</v>
          </cell>
          <cell r="CG2205">
            <v>22.085252262534414</v>
          </cell>
          <cell r="CH2205">
            <v>18.555263085067214</v>
          </cell>
          <cell r="CI2205">
            <v>14.926604548033502</v>
          </cell>
          <cell r="CJ2205">
            <v>22.183921622100925</v>
          </cell>
          <cell r="CU2205">
            <v>13.957379811339605</v>
          </cell>
          <cell r="CV2205">
            <v>13.67289934744978</v>
          </cell>
          <cell r="CW2205">
            <v>11.062153668663059</v>
          </cell>
          <cell r="CX2205">
            <v>8.6510321273089765</v>
          </cell>
          <cell r="CY2205">
            <v>13.473275210017142</v>
          </cell>
        </row>
        <row r="2206">
          <cell r="A2206">
            <v>42626</v>
          </cell>
          <cell r="CF2206">
            <v>22.634147755390597</v>
          </cell>
          <cell r="CG2206">
            <v>22.085252262534414</v>
          </cell>
          <cell r="CH2206">
            <v>18.555263085067214</v>
          </cell>
          <cell r="CI2206">
            <v>14.926604548033502</v>
          </cell>
          <cell r="CJ2206">
            <v>22.183921622100925</v>
          </cell>
          <cell r="CU2206">
            <v>13.817672476955064</v>
          </cell>
          <cell r="CV2206">
            <v>13.67289934744978</v>
          </cell>
          <cell r="CW2206">
            <v>11.062153668663059</v>
          </cell>
          <cell r="CX2206">
            <v>8.6510321273089765</v>
          </cell>
          <cell r="CY2206">
            <v>13.473275210017142</v>
          </cell>
        </row>
        <row r="2207">
          <cell r="A2207">
            <v>42627</v>
          </cell>
          <cell r="CF2207">
            <v>22.539414634146343</v>
          </cell>
          <cell r="CG2207">
            <v>22.085252262534414</v>
          </cell>
          <cell r="CH2207">
            <v>18.555263085067214</v>
          </cell>
          <cell r="CI2207">
            <v>14.926604548033502</v>
          </cell>
          <cell r="CJ2207">
            <v>22.183921622100925</v>
          </cell>
          <cell r="CU2207">
            <v>13.76567030248971</v>
          </cell>
          <cell r="CV2207">
            <v>13.67289934744978</v>
          </cell>
          <cell r="CW2207">
            <v>11.062153668663059</v>
          </cell>
          <cell r="CX2207">
            <v>8.6510321273089765</v>
          </cell>
          <cell r="CY2207">
            <v>13.473275210017142</v>
          </cell>
        </row>
        <row r="2208">
          <cell r="A2208">
            <v>42628</v>
          </cell>
          <cell r="CF2208">
            <v>23.014494167550374</v>
          </cell>
          <cell r="CG2208">
            <v>22.085252262534414</v>
          </cell>
          <cell r="CH2208">
            <v>18.555263085067214</v>
          </cell>
          <cell r="CI2208">
            <v>14.926604548033502</v>
          </cell>
          <cell r="CJ2208">
            <v>22.183921622100925</v>
          </cell>
          <cell r="CU2208">
            <v>14.026457326674185</v>
          </cell>
          <cell r="CV2208">
            <v>13.67289934744978</v>
          </cell>
          <cell r="CW2208">
            <v>11.062153668663059</v>
          </cell>
          <cell r="CX2208">
            <v>8.6510321273089765</v>
          </cell>
          <cell r="CY2208">
            <v>13.473275210017142</v>
          </cell>
        </row>
        <row r="2209">
          <cell r="A2209">
            <v>42629</v>
          </cell>
          <cell r="CF2209">
            <v>23.202546482856132</v>
          </cell>
          <cell r="CG2209">
            <v>22.085252262534414</v>
          </cell>
          <cell r="CH2209">
            <v>18.555263085067214</v>
          </cell>
          <cell r="CI2209">
            <v>14.926604548033502</v>
          </cell>
          <cell r="CJ2209">
            <v>22.183921622100925</v>
          </cell>
          <cell r="CU2209">
            <v>14.129685523747204</v>
          </cell>
          <cell r="CV2209">
            <v>13.67289934744978</v>
          </cell>
          <cell r="CW2209">
            <v>11.062153668663059</v>
          </cell>
          <cell r="CX2209">
            <v>8.6510321273089765</v>
          </cell>
          <cell r="CY2209">
            <v>13.473275210017142</v>
          </cell>
        </row>
        <row r="2210">
          <cell r="A2210">
            <v>42632</v>
          </cell>
          <cell r="CF2210">
            <v>22.973488865323436</v>
          </cell>
          <cell r="CG2210">
            <v>22.085252262534414</v>
          </cell>
          <cell r="CH2210">
            <v>18.555263085067214</v>
          </cell>
          <cell r="CI2210">
            <v>14.926604548033502</v>
          </cell>
          <cell r="CJ2210">
            <v>22.183921622100925</v>
          </cell>
          <cell r="CU2210">
            <v>14.003948146649261</v>
          </cell>
          <cell r="CV2210">
            <v>13.67289934744978</v>
          </cell>
          <cell r="CW2210">
            <v>11.062153668663059</v>
          </cell>
          <cell r="CX2210">
            <v>8.6510321273089765</v>
          </cell>
          <cell r="CY2210">
            <v>13.473275210017142</v>
          </cell>
        </row>
        <row r="2211">
          <cell r="A2211">
            <v>42633</v>
          </cell>
          <cell r="CF2211">
            <v>23.01873594909862</v>
          </cell>
          <cell r="CG2211">
            <v>22.085252262534414</v>
          </cell>
          <cell r="CH2211">
            <v>18.555263085067214</v>
          </cell>
          <cell r="CI2211">
            <v>14.926604548033502</v>
          </cell>
          <cell r="CJ2211">
            <v>22.183921622100925</v>
          </cell>
          <cell r="CU2211">
            <v>14.02878578224726</v>
          </cell>
          <cell r="CV2211">
            <v>13.67289934744978</v>
          </cell>
          <cell r="CW2211">
            <v>11.062153668663059</v>
          </cell>
          <cell r="CX2211">
            <v>8.6510321273089765</v>
          </cell>
          <cell r="CY2211">
            <v>13.473275210017142</v>
          </cell>
        </row>
        <row r="2212">
          <cell r="A2212">
            <v>42634</v>
          </cell>
          <cell r="CF2212">
            <v>23.312832803110641</v>
          </cell>
          <cell r="CG2212">
            <v>22.085252262534414</v>
          </cell>
          <cell r="CH2212">
            <v>18.555263085067214</v>
          </cell>
          <cell r="CI2212">
            <v>14.926604548033502</v>
          </cell>
          <cell r="CJ2212">
            <v>22.183921622100925</v>
          </cell>
          <cell r="CU2212">
            <v>14.190225368647171</v>
          </cell>
          <cell r="CV2212">
            <v>13.67289934744978</v>
          </cell>
          <cell r="CW2212">
            <v>11.062153668663059</v>
          </cell>
          <cell r="CX2212">
            <v>8.6510321273089765</v>
          </cell>
          <cell r="CY2212">
            <v>13.473275210017142</v>
          </cell>
        </row>
        <row r="2213">
          <cell r="A2213">
            <v>42635</v>
          </cell>
          <cell r="CF2213">
            <v>23.65217391304348</v>
          </cell>
          <cell r="CG2213">
            <v>22.085252262534414</v>
          </cell>
          <cell r="CH2213">
            <v>18.555263085067214</v>
          </cell>
          <cell r="CI2213">
            <v>14.926604548033502</v>
          </cell>
          <cell r="CJ2213">
            <v>22.183921622100925</v>
          </cell>
          <cell r="CU2213">
            <v>14.376501038341367</v>
          </cell>
          <cell r="CV2213">
            <v>13.67289934744978</v>
          </cell>
          <cell r="CW2213">
            <v>11.062153668663059</v>
          </cell>
          <cell r="CX2213">
            <v>8.6510321273089765</v>
          </cell>
          <cell r="CY2213">
            <v>13.473275210017142</v>
          </cell>
        </row>
        <row r="2214">
          <cell r="A2214">
            <v>42636</v>
          </cell>
          <cell r="CF2214">
            <v>23.252032520325201</v>
          </cell>
          <cell r="CG2214">
            <v>22.085252262534414</v>
          </cell>
          <cell r="CH2214">
            <v>18.555263085067214</v>
          </cell>
          <cell r="CI2214">
            <v>14.926604548033502</v>
          </cell>
          <cell r="CJ2214">
            <v>22.183921622100925</v>
          </cell>
          <cell r="CU2214">
            <v>14.156850062614563</v>
          </cell>
          <cell r="CV2214">
            <v>13.67289934744978</v>
          </cell>
          <cell r="CW2214">
            <v>11.062153668663059</v>
          </cell>
          <cell r="CX2214">
            <v>8.6510321273089765</v>
          </cell>
          <cell r="CY2214">
            <v>13.473275210017142</v>
          </cell>
        </row>
        <row r="2215">
          <cell r="A2215">
            <v>42639</v>
          </cell>
          <cell r="CF2215">
            <v>22.9929424872448</v>
          </cell>
          <cell r="CG2215">
            <v>22.085252262534414</v>
          </cell>
          <cell r="CH2215">
            <v>18.555263085067214</v>
          </cell>
          <cell r="CI2215">
            <v>14.926604548033502</v>
          </cell>
          <cell r="CJ2215">
            <v>22.183921622100925</v>
          </cell>
          <cell r="CU2215">
            <v>14.014814272656949</v>
          </cell>
          <cell r="CV2215">
            <v>13.67289934744978</v>
          </cell>
          <cell r="CW2215">
            <v>11.062153668663059</v>
          </cell>
          <cell r="CX2215">
            <v>8.6510321273089765</v>
          </cell>
          <cell r="CY2215">
            <v>13.473275210017142</v>
          </cell>
        </row>
        <row r="2216">
          <cell r="A2216">
            <v>42640</v>
          </cell>
          <cell r="CF2216">
            <v>23.150976816511172</v>
          </cell>
          <cell r="CG2216">
            <v>22.085252262534414</v>
          </cell>
          <cell r="CH2216">
            <v>18.555263085067214</v>
          </cell>
          <cell r="CI2216">
            <v>14.926604548033502</v>
          </cell>
          <cell r="CJ2216">
            <v>22.183921622100925</v>
          </cell>
          <cell r="CU2216">
            <v>14.104072512443373</v>
          </cell>
          <cell r="CV2216">
            <v>13.67289934744978</v>
          </cell>
          <cell r="CW2216">
            <v>11.062153668663059</v>
          </cell>
          <cell r="CX2216">
            <v>8.6510321273089765</v>
          </cell>
          <cell r="CY2216">
            <v>13.473275210017142</v>
          </cell>
        </row>
        <row r="2217">
          <cell r="A2217">
            <v>42641</v>
          </cell>
          <cell r="CF2217">
            <v>23.155217698614642</v>
          </cell>
          <cell r="CG2217">
            <v>22.085252262534414</v>
          </cell>
          <cell r="CH2217">
            <v>18.555263085067214</v>
          </cell>
          <cell r="CI2217">
            <v>14.926604548033502</v>
          </cell>
          <cell r="CJ2217">
            <v>22.183921622100925</v>
          </cell>
          <cell r="CU2217">
            <v>14.106400968016448</v>
          </cell>
          <cell r="CV2217">
            <v>13.67289934744978</v>
          </cell>
          <cell r="CW2217">
            <v>11.062153668663059</v>
          </cell>
          <cell r="CX2217">
            <v>8.6510321273089765</v>
          </cell>
          <cell r="CY2217">
            <v>13.473275210017142</v>
          </cell>
        </row>
        <row r="2218">
          <cell r="A2218">
            <v>42642</v>
          </cell>
          <cell r="CF2218">
            <v>22.780605032513431</v>
          </cell>
          <cell r="CG2218">
            <v>22.085252262534414</v>
          </cell>
          <cell r="CH2218">
            <v>18.555263085067214</v>
          </cell>
          <cell r="CI2218">
            <v>14.926604548033502</v>
          </cell>
          <cell r="CJ2218">
            <v>22.183921622100925</v>
          </cell>
          <cell r="CU2218">
            <v>13.90071994957624</v>
          </cell>
          <cell r="CV2218">
            <v>13.67289934744978</v>
          </cell>
          <cell r="CW2218">
            <v>11.062153668663059</v>
          </cell>
          <cell r="CX2218">
            <v>8.6510321273089765</v>
          </cell>
          <cell r="CY2218">
            <v>13.473275210017142</v>
          </cell>
        </row>
        <row r="2219">
          <cell r="A2219">
            <v>42643</v>
          </cell>
          <cell r="CF2219">
            <v>23.040349238426543</v>
          </cell>
          <cell r="CG2219">
            <v>22.085252262534414</v>
          </cell>
          <cell r="CH2219">
            <v>18.555263085067214</v>
          </cell>
          <cell r="CI2219">
            <v>14.926604548033502</v>
          </cell>
          <cell r="CJ2219">
            <v>22.183921622100925</v>
          </cell>
          <cell r="CU2219">
            <v>14.042755739533856</v>
          </cell>
          <cell r="CV2219">
            <v>13.67289934744978</v>
          </cell>
          <cell r="CW2219">
            <v>11.062153668663059</v>
          </cell>
          <cell r="CX2219">
            <v>8.6510321273089765</v>
          </cell>
          <cell r="CY2219">
            <v>13.473275210017142</v>
          </cell>
        </row>
        <row r="2220">
          <cell r="A2220">
            <v>42646</v>
          </cell>
          <cell r="CF2220">
            <v>22.644659013866047</v>
          </cell>
          <cell r="CG2220">
            <v>22.085252262534414</v>
          </cell>
          <cell r="CH2220">
            <v>18.555263085067214</v>
          </cell>
          <cell r="CI2220">
            <v>14.926604548033502</v>
          </cell>
          <cell r="CJ2220">
            <v>22.183921622100925</v>
          </cell>
          <cell r="CU2220">
            <v>13.834552211505112</v>
          </cell>
          <cell r="CV2220">
            <v>13.67289934744978</v>
          </cell>
          <cell r="CW2220">
            <v>11.062153668663059</v>
          </cell>
          <cell r="CX2220">
            <v>8.6510321273089765</v>
          </cell>
          <cell r="CY2220">
            <v>13.473275210017142</v>
          </cell>
        </row>
        <row r="2221">
          <cell r="A2221">
            <v>42647</v>
          </cell>
          <cell r="CF2221">
            <v>22.449676197603431</v>
          </cell>
          <cell r="CG2221">
            <v>22.085252262534414</v>
          </cell>
          <cell r="CH2221">
            <v>18.555263085067214</v>
          </cell>
          <cell r="CI2221">
            <v>14.926604548033502</v>
          </cell>
          <cell r="CJ2221">
            <v>22.183921622100925</v>
          </cell>
          <cell r="CU2221">
            <v>13.72734824047396</v>
          </cell>
          <cell r="CV2221">
            <v>13.67289934744978</v>
          </cell>
          <cell r="CW2221">
            <v>11.062153668663059</v>
          </cell>
          <cell r="CX2221">
            <v>8.6510321273089765</v>
          </cell>
          <cell r="CY2221">
            <v>13.473275210017142</v>
          </cell>
        </row>
        <row r="2222">
          <cell r="A2222">
            <v>42648</v>
          </cell>
          <cell r="CF2222">
            <v>22.632404617008959</v>
          </cell>
          <cell r="CG2222">
            <v>22.085252262534414</v>
          </cell>
          <cell r="CH2222">
            <v>18.555263085067214</v>
          </cell>
          <cell r="CI2222">
            <v>14.926604548033502</v>
          </cell>
          <cell r="CJ2222">
            <v>22.183921622100925</v>
          </cell>
          <cell r="CU2222">
            <v>13.828762731070952</v>
          </cell>
          <cell r="CV2222">
            <v>13.67289934744978</v>
          </cell>
          <cell r="CW2222">
            <v>11.062153668663059</v>
          </cell>
          <cell r="CX2222">
            <v>8.6510321273089765</v>
          </cell>
          <cell r="CY2222">
            <v>13.473275210017142</v>
          </cell>
        </row>
        <row r="2223">
          <cell r="A2223">
            <v>42649</v>
          </cell>
          <cell r="CF2223">
            <v>22.863016258645423</v>
          </cell>
          <cell r="CG2223">
            <v>22.085252262534414</v>
          </cell>
          <cell r="CH2223">
            <v>18.555263085067214</v>
          </cell>
          <cell r="CI2223">
            <v>14.926604548033502</v>
          </cell>
          <cell r="CJ2223">
            <v>22.183921622100925</v>
          </cell>
          <cell r="CU2223">
            <v>13.960497196574876</v>
          </cell>
          <cell r="CV2223">
            <v>13.67289934744978</v>
          </cell>
          <cell r="CW2223">
            <v>11.062153668663059</v>
          </cell>
          <cell r="CX2223">
            <v>8.6510321273089765</v>
          </cell>
          <cell r="CY2223">
            <v>13.473275210017142</v>
          </cell>
        </row>
        <row r="2224">
          <cell r="A2224">
            <v>42650</v>
          </cell>
          <cell r="CF2224">
            <v>22.675045467130921</v>
          </cell>
          <cell r="CG2224">
            <v>22.085252262534414</v>
          </cell>
          <cell r="CH2224">
            <v>18.555263085067214</v>
          </cell>
          <cell r="CI2224">
            <v>14.926604548033502</v>
          </cell>
          <cell r="CJ2224">
            <v>22.183921622100925</v>
          </cell>
          <cell r="CU2224">
            <v>13.856357361733158</v>
          </cell>
          <cell r="CV2224">
            <v>13.67289934744978</v>
          </cell>
          <cell r="CW2224">
            <v>11.062153668663059</v>
          </cell>
          <cell r="CX2224">
            <v>8.6510321273089765</v>
          </cell>
          <cell r="CY2224">
            <v>13.473275210017142</v>
          </cell>
        </row>
        <row r="2225">
          <cell r="A2225">
            <v>42653</v>
          </cell>
          <cell r="CF2225">
            <v>22.855642217988237</v>
          </cell>
          <cell r="CG2225">
            <v>22.085252262534414</v>
          </cell>
          <cell r="CH2225">
            <v>18.555263085067214</v>
          </cell>
          <cell r="CI2225">
            <v>14.926604548033502</v>
          </cell>
          <cell r="CJ2225">
            <v>22.183921622100925</v>
          </cell>
          <cell r="CU2225">
            <v>13.954274321074568</v>
          </cell>
          <cell r="CV2225">
            <v>13.67289934744978</v>
          </cell>
          <cell r="CW2225">
            <v>11.062153668663059</v>
          </cell>
          <cell r="CX2225">
            <v>8.6510321273089765</v>
          </cell>
          <cell r="CY2225">
            <v>13.473275210017142</v>
          </cell>
        </row>
        <row r="2226">
          <cell r="A2226">
            <v>42654</v>
          </cell>
          <cell r="CF2226">
            <v>22.228783771855937</v>
          </cell>
          <cell r="CG2226">
            <v>22.085252262534414</v>
          </cell>
          <cell r="CH2226">
            <v>18.555263085067214</v>
          </cell>
          <cell r="CI2226">
            <v>14.926604548033502</v>
          </cell>
          <cell r="CJ2226">
            <v>22.183921622100925</v>
          </cell>
          <cell r="CU2226">
            <v>13.609709601989202</v>
          </cell>
          <cell r="CV2226">
            <v>13.67289934744978</v>
          </cell>
          <cell r="CW2226">
            <v>11.062153668663059</v>
          </cell>
          <cell r="CX2226">
            <v>8.6510321273089765</v>
          </cell>
          <cell r="CY2226">
            <v>13.473275210017142</v>
          </cell>
        </row>
        <row r="2227">
          <cell r="A2227">
            <v>42655</v>
          </cell>
          <cell r="CF2227">
            <v>22.220399153817905</v>
          </cell>
          <cell r="CG2227">
            <v>22.085252262534414</v>
          </cell>
          <cell r="CH2227">
            <v>18.555263085067214</v>
          </cell>
          <cell r="CI2227">
            <v>14.926604548033502</v>
          </cell>
          <cell r="CJ2227">
            <v>22.183921622100925</v>
          </cell>
          <cell r="CU2227">
            <v>13.595835367897527</v>
          </cell>
          <cell r="CV2227">
            <v>13.67289934744978</v>
          </cell>
          <cell r="CW2227">
            <v>11.062153668663059</v>
          </cell>
          <cell r="CX2227">
            <v>8.6510321273089765</v>
          </cell>
          <cell r="CY2227">
            <v>13.473275210017142</v>
          </cell>
        </row>
        <row r="2228">
          <cell r="A2228">
            <v>42656</v>
          </cell>
          <cell r="CF2228">
            <v>21.886166695303327</v>
          </cell>
          <cell r="CG2228">
            <v>22.085252262534414</v>
          </cell>
          <cell r="CH2228">
            <v>18.555263085067214</v>
          </cell>
          <cell r="CI2228">
            <v>14.926604548033502</v>
          </cell>
          <cell r="CJ2228">
            <v>22.183921622100925</v>
          </cell>
          <cell r="CU2228">
            <v>13.595835367897527</v>
          </cell>
          <cell r="CV2228">
            <v>13.67289934744978</v>
          </cell>
          <cell r="CW2228">
            <v>11.062153668663059</v>
          </cell>
          <cell r="CX2228">
            <v>8.6510321273089765</v>
          </cell>
          <cell r="CY2228">
            <v>13.473275210017142</v>
          </cell>
        </row>
        <row r="2229">
          <cell r="A2229">
            <v>42657</v>
          </cell>
          <cell r="CF2229">
            <v>21.514649863220736</v>
          </cell>
          <cell r="CG2229">
            <v>22.085252262534414</v>
          </cell>
          <cell r="CH2229">
            <v>18.555263085067214</v>
          </cell>
          <cell r="CI2229">
            <v>14.926604548033502</v>
          </cell>
          <cell r="CJ2229">
            <v>22.183921622100925</v>
          </cell>
          <cell r="CU2229">
            <v>13.207024459330979</v>
          </cell>
          <cell r="CV2229">
            <v>13.67289934744978</v>
          </cell>
          <cell r="CW2229">
            <v>11.062153668663059</v>
          </cell>
          <cell r="CX2229">
            <v>8.6510321273089765</v>
          </cell>
          <cell r="CY2229">
            <v>13.473275210017142</v>
          </cell>
        </row>
        <row r="2230">
          <cell r="A2230">
            <v>42660</v>
          </cell>
          <cell r="CF2230">
            <v>21.493606584210241</v>
          </cell>
          <cell r="CG2230">
            <v>22.085252262534414</v>
          </cell>
          <cell r="CH2230">
            <v>18.555263085067214</v>
          </cell>
          <cell r="CI2230">
            <v>14.926604548033502</v>
          </cell>
          <cell r="CJ2230">
            <v>22.183921622100925</v>
          </cell>
          <cell r="CU2230">
            <v>13.19546017606727</v>
          </cell>
          <cell r="CV2230">
            <v>13.67289934744978</v>
          </cell>
          <cell r="CW2230">
            <v>11.062153668663059</v>
          </cell>
          <cell r="CX2230">
            <v>8.6510321273089765</v>
          </cell>
          <cell r="CY2230">
            <v>13.473275210017142</v>
          </cell>
        </row>
        <row r="2231">
          <cell r="A2231">
            <v>42661</v>
          </cell>
          <cell r="CF2231">
            <v>21.513246977953372</v>
          </cell>
          <cell r="CG2231">
            <v>22.085252262534414</v>
          </cell>
          <cell r="CH2231">
            <v>18.555263085067214</v>
          </cell>
          <cell r="CI2231">
            <v>14.926604548033502</v>
          </cell>
          <cell r="CJ2231">
            <v>22.183921622100925</v>
          </cell>
          <cell r="CU2231">
            <v>13.206253507113399</v>
          </cell>
          <cell r="CV2231">
            <v>13.67289934744978</v>
          </cell>
          <cell r="CW2231">
            <v>11.062153668663059</v>
          </cell>
          <cell r="CX2231">
            <v>8.6510321273089765</v>
          </cell>
          <cell r="CY2231">
            <v>13.473275210017142</v>
          </cell>
        </row>
        <row r="2232">
          <cell r="A2232">
            <v>42662</v>
          </cell>
          <cell r="CF2232">
            <v>21.611448946669039</v>
          </cell>
          <cell r="CG2232">
            <v>22.085252262534414</v>
          </cell>
          <cell r="CH2232">
            <v>18.555263085067214</v>
          </cell>
          <cell r="CI2232">
            <v>14.926604548033502</v>
          </cell>
          <cell r="CJ2232">
            <v>22.183921622100925</v>
          </cell>
          <cell r="CU2232">
            <v>13.268209197259885</v>
          </cell>
          <cell r="CV2232">
            <v>13.67289934744978</v>
          </cell>
          <cell r="CW2232">
            <v>11.062153668663059</v>
          </cell>
          <cell r="CX2232">
            <v>8.6510321273089765</v>
          </cell>
          <cell r="CY2232">
            <v>13.473275210017142</v>
          </cell>
        </row>
        <row r="2233">
          <cell r="A2233">
            <v>42663</v>
          </cell>
          <cell r="CF2233">
            <v>21.443102714585038</v>
          </cell>
          <cell r="CG2233">
            <v>22.085252262534414</v>
          </cell>
          <cell r="CH2233">
            <v>18.555263085067214</v>
          </cell>
          <cell r="CI2233">
            <v>14.926604548033502</v>
          </cell>
          <cell r="CJ2233">
            <v>22.183921622100925</v>
          </cell>
          <cell r="CU2233">
            <v>13.175639193033234</v>
          </cell>
          <cell r="CV2233">
            <v>13.67289934744978</v>
          </cell>
          <cell r="CW2233">
            <v>11.062153668663059</v>
          </cell>
          <cell r="CX2233">
            <v>8.6510321273089765</v>
          </cell>
          <cell r="CY2233">
            <v>13.473275210017142</v>
          </cell>
        </row>
        <row r="2234">
          <cell r="A2234">
            <v>42664</v>
          </cell>
          <cell r="CF2234">
            <v>21.399611868411402</v>
          </cell>
          <cell r="CG2234">
            <v>22.085252262534414</v>
          </cell>
          <cell r="CH2234">
            <v>18.555263085067214</v>
          </cell>
          <cell r="CI2234">
            <v>14.926604548033502</v>
          </cell>
          <cell r="CJ2234">
            <v>22.183921622100925</v>
          </cell>
          <cell r="CU2234">
            <v>13.151724503857979</v>
          </cell>
          <cell r="CV2234">
            <v>13.67289934744978</v>
          </cell>
          <cell r="CW2234">
            <v>11.062153668663059</v>
          </cell>
          <cell r="CX2234">
            <v>8.6510321273089765</v>
          </cell>
          <cell r="CY2234">
            <v>13.473275210017142</v>
          </cell>
        </row>
        <row r="2235">
          <cell r="A2235">
            <v>42667</v>
          </cell>
          <cell r="CF2235">
            <v>21.455728681991339</v>
          </cell>
          <cell r="CG2235">
            <v>22.085252262534414</v>
          </cell>
          <cell r="CH2235">
            <v>18.555263085067214</v>
          </cell>
          <cell r="CI2235">
            <v>14.926604548033502</v>
          </cell>
          <cell r="CJ2235">
            <v>22.183921622100925</v>
          </cell>
          <cell r="CU2235">
            <v>13.182581943350232</v>
          </cell>
          <cell r="CV2235">
            <v>13.67289934744978</v>
          </cell>
          <cell r="CW2235">
            <v>11.062153668663059</v>
          </cell>
          <cell r="CX2235">
            <v>8.6510321273089765</v>
          </cell>
          <cell r="CY2235">
            <v>13.473275210017142</v>
          </cell>
        </row>
        <row r="2236">
          <cell r="A2236">
            <v>42668</v>
          </cell>
          <cell r="CF2236">
            <v>21.126049241274899</v>
          </cell>
          <cell r="CG2236">
            <v>22.085252262534414</v>
          </cell>
          <cell r="CH2236">
            <v>18.555263085067214</v>
          </cell>
          <cell r="CI2236">
            <v>14.926604548033502</v>
          </cell>
          <cell r="CJ2236">
            <v>22.183921622100925</v>
          </cell>
          <cell r="CU2236">
            <v>13.001298246989672</v>
          </cell>
          <cell r="CV2236">
            <v>13.67289934744978</v>
          </cell>
          <cell r="CW2236">
            <v>11.062153668663059</v>
          </cell>
          <cell r="CX2236">
            <v>8.6510321273089765</v>
          </cell>
          <cell r="CY2236">
            <v>13.473275210017142</v>
          </cell>
        </row>
        <row r="2237">
          <cell r="A2237">
            <v>42669</v>
          </cell>
          <cell r="CF2237">
            <v>20.8973803455794</v>
          </cell>
          <cell r="CG2237">
            <v>22.085252262534414</v>
          </cell>
          <cell r="CH2237">
            <v>18.555263085067214</v>
          </cell>
          <cell r="CI2237">
            <v>14.926604548033502</v>
          </cell>
          <cell r="CJ2237">
            <v>22.183921622100925</v>
          </cell>
          <cell r="CU2237">
            <v>12.875558095998503</v>
          </cell>
          <cell r="CV2237">
            <v>13.67289934744978</v>
          </cell>
          <cell r="CW2237">
            <v>11.062153668663059</v>
          </cell>
          <cell r="CX2237">
            <v>8.6510321273089765</v>
          </cell>
          <cell r="CY2237">
            <v>13.473275210017142</v>
          </cell>
        </row>
        <row r="2238">
          <cell r="A2238">
            <v>42670</v>
          </cell>
          <cell r="CF2238">
            <v>20.888961631089931</v>
          </cell>
          <cell r="CG2238">
            <v>22.085252262534414</v>
          </cell>
          <cell r="CH2238">
            <v>18.555263085067214</v>
          </cell>
          <cell r="CI2238">
            <v>14.926604548033502</v>
          </cell>
          <cell r="CJ2238">
            <v>22.183921622100925</v>
          </cell>
          <cell r="CU2238">
            <v>12.87092882437047</v>
          </cell>
          <cell r="CV2238">
            <v>13.67289934744978</v>
          </cell>
          <cell r="CW2238">
            <v>11.062153668663059</v>
          </cell>
          <cell r="CX2238">
            <v>8.6510321273089765</v>
          </cell>
          <cell r="CY2238">
            <v>13.473275210017142</v>
          </cell>
        </row>
        <row r="2239">
          <cell r="A2239">
            <v>42671</v>
          </cell>
          <cell r="CF2239">
            <v>20.946249743101458</v>
          </cell>
          <cell r="CG2239">
            <v>22.085252262534414</v>
          </cell>
          <cell r="CH2239">
            <v>18.555263085067214</v>
          </cell>
          <cell r="CI2239">
            <v>14.926604548033502</v>
          </cell>
          <cell r="CJ2239">
            <v>22.183921622100925</v>
          </cell>
          <cell r="CU2239">
            <v>12.902577189768063</v>
          </cell>
          <cell r="CV2239">
            <v>13.67289934744978</v>
          </cell>
          <cell r="CW2239">
            <v>11.062153668663059</v>
          </cell>
          <cell r="CX2239">
            <v>8.6510321273089765</v>
          </cell>
          <cell r="CY2239">
            <v>13.473275210017142</v>
          </cell>
        </row>
        <row r="2240">
          <cell r="A2240">
            <v>42674</v>
          </cell>
          <cell r="CF2240">
            <v>20.930818174742061</v>
          </cell>
          <cell r="CG2240">
            <v>22.085252262534414</v>
          </cell>
          <cell r="CH2240">
            <v>18.555263085067214</v>
          </cell>
          <cell r="CI2240">
            <v>14.926604548033502</v>
          </cell>
          <cell r="CJ2240">
            <v>22.183921622100925</v>
          </cell>
          <cell r="CU2240">
            <v>12.894091592709398</v>
          </cell>
          <cell r="CV2240">
            <v>13.67289934744978</v>
          </cell>
          <cell r="CW2240">
            <v>11.062153668663059</v>
          </cell>
          <cell r="CX2240">
            <v>8.6510321273089765</v>
          </cell>
          <cell r="CY2240">
            <v>13.473275210017142</v>
          </cell>
        </row>
        <row r="2241">
          <cell r="A2241">
            <v>42675</v>
          </cell>
          <cell r="CF2241">
            <v>20.470619600300061</v>
          </cell>
          <cell r="CG2241">
            <v>22.085252262534414</v>
          </cell>
          <cell r="CH2241">
            <v>18.555263085067214</v>
          </cell>
          <cell r="CI2241">
            <v>14.926604548033502</v>
          </cell>
          <cell r="CJ2241">
            <v>22.183921622100925</v>
          </cell>
          <cell r="CU2241">
            <v>12.646929277560654</v>
          </cell>
          <cell r="CV2241">
            <v>13.67289934744978</v>
          </cell>
          <cell r="CW2241">
            <v>11.062153668663059</v>
          </cell>
          <cell r="CX2241">
            <v>8.6510321273089765</v>
          </cell>
          <cell r="CY2241">
            <v>13.473275210017142</v>
          </cell>
        </row>
        <row r="2242">
          <cell r="A2242">
            <v>42676</v>
          </cell>
          <cell r="CF2242">
            <v>21.748777859135977</v>
          </cell>
          <cell r="CG2242">
            <v>22.085252262534414</v>
          </cell>
          <cell r="CH2242">
            <v>18.555263085067214</v>
          </cell>
          <cell r="CI2242">
            <v>14.926604548033502</v>
          </cell>
          <cell r="CJ2242">
            <v>22.183921622100925</v>
          </cell>
          <cell r="CU2242">
            <v>13.20243197011246</v>
          </cell>
          <cell r="CV2242">
            <v>13.67289934744978</v>
          </cell>
          <cell r="CW2242">
            <v>11.062153668663059</v>
          </cell>
          <cell r="CX2242">
            <v>8.6510321273089765</v>
          </cell>
          <cell r="CY2242">
            <v>13.473275210017142</v>
          </cell>
        </row>
        <row r="2243">
          <cell r="A2243">
            <v>42677</v>
          </cell>
          <cell r="CF2243">
            <v>21.407751794184183</v>
          </cell>
          <cell r="CG2243">
            <v>22.085252262534414</v>
          </cell>
          <cell r="CH2243">
            <v>18.555263085067214</v>
          </cell>
          <cell r="CI2243">
            <v>14.926604548033502</v>
          </cell>
          <cell r="CJ2243">
            <v>22.183921622100925</v>
          </cell>
          <cell r="CU2243">
            <v>13.236562450945758</v>
          </cell>
          <cell r="CV2243">
            <v>13.67289934744978</v>
          </cell>
          <cell r="CW2243">
            <v>11.062153668663059</v>
          </cell>
          <cell r="CX2243">
            <v>8.6510321273089765</v>
          </cell>
          <cell r="CY2243">
            <v>13.473275210017142</v>
          </cell>
        </row>
        <row r="2244">
          <cell r="A2244">
            <v>42678</v>
          </cell>
          <cell r="CF2244">
            <v>21.525475378544272</v>
          </cell>
          <cell r="CG2244">
            <v>22.085252262534414</v>
          </cell>
          <cell r="CH2244">
            <v>18.555263085067214</v>
          </cell>
          <cell r="CI2244">
            <v>14.926604548033502</v>
          </cell>
          <cell r="CJ2244">
            <v>22.183921622100925</v>
          </cell>
          <cell r="CU2244">
            <v>13.240860989975523</v>
          </cell>
          <cell r="CV2244">
            <v>13.67289934744978</v>
          </cell>
          <cell r="CW2244">
            <v>11.062153668663059</v>
          </cell>
          <cell r="CX2244">
            <v>8.6510321273089765</v>
          </cell>
          <cell r="CY2244">
            <v>13.473275210017142</v>
          </cell>
        </row>
        <row r="2245">
          <cell r="A2245">
            <v>42681</v>
          </cell>
          <cell r="CF2245">
            <v>21.692521416996797</v>
          </cell>
          <cell r="CG2245">
            <v>22.085252262534414</v>
          </cell>
          <cell r="CH2245">
            <v>18.555263085067214</v>
          </cell>
          <cell r="CI2245">
            <v>14.926604548033502</v>
          </cell>
          <cell r="CJ2245">
            <v>22.183921622100925</v>
          </cell>
          <cell r="CU2245">
            <v>13.344737194542921</v>
          </cell>
          <cell r="CV2245">
            <v>13.67289934744978</v>
          </cell>
          <cell r="CW2245">
            <v>11.062153668663059</v>
          </cell>
          <cell r="CX2245">
            <v>8.6510321273089765</v>
          </cell>
          <cell r="CY2245">
            <v>13.473275210017142</v>
          </cell>
        </row>
        <row r="2246">
          <cell r="A2246">
            <v>42682</v>
          </cell>
          <cell r="CF2246">
            <v>21.892567724012327</v>
          </cell>
          <cell r="CG2246">
            <v>22.085252262534414</v>
          </cell>
          <cell r="CH2246">
            <v>18.555263085067214</v>
          </cell>
          <cell r="CI2246">
            <v>14.926604548033502</v>
          </cell>
          <cell r="CJ2246">
            <v>22.183921622100925</v>
          </cell>
          <cell r="CU2246">
            <v>13.454122938536161</v>
          </cell>
          <cell r="CV2246">
            <v>13.67289934744978</v>
          </cell>
          <cell r="CW2246">
            <v>11.062153668663059</v>
          </cell>
          <cell r="CX2246">
            <v>8.6510321273089765</v>
          </cell>
          <cell r="CY2246">
            <v>13.473275210017142</v>
          </cell>
        </row>
        <row r="2247">
          <cell r="A2247">
            <v>42683</v>
          </cell>
          <cell r="CF2247">
            <v>21.882844639965096</v>
          </cell>
          <cell r="CG2247">
            <v>22.085252262534414</v>
          </cell>
          <cell r="CH2247">
            <v>18.555263085067214</v>
          </cell>
          <cell r="CI2247">
            <v>14.926604548033502</v>
          </cell>
          <cell r="CJ2247">
            <v>22.183921622100925</v>
          </cell>
          <cell r="CU2247">
            <v>13.448806335604155</v>
          </cell>
          <cell r="CV2247">
            <v>13.67289934744978</v>
          </cell>
          <cell r="CW2247">
            <v>11.062153668663059</v>
          </cell>
          <cell r="CX2247">
            <v>8.6510321273089765</v>
          </cell>
          <cell r="CY2247">
            <v>13.473275210017142</v>
          </cell>
        </row>
        <row r="2248">
          <cell r="A2248">
            <v>42684</v>
          </cell>
          <cell r="CF2248">
            <v>21.489698078260957</v>
          </cell>
          <cell r="CG2248">
            <v>22.085252262534414</v>
          </cell>
          <cell r="CH2248">
            <v>18.555263085067214</v>
          </cell>
          <cell r="CI2248">
            <v>14.926604548033502</v>
          </cell>
          <cell r="CJ2248">
            <v>22.183921622100925</v>
          </cell>
          <cell r="CU2248">
            <v>13.448806335604155</v>
          </cell>
          <cell r="CV2248">
            <v>13.67289934744978</v>
          </cell>
          <cell r="CW2248">
            <v>11.062153668663059</v>
          </cell>
          <cell r="CX2248">
            <v>8.6510321273089765</v>
          </cell>
          <cell r="CY2248">
            <v>13.473275210017142</v>
          </cell>
        </row>
        <row r="2249">
          <cell r="A2249">
            <v>42685</v>
          </cell>
          <cell r="CF2249">
            <v>21.764760361196846</v>
          </cell>
          <cell r="CG2249">
            <v>22.085252262534414</v>
          </cell>
          <cell r="CH2249">
            <v>18.555263085067214</v>
          </cell>
          <cell r="CI2249">
            <v>14.926604548033502</v>
          </cell>
          <cell r="CJ2249">
            <v>22.183921622100925</v>
          </cell>
          <cell r="CU2249">
            <v>13.384237602096032</v>
          </cell>
          <cell r="CV2249">
            <v>13.67289934744978</v>
          </cell>
          <cell r="CW2249">
            <v>11.062153668663059</v>
          </cell>
          <cell r="CX2249">
            <v>8.6510321273089765</v>
          </cell>
          <cell r="CY2249">
            <v>13.473275210017142</v>
          </cell>
        </row>
        <row r="2250">
          <cell r="A2250">
            <v>42688</v>
          </cell>
          <cell r="CF2250">
            <v>21.925910164392047</v>
          </cell>
          <cell r="CG2250">
            <v>22.085252262534414</v>
          </cell>
          <cell r="CH2250">
            <v>18.555263085067214</v>
          </cell>
          <cell r="CI2250">
            <v>14.926604548033502</v>
          </cell>
          <cell r="CJ2250">
            <v>22.183921622100925</v>
          </cell>
          <cell r="CU2250">
            <v>13.472354655491587</v>
          </cell>
          <cell r="CV2250">
            <v>13.67289934744978</v>
          </cell>
          <cell r="CW2250">
            <v>11.062153668663059</v>
          </cell>
          <cell r="CX2250">
            <v>8.6510321273089765</v>
          </cell>
          <cell r="CY2250">
            <v>13.473275210017142</v>
          </cell>
        </row>
        <row r="2251">
          <cell r="A2251">
            <v>42689</v>
          </cell>
          <cell r="CF2251">
            <v>21.948137531838221</v>
          </cell>
          <cell r="CG2251">
            <v>22.085252262534414</v>
          </cell>
          <cell r="CH2251">
            <v>18.555263085067214</v>
          </cell>
          <cell r="CI2251">
            <v>14.926604548033502</v>
          </cell>
          <cell r="CJ2251">
            <v>22.183921622100925</v>
          </cell>
          <cell r="CU2251">
            <v>13.484508627046393</v>
          </cell>
          <cell r="CV2251">
            <v>13.67289934744978</v>
          </cell>
          <cell r="CW2251">
            <v>11.062153668663059</v>
          </cell>
          <cell r="CX2251">
            <v>8.6510321273089765</v>
          </cell>
          <cell r="CY2251">
            <v>13.473275210017142</v>
          </cell>
        </row>
        <row r="2252">
          <cell r="A2252">
            <v>42690</v>
          </cell>
          <cell r="CF2252">
            <v>22.119010419080652</v>
          </cell>
          <cell r="CG2252">
            <v>22.085252262534414</v>
          </cell>
          <cell r="CH2252">
            <v>18.555263085067214</v>
          </cell>
          <cell r="CI2252">
            <v>14.926604548033502</v>
          </cell>
          <cell r="CJ2252">
            <v>22.183921622100925</v>
          </cell>
          <cell r="CU2252">
            <v>13.577942283373948</v>
          </cell>
          <cell r="CV2252">
            <v>13.67289934744978</v>
          </cell>
          <cell r="CW2252">
            <v>11.062153668663059</v>
          </cell>
          <cell r="CX2252">
            <v>8.6510321273089765</v>
          </cell>
          <cell r="CY2252">
            <v>13.473275210017142</v>
          </cell>
        </row>
        <row r="2253">
          <cell r="A2253">
            <v>42691</v>
          </cell>
          <cell r="CF2253">
            <v>22.073165084512457</v>
          </cell>
          <cell r="CG2253">
            <v>22.085252262534414</v>
          </cell>
          <cell r="CH2253">
            <v>18.555263085067214</v>
          </cell>
          <cell r="CI2253">
            <v>14.926604548033502</v>
          </cell>
          <cell r="CJ2253">
            <v>22.183921622100925</v>
          </cell>
          <cell r="CU2253">
            <v>13.577942283373948</v>
          </cell>
          <cell r="CV2253">
            <v>13.67289934744978</v>
          </cell>
          <cell r="CW2253">
            <v>11.062153668663059</v>
          </cell>
          <cell r="CX2253">
            <v>8.6510321273089765</v>
          </cell>
          <cell r="CY2253">
            <v>13.473275210017142</v>
          </cell>
        </row>
        <row r="2254">
          <cell r="A2254">
            <v>42692</v>
          </cell>
          <cell r="CF2254">
            <v>21.8050488539035</v>
          </cell>
          <cell r="CG2254">
            <v>22.085252262534414</v>
          </cell>
          <cell r="CH2254">
            <v>18.555263085067214</v>
          </cell>
          <cell r="CI2254">
            <v>14.926604548033502</v>
          </cell>
          <cell r="CJ2254">
            <v>22.183921622100925</v>
          </cell>
          <cell r="CU2254">
            <v>13.40626743516234</v>
          </cell>
          <cell r="CV2254">
            <v>13.67289934744978</v>
          </cell>
          <cell r="CW2254">
            <v>11.062153668663059</v>
          </cell>
          <cell r="CX2254">
            <v>8.6510321273089765</v>
          </cell>
          <cell r="CY2254">
            <v>13.473275210017142</v>
          </cell>
        </row>
        <row r="2255">
          <cell r="A2255">
            <v>42695</v>
          </cell>
          <cell r="CF2255">
            <v>20.636722852514172</v>
          </cell>
          <cell r="CG2255">
            <v>22.085252262534414</v>
          </cell>
          <cell r="CH2255">
            <v>18.555263085067214</v>
          </cell>
          <cell r="CI2255">
            <v>14.926604548033502</v>
          </cell>
          <cell r="CJ2255">
            <v>22.183921622100925</v>
          </cell>
          <cell r="CU2255">
            <v>12.767424305312938</v>
          </cell>
          <cell r="CV2255">
            <v>13.67289934744978</v>
          </cell>
          <cell r="CW2255">
            <v>11.062153668663059</v>
          </cell>
          <cell r="CX2255">
            <v>8.6510321273089765</v>
          </cell>
          <cell r="CY2255">
            <v>13.473275210017142</v>
          </cell>
        </row>
        <row r="2256">
          <cell r="A2256">
            <v>42696</v>
          </cell>
          <cell r="CF2256">
            <v>21.243806436677232</v>
          </cell>
          <cell r="CG2256">
            <v>22.085252262534414</v>
          </cell>
          <cell r="CH2256">
            <v>18.555263085067214</v>
          </cell>
          <cell r="CI2256">
            <v>14.926604548033502</v>
          </cell>
          <cell r="CJ2256">
            <v>22.183921622100925</v>
          </cell>
          <cell r="CU2256">
            <v>13.099378893780308</v>
          </cell>
          <cell r="CV2256">
            <v>13.67289934744978</v>
          </cell>
          <cell r="CW2256">
            <v>11.062153668663059</v>
          </cell>
          <cell r="CX2256">
            <v>8.6510321273089765</v>
          </cell>
          <cell r="CY2256">
            <v>13.473275210017142</v>
          </cell>
        </row>
        <row r="2257">
          <cell r="A2257">
            <v>42697</v>
          </cell>
          <cell r="CF2257">
            <v>21.249364667749241</v>
          </cell>
          <cell r="CG2257">
            <v>22.085252262534414</v>
          </cell>
          <cell r="CH2257">
            <v>18.555263085067214</v>
          </cell>
          <cell r="CI2257">
            <v>14.926604548033502</v>
          </cell>
          <cell r="CJ2257">
            <v>22.183921622100925</v>
          </cell>
          <cell r="CU2257">
            <v>13.102418146292234</v>
          </cell>
          <cell r="CV2257">
            <v>13.67289934744978</v>
          </cell>
          <cell r="CW2257">
            <v>11.062153668663059</v>
          </cell>
          <cell r="CX2257">
            <v>8.6510321273089765</v>
          </cell>
          <cell r="CY2257">
            <v>13.473275210017142</v>
          </cell>
        </row>
        <row r="2258">
          <cell r="A2258">
            <v>42698</v>
          </cell>
          <cell r="CF2258">
            <v>21.249364667749241</v>
          </cell>
          <cell r="CG2258">
            <v>22.085252262534414</v>
          </cell>
          <cell r="CH2258">
            <v>18.555263085067214</v>
          </cell>
          <cell r="CI2258">
            <v>14.926604548033502</v>
          </cell>
          <cell r="CJ2258">
            <v>22.183921622100925</v>
          </cell>
          <cell r="CU2258">
            <v>13.102418146292234</v>
          </cell>
          <cell r="CV2258">
            <v>13.67289934744978</v>
          </cell>
          <cell r="CW2258">
            <v>11.062153668663059</v>
          </cell>
          <cell r="CX2258">
            <v>8.6510321273089765</v>
          </cell>
          <cell r="CY2258">
            <v>13.473275210017142</v>
          </cell>
        </row>
        <row r="2259">
          <cell r="A2259">
            <v>42699</v>
          </cell>
          <cell r="CF2259">
            <v>21.002083815700132</v>
          </cell>
          <cell r="CG2259">
            <v>22.085252262534414</v>
          </cell>
          <cell r="CH2259">
            <v>18.555263085067214</v>
          </cell>
          <cell r="CI2259">
            <v>14.926604548033502</v>
          </cell>
          <cell r="CJ2259">
            <v>22.183921622100925</v>
          </cell>
          <cell r="CU2259">
            <v>12.967204453121811</v>
          </cell>
          <cell r="CV2259">
            <v>13.67289934744978</v>
          </cell>
          <cell r="CW2259">
            <v>11.062153668663059</v>
          </cell>
          <cell r="CX2259">
            <v>8.6510321273089765</v>
          </cell>
          <cell r="CY2259">
            <v>13.473275210017142</v>
          </cell>
        </row>
        <row r="2260">
          <cell r="A2260">
            <v>42702</v>
          </cell>
          <cell r="CF2260">
            <v>21.027090993287537</v>
          </cell>
          <cell r="CG2260">
            <v>22.085252262534414</v>
          </cell>
          <cell r="CH2260">
            <v>18.555263085067214</v>
          </cell>
          <cell r="CI2260">
            <v>14.926604548033502</v>
          </cell>
          <cell r="CJ2260">
            <v>22.183921622100925</v>
          </cell>
          <cell r="CU2260">
            <v>12.980878430744189</v>
          </cell>
          <cell r="CV2260">
            <v>13.67289934744978</v>
          </cell>
          <cell r="CW2260">
            <v>11.062153668663059</v>
          </cell>
          <cell r="CX2260">
            <v>8.6510321273089765</v>
          </cell>
          <cell r="CY2260">
            <v>13.473275210017142</v>
          </cell>
        </row>
        <row r="2261">
          <cell r="A2261">
            <v>42703</v>
          </cell>
          <cell r="CF2261">
            <v>21.288262560780041</v>
          </cell>
          <cell r="CG2261">
            <v>22.085252262534414</v>
          </cell>
          <cell r="CH2261">
            <v>18.555263085067214</v>
          </cell>
          <cell r="CI2261">
            <v>14.926604548033502</v>
          </cell>
          <cell r="CJ2261">
            <v>22.183921622100925</v>
          </cell>
          <cell r="CU2261">
            <v>13.12368759651314</v>
          </cell>
          <cell r="CV2261">
            <v>13.67289934744978</v>
          </cell>
          <cell r="CW2261">
            <v>11.062153668663059</v>
          </cell>
          <cell r="CX2261">
            <v>8.6510321273089765</v>
          </cell>
          <cell r="CY2261">
            <v>13.473275210017142</v>
          </cell>
        </row>
        <row r="2262">
          <cell r="A2262">
            <v>42704</v>
          </cell>
          <cell r="CF2262">
            <v>20.693680481594985</v>
          </cell>
          <cell r="CG2262">
            <v>22.085252262534414</v>
          </cell>
          <cell r="CH2262">
            <v>18.555263085067214</v>
          </cell>
          <cell r="CI2262">
            <v>14.926604548033502</v>
          </cell>
          <cell r="CJ2262">
            <v>22.183921622100925</v>
          </cell>
          <cell r="CU2262">
            <v>12.798568857422127</v>
          </cell>
          <cell r="CV2262">
            <v>13.67289934744978</v>
          </cell>
          <cell r="CW2262">
            <v>11.062153668663059</v>
          </cell>
          <cell r="CX2262">
            <v>8.6510321273089765</v>
          </cell>
          <cell r="CY2262">
            <v>13.473275210017142</v>
          </cell>
        </row>
        <row r="2263">
          <cell r="A2263">
            <v>42705</v>
          </cell>
          <cell r="CF2263">
            <v>20.573397656788419</v>
          </cell>
          <cell r="CG2263">
            <v>22.085252262534414</v>
          </cell>
          <cell r="CH2263">
            <v>18.555263085067214</v>
          </cell>
          <cell r="CI2263">
            <v>14.926604548033502</v>
          </cell>
          <cell r="CJ2263">
            <v>22.183921622100925</v>
          </cell>
          <cell r="CU2263">
            <v>12.719731995330358</v>
          </cell>
          <cell r="CV2263">
            <v>13.67289934744978</v>
          </cell>
          <cell r="CW2263">
            <v>11.062153668663059</v>
          </cell>
          <cell r="CX2263">
            <v>8.6510321273089765</v>
          </cell>
          <cell r="CY2263">
            <v>13.473275210017142</v>
          </cell>
        </row>
        <row r="2264">
          <cell r="A2264">
            <v>42706</v>
          </cell>
          <cell r="CF2264">
            <v>20.615360972093388</v>
          </cell>
          <cell r="CG2264">
            <v>22.085252262534414</v>
          </cell>
          <cell r="CH2264">
            <v>18.555263085067214</v>
          </cell>
          <cell r="CI2264">
            <v>14.926604548033502</v>
          </cell>
          <cell r="CJ2264">
            <v>22.183921622100925</v>
          </cell>
          <cell r="CU2264">
            <v>12.7657835842681</v>
          </cell>
          <cell r="CV2264">
            <v>13.67289934744978</v>
          </cell>
          <cell r="CW2264">
            <v>11.062153668663059</v>
          </cell>
          <cell r="CX2264">
            <v>8.6510321273089765</v>
          </cell>
          <cell r="CY2264">
            <v>13.473275210017142</v>
          </cell>
        </row>
        <row r="2265">
          <cell r="A2265">
            <v>42709</v>
          </cell>
          <cell r="CF2265">
            <v>20.666358385008415</v>
          </cell>
          <cell r="CG2265">
            <v>22.085252262534414</v>
          </cell>
          <cell r="CH2265">
            <v>18.555263085067214</v>
          </cell>
          <cell r="CI2265">
            <v>14.926604548033502</v>
          </cell>
          <cell r="CJ2265">
            <v>22.183921622100925</v>
          </cell>
          <cell r="CU2265">
            <v>12.793716515263126</v>
          </cell>
          <cell r="CV2265">
            <v>13.67289934744978</v>
          </cell>
          <cell r="CW2265">
            <v>11.062153668663059</v>
          </cell>
          <cell r="CX2265">
            <v>8.6510321273089765</v>
          </cell>
          <cell r="CY2265">
            <v>13.473275210017142</v>
          </cell>
        </row>
        <row r="2266">
          <cell r="A2266">
            <v>42710</v>
          </cell>
          <cell r="CF2266">
            <v>20.665931338756373</v>
          </cell>
          <cell r="CG2266">
            <v>22.085252262534414</v>
          </cell>
          <cell r="CH2266">
            <v>18.555263085067214</v>
          </cell>
          <cell r="CI2266">
            <v>14.926604548033502</v>
          </cell>
          <cell r="CJ2266">
            <v>22.183921622100925</v>
          </cell>
          <cell r="CU2266">
            <v>12.789941039914311</v>
          </cell>
          <cell r="CV2266">
            <v>13.67289934744978</v>
          </cell>
          <cell r="CW2266">
            <v>11.062153668663059</v>
          </cell>
          <cell r="CX2266">
            <v>8.6510321273089765</v>
          </cell>
          <cell r="CY2266">
            <v>13.473275210017142</v>
          </cell>
        </row>
        <row r="2267">
          <cell r="A2267">
            <v>42711</v>
          </cell>
          <cell r="CF2267">
            <v>20.588723286915759</v>
          </cell>
          <cell r="CG2267">
            <v>22.085252262534414</v>
          </cell>
          <cell r="CH2267">
            <v>18.555263085067214</v>
          </cell>
          <cell r="CI2267">
            <v>14.926604548033502</v>
          </cell>
          <cell r="CJ2267">
            <v>22.183921622100925</v>
          </cell>
          <cell r="CU2267">
            <v>12.747664926325381</v>
          </cell>
          <cell r="CV2267">
            <v>13.67289934744978</v>
          </cell>
          <cell r="CW2267">
            <v>11.062153668663059</v>
          </cell>
          <cell r="CX2267">
            <v>8.6510321273089765</v>
          </cell>
          <cell r="CY2267">
            <v>13.473275210017142</v>
          </cell>
        </row>
        <row r="2268">
          <cell r="A2268">
            <v>42712</v>
          </cell>
          <cell r="CF2268">
            <v>20.74038328967324</v>
          </cell>
          <cell r="CG2268">
            <v>22.085252262534414</v>
          </cell>
          <cell r="CH2268">
            <v>18.555263085067214</v>
          </cell>
          <cell r="CI2268">
            <v>14.926604548033502</v>
          </cell>
          <cell r="CJ2268">
            <v>22.183921622100925</v>
          </cell>
          <cell r="CU2268">
            <v>12.747664926325381</v>
          </cell>
          <cell r="CV2268">
            <v>13.67289934744978</v>
          </cell>
          <cell r="CW2268">
            <v>11.062153668663059</v>
          </cell>
          <cell r="CX2268">
            <v>8.6510321273089765</v>
          </cell>
          <cell r="CY2268">
            <v>13.473275210017142</v>
          </cell>
        </row>
        <row r="2269">
          <cell r="A2269">
            <v>42713</v>
          </cell>
          <cell r="CF2269">
            <v>20.983042878808767</v>
          </cell>
          <cell r="CG2269">
            <v>22.085252262534414</v>
          </cell>
          <cell r="CH2269">
            <v>18.555263085067214</v>
          </cell>
          <cell r="CI2269">
            <v>14.926604548033502</v>
          </cell>
          <cell r="CJ2269">
            <v>22.183921622100925</v>
          </cell>
          <cell r="CU2269">
            <v>12.963578933476118</v>
          </cell>
          <cell r="CV2269">
            <v>13.67289934744978</v>
          </cell>
          <cell r="CW2269">
            <v>11.062153668663059</v>
          </cell>
          <cell r="CX2269">
            <v>8.6510321273089765</v>
          </cell>
          <cell r="CY2269">
            <v>13.473275210017142</v>
          </cell>
        </row>
        <row r="2270">
          <cell r="A2270">
            <v>42716</v>
          </cell>
          <cell r="CF2270">
            <v>20.841032676134013</v>
          </cell>
          <cell r="CG2270">
            <v>22.085252262534414</v>
          </cell>
          <cell r="CH2270">
            <v>18.555263085067214</v>
          </cell>
          <cell r="CI2270">
            <v>14.926604548033502</v>
          </cell>
          <cell r="CJ2270">
            <v>22.183921622100925</v>
          </cell>
          <cell r="CU2270">
            <v>12.885819693138613</v>
          </cell>
          <cell r="CV2270">
            <v>13.67289934744978</v>
          </cell>
          <cell r="CW2270">
            <v>11.062153668663059</v>
          </cell>
          <cell r="CX2270">
            <v>8.6510321273089765</v>
          </cell>
          <cell r="CY2270">
            <v>13.473275210017142</v>
          </cell>
        </row>
        <row r="2271">
          <cell r="A2271">
            <v>42717</v>
          </cell>
          <cell r="CF2271">
            <v>21.162279056941955</v>
          </cell>
          <cell r="CG2271">
            <v>22.085252262534414</v>
          </cell>
          <cell r="CH2271">
            <v>18.555263085067214</v>
          </cell>
          <cell r="CI2271">
            <v>14.926604548033502</v>
          </cell>
          <cell r="CJ2271">
            <v>22.183921622100925</v>
          </cell>
          <cell r="CU2271">
            <v>13.061721663999178</v>
          </cell>
          <cell r="CV2271">
            <v>13.67289934744978</v>
          </cell>
          <cell r="CW2271">
            <v>11.062153668663059</v>
          </cell>
          <cell r="CX2271">
            <v>8.6510321273089765</v>
          </cell>
          <cell r="CY2271">
            <v>13.473275210017142</v>
          </cell>
        </row>
        <row r="2272">
          <cell r="A2272">
            <v>42718</v>
          </cell>
          <cell r="CF2272">
            <v>21.071282228043565</v>
          </cell>
          <cell r="CG2272">
            <v>22.085252262534414</v>
          </cell>
          <cell r="CH2272">
            <v>18.555263085067214</v>
          </cell>
          <cell r="CI2272">
            <v>14.926604548033502</v>
          </cell>
          <cell r="CJ2272">
            <v>22.183921622100925</v>
          </cell>
          <cell r="CU2272">
            <v>13.0118953546567</v>
          </cell>
          <cell r="CV2272">
            <v>13.67289934744978</v>
          </cell>
          <cell r="CW2272">
            <v>11.062153668663059</v>
          </cell>
          <cell r="CX2272">
            <v>8.6510321273089765</v>
          </cell>
          <cell r="CY2272">
            <v>13.473275210017142</v>
          </cell>
        </row>
        <row r="2273">
          <cell r="A2273">
            <v>42719</v>
          </cell>
          <cell r="CF2273">
            <v>21.257410726595893</v>
          </cell>
          <cell r="CG2273">
            <v>22.085252262534414</v>
          </cell>
          <cell r="CH2273">
            <v>18.555263085067214</v>
          </cell>
          <cell r="CI2273">
            <v>14.926604548033502</v>
          </cell>
          <cell r="CJ2273">
            <v>22.183921622100925</v>
          </cell>
          <cell r="CU2273">
            <v>13.0118953546567</v>
          </cell>
          <cell r="CV2273">
            <v>13.67289934744978</v>
          </cell>
          <cell r="CW2273">
            <v>11.062153668663059</v>
          </cell>
          <cell r="CX2273">
            <v>8.6510321273089765</v>
          </cell>
          <cell r="CY2273">
            <v>13.473275210017142</v>
          </cell>
        </row>
        <row r="2274">
          <cell r="A2274">
            <v>42720</v>
          </cell>
          <cell r="CF2274">
            <v>21.198714510834424</v>
          </cell>
          <cell r="CG2274">
            <v>22.085252262534414</v>
          </cell>
          <cell r="CH2274">
            <v>18.555263085067214</v>
          </cell>
          <cell r="CI2274">
            <v>14.926604548033502</v>
          </cell>
          <cell r="CJ2274">
            <v>22.183921622100925</v>
          </cell>
          <cell r="CU2274">
            <v>13.082153479525031</v>
          </cell>
          <cell r="CV2274">
            <v>13.67289934744978</v>
          </cell>
          <cell r="CW2274">
            <v>11.062153668663059</v>
          </cell>
          <cell r="CX2274">
            <v>8.6510321273089765</v>
          </cell>
          <cell r="CY2274">
            <v>13.473275210017142</v>
          </cell>
        </row>
        <row r="2275">
          <cell r="A2275">
            <v>42723</v>
          </cell>
          <cell r="CF2275">
            <v>20.960201398817361</v>
          </cell>
          <cell r="CG2275">
            <v>22.085252262534414</v>
          </cell>
          <cell r="CH2275">
            <v>18.555263085067214</v>
          </cell>
          <cell r="CI2275">
            <v>14.926604548033502</v>
          </cell>
          <cell r="CJ2275">
            <v>22.183921622100925</v>
          </cell>
          <cell r="CU2275">
            <v>12.951547663527734</v>
          </cell>
          <cell r="CV2275">
            <v>13.67289934744978</v>
          </cell>
          <cell r="CW2275">
            <v>11.062153668663059</v>
          </cell>
          <cell r="CX2275">
            <v>8.6510321273089765</v>
          </cell>
          <cell r="CY2275">
            <v>13.473275210017142</v>
          </cell>
        </row>
        <row r="2276">
          <cell r="A2276">
            <v>42724</v>
          </cell>
          <cell r="CF2276">
            <v>20.969522824438005</v>
          </cell>
          <cell r="CG2276">
            <v>22.085252262534414</v>
          </cell>
          <cell r="CH2276">
            <v>18.555263085067214</v>
          </cell>
          <cell r="CI2276">
            <v>14.926604548033502</v>
          </cell>
          <cell r="CJ2276">
            <v>22.183921622100925</v>
          </cell>
          <cell r="CU2276">
            <v>12.959281606850633</v>
          </cell>
          <cell r="CV2276">
            <v>13.67289934744978</v>
          </cell>
          <cell r="CW2276">
            <v>11.062153668663059</v>
          </cell>
          <cell r="CX2276">
            <v>8.6510321273089765</v>
          </cell>
          <cell r="CY2276">
            <v>13.473275210017142</v>
          </cell>
        </row>
        <row r="2277">
          <cell r="A2277">
            <v>42725</v>
          </cell>
          <cell r="CF2277">
            <v>21.106054337332779</v>
          </cell>
          <cell r="CG2277">
            <v>22.085252262534414</v>
          </cell>
          <cell r="CH2277">
            <v>18.555263085067214</v>
          </cell>
          <cell r="CI2277">
            <v>14.926604548033502</v>
          </cell>
          <cell r="CJ2277">
            <v>22.183921622100925</v>
          </cell>
          <cell r="CU2277">
            <v>13.034056504652481</v>
          </cell>
          <cell r="CV2277">
            <v>13.67289934744978</v>
          </cell>
          <cell r="CW2277">
            <v>11.062153668663059</v>
          </cell>
          <cell r="CX2277">
            <v>8.6510321273089765</v>
          </cell>
          <cell r="CY2277">
            <v>13.473275210017142</v>
          </cell>
        </row>
        <row r="2278">
          <cell r="A2278">
            <v>42726</v>
          </cell>
          <cell r="CF2278">
            <v>21.015033788442974</v>
          </cell>
          <cell r="CG2278">
            <v>22.085252262534414</v>
          </cell>
          <cell r="CH2278">
            <v>18.555263085067214</v>
          </cell>
          <cell r="CI2278">
            <v>14.926604548033502</v>
          </cell>
          <cell r="CJ2278">
            <v>22.183921622100925</v>
          </cell>
          <cell r="CU2278">
            <v>13.034056504652481</v>
          </cell>
          <cell r="CV2278">
            <v>13.67289934744978</v>
          </cell>
          <cell r="CW2278">
            <v>11.062153668663059</v>
          </cell>
          <cell r="CX2278">
            <v>8.6510321273089765</v>
          </cell>
          <cell r="CY2278">
            <v>13.473275210017142</v>
          </cell>
        </row>
        <row r="2279">
          <cell r="A2279">
            <v>42727</v>
          </cell>
          <cell r="CF2279">
            <v>21.071576334298715</v>
          </cell>
          <cell r="CG2279">
            <v>22.085252262534414</v>
          </cell>
          <cell r="CH2279">
            <v>18.555263085067214</v>
          </cell>
          <cell r="CI2279">
            <v>14.926604548033502</v>
          </cell>
          <cell r="CJ2279">
            <v>22.183921622100925</v>
          </cell>
          <cell r="CU2279">
            <v>13.015173763967766</v>
          </cell>
          <cell r="CV2279">
            <v>13.67289934744978</v>
          </cell>
          <cell r="CW2279">
            <v>11.062153668663059</v>
          </cell>
          <cell r="CX2279">
            <v>8.6510321273089765</v>
          </cell>
          <cell r="CY2279">
            <v>13.473275210017142</v>
          </cell>
        </row>
        <row r="2280">
          <cell r="A2280">
            <v>42730</v>
          </cell>
          <cell r="CF2280">
            <v>21.071576334298715</v>
          </cell>
          <cell r="CG2280">
            <v>22.085252262534414</v>
          </cell>
          <cell r="CH2280">
            <v>18.555263085067214</v>
          </cell>
          <cell r="CI2280">
            <v>14.926604548033502</v>
          </cell>
          <cell r="CJ2280">
            <v>22.183921622100925</v>
          </cell>
          <cell r="CU2280">
            <v>13.015173763967766</v>
          </cell>
          <cell r="CV2280">
            <v>13.67289934744978</v>
          </cell>
          <cell r="CW2280">
            <v>11.062153668663059</v>
          </cell>
          <cell r="CX2280">
            <v>8.6510321273089765</v>
          </cell>
          <cell r="CY2280">
            <v>13.473275210017142</v>
          </cell>
        </row>
        <row r="2281">
          <cell r="A2281">
            <v>42731</v>
          </cell>
          <cell r="CF2281">
            <v>21.129500758516066</v>
          </cell>
          <cell r="CG2281">
            <v>22.085252262534414</v>
          </cell>
          <cell r="CH2281">
            <v>18.555263085067214</v>
          </cell>
          <cell r="CI2281">
            <v>14.926604548033502</v>
          </cell>
          <cell r="CJ2281">
            <v>22.183921622100925</v>
          </cell>
          <cell r="CU2281">
            <v>13.046897523627717</v>
          </cell>
          <cell r="CV2281">
            <v>13.67289934744978</v>
          </cell>
          <cell r="CW2281">
            <v>11.062153668663059</v>
          </cell>
          <cell r="CX2281">
            <v>8.6510321273089765</v>
          </cell>
          <cell r="CY2281">
            <v>13.473275210017142</v>
          </cell>
        </row>
        <row r="2282">
          <cell r="A2282">
            <v>42732</v>
          </cell>
          <cell r="CF2282">
            <v>20.997103847745137</v>
          </cell>
          <cell r="CG2282">
            <v>22.085252262534414</v>
          </cell>
          <cell r="CH2282">
            <v>18.555263085067214</v>
          </cell>
          <cell r="CI2282">
            <v>14.926604548033502</v>
          </cell>
          <cell r="CJ2282">
            <v>22.183921622100925</v>
          </cell>
          <cell r="CU2282">
            <v>12.974387044088779</v>
          </cell>
          <cell r="CV2282">
            <v>13.67289934744978</v>
          </cell>
          <cell r="CW2282">
            <v>11.062153668663059</v>
          </cell>
          <cell r="CX2282">
            <v>8.6510321273089765</v>
          </cell>
          <cell r="CY2282">
            <v>13.473275210017142</v>
          </cell>
        </row>
        <row r="2283">
          <cell r="A2283">
            <v>42733</v>
          </cell>
          <cell r="CF2283">
            <v>21.11708729830368</v>
          </cell>
          <cell r="CG2283">
            <v>22.085252262534414</v>
          </cell>
          <cell r="CH2283">
            <v>18.555263085067214</v>
          </cell>
          <cell r="CI2283">
            <v>14.926604548033502</v>
          </cell>
          <cell r="CJ2283">
            <v>22.183921622100925</v>
          </cell>
          <cell r="CU2283">
            <v>13.040098981671592</v>
          </cell>
          <cell r="CV2283">
            <v>13.67289934744978</v>
          </cell>
          <cell r="CW2283">
            <v>11.062153668663059</v>
          </cell>
          <cell r="CX2283">
            <v>8.6510321273089765</v>
          </cell>
          <cell r="CY2283">
            <v>13.473275210017142</v>
          </cell>
        </row>
        <row r="2284">
          <cell r="A2284">
            <v>42734</v>
          </cell>
          <cell r="CF2284">
            <v>20.922632740311681</v>
          </cell>
          <cell r="CG2284">
            <v>22.085252262534414</v>
          </cell>
          <cell r="CH2284">
            <v>18.555263085067214</v>
          </cell>
          <cell r="CI2284">
            <v>14.926604548033502</v>
          </cell>
          <cell r="CJ2284">
            <v>22.183921622100925</v>
          </cell>
          <cell r="CU2284">
            <v>13.040098981671592</v>
          </cell>
          <cell r="CV2284">
            <v>13.67289934744978</v>
          </cell>
          <cell r="CW2284">
            <v>11.062153668663059</v>
          </cell>
          <cell r="CX2284">
            <v>8.6510321273089765</v>
          </cell>
          <cell r="CY2284">
            <v>13.473275210017142</v>
          </cell>
        </row>
        <row r="2285">
          <cell r="A2285">
            <v>42737</v>
          </cell>
          <cell r="CF2285">
            <v>20.743207287128243</v>
          </cell>
          <cell r="CG2285">
            <v>22.085252262534414</v>
          </cell>
          <cell r="CH2285">
            <v>18.555263085067214</v>
          </cell>
          <cell r="CI2285">
            <v>14.926604548033502</v>
          </cell>
          <cell r="CJ2285">
            <v>22.183921622100925</v>
          </cell>
          <cell r="CU2285">
            <v>12.84484440056355</v>
          </cell>
          <cell r="CV2285">
            <v>13.67289934744978</v>
          </cell>
          <cell r="CW2285">
            <v>11.062153668663059</v>
          </cell>
          <cell r="CX2285">
            <v>8.6510321273089765</v>
          </cell>
          <cell r="CY2285">
            <v>13.473275210017142</v>
          </cell>
        </row>
        <row r="2286">
          <cell r="A2286">
            <v>42738</v>
          </cell>
          <cell r="CF2286">
            <v>21.320203672004943</v>
          </cell>
          <cell r="CG2286">
            <v>22.085252262534414</v>
          </cell>
          <cell r="CH2286">
            <v>18.555263085067214</v>
          </cell>
          <cell r="CI2286">
            <v>14.926604548033502</v>
          </cell>
          <cell r="CJ2286">
            <v>22.183921622100925</v>
          </cell>
          <cell r="CU2286">
            <v>13.189884055487674</v>
          </cell>
          <cell r="CV2286">
            <v>13.67289934744978</v>
          </cell>
          <cell r="CW2286">
            <v>11.062153668663059</v>
          </cell>
          <cell r="CX2286">
            <v>8.6510321273089765</v>
          </cell>
          <cell r="CY2286">
            <v>13.473275210017142</v>
          </cell>
        </row>
        <row r="2287">
          <cell r="A2287">
            <v>42739</v>
          </cell>
          <cell r="CF2287">
            <v>21.405872337101478</v>
          </cell>
          <cell r="CG2287">
            <v>22.085252262534414</v>
          </cell>
          <cell r="CH2287">
            <v>18.555263085067214</v>
          </cell>
          <cell r="CI2287">
            <v>14.926604548033502</v>
          </cell>
          <cell r="CJ2287">
            <v>22.183921622100925</v>
          </cell>
          <cell r="CU2287">
            <v>13.248063191000643</v>
          </cell>
          <cell r="CV2287">
            <v>13.67289934744978</v>
          </cell>
          <cell r="CW2287">
            <v>11.062153668663059</v>
          </cell>
          <cell r="CX2287">
            <v>8.6510321273089765</v>
          </cell>
          <cell r="CY2287">
            <v>13.473275210017142</v>
          </cell>
        </row>
        <row r="2288">
          <cell r="A2288">
            <v>42740</v>
          </cell>
          <cell r="CF2288">
            <v>21.286399179769784</v>
          </cell>
          <cell r="CG2288">
            <v>22.085252262534414</v>
          </cell>
          <cell r="CH2288">
            <v>18.555263085067214</v>
          </cell>
          <cell r="CI2288">
            <v>14.926604548033502</v>
          </cell>
          <cell r="CJ2288">
            <v>22.183921622100925</v>
          </cell>
          <cell r="CU2288">
            <v>13.248063191000643</v>
          </cell>
          <cell r="CV2288">
            <v>13.67289934744978</v>
          </cell>
          <cell r="CW2288">
            <v>11.062153668663059</v>
          </cell>
          <cell r="CX2288">
            <v>8.6510321273089765</v>
          </cell>
          <cell r="CY2288">
            <v>13.473275210017142</v>
          </cell>
        </row>
        <row r="2289">
          <cell r="A2289">
            <v>42741</v>
          </cell>
          <cell r="CF2289">
            <v>21.351841239715959</v>
          </cell>
          <cell r="CG2289">
            <v>22.085252262534414</v>
          </cell>
          <cell r="CH2289">
            <v>18.555263085067214</v>
          </cell>
          <cell r="CI2289">
            <v>14.926604548033502</v>
          </cell>
          <cell r="CJ2289">
            <v>22.183921622100925</v>
          </cell>
          <cell r="CU2289">
            <v>13.220223378582082</v>
          </cell>
          <cell r="CV2289">
            <v>13.67289934744978</v>
          </cell>
          <cell r="CW2289">
            <v>11.062153668663059</v>
          </cell>
          <cell r="CX2289">
            <v>8.6510321273089765</v>
          </cell>
          <cell r="CY2289">
            <v>13.473275210017142</v>
          </cell>
        </row>
        <row r="2290">
          <cell r="A2290">
            <v>42744</v>
          </cell>
          <cell r="CF2290">
            <v>21.498124183284251</v>
          </cell>
          <cell r="CG2290">
            <v>22.085252262534414</v>
          </cell>
          <cell r="CH2290">
            <v>18.555263085067214</v>
          </cell>
          <cell r="CI2290">
            <v>14.926604548033502</v>
          </cell>
          <cell r="CJ2290">
            <v>22.183921622100925</v>
          </cell>
          <cell r="CU2290">
            <v>13.300730930507335</v>
          </cell>
          <cell r="CV2290">
            <v>13.67289934744978</v>
          </cell>
          <cell r="CW2290">
            <v>11.062153668663059</v>
          </cell>
          <cell r="CX2290">
            <v>8.6510321273089765</v>
          </cell>
          <cell r="CY2290">
            <v>13.473275210017142</v>
          </cell>
        </row>
        <row r="2291">
          <cell r="A2291">
            <v>42745</v>
          </cell>
          <cell r="CF2291">
            <v>21.613824973000316</v>
          </cell>
          <cell r="CG2291">
            <v>22.085252262534414</v>
          </cell>
          <cell r="CH2291">
            <v>18.555263085067214</v>
          </cell>
          <cell r="CI2291">
            <v>14.926604548033502</v>
          </cell>
          <cell r="CJ2291">
            <v>22.183921622100925</v>
          </cell>
          <cell r="CU2291">
            <v>13.363933120803798</v>
          </cell>
          <cell r="CV2291">
            <v>13.67289934744978</v>
          </cell>
          <cell r="CW2291">
            <v>11.062153668663059</v>
          </cell>
          <cell r="CX2291">
            <v>8.6510321273089765</v>
          </cell>
          <cell r="CY2291">
            <v>13.473275210017142</v>
          </cell>
        </row>
        <row r="2292">
          <cell r="A2292">
            <v>42746</v>
          </cell>
          <cell r="CF2292">
            <v>21.573033707867378</v>
          </cell>
          <cell r="CG2292">
            <v>22.085252262534414</v>
          </cell>
          <cell r="CH2292">
            <v>18.555263085067214</v>
          </cell>
          <cell r="CI2292">
            <v>14.926604548033502</v>
          </cell>
          <cell r="CJ2292">
            <v>22.183921622100925</v>
          </cell>
          <cell r="CU2292">
            <v>13.339103688901616</v>
          </cell>
          <cell r="CV2292">
            <v>13.67289934744978</v>
          </cell>
          <cell r="CW2292">
            <v>11.062153668663059</v>
          </cell>
          <cell r="CX2292">
            <v>8.6510321273089765</v>
          </cell>
          <cell r="CY2292">
            <v>13.473275210017142</v>
          </cell>
        </row>
        <row r="2293">
          <cell r="A2293">
            <v>42747</v>
          </cell>
          <cell r="CF2293">
            <v>21.486885156234397</v>
          </cell>
          <cell r="CG2293">
            <v>22.085252262534414</v>
          </cell>
          <cell r="CH2293">
            <v>18.555263085067214</v>
          </cell>
          <cell r="CI2293">
            <v>14.926604548033502</v>
          </cell>
          <cell r="CJ2293">
            <v>22.183921622100925</v>
          </cell>
          <cell r="CU2293">
            <v>13.339103688901616</v>
          </cell>
          <cell r="CV2293">
            <v>13.67289934744978</v>
          </cell>
          <cell r="CW2293">
            <v>11.062153668663059</v>
          </cell>
          <cell r="CX2293">
            <v>8.6510321273089765</v>
          </cell>
          <cell r="CY2293">
            <v>13.473275210017142</v>
          </cell>
        </row>
        <row r="2294">
          <cell r="A2294">
            <v>42748</v>
          </cell>
          <cell r="CF2294">
            <v>21.749437290610061</v>
          </cell>
          <cell r="CG2294">
            <v>22.085252262534414</v>
          </cell>
          <cell r="CH2294">
            <v>18.555263085067214</v>
          </cell>
          <cell r="CI2294">
            <v>14.926604548033502</v>
          </cell>
          <cell r="CJ2294">
            <v>22.183921622100925</v>
          </cell>
          <cell r="CU2294">
            <v>13.291702798586297</v>
          </cell>
          <cell r="CV2294">
            <v>13.67289934744978</v>
          </cell>
          <cell r="CW2294">
            <v>11.062153668663059</v>
          </cell>
          <cell r="CX2294">
            <v>8.6510321273089765</v>
          </cell>
          <cell r="CY2294">
            <v>13.473275210017142</v>
          </cell>
        </row>
        <row r="2295">
          <cell r="A2295">
            <v>42751</v>
          </cell>
          <cell r="CF2295">
            <v>21.749437290610061</v>
          </cell>
          <cell r="CG2295">
            <v>22.085252262534414</v>
          </cell>
          <cell r="CH2295">
            <v>18.555263085067214</v>
          </cell>
          <cell r="CI2295">
            <v>14.926604548033502</v>
          </cell>
          <cell r="CJ2295">
            <v>22.183921622100925</v>
          </cell>
          <cell r="CU2295">
            <v>13.436164947835348</v>
          </cell>
          <cell r="CV2295">
            <v>13.67289934744978</v>
          </cell>
          <cell r="CW2295">
            <v>11.062153668663059</v>
          </cell>
          <cell r="CX2295">
            <v>8.6510321273089765</v>
          </cell>
          <cell r="CY2295">
            <v>13.473275210017142</v>
          </cell>
        </row>
        <row r="2296">
          <cell r="A2296">
            <v>42752</v>
          </cell>
          <cell r="CF2296">
            <v>21.712514529254452</v>
          </cell>
          <cell r="CG2296">
            <v>22.085252262534414</v>
          </cell>
          <cell r="CH2296">
            <v>18.555263085067214</v>
          </cell>
          <cell r="CI2296">
            <v>14.926604548033502</v>
          </cell>
          <cell r="CJ2296">
            <v>22.183921622100925</v>
          </cell>
          <cell r="CU2296">
            <v>13.415849205690176</v>
          </cell>
          <cell r="CV2296">
            <v>13.67289934744978</v>
          </cell>
          <cell r="CW2296">
            <v>11.062153668663059</v>
          </cell>
          <cell r="CX2296">
            <v>8.6510321273089765</v>
          </cell>
          <cell r="CY2296">
            <v>13.473275210017142</v>
          </cell>
        </row>
        <row r="2297">
          <cell r="A2297">
            <v>42753</v>
          </cell>
          <cell r="CF2297">
            <v>21.836954668735288</v>
          </cell>
          <cell r="CG2297">
            <v>22.085252262534414</v>
          </cell>
          <cell r="CH2297">
            <v>18.555263085067214</v>
          </cell>
          <cell r="CI2297">
            <v>14.926604548033502</v>
          </cell>
          <cell r="CJ2297">
            <v>22.183921622100925</v>
          </cell>
          <cell r="CU2297">
            <v>13.484318997585037</v>
          </cell>
          <cell r="CV2297">
            <v>13.67289934744978</v>
          </cell>
          <cell r="CW2297">
            <v>11.062153668663059</v>
          </cell>
          <cell r="CX2297">
            <v>8.6510321273089765</v>
          </cell>
          <cell r="CY2297">
            <v>13.473275210017142</v>
          </cell>
        </row>
        <row r="2298">
          <cell r="A2298">
            <v>42754</v>
          </cell>
          <cell r="CF2298">
            <v>21.568931330767757</v>
          </cell>
          <cell r="CG2298">
            <v>22.085252262534414</v>
          </cell>
          <cell r="CH2298">
            <v>18.555263085067214</v>
          </cell>
          <cell r="CI2298">
            <v>14.926604548033502</v>
          </cell>
          <cell r="CJ2298">
            <v>22.183921622100925</v>
          </cell>
          <cell r="CU2298">
            <v>13.484318997585037</v>
          </cell>
          <cell r="CV2298">
            <v>13.67289934744978</v>
          </cell>
          <cell r="CW2298">
            <v>11.062153668663059</v>
          </cell>
          <cell r="CX2298">
            <v>8.6510321273089765</v>
          </cell>
          <cell r="CY2298">
            <v>13.473275210017142</v>
          </cell>
        </row>
        <row r="2299">
          <cell r="A2299">
            <v>42755</v>
          </cell>
          <cell r="CF2299">
            <v>21.456508063856621</v>
          </cell>
          <cell r="CG2299">
            <v>22.085252262534414</v>
          </cell>
          <cell r="CH2299">
            <v>18.555263085067214</v>
          </cell>
          <cell r="CI2299">
            <v>14.926604548033502</v>
          </cell>
          <cell r="CJ2299">
            <v>22.183921622100925</v>
          </cell>
          <cell r="CU2299">
            <v>13.274374969640773</v>
          </cell>
          <cell r="CV2299">
            <v>13.67289934744978</v>
          </cell>
          <cell r="CW2299">
            <v>11.062153668663059</v>
          </cell>
          <cell r="CX2299">
            <v>8.6510321273089765</v>
          </cell>
          <cell r="CY2299">
            <v>13.473275210017142</v>
          </cell>
        </row>
        <row r="2300">
          <cell r="A2300">
            <v>42758</v>
          </cell>
          <cell r="CF2300">
            <v>21.248804541104626</v>
          </cell>
          <cell r="CG2300">
            <v>22.085252262534414</v>
          </cell>
          <cell r="CH2300">
            <v>18.555263085067214</v>
          </cell>
          <cell r="CI2300">
            <v>14.926604548033502</v>
          </cell>
          <cell r="CJ2300">
            <v>22.183921622100925</v>
          </cell>
          <cell r="CU2300">
            <v>13.160450038362979</v>
          </cell>
          <cell r="CV2300">
            <v>13.67289934744978</v>
          </cell>
          <cell r="CW2300">
            <v>11.062153668663059</v>
          </cell>
          <cell r="CX2300">
            <v>8.6510321273089765</v>
          </cell>
          <cell r="CY2300">
            <v>13.473275210017142</v>
          </cell>
        </row>
        <row r="2301">
          <cell r="A2301">
            <v>42759</v>
          </cell>
          <cell r="CF2301">
            <v>21.463548078240471</v>
          </cell>
          <cell r="CG2301">
            <v>22.085252262534414</v>
          </cell>
          <cell r="CH2301">
            <v>18.555263085067214</v>
          </cell>
          <cell r="CI2301">
            <v>14.926604548033502</v>
          </cell>
          <cell r="CJ2301">
            <v>22.183921622100925</v>
          </cell>
          <cell r="CU2301">
            <v>13.278601210918069</v>
          </cell>
          <cell r="CV2301">
            <v>13.67289934744978</v>
          </cell>
          <cell r="CW2301">
            <v>11.062153668663059</v>
          </cell>
          <cell r="CX2301">
            <v>8.6510321273089765</v>
          </cell>
          <cell r="CY2301">
            <v>13.473275210017142</v>
          </cell>
        </row>
        <row r="2302">
          <cell r="A2302">
            <v>42760</v>
          </cell>
          <cell r="CF2302">
            <v>21.924497332788459</v>
          </cell>
          <cell r="CG2302">
            <v>22.085252262534414</v>
          </cell>
          <cell r="CH2302">
            <v>18.555263085067214</v>
          </cell>
          <cell r="CI2302">
            <v>14.926604548033502</v>
          </cell>
          <cell r="CJ2302">
            <v>22.183921622100925</v>
          </cell>
          <cell r="CU2302">
            <v>13.532213941897666</v>
          </cell>
          <cell r="CV2302">
            <v>13.67289934744978</v>
          </cell>
          <cell r="CW2302">
            <v>11.062153668663059</v>
          </cell>
          <cell r="CX2302">
            <v>8.6510321273089765</v>
          </cell>
          <cell r="CY2302">
            <v>13.473275210017142</v>
          </cell>
        </row>
        <row r="2303">
          <cell r="A2303">
            <v>42761</v>
          </cell>
          <cell r="CF2303">
            <v>21.778143892766561</v>
          </cell>
          <cell r="CG2303">
            <v>22.085252262534414</v>
          </cell>
          <cell r="CH2303">
            <v>18.555263085067214</v>
          </cell>
          <cell r="CI2303">
            <v>14.926604548033502</v>
          </cell>
          <cell r="CJ2303">
            <v>22.183921622100925</v>
          </cell>
          <cell r="CU2303">
            <v>13.532213941897666</v>
          </cell>
          <cell r="CV2303">
            <v>13.67289934744978</v>
          </cell>
          <cell r="CW2303">
            <v>11.062153668663059</v>
          </cell>
          <cell r="CX2303">
            <v>8.6510321273089765</v>
          </cell>
          <cell r="CY2303">
            <v>13.473275210017142</v>
          </cell>
        </row>
        <row r="2304">
          <cell r="A2304">
            <v>42762</v>
          </cell>
          <cell r="CF2304">
            <v>21.842684331142717</v>
          </cell>
          <cell r="CG2304">
            <v>22.085252262534414</v>
          </cell>
          <cell r="CH2304">
            <v>18.555263085067214</v>
          </cell>
          <cell r="CI2304">
            <v>14.926604548033502</v>
          </cell>
          <cell r="CJ2304">
            <v>22.183921622100925</v>
          </cell>
          <cell r="CU2304">
            <v>13.489774042421327</v>
          </cell>
          <cell r="CV2304">
            <v>13.67289934744978</v>
          </cell>
          <cell r="CW2304">
            <v>11.062153668663059</v>
          </cell>
          <cell r="CX2304">
            <v>8.6510321273089765</v>
          </cell>
          <cell r="CY2304">
            <v>13.473275210017142</v>
          </cell>
        </row>
        <row r="2305">
          <cell r="A2305">
            <v>42765</v>
          </cell>
          <cell r="CF2305">
            <v>21.660720336569732</v>
          </cell>
          <cell r="CG2305">
            <v>22.085252262534414</v>
          </cell>
          <cell r="CH2305">
            <v>18.555263085067214</v>
          </cell>
          <cell r="CI2305">
            <v>14.926604548033502</v>
          </cell>
          <cell r="CJ2305">
            <v>22.183921622100925</v>
          </cell>
          <cell r="CU2305">
            <v>13.389641822829141</v>
          </cell>
          <cell r="CV2305">
            <v>13.67289934744978</v>
          </cell>
          <cell r="CW2305">
            <v>11.062153668663059</v>
          </cell>
          <cell r="CX2305">
            <v>8.6510321273089765</v>
          </cell>
          <cell r="CY2305">
            <v>13.473275210017142</v>
          </cell>
        </row>
        <row r="2306">
          <cell r="A2306">
            <v>42766</v>
          </cell>
          <cell r="CF2306">
            <v>21.871417072366537</v>
          </cell>
          <cell r="CG2306">
            <v>22.085252262534414</v>
          </cell>
          <cell r="CH2306">
            <v>18.555263085067214</v>
          </cell>
          <cell r="CI2306">
            <v>14.926604548033502</v>
          </cell>
          <cell r="CJ2306">
            <v>22.183921622100925</v>
          </cell>
          <cell r="CU2306">
            <v>13.505585264638453</v>
          </cell>
          <cell r="CV2306">
            <v>13.67289934744978</v>
          </cell>
          <cell r="CW2306">
            <v>11.062153668663059</v>
          </cell>
          <cell r="CX2306">
            <v>8.6510321273089765</v>
          </cell>
          <cell r="CY2306">
            <v>13.473275210017142</v>
          </cell>
        </row>
        <row r="2307">
          <cell r="A2307">
            <v>42767</v>
          </cell>
          <cell r="CF2307">
            <v>21.687206005383604</v>
          </cell>
          <cell r="CG2307">
            <v>22.085252262534414</v>
          </cell>
          <cell r="CH2307">
            <v>18.555263085067214</v>
          </cell>
          <cell r="CI2307">
            <v>14.926604548033502</v>
          </cell>
          <cell r="CJ2307">
            <v>22.183921622100925</v>
          </cell>
          <cell r="CU2307">
            <v>13.418907731836821</v>
          </cell>
          <cell r="CV2307">
            <v>13.67289934744978</v>
          </cell>
          <cell r="CW2307">
            <v>11.062153668663059</v>
          </cell>
          <cell r="CX2307">
            <v>8.6510321273089765</v>
          </cell>
          <cell r="CY2307">
            <v>13.473275210017142</v>
          </cell>
        </row>
        <row r="2308">
          <cell r="A2308">
            <v>42768</v>
          </cell>
          <cell r="CF2308">
            <v>21.871708684742391</v>
          </cell>
          <cell r="CG2308">
            <v>22.085252262534414</v>
          </cell>
          <cell r="CH2308">
            <v>18.555263085067214</v>
          </cell>
          <cell r="CI2308">
            <v>14.926604548033502</v>
          </cell>
          <cell r="CJ2308">
            <v>22.183921622100925</v>
          </cell>
          <cell r="CU2308">
            <v>13.418907731836821</v>
          </cell>
          <cell r="CV2308">
            <v>13.67289934744978</v>
          </cell>
          <cell r="CW2308">
            <v>11.062153668663059</v>
          </cell>
          <cell r="CX2308">
            <v>8.6510321273089765</v>
          </cell>
          <cell r="CY2308">
            <v>13.473275210017142</v>
          </cell>
        </row>
        <row r="2309">
          <cell r="A2309">
            <v>42769</v>
          </cell>
          <cell r="CF2309">
            <v>22.067064462886982</v>
          </cell>
          <cell r="CG2309">
            <v>22.085252262534414</v>
          </cell>
          <cell r="CH2309">
            <v>18.555263085067214</v>
          </cell>
          <cell r="CI2309">
            <v>14.926604548033502</v>
          </cell>
          <cell r="CJ2309">
            <v>22.183921622100925</v>
          </cell>
          <cell r="CU2309">
            <v>13.628361055610197</v>
          </cell>
          <cell r="CV2309">
            <v>13.67289934744978</v>
          </cell>
          <cell r="CW2309">
            <v>11.062153668663059</v>
          </cell>
          <cell r="CX2309">
            <v>8.6510321273089765</v>
          </cell>
          <cell r="CY2309">
            <v>13.473275210017142</v>
          </cell>
        </row>
        <row r="2310">
          <cell r="A2310">
            <v>42772</v>
          </cell>
          <cell r="CF2310">
            <v>22.057566644812049</v>
          </cell>
          <cell r="CG2310">
            <v>22.085252262534414</v>
          </cell>
          <cell r="CH2310">
            <v>18.555263085067214</v>
          </cell>
          <cell r="CI2310">
            <v>14.926604548033502</v>
          </cell>
          <cell r="CJ2310">
            <v>22.183921622100925</v>
          </cell>
          <cell r="CU2310">
            <v>13.62312397446828</v>
          </cell>
          <cell r="CV2310">
            <v>13.67289934744978</v>
          </cell>
          <cell r="CW2310">
            <v>11.062153668663059</v>
          </cell>
          <cell r="CX2310">
            <v>8.6510321273089765</v>
          </cell>
          <cell r="CY2310">
            <v>13.473275210017142</v>
          </cell>
        </row>
        <row r="2311">
          <cell r="A2311">
            <v>42773</v>
          </cell>
          <cell r="CF2311">
            <v>22.246139236215509</v>
          </cell>
          <cell r="CG2311">
            <v>22.085252262534414</v>
          </cell>
          <cell r="CH2311">
            <v>18.555263085067214</v>
          </cell>
          <cell r="CI2311">
            <v>14.926604548033502</v>
          </cell>
          <cell r="CJ2311">
            <v>22.183921622100925</v>
          </cell>
          <cell r="CU2311">
            <v>13.727102588770061</v>
          </cell>
          <cell r="CV2311">
            <v>13.67289934744978</v>
          </cell>
          <cell r="CW2311">
            <v>11.062153668663059</v>
          </cell>
          <cell r="CX2311">
            <v>8.6510321273089765</v>
          </cell>
          <cell r="CY2311">
            <v>13.473275210017142</v>
          </cell>
        </row>
        <row r="2312">
          <cell r="A2312">
            <v>42774</v>
          </cell>
          <cell r="CF2312">
            <v>22.195945010968483</v>
          </cell>
          <cell r="CG2312">
            <v>22.085252262534414</v>
          </cell>
          <cell r="CH2312">
            <v>18.555263085067214</v>
          </cell>
          <cell r="CI2312">
            <v>14.926604548033502</v>
          </cell>
          <cell r="CJ2312">
            <v>22.183921622100925</v>
          </cell>
          <cell r="CU2312">
            <v>13.699425576176164</v>
          </cell>
          <cell r="CV2312">
            <v>13.67289934744978</v>
          </cell>
          <cell r="CW2312">
            <v>11.062153668663059</v>
          </cell>
          <cell r="CX2312">
            <v>8.6510321273089765</v>
          </cell>
          <cell r="CY2312">
            <v>13.473275210017142</v>
          </cell>
        </row>
        <row r="2313">
          <cell r="A2313">
            <v>42775</v>
          </cell>
          <cell r="CF2313">
            <v>22.364168042148549</v>
          </cell>
          <cell r="CG2313">
            <v>22.085252262534414</v>
          </cell>
          <cell r="CH2313">
            <v>18.555263085067214</v>
          </cell>
          <cell r="CI2313">
            <v>14.926604548033502</v>
          </cell>
          <cell r="CJ2313">
            <v>22.183921622100925</v>
          </cell>
          <cell r="CU2313">
            <v>13.699425576176164</v>
          </cell>
          <cell r="CV2313">
            <v>13.67289934744978</v>
          </cell>
          <cell r="CW2313">
            <v>11.062153668663059</v>
          </cell>
          <cell r="CX2313">
            <v>8.6510321273089765</v>
          </cell>
          <cell r="CY2313">
            <v>13.473275210017142</v>
          </cell>
        </row>
        <row r="2314">
          <cell r="A2314">
            <v>42776</v>
          </cell>
          <cell r="CF2314">
            <v>22.394014063809529</v>
          </cell>
          <cell r="CG2314">
            <v>22.085252262534414</v>
          </cell>
          <cell r="CH2314">
            <v>18.555263085067214</v>
          </cell>
          <cell r="CI2314">
            <v>14.926604548033502</v>
          </cell>
          <cell r="CJ2314">
            <v>22.183921622100925</v>
          </cell>
          <cell r="CU2314">
            <v>13.808640523572283</v>
          </cell>
          <cell r="CV2314">
            <v>13.67289934744978</v>
          </cell>
          <cell r="CW2314">
            <v>11.062153668663059</v>
          </cell>
          <cell r="CX2314">
            <v>8.6510321273089765</v>
          </cell>
          <cell r="CY2314">
            <v>13.473275210017142</v>
          </cell>
        </row>
        <row r="2315">
          <cell r="A2315">
            <v>42779</v>
          </cell>
          <cell r="CF2315">
            <v>22.399440613202433</v>
          </cell>
          <cell r="CG2315">
            <v>22.085252262534414</v>
          </cell>
          <cell r="CH2315">
            <v>18.555263085067214</v>
          </cell>
          <cell r="CI2315">
            <v>14.926604548033502</v>
          </cell>
          <cell r="CJ2315">
            <v>22.183921622100925</v>
          </cell>
          <cell r="CU2315">
            <v>13.811632713911902</v>
          </cell>
          <cell r="CV2315">
            <v>13.67289934744978</v>
          </cell>
          <cell r="CW2315">
            <v>11.062153668663059</v>
          </cell>
          <cell r="CX2315">
            <v>8.6510321273089765</v>
          </cell>
          <cell r="CY2315">
            <v>13.473275210017142</v>
          </cell>
        </row>
        <row r="2316">
          <cell r="A2316">
            <v>42780</v>
          </cell>
          <cell r="CF2316">
            <v>22.608361408191943</v>
          </cell>
          <cell r="CG2316">
            <v>22.085252262534414</v>
          </cell>
          <cell r="CH2316">
            <v>18.555263085067214</v>
          </cell>
          <cell r="CI2316">
            <v>14.926604548033502</v>
          </cell>
          <cell r="CJ2316">
            <v>22.183921622100925</v>
          </cell>
          <cell r="CU2316">
            <v>13.926831293939674</v>
          </cell>
          <cell r="CV2316">
            <v>13.67289934744978</v>
          </cell>
          <cell r="CW2316">
            <v>11.062153668663059</v>
          </cell>
          <cell r="CX2316">
            <v>8.6510321273089765</v>
          </cell>
          <cell r="CY2316">
            <v>13.473275210017142</v>
          </cell>
        </row>
        <row r="2317">
          <cell r="A2317">
            <v>42781</v>
          </cell>
          <cell r="CF2317">
            <v>22.777941076720236</v>
          </cell>
          <cell r="CG2317">
            <v>22.085252262534414</v>
          </cell>
          <cell r="CH2317">
            <v>18.555263085067214</v>
          </cell>
          <cell r="CI2317">
            <v>14.926604548033502</v>
          </cell>
          <cell r="CJ2317">
            <v>22.183921622100925</v>
          </cell>
          <cell r="CU2317">
            <v>14.02033724205279</v>
          </cell>
          <cell r="CV2317">
            <v>13.67289934744978</v>
          </cell>
          <cell r="CW2317">
            <v>11.062153668663059</v>
          </cell>
          <cell r="CX2317">
            <v>8.6510321273089765</v>
          </cell>
          <cell r="CY2317">
            <v>13.473275210017142</v>
          </cell>
        </row>
        <row r="2318">
          <cell r="A2318">
            <v>42782</v>
          </cell>
          <cell r="CF2318">
            <v>22.689759649085524</v>
          </cell>
          <cell r="CG2318">
            <v>22.085252262534414</v>
          </cell>
          <cell r="CH2318">
            <v>18.555263085067214</v>
          </cell>
          <cell r="CI2318">
            <v>14.926604548033502</v>
          </cell>
          <cell r="CJ2318">
            <v>22.183921622100925</v>
          </cell>
          <cell r="CU2318">
            <v>14.02033724205279</v>
          </cell>
          <cell r="CV2318">
            <v>13.67289934744978</v>
          </cell>
          <cell r="CW2318">
            <v>11.062153668663059</v>
          </cell>
          <cell r="CX2318">
            <v>8.6510321273089765</v>
          </cell>
          <cell r="CY2318">
            <v>13.473275210017142</v>
          </cell>
        </row>
        <row r="2319">
          <cell r="A2319">
            <v>42783</v>
          </cell>
          <cell r="CF2319">
            <v>22.805993508617441</v>
          </cell>
          <cell r="CG2319">
            <v>22.085252262534414</v>
          </cell>
          <cell r="CH2319">
            <v>18.555263085067214</v>
          </cell>
          <cell r="CI2319">
            <v>14.926604548033502</v>
          </cell>
          <cell r="CJ2319">
            <v>22.183921622100925</v>
          </cell>
          <cell r="CU2319">
            <v>14.036070904321855</v>
          </cell>
          <cell r="CV2319">
            <v>13.67289934744978</v>
          </cell>
          <cell r="CW2319">
            <v>11.062153668663059</v>
          </cell>
          <cell r="CX2319">
            <v>8.6510321273089765</v>
          </cell>
          <cell r="CY2319">
            <v>13.473275210017142</v>
          </cell>
        </row>
        <row r="2320">
          <cell r="A2320">
            <v>42786</v>
          </cell>
          <cell r="CF2320">
            <v>22.805993508617441</v>
          </cell>
          <cell r="CG2320">
            <v>22.085252262534414</v>
          </cell>
          <cell r="CH2320">
            <v>18.555263085067214</v>
          </cell>
          <cell r="CI2320">
            <v>14.926604548033502</v>
          </cell>
          <cell r="CJ2320">
            <v>22.183921622100925</v>
          </cell>
          <cell r="CU2320">
            <v>14.036070904321855</v>
          </cell>
          <cell r="CV2320">
            <v>13.67289934744978</v>
          </cell>
          <cell r="CW2320">
            <v>11.062153668663059</v>
          </cell>
          <cell r="CX2320">
            <v>8.6510321273089765</v>
          </cell>
          <cell r="CY2320">
            <v>13.473275210017142</v>
          </cell>
        </row>
        <row r="2321">
          <cell r="A2321">
            <v>42787</v>
          </cell>
          <cell r="CF2321">
            <v>23.467670066345672</v>
          </cell>
          <cell r="CG2321">
            <v>22.085252262534414</v>
          </cell>
          <cell r="CH2321">
            <v>18.555263085067214</v>
          </cell>
          <cell r="CI2321">
            <v>14.926604548033502</v>
          </cell>
          <cell r="CJ2321">
            <v>22.183921622100925</v>
          </cell>
          <cell r="CU2321">
            <v>14.17212328603809</v>
          </cell>
          <cell r="CV2321">
            <v>13.67289934744978</v>
          </cell>
          <cell r="CW2321">
            <v>11.062153668663059</v>
          </cell>
          <cell r="CX2321">
            <v>8.6510321273089765</v>
          </cell>
          <cell r="CY2321">
            <v>13.473275210017142</v>
          </cell>
        </row>
        <row r="2322">
          <cell r="A2322">
            <v>42788</v>
          </cell>
          <cell r="CF2322">
            <v>23.40828455854351</v>
          </cell>
          <cell r="CG2322">
            <v>22.085252262534414</v>
          </cell>
          <cell r="CH2322">
            <v>18.555263085067214</v>
          </cell>
          <cell r="CI2322">
            <v>14.926604548033502</v>
          </cell>
          <cell r="CJ2322">
            <v>22.183921622100925</v>
          </cell>
          <cell r="CU2322">
            <v>14.345409807854558</v>
          </cell>
          <cell r="CV2322">
            <v>13.67289934744978</v>
          </cell>
          <cell r="CW2322">
            <v>11.062153668663059</v>
          </cell>
          <cell r="CX2322">
            <v>8.6510321273089765</v>
          </cell>
          <cell r="CY2322">
            <v>13.473275210017142</v>
          </cell>
        </row>
        <row r="2323">
          <cell r="A2323">
            <v>42789</v>
          </cell>
          <cell r="CF2323">
            <v>23.310659646112143</v>
          </cell>
          <cell r="CG2323">
            <v>22.085252262534414</v>
          </cell>
          <cell r="CH2323">
            <v>18.555263085067214</v>
          </cell>
          <cell r="CI2323">
            <v>14.926604548033502</v>
          </cell>
          <cell r="CJ2323">
            <v>22.183921622100925</v>
          </cell>
          <cell r="CU2323">
            <v>14.374088379886429</v>
          </cell>
          <cell r="CV2323">
            <v>13.67289934744978</v>
          </cell>
          <cell r="CW2323">
            <v>11.062153668663059</v>
          </cell>
          <cell r="CX2323">
            <v>8.6510321273089765</v>
          </cell>
          <cell r="CY2323">
            <v>13.473275210017142</v>
          </cell>
        </row>
        <row r="2324">
          <cell r="A2324">
            <v>42790</v>
          </cell>
          <cell r="CF2324">
            <v>23.530023277364677</v>
          </cell>
          <cell r="CG2324">
            <v>22.085252262534414</v>
          </cell>
          <cell r="CH2324">
            <v>18.555263085067214</v>
          </cell>
          <cell r="CI2324">
            <v>14.926604548033502</v>
          </cell>
          <cell r="CJ2324">
            <v>22.183921622100925</v>
          </cell>
          <cell r="CU2324">
            <v>14.439715776099185</v>
          </cell>
          <cell r="CV2324">
            <v>13.67289934744978</v>
          </cell>
          <cell r="CW2324">
            <v>11.062153668663059</v>
          </cell>
          <cell r="CX2324">
            <v>8.6510321273089765</v>
          </cell>
          <cell r="CY2324">
            <v>13.473275210017142</v>
          </cell>
        </row>
        <row r="2325">
          <cell r="A2325">
            <v>42793</v>
          </cell>
          <cell r="CF2325">
            <v>23.526062495766048</v>
          </cell>
          <cell r="CG2325">
            <v>22.085252262534414</v>
          </cell>
          <cell r="CH2325">
            <v>18.555263085067214</v>
          </cell>
          <cell r="CI2325">
            <v>14.926604548033502</v>
          </cell>
          <cell r="CJ2325">
            <v>22.183921622100925</v>
          </cell>
          <cell r="CU2325">
            <v>14.440452861944124</v>
          </cell>
          <cell r="CV2325">
            <v>13.67289934744978</v>
          </cell>
          <cell r="CW2325">
            <v>11.062153668663059</v>
          </cell>
          <cell r="CX2325">
            <v>8.6510321273089765</v>
          </cell>
          <cell r="CY2325">
            <v>13.473275210017142</v>
          </cell>
        </row>
        <row r="2326">
          <cell r="A2326">
            <v>42794</v>
          </cell>
          <cell r="CF2326">
            <v>23.247137469231657</v>
          </cell>
          <cell r="CG2326">
            <v>22.085252262534414</v>
          </cell>
          <cell r="CH2326">
            <v>18.555263085067214</v>
          </cell>
          <cell r="CI2326">
            <v>14.926604548033502</v>
          </cell>
          <cell r="CJ2326">
            <v>22.183921622100925</v>
          </cell>
          <cell r="CU2326">
            <v>14.294509864646249</v>
          </cell>
          <cell r="CV2326">
            <v>13.67289934744978</v>
          </cell>
          <cell r="CW2326">
            <v>11.062153668663059</v>
          </cell>
          <cell r="CX2326">
            <v>8.6510321273089765</v>
          </cell>
          <cell r="CY2326">
            <v>13.473275210017142</v>
          </cell>
        </row>
        <row r="2327">
          <cell r="A2327">
            <v>42795</v>
          </cell>
          <cell r="CF2327">
            <v>23.105081102864627</v>
          </cell>
          <cell r="CG2327">
            <v>22.085252262534414</v>
          </cell>
          <cell r="CH2327">
            <v>18.555263085067214</v>
          </cell>
          <cell r="CI2327">
            <v>14.926604548033502</v>
          </cell>
          <cell r="CJ2327">
            <v>22.183921622100925</v>
          </cell>
          <cell r="CU2327">
            <v>14.243118821591814</v>
          </cell>
          <cell r="CV2327">
            <v>13.67289934744978</v>
          </cell>
          <cell r="CW2327">
            <v>11.062153668663059</v>
          </cell>
          <cell r="CX2327">
            <v>8.6510321273089765</v>
          </cell>
          <cell r="CY2327">
            <v>13.473275210017142</v>
          </cell>
        </row>
        <row r="2328">
          <cell r="A2328">
            <v>42796</v>
          </cell>
          <cell r="CF2328">
            <v>22.974779191993822</v>
          </cell>
          <cell r="CG2328">
            <v>22.085252262534414</v>
          </cell>
          <cell r="CH2328">
            <v>18.555263085067214</v>
          </cell>
          <cell r="CI2328">
            <v>14.926604548033502</v>
          </cell>
          <cell r="CJ2328">
            <v>22.183921622100925</v>
          </cell>
          <cell r="CU2328">
            <v>14.243118821591814</v>
          </cell>
          <cell r="CV2328">
            <v>13.67289934744978</v>
          </cell>
          <cell r="CW2328">
            <v>11.062153668663059</v>
          </cell>
          <cell r="CX2328">
            <v>8.6510321273089765</v>
          </cell>
          <cell r="CY2328">
            <v>13.473275210017142</v>
          </cell>
        </row>
        <row r="2329">
          <cell r="A2329">
            <v>42797</v>
          </cell>
          <cell r="CF2329">
            <v>23.047319743426133</v>
          </cell>
          <cell r="CG2329">
            <v>22.085252262534414</v>
          </cell>
          <cell r="CH2329">
            <v>18.555263085067214</v>
          </cell>
          <cell r="CI2329">
            <v>14.926604548033502</v>
          </cell>
          <cell r="CJ2329">
            <v>22.183921622100925</v>
          </cell>
          <cell r="CU2329">
            <v>14.211610299567718</v>
          </cell>
          <cell r="CV2329">
            <v>13.67289934744978</v>
          </cell>
          <cell r="CW2329">
            <v>11.062153668663059</v>
          </cell>
          <cell r="CX2329">
            <v>8.6510321273089765</v>
          </cell>
          <cell r="CY2329">
            <v>13.473275210017142</v>
          </cell>
        </row>
        <row r="2330">
          <cell r="A2330">
            <v>42800</v>
          </cell>
          <cell r="CF2330">
            <v>22.957316049299795</v>
          </cell>
          <cell r="CG2330">
            <v>22.085252262534414</v>
          </cell>
          <cell r="CH2330">
            <v>18.555263085067214</v>
          </cell>
          <cell r="CI2330">
            <v>14.926604548033502</v>
          </cell>
          <cell r="CJ2330">
            <v>22.183921622100925</v>
          </cell>
          <cell r="CU2330">
            <v>14.162513751179704</v>
          </cell>
          <cell r="CV2330">
            <v>13.67289934744978</v>
          </cell>
          <cell r="CW2330">
            <v>11.062153668663059</v>
          </cell>
          <cell r="CX2330">
            <v>8.6510321273089765</v>
          </cell>
          <cell r="CY2330">
            <v>13.473275210017142</v>
          </cell>
        </row>
        <row r="2331">
          <cell r="A2331">
            <v>42801</v>
          </cell>
          <cell r="CF2331">
            <v>22.978809148000135</v>
          </cell>
          <cell r="CG2331">
            <v>22.085252262534414</v>
          </cell>
          <cell r="CH2331">
            <v>18.555263085067214</v>
          </cell>
          <cell r="CI2331">
            <v>14.926604548033502</v>
          </cell>
          <cell r="CJ2331">
            <v>22.183921622100925</v>
          </cell>
          <cell r="CU2331">
            <v>14.174238125057828</v>
          </cell>
          <cell r="CV2331">
            <v>13.67289934744978</v>
          </cell>
          <cell r="CW2331">
            <v>11.062153668663059</v>
          </cell>
          <cell r="CX2331">
            <v>8.6510321273089765</v>
          </cell>
          <cell r="CY2331">
            <v>13.473275210017142</v>
          </cell>
        </row>
        <row r="2332">
          <cell r="A2332">
            <v>42802</v>
          </cell>
          <cell r="CF2332">
            <v>22.955972730631022</v>
          </cell>
          <cell r="CG2332">
            <v>22.085252262534414</v>
          </cell>
          <cell r="CH2332">
            <v>18.555263085067214</v>
          </cell>
          <cell r="CI2332">
            <v>14.926604548033502</v>
          </cell>
          <cell r="CJ2332">
            <v>22.183921622100925</v>
          </cell>
          <cell r="CU2332">
            <v>14.16178097781232</v>
          </cell>
          <cell r="CV2332">
            <v>13.67289934744978</v>
          </cell>
          <cell r="CW2332">
            <v>11.062153668663059</v>
          </cell>
          <cell r="CX2332">
            <v>8.6510321273089765</v>
          </cell>
          <cell r="CY2332">
            <v>13.473275210017142</v>
          </cell>
        </row>
        <row r="2333">
          <cell r="A2333">
            <v>42803</v>
          </cell>
          <cell r="CF2333">
            <v>22.962690667293547</v>
          </cell>
          <cell r="CG2333">
            <v>22.085252262534414</v>
          </cell>
          <cell r="CH2333">
            <v>18.555263085067214</v>
          </cell>
          <cell r="CI2333">
            <v>14.926604548033502</v>
          </cell>
          <cell r="CJ2333">
            <v>22.183921622100925</v>
          </cell>
          <cell r="CU2333">
            <v>14.16178097781232</v>
          </cell>
          <cell r="CV2333">
            <v>13.67289934744978</v>
          </cell>
          <cell r="CW2333">
            <v>11.062153668663059</v>
          </cell>
          <cell r="CX2333">
            <v>8.6510321273089765</v>
          </cell>
          <cell r="CY2333">
            <v>13.473275210017142</v>
          </cell>
        </row>
        <row r="2334">
          <cell r="A2334">
            <v>42804</v>
          </cell>
          <cell r="CF2334">
            <v>23.129090402878337</v>
          </cell>
          <cell r="CG2334">
            <v>22.085252262534414</v>
          </cell>
          <cell r="CH2334">
            <v>18.555263085067214</v>
          </cell>
          <cell r="CI2334">
            <v>14.926604548033502</v>
          </cell>
          <cell r="CJ2334">
            <v>22.183921622100925</v>
          </cell>
          <cell r="CU2334">
            <v>14.25557596883732</v>
          </cell>
          <cell r="CV2334">
            <v>13.67289934744978</v>
          </cell>
          <cell r="CW2334">
            <v>11.062153668663059</v>
          </cell>
          <cell r="CX2334">
            <v>8.6510321273089765</v>
          </cell>
          <cell r="CY2334">
            <v>13.473275210017142</v>
          </cell>
        </row>
        <row r="2335">
          <cell r="A2335">
            <v>42807</v>
          </cell>
          <cell r="CF2335">
            <v>23.135808680226585</v>
          </cell>
          <cell r="CG2335">
            <v>22.085252262534414</v>
          </cell>
          <cell r="CH2335">
            <v>18.555263085067214</v>
          </cell>
          <cell r="CI2335">
            <v>14.926604548033502</v>
          </cell>
          <cell r="CJ2335">
            <v>22.183921622100925</v>
          </cell>
          <cell r="CU2335">
            <v>14.259240568447604</v>
          </cell>
          <cell r="CV2335">
            <v>13.67289934744978</v>
          </cell>
          <cell r="CW2335">
            <v>11.062153668663059</v>
          </cell>
          <cell r="CX2335">
            <v>8.6510321273089765</v>
          </cell>
          <cell r="CY2335">
            <v>13.473275210017142</v>
          </cell>
        </row>
        <row r="2336">
          <cell r="A2336">
            <v>42808</v>
          </cell>
          <cell r="CF2336">
            <v>23.005498817987544</v>
          </cell>
          <cell r="CG2336">
            <v>22.085252262534414</v>
          </cell>
          <cell r="CH2336">
            <v>18.555263085067214</v>
          </cell>
          <cell r="CI2336">
            <v>14.926604548033502</v>
          </cell>
          <cell r="CJ2336">
            <v>22.183921622100925</v>
          </cell>
          <cell r="CU2336">
            <v>14.188160819038103</v>
          </cell>
          <cell r="CV2336">
            <v>13.67289934744978</v>
          </cell>
          <cell r="CW2336">
            <v>11.062153668663059</v>
          </cell>
          <cell r="CX2336">
            <v>8.6510321273089765</v>
          </cell>
          <cell r="CY2336">
            <v>13.473275210017142</v>
          </cell>
        </row>
        <row r="2337">
          <cell r="A2337">
            <v>42809</v>
          </cell>
          <cell r="CF2337">
            <v>23.211155383840079</v>
          </cell>
          <cell r="CG2337">
            <v>22.085252262534414</v>
          </cell>
          <cell r="CH2337">
            <v>18.555263085067214</v>
          </cell>
          <cell r="CI2337">
            <v>14.926604548033502</v>
          </cell>
          <cell r="CJ2337">
            <v>22.183921622100925</v>
          </cell>
          <cell r="CU2337">
            <v>14.350777820152317</v>
          </cell>
          <cell r="CV2337">
            <v>13.67289934744978</v>
          </cell>
          <cell r="CW2337">
            <v>11.062153668663059</v>
          </cell>
          <cell r="CX2337">
            <v>8.6510321273089765</v>
          </cell>
          <cell r="CY2337">
            <v>13.473275210017142</v>
          </cell>
        </row>
        <row r="2338">
          <cell r="A2338">
            <v>42810</v>
          </cell>
          <cell r="CF2338">
            <v>23.002855703006887</v>
          </cell>
          <cell r="CG2338">
            <v>22.085252262534414</v>
          </cell>
          <cell r="CH2338">
            <v>18.555263085067214</v>
          </cell>
          <cell r="CI2338">
            <v>14.926604548033502</v>
          </cell>
          <cell r="CJ2338">
            <v>22.183921622100925</v>
          </cell>
          <cell r="CU2338">
            <v>14.350777820152317</v>
          </cell>
          <cell r="CV2338">
            <v>13.67289934744978</v>
          </cell>
          <cell r="CW2338">
            <v>11.062153668663059</v>
          </cell>
          <cell r="CX2338">
            <v>8.6510321273089765</v>
          </cell>
          <cell r="CY2338">
            <v>13.473275210017142</v>
          </cell>
        </row>
        <row r="2339">
          <cell r="A2339">
            <v>42811</v>
          </cell>
          <cell r="CF2339">
            <v>23.01360658491517</v>
          </cell>
          <cell r="CG2339">
            <v>22.085252262534414</v>
          </cell>
          <cell r="CH2339">
            <v>18.555263085067214</v>
          </cell>
          <cell r="CI2339">
            <v>14.926604548033502</v>
          </cell>
          <cell r="CJ2339">
            <v>22.183921622100925</v>
          </cell>
          <cell r="CU2339">
            <v>14.242645745512334</v>
          </cell>
          <cell r="CV2339">
            <v>13.67289934744978</v>
          </cell>
          <cell r="CW2339">
            <v>11.062153668663059</v>
          </cell>
          <cell r="CX2339">
            <v>8.6510321273089765</v>
          </cell>
          <cell r="CY2339">
            <v>13.473275210017142</v>
          </cell>
        </row>
        <row r="2340">
          <cell r="A2340">
            <v>42814</v>
          </cell>
          <cell r="CF2340">
            <v>23.03510969259197</v>
          </cell>
          <cell r="CG2340">
            <v>22.085252262534414</v>
          </cell>
          <cell r="CH2340">
            <v>18.555263085067214</v>
          </cell>
          <cell r="CI2340">
            <v>14.926604548033502</v>
          </cell>
          <cell r="CJ2340">
            <v>22.183921622100925</v>
          </cell>
          <cell r="CU2340">
            <v>14.254415878547579</v>
          </cell>
          <cell r="CV2340">
            <v>13.67289934744978</v>
          </cell>
          <cell r="CW2340">
            <v>11.062153668663059</v>
          </cell>
          <cell r="CX2340">
            <v>8.6510321273089765</v>
          </cell>
          <cell r="CY2340">
            <v>13.473275210017142</v>
          </cell>
        </row>
        <row r="2341">
          <cell r="A2341">
            <v>42815</v>
          </cell>
          <cell r="CF2341">
            <v>22.95313421804132</v>
          </cell>
          <cell r="CG2341">
            <v>22.085252262534414</v>
          </cell>
          <cell r="CH2341">
            <v>18.555263085067214</v>
          </cell>
          <cell r="CI2341">
            <v>14.926604548033502</v>
          </cell>
          <cell r="CJ2341">
            <v>22.183921622100925</v>
          </cell>
          <cell r="CU2341">
            <v>14.209545050777436</v>
          </cell>
          <cell r="CV2341">
            <v>13.67289934744978</v>
          </cell>
          <cell r="CW2341">
            <v>11.062153668663059</v>
          </cell>
          <cell r="CX2341">
            <v>8.6510321273089765</v>
          </cell>
          <cell r="CY2341">
            <v>13.473275210017142</v>
          </cell>
        </row>
        <row r="2342">
          <cell r="A2342">
            <v>42816</v>
          </cell>
          <cell r="CF2342">
            <v>23.094239543087518</v>
          </cell>
          <cell r="CG2342">
            <v>22.085252262534414</v>
          </cell>
          <cell r="CH2342">
            <v>18.555263085067214</v>
          </cell>
          <cell r="CI2342">
            <v>14.926604548033502</v>
          </cell>
          <cell r="CJ2342">
            <v>22.183921622100925</v>
          </cell>
          <cell r="CU2342">
            <v>14.286781721529323</v>
          </cell>
          <cell r="CV2342">
            <v>13.67289934744978</v>
          </cell>
          <cell r="CW2342">
            <v>11.062153668663059</v>
          </cell>
          <cell r="CX2342">
            <v>8.6510321273089765</v>
          </cell>
          <cell r="CY2342">
            <v>13.473275210017142</v>
          </cell>
        </row>
        <row r="2343">
          <cell r="A2343">
            <v>42817</v>
          </cell>
          <cell r="CF2343">
            <v>23.041828993784648</v>
          </cell>
          <cell r="CG2343">
            <v>22.085252262534414</v>
          </cell>
          <cell r="CH2343">
            <v>18.555263085067214</v>
          </cell>
          <cell r="CI2343">
            <v>14.926604548033502</v>
          </cell>
          <cell r="CJ2343">
            <v>22.183921622100925</v>
          </cell>
          <cell r="CU2343">
            <v>14.286781721529323</v>
          </cell>
          <cell r="CV2343">
            <v>13.67289934744978</v>
          </cell>
          <cell r="CW2343">
            <v>11.062153668663059</v>
          </cell>
          <cell r="CX2343">
            <v>8.6510321273089765</v>
          </cell>
          <cell r="CY2343">
            <v>13.473275210017142</v>
          </cell>
        </row>
        <row r="2344">
          <cell r="A2344">
            <v>42818</v>
          </cell>
          <cell r="CF2344">
            <v>23.01360658491517</v>
          </cell>
          <cell r="CG2344">
            <v>22.085252262534414</v>
          </cell>
          <cell r="CH2344">
            <v>18.555263085067214</v>
          </cell>
          <cell r="CI2344">
            <v>14.926604548033502</v>
          </cell>
          <cell r="CJ2344">
            <v>22.183921622100925</v>
          </cell>
          <cell r="CU2344">
            <v>14.242645745512334</v>
          </cell>
          <cell r="CV2344">
            <v>13.67289934744978</v>
          </cell>
          <cell r="CW2344">
            <v>11.062153668663059</v>
          </cell>
          <cell r="CX2344">
            <v>8.6510321273089765</v>
          </cell>
          <cell r="CY2344">
            <v>13.473275210017142</v>
          </cell>
        </row>
        <row r="2345">
          <cell r="A2345">
            <v>42821</v>
          </cell>
          <cell r="CF2345">
            <v>23.014950445153701</v>
          </cell>
          <cell r="CG2345">
            <v>22.085252262534414</v>
          </cell>
          <cell r="CH2345">
            <v>18.555263085067214</v>
          </cell>
          <cell r="CI2345">
            <v>14.926604548033502</v>
          </cell>
          <cell r="CJ2345">
            <v>22.183921622100925</v>
          </cell>
          <cell r="CU2345">
            <v>14.243381332852827</v>
          </cell>
          <cell r="CV2345">
            <v>13.67289934744978</v>
          </cell>
          <cell r="CW2345">
            <v>11.062153668663059</v>
          </cell>
          <cell r="CX2345">
            <v>8.6510321273089765</v>
          </cell>
          <cell r="CY2345">
            <v>13.473275210017142</v>
          </cell>
        </row>
        <row r="2346">
          <cell r="A2346">
            <v>42822</v>
          </cell>
          <cell r="CF2346">
            <v>22.992104821098607</v>
          </cell>
          <cell r="CG2346">
            <v>22.085252262534414</v>
          </cell>
          <cell r="CH2346">
            <v>18.555263085067214</v>
          </cell>
          <cell r="CI2346">
            <v>14.926604548033502</v>
          </cell>
          <cell r="CJ2346">
            <v>22.183921622100925</v>
          </cell>
          <cell r="CU2346">
            <v>14.230876348064427</v>
          </cell>
          <cell r="CV2346">
            <v>13.67289934744978</v>
          </cell>
          <cell r="CW2346">
            <v>11.062153668663059</v>
          </cell>
          <cell r="CX2346">
            <v>8.6510321273089765</v>
          </cell>
          <cell r="CY2346">
            <v>13.473275210017142</v>
          </cell>
        </row>
        <row r="2347">
          <cell r="A2347">
            <v>42823</v>
          </cell>
          <cell r="CF2347">
            <v>22.965227616327901</v>
          </cell>
          <cell r="CG2347">
            <v>22.085252262534414</v>
          </cell>
          <cell r="CH2347">
            <v>18.555263085067214</v>
          </cell>
          <cell r="CI2347">
            <v>14.926604548033502</v>
          </cell>
          <cell r="CJ2347">
            <v>22.183921622100925</v>
          </cell>
          <cell r="CU2347">
            <v>14.216164601254542</v>
          </cell>
          <cell r="CV2347">
            <v>13.67289934744978</v>
          </cell>
          <cell r="CW2347">
            <v>11.062153668663059</v>
          </cell>
          <cell r="CX2347">
            <v>8.6510321273089765</v>
          </cell>
          <cell r="CY2347">
            <v>13.473275210017142</v>
          </cell>
        </row>
        <row r="2348">
          <cell r="A2348">
            <v>42824</v>
          </cell>
          <cell r="CF2348">
            <v>22.957165798756929</v>
          </cell>
          <cell r="CG2348">
            <v>22.085252262534414</v>
          </cell>
          <cell r="CH2348">
            <v>18.555263085067214</v>
          </cell>
          <cell r="CI2348">
            <v>14.926604548033502</v>
          </cell>
          <cell r="CJ2348">
            <v>22.183921622100925</v>
          </cell>
          <cell r="CU2348">
            <v>14.211751812798918</v>
          </cell>
          <cell r="CV2348">
            <v>13.67289934744978</v>
          </cell>
          <cell r="CW2348">
            <v>11.062153668663059</v>
          </cell>
          <cell r="CX2348">
            <v>8.6510321273089765</v>
          </cell>
          <cell r="CY2348">
            <v>13.473275210017142</v>
          </cell>
        </row>
        <row r="2349">
          <cell r="A2349">
            <v>42825</v>
          </cell>
          <cell r="CF2349">
            <v>22.841839388160736</v>
          </cell>
          <cell r="CG2349">
            <v>22.085252262534414</v>
          </cell>
          <cell r="CH2349">
            <v>18.555263085067214</v>
          </cell>
          <cell r="CI2349">
            <v>14.926604548033502</v>
          </cell>
          <cell r="CJ2349">
            <v>22.183921622100925</v>
          </cell>
          <cell r="CU2349">
            <v>14.148497872155447</v>
          </cell>
          <cell r="CV2349">
            <v>13.67289934744978</v>
          </cell>
          <cell r="CW2349">
            <v>11.062153668663059</v>
          </cell>
          <cell r="CX2349">
            <v>8.6510321273089765</v>
          </cell>
          <cell r="CY2349">
            <v>13.473275210017142</v>
          </cell>
        </row>
        <row r="2350">
          <cell r="A2350">
            <v>42828</v>
          </cell>
          <cell r="CF2350">
            <v>22.52524479518976</v>
          </cell>
          <cell r="CG2350">
            <v>22.085252262534414</v>
          </cell>
          <cell r="CH2350">
            <v>18.555263085067214</v>
          </cell>
          <cell r="CI2350">
            <v>14.926604548033502</v>
          </cell>
          <cell r="CJ2350">
            <v>22.183921622100925</v>
          </cell>
          <cell r="CU2350">
            <v>14.000912961856237</v>
          </cell>
          <cell r="CV2350">
            <v>13.67289934744978</v>
          </cell>
          <cell r="CW2350">
            <v>11.062153668663059</v>
          </cell>
          <cell r="CX2350">
            <v>8.6510321273089765</v>
          </cell>
          <cell r="CY2350">
            <v>13.473275210017142</v>
          </cell>
        </row>
        <row r="2351">
          <cell r="A2351">
            <v>42829</v>
          </cell>
          <cell r="CF2351">
            <v>22.49459820544455</v>
          </cell>
          <cell r="CG2351">
            <v>22.085252262534414</v>
          </cell>
          <cell r="CH2351">
            <v>18.555263085067214</v>
          </cell>
          <cell r="CI2351">
            <v>14.926604548033502</v>
          </cell>
          <cell r="CJ2351">
            <v>22.183921622100925</v>
          </cell>
          <cell r="CU2351">
            <v>13.984090460355482</v>
          </cell>
          <cell r="CV2351">
            <v>13.67289934744978</v>
          </cell>
          <cell r="CW2351">
            <v>11.062153668663059</v>
          </cell>
          <cell r="CX2351">
            <v>8.6510321273089765</v>
          </cell>
          <cell r="CY2351">
            <v>13.473275210017142</v>
          </cell>
        </row>
        <row r="2352">
          <cell r="A2352">
            <v>42830</v>
          </cell>
          <cell r="CF2352">
            <v>22.413500338490188</v>
          </cell>
          <cell r="CG2352">
            <v>22.085252262534414</v>
          </cell>
          <cell r="CH2352">
            <v>18.555263085067214</v>
          </cell>
          <cell r="CI2352">
            <v>14.926604548033502</v>
          </cell>
          <cell r="CJ2352">
            <v>22.183921622100925</v>
          </cell>
          <cell r="CU2352">
            <v>13.942114619049168</v>
          </cell>
          <cell r="CV2352">
            <v>13.67289934744978</v>
          </cell>
          <cell r="CW2352">
            <v>11.062153668663059</v>
          </cell>
          <cell r="CX2352">
            <v>8.6510321273089765</v>
          </cell>
          <cell r="CY2352">
            <v>13.473275210017142</v>
          </cell>
        </row>
        <row r="2353">
          <cell r="A2353">
            <v>42831</v>
          </cell>
          <cell r="CF2353">
            <v>22.508115714904783</v>
          </cell>
          <cell r="CG2353">
            <v>22.085252262534414</v>
          </cell>
          <cell r="CH2353">
            <v>18.555263085067214</v>
          </cell>
          <cell r="CI2353">
            <v>14.926604548033502</v>
          </cell>
          <cell r="CJ2353">
            <v>22.183921622100925</v>
          </cell>
          <cell r="CU2353">
            <v>13.994059505811254</v>
          </cell>
          <cell r="CV2353">
            <v>13.67289934744978</v>
          </cell>
          <cell r="CW2353">
            <v>11.062153668663059</v>
          </cell>
          <cell r="CX2353">
            <v>8.6510321273089765</v>
          </cell>
          <cell r="CY2353">
            <v>13.473275210017142</v>
          </cell>
        </row>
        <row r="2354">
          <cell r="A2354">
            <v>42832</v>
          </cell>
          <cell r="CF2354">
            <v>22.328212037379828</v>
          </cell>
          <cell r="CG2354">
            <v>22.085252262534414</v>
          </cell>
          <cell r="CH2354">
            <v>18.555263085067214</v>
          </cell>
          <cell r="CI2354">
            <v>14.926604548033502</v>
          </cell>
          <cell r="CJ2354">
            <v>22.183921622100925</v>
          </cell>
          <cell r="CU2354">
            <v>13.895290399654899</v>
          </cell>
          <cell r="CV2354">
            <v>13.67289934744978</v>
          </cell>
          <cell r="CW2354">
            <v>11.062153668663059</v>
          </cell>
          <cell r="CX2354">
            <v>8.6510321273089765</v>
          </cell>
          <cell r="CY2354">
            <v>13.473275210017142</v>
          </cell>
        </row>
        <row r="2355">
          <cell r="A2355">
            <v>42835</v>
          </cell>
          <cell r="CF2355">
            <v>22.507661558962944</v>
          </cell>
          <cell r="CG2355">
            <v>22.085252262534414</v>
          </cell>
          <cell r="CH2355">
            <v>18.555263085067214</v>
          </cell>
          <cell r="CI2355">
            <v>14.926604548033502</v>
          </cell>
          <cell r="CJ2355">
            <v>22.183921622100925</v>
          </cell>
          <cell r="CU2355">
            <v>14.077800294882197</v>
          </cell>
          <cell r="CV2355">
            <v>13.67289934744978</v>
          </cell>
          <cell r="CW2355">
            <v>11.062153668663059</v>
          </cell>
          <cell r="CX2355">
            <v>8.6510321273089765</v>
          </cell>
          <cell r="CY2355">
            <v>13.473275210017142</v>
          </cell>
        </row>
        <row r="2356">
          <cell r="A2356">
            <v>42836</v>
          </cell>
          <cell r="CF2356">
            <v>22.659560293140174</v>
          </cell>
          <cell r="CG2356">
            <v>22.085252262534414</v>
          </cell>
          <cell r="CH2356">
            <v>18.555263085067214</v>
          </cell>
          <cell r="CI2356">
            <v>14.926604548033502</v>
          </cell>
          <cell r="CJ2356">
            <v>22.183921622100925</v>
          </cell>
          <cell r="CU2356">
            <v>14.077800294882197</v>
          </cell>
          <cell r="CV2356">
            <v>13.67289934744978</v>
          </cell>
          <cell r="CW2356">
            <v>11.062153668663059</v>
          </cell>
          <cell r="CX2356">
            <v>8.6510321273089765</v>
          </cell>
          <cell r="CY2356">
            <v>13.473275210017142</v>
          </cell>
        </row>
        <row r="2357">
          <cell r="A2357">
            <v>42837</v>
          </cell>
          <cell r="CF2357">
            <v>22.486699622936111</v>
          </cell>
          <cell r="CG2357">
            <v>22.085252262534414</v>
          </cell>
          <cell r="CH2357">
            <v>18.555263085067214</v>
          </cell>
          <cell r="CI2357">
            <v>14.926604548033502</v>
          </cell>
          <cell r="CJ2357">
            <v>22.183921622100925</v>
          </cell>
          <cell r="CU2357">
            <v>14.064733655673985</v>
          </cell>
          <cell r="CV2357">
            <v>13.67289934744978</v>
          </cell>
          <cell r="CW2357">
            <v>11.062153668663059</v>
          </cell>
          <cell r="CX2357">
            <v>8.6510321273089765</v>
          </cell>
          <cell r="CY2357">
            <v>13.473275210017142</v>
          </cell>
        </row>
        <row r="2358">
          <cell r="A2358">
            <v>42838</v>
          </cell>
          <cell r="CF2358">
            <v>22.369423081709375</v>
          </cell>
          <cell r="CG2358">
            <v>22.085252262534414</v>
          </cell>
          <cell r="CH2358">
            <v>18.555263085067214</v>
          </cell>
          <cell r="CI2358">
            <v>14.926604548033502</v>
          </cell>
          <cell r="CJ2358">
            <v>22.183921622100925</v>
          </cell>
          <cell r="CU2358">
            <v>13.99991818896971</v>
          </cell>
          <cell r="CV2358">
            <v>13.67289934744978</v>
          </cell>
          <cell r="CW2358">
            <v>11.062153668663059</v>
          </cell>
          <cell r="CX2358">
            <v>8.6510321273089765</v>
          </cell>
          <cell r="CY2358">
            <v>13.473275210017142</v>
          </cell>
        </row>
        <row r="2359">
          <cell r="A2359">
            <v>42839</v>
          </cell>
          <cell r="CF2359">
            <v>22.3710529121707</v>
          </cell>
          <cell r="CG2359">
            <v>22.085252262534414</v>
          </cell>
          <cell r="CH2359">
            <v>18.555263085067214</v>
          </cell>
          <cell r="CI2359">
            <v>14.926604548033502</v>
          </cell>
          <cell r="CJ2359">
            <v>22.183921622100925</v>
          </cell>
          <cell r="CU2359">
            <v>14.066647258435385</v>
          </cell>
          <cell r="CV2359">
            <v>13.67289934744978</v>
          </cell>
          <cell r="CW2359">
            <v>11.062153668663059</v>
          </cell>
          <cell r="CX2359">
            <v>8.6510321273089765</v>
          </cell>
          <cell r="CY2359">
            <v>13.473275210017142</v>
          </cell>
        </row>
        <row r="2360">
          <cell r="A2360">
            <v>42842</v>
          </cell>
          <cell r="CF2360">
            <v>22.506997201121802</v>
          </cell>
          <cell r="CG2360">
            <v>22.085252262534414</v>
          </cell>
          <cell r="CH2360">
            <v>18.555263085067214</v>
          </cell>
          <cell r="CI2360">
            <v>14.926604548033502</v>
          </cell>
          <cell r="CJ2360">
            <v>22.183921622100925</v>
          </cell>
          <cell r="CU2360">
            <v>14.142132479062591</v>
          </cell>
          <cell r="CV2360">
            <v>13.67289934744978</v>
          </cell>
          <cell r="CW2360">
            <v>11.062153668663059</v>
          </cell>
          <cell r="CX2360">
            <v>8.6510321273089765</v>
          </cell>
          <cell r="CY2360">
            <v>13.473275210017142</v>
          </cell>
        </row>
        <row r="2361">
          <cell r="A2361">
            <v>42843</v>
          </cell>
          <cell r="CF2361">
            <v>22.351059576171764</v>
          </cell>
          <cell r="CG2361">
            <v>22.085252262534414</v>
          </cell>
          <cell r="CH2361">
            <v>18.555263085067214</v>
          </cell>
          <cell r="CI2361">
            <v>14.926604548033502</v>
          </cell>
          <cell r="CJ2361">
            <v>22.183921622100925</v>
          </cell>
          <cell r="CU2361">
            <v>14.055545641805528</v>
          </cell>
          <cell r="CV2361">
            <v>13.67289934744978</v>
          </cell>
          <cell r="CW2361">
            <v>11.062153668663059</v>
          </cell>
          <cell r="CX2361">
            <v>8.6510321273089765</v>
          </cell>
          <cell r="CY2361">
            <v>13.473275210017142</v>
          </cell>
        </row>
        <row r="2362">
          <cell r="A2362">
            <v>42844</v>
          </cell>
          <cell r="CF2362">
            <v>22.388377982142714</v>
          </cell>
          <cell r="CG2362">
            <v>22.085252262534414</v>
          </cell>
          <cell r="CH2362">
            <v>18.555263085067214</v>
          </cell>
          <cell r="CI2362">
            <v>14.926604548033502</v>
          </cell>
          <cell r="CJ2362">
            <v>22.183921622100925</v>
          </cell>
          <cell r="CU2362">
            <v>14.076267278072176</v>
          </cell>
          <cell r="CV2362">
            <v>13.67289934744978</v>
          </cell>
          <cell r="CW2362">
            <v>11.062153668663059</v>
          </cell>
          <cell r="CX2362">
            <v>8.6510321273089765</v>
          </cell>
          <cell r="CY2362">
            <v>13.473275210017142</v>
          </cell>
        </row>
        <row r="2363">
          <cell r="A2363">
            <v>42845</v>
          </cell>
          <cell r="CF2363">
            <v>22.577635612423954</v>
          </cell>
          <cell r="CG2363">
            <v>22.085252262534414</v>
          </cell>
          <cell r="CH2363">
            <v>18.555263085067214</v>
          </cell>
          <cell r="CI2363">
            <v>14.926604548033502</v>
          </cell>
          <cell r="CJ2363">
            <v>22.183921622100925</v>
          </cell>
          <cell r="CU2363">
            <v>14.181355576281604</v>
          </cell>
          <cell r="CV2363">
            <v>13.67289934744978</v>
          </cell>
          <cell r="CW2363">
            <v>11.062153668663059</v>
          </cell>
          <cell r="CX2363">
            <v>8.6510321273089765</v>
          </cell>
          <cell r="CY2363">
            <v>13.473275210017142</v>
          </cell>
        </row>
        <row r="2364">
          <cell r="A2364">
            <v>42846</v>
          </cell>
          <cell r="CF2364">
            <v>22.406302980222957</v>
          </cell>
          <cell r="CG2364">
            <v>22.085252262534414</v>
          </cell>
          <cell r="CH2364">
            <v>18.555263085067214</v>
          </cell>
          <cell r="CI2364">
            <v>14.926604548033502</v>
          </cell>
          <cell r="CJ2364">
            <v>22.183921622100925</v>
          </cell>
          <cell r="CU2364">
            <v>14.085871343716335</v>
          </cell>
          <cell r="CV2364">
            <v>13.67289934744978</v>
          </cell>
          <cell r="CW2364">
            <v>11.062153668663059</v>
          </cell>
          <cell r="CX2364">
            <v>8.6510321273089765</v>
          </cell>
          <cell r="CY2364">
            <v>13.473275210017142</v>
          </cell>
        </row>
        <row r="2365">
          <cell r="A2365">
            <v>42849</v>
          </cell>
          <cell r="CF2365">
            <v>22.63155222050661</v>
          </cell>
          <cell r="CG2365">
            <v>22.085252262534414</v>
          </cell>
          <cell r="CH2365">
            <v>18.555263085067214</v>
          </cell>
          <cell r="CI2365">
            <v>14.926604548033502</v>
          </cell>
          <cell r="CJ2365">
            <v>22.183921622100925</v>
          </cell>
          <cell r="CU2365">
            <v>14.210941064955287</v>
          </cell>
          <cell r="CV2365">
            <v>13.67289934744978</v>
          </cell>
          <cell r="CW2365">
            <v>11.062153668663059</v>
          </cell>
          <cell r="CX2365">
            <v>8.6510321273089765</v>
          </cell>
          <cell r="CY2365">
            <v>13.473275210017142</v>
          </cell>
        </row>
        <row r="2366">
          <cell r="A2366">
            <v>42850</v>
          </cell>
          <cell r="CF2366">
            <v>22.680880746171489</v>
          </cell>
          <cell r="CG2366">
            <v>22.085252262534414</v>
          </cell>
          <cell r="CH2366">
            <v>18.555263085067214</v>
          </cell>
          <cell r="CI2366">
            <v>14.926604548033502</v>
          </cell>
          <cell r="CJ2366">
            <v>22.183921622100925</v>
          </cell>
          <cell r="CU2366">
            <v>14.238860073021248</v>
          </cell>
          <cell r="CV2366">
            <v>13.67289934744978</v>
          </cell>
          <cell r="CW2366">
            <v>11.062153668663059</v>
          </cell>
          <cell r="CX2366">
            <v>8.6510321273089765</v>
          </cell>
          <cell r="CY2366">
            <v>13.473275210017142</v>
          </cell>
        </row>
        <row r="2367">
          <cell r="A2367">
            <v>42851</v>
          </cell>
          <cell r="CF2367">
            <v>23.075283144572595</v>
          </cell>
          <cell r="CG2367">
            <v>22.085252262534414</v>
          </cell>
          <cell r="CH2367">
            <v>18.555263085067214</v>
          </cell>
          <cell r="CI2367">
            <v>14.926604548033502</v>
          </cell>
          <cell r="CJ2367">
            <v>22.183921622100925</v>
          </cell>
          <cell r="CU2367">
            <v>14.457867703197529</v>
          </cell>
          <cell r="CV2367">
            <v>13.67289934744978</v>
          </cell>
          <cell r="CW2367">
            <v>11.062153668663059</v>
          </cell>
          <cell r="CX2367">
            <v>8.6510321273089765</v>
          </cell>
          <cell r="CY2367">
            <v>13.473275210017142</v>
          </cell>
        </row>
        <row r="2368">
          <cell r="A2368">
            <v>42852</v>
          </cell>
          <cell r="CF2368">
            <v>23.207862758163547</v>
          </cell>
          <cell r="CG2368">
            <v>22.085252262534414</v>
          </cell>
          <cell r="CH2368">
            <v>18.555263085067214</v>
          </cell>
          <cell r="CI2368">
            <v>14.926604548033502</v>
          </cell>
          <cell r="CJ2368">
            <v>22.183921622100925</v>
          </cell>
          <cell r="CU2368">
            <v>14.531487810732251</v>
          </cell>
          <cell r="CV2368">
            <v>13.67289934744978</v>
          </cell>
          <cell r="CW2368">
            <v>11.062153668663059</v>
          </cell>
          <cell r="CX2368">
            <v>8.6510321273089765</v>
          </cell>
          <cell r="CY2368">
            <v>13.473275210017142</v>
          </cell>
        </row>
        <row r="2369">
          <cell r="A2369">
            <v>42853</v>
          </cell>
          <cell r="CF2369">
            <v>23.157896069289457</v>
          </cell>
          <cell r="CG2369">
            <v>22.085252262534414</v>
          </cell>
          <cell r="CH2369">
            <v>18.555263085067214</v>
          </cell>
          <cell r="CI2369">
            <v>14.926604548033502</v>
          </cell>
          <cell r="CJ2369">
            <v>22.183921622100925</v>
          </cell>
          <cell r="CU2369">
            <v>14.50374181790251</v>
          </cell>
          <cell r="CV2369">
            <v>13.67289934744978</v>
          </cell>
          <cell r="CW2369">
            <v>11.062153668663059</v>
          </cell>
          <cell r="CX2369">
            <v>8.6510321273089765</v>
          </cell>
          <cell r="CY2369">
            <v>13.473275210017142</v>
          </cell>
        </row>
        <row r="2370">
          <cell r="A2370">
            <v>42856</v>
          </cell>
          <cell r="CF2370">
            <v>22.9386905391144</v>
          </cell>
          <cell r="CG2370">
            <v>22.085252262534414</v>
          </cell>
          <cell r="CH2370">
            <v>18.555263085067214</v>
          </cell>
          <cell r="CI2370">
            <v>14.926604548033502</v>
          </cell>
          <cell r="CJ2370">
            <v>22.183921622100925</v>
          </cell>
          <cell r="CU2370">
            <v>14.399407534399268</v>
          </cell>
          <cell r="CV2370">
            <v>13.67289934744978</v>
          </cell>
          <cell r="CW2370">
            <v>11.062153668663059</v>
          </cell>
          <cell r="CX2370">
            <v>8.6510321273089765</v>
          </cell>
          <cell r="CY2370">
            <v>13.473275210017142</v>
          </cell>
        </row>
        <row r="2371">
          <cell r="A2371">
            <v>42857</v>
          </cell>
          <cell r="CF2371">
            <v>23.179175475689476</v>
          </cell>
          <cell r="CG2371">
            <v>22.085252262534414</v>
          </cell>
          <cell r="CH2371">
            <v>18.555263085067214</v>
          </cell>
          <cell r="CI2371">
            <v>14.926604548033502</v>
          </cell>
          <cell r="CJ2371">
            <v>22.183921622100925</v>
          </cell>
          <cell r="CU2371">
            <v>14.53323519755619</v>
          </cell>
          <cell r="CV2371">
            <v>13.67289934744978</v>
          </cell>
          <cell r="CW2371">
            <v>11.062153668663059</v>
          </cell>
          <cell r="CX2371">
            <v>8.6510321273089765</v>
          </cell>
          <cell r="CY2371">
            <v>13.473275210017142</v>
          </cell>
        </row>
        <row r="2372">
          <cell r="A2372">
            <v>42858</v>
          </cell>
          <cell r="CF2372">
            <v>23.214853329812101</v>
          </cell>
          <cell r="CG2372">
            <v>22.085252262534414</v>
          </cell>
          <cell r="CH2372">
            <v>18.555263085067214</v>
          </cell>
          <cell r="CI2372">
            <v>14.926604548033502</v>
          </cell>
          <cell r="CJ2372">
            <v>22.183921622100925</v>
          </cell>
          <cell r="CU2372">
            <v>14.553089596387505</v>
          </cell>
          <cell r="CV2372">
            <v>13.67289934744978</v>
          </cell>
          <cell r="CW2372">
            <v>11.062153668663059</v>
          </cell>
          <cell r="CX2372">
            <v>8.6510321273089765</v>
          </cell>
          <cell r="CY2372">
            <v>13.473275210017142</v>
          </cell>
        </row>
        <row r="2373">
          <cell r="A2373">
            <v>42859</v>
          </cell>
          <cell r="CF2373">
            <v>23.530656712475981</v>
          </cell>
          <cell r="CG2373">
            <v>22.085252262534414</v>
          </cell>
          <cell r="CH2373">
            <v>18.555263085067214</v>
          </cell>
          <cell r="CI2373">
            <v>14.926604548033502</v>
          </cell>
          <cell r="CJ2373">
            <v>22.183921622100925</v>
          </cell>
          <cell r="CU2373">
            <v>14.728829813856711</v>
          </cell>
          <cell r="CV2373">
            <v>13.67289934744978</v>
          </cell>
          <cell r="CW2373">
            <v>11.062153668663059</v>
          </cell>
          <cell r="CX2373">
            <v>8.6510321273089765</v>
          </cell>
          <cell r="CY2373">
            <v>13.473275210017142</v>
          </cell>
        </row>
        <row r="2374">
          <cell r="A2374">
            <v>42860</v>
          </cell>
          <cell r="CF2374">
            <v>23.564449459314933</v>
          </cell>
          <cell r="CG2374">
            <v>22.085252262534414</v>
          </cell>
          <cell r="CH2374">
            <v>18.555263085067214</v>
          </cell>
          <cell r="CI2374">
            <v>14.926604548033502</v>
          </cell>
          <cell r="CJ2374">
            <v>22.183921622100925</v>
          </cell>
          <cell r="CU2374">
            <v>14.748630535358398</v>
          </cell>
          <cell r="CV2374">
            <v>13.67289934744978</v>
          </cell>
          <cell r="CW2374">
            <v>11.062153668663059</v>
          </cell>
          <cell r="CX2374">
            <v>8.6510321273089765</v>
          </cell>
          <cell r="CY2374">
            <v>13.473275210017142</v>
          </cell>
        </row>
        <row r="2375">
          <cell r="A2375">
            <v>42863</v>
          </cell>
          <cell r="CF2375">
            <v>23.124474060942269</v>
          </cell>
          <cell r="CG2375">
            <v>22.085252262534414</v>
          </cell>
          <cell r="CH2375">
            <v>18.555263085067214</v>
          </cell>
          <cell r="CI2375">
            <v>14.926604548033502</v>
          </cell>
          <cell r="CJ2375">
            <v>22.183921622100925</v>
          </cell>
          <cell r="CU2375">
            <v>14.503769588770536</v>
          </cell>
          <cell r="CV2375">
            <v>13.67289934744978</v>
          </cell>
          <cell r="CW2375">
            <v>11.062153668663059</v>
          </cell>
          <cell r="CX2375">
            <v>8.6510321273089765</v>
          </cell>
          <cell r="CY2375">
            <v>13.473275210017142</v>
          </cell>
        </row>
        <row r="2376">
          <cell r="A2376">
            <v>42864</v>
          </cell>
          <cell r="CF2376">
            <v>23.428102628846393</v>
          </cell>
          <cell r="CG2376">
            <v>22.085252262534414</v>
          </cell>
          <cell r="CH2376">
            <v>18.555263085067214</v>
          </cell>
          <cell r="CI2376">
            <v>14.926604548033502</v>
          </cell>
          <cell r="CJ2376">
            <v>22.183921622100925</v>
          </cell>
          <cell r="CU2376">
            <v>14.614093424645134</v>
          </cell>
          <cell r="CV2376">
            <v>13.67289934744978</v>
          </cell>
          <cell r="CW2376">
            <v>11.062153668663059</v>
          </cell>
          <cell r="CX2376">
            <v>8.6510321273089765</v>
          </cell>
          <cell r="CY2376">
            <v>13.473275210017142</v>
          </cell>
        </row>
        <row r="2377">
          <cell r="A2377">
            <v>42865</v>
          </cell>
          <cell r="CF2377">
            <v>23.195891186934272</v>
          </cell>
          <cell r="CG2377">
            <v>22.085252262534414</v>
          </cell>
          <cell r="CH2377">
            <v>18.555263085067214</v>
          </cell>
          <cell r="CI2377">
            <v>14.926604548033502</v>
          </cell>
          <cell r="CJ2377">
            <v>22.183921622100925</v>
          </cell>
          <cell r="CU2377">
            <v>14.79473989846538</v>
          </cell>
          <cell r="CV2377">
            <v>13.67289934744978</v>
          </cell>
          <cell r="CW2377">
            <v>11.062153668663059</v>
          </cell>
          <cell r="CX2377">
            <v>8.6510321273089765</v>
          </cell>
          <cell r="CY2377">
            <v>13.473275210017142</v>
          </cell>
        </row>
        <row r="2378">
          <cell r="A2378">
            <v>42866</v>
          </cell>
          <cell r="CF2378">
            <v>23.238045053355041</v>
          </cell>
          <cell r="CG2378">
            <v>22.085252262534414</v>
          </cell>
          <cell r="CH2378">
            <v>18.555263085067214</v>
          </cell>
          <cell r="CI2378">
            <v>14.926604548033502</v>
          </cell>
          <cell r="CJ2378">
            <v>22.183921622100925</v>
          </cell>
          <cell r="CU2378">
            <v>14.818165847903927</v>
          </cell>
          <cell r="CV2378">
            <v>13.67289934744978</v>
          </cell>
          <cell r="CW2378">
            <v>11.062153668663059</v>
          </cell>
          <cell r="CX2378">
            <v>8.6510321273089765</v>
          </cell>
          <cell r="CY2378">
            <v>13.473275210017142</v>
          </cell>
        </row>
        <row r="2379">
          <cell r="A2379">
            <v>42867</v>
          </cell>
          <cell r="CF2379">
            <v>23.135812457907992</v>
          </cell>
          <cell r="CG2379">
            <v>22.085252262534414</v>
          </cell>
          <cell r="CH2379">
            <v>18.555263085067214</v>
          </cell>
          <cell r="CI2379">
            <v>14.926604548033502</v>
          </cell>
          <cell r="CJ2379">
            <v>22.183921622100925</v>
          </cell>
          <cell r="CU2379">
            <v>14.761087150408921</v>
          </cell>
          <cell r="CV2379">
            <v>13.67289934744978</v>
          </cell>
          <cell r="CW2379">
            <v>11.062153668663059</v>
          </cell>
          <cell r="CX2379">
            <v>8.6510321273089765</v>
          </cell>
          <cell r="CY2379">
            <v>13.473275210017142</v>
          </cell>
        </row>
        <row r="2380">
          <cell r="A2380">
            <v>42870</v>
          </cell>
          <cell r="CF2380">
            <v>23.198230583898717</v>
          </cell>
          <cell r="CG2380">
            <v>22.085252262534414</v>
          </cell>
          <cell r="CH2380">
            <v>18.555263085067214</v>
          </cell>
          <cell r="CI2380">
            <v>14.926604548033502</v>
          </cell>
          <cell r="CJ2380">
            <v>22.183921622100925</v>
          </cell>
          <cell r="CU2380">
            <v>14.841153479996283</v>
          </cell>
          <cell r="CV2380">
            <v>13.67289934744978</v>
          </cell>
          <cell r="CW2380">
            <v>11.062153668663059</v>
          </cell>
          <cell r="CX2380">
            <v>8.6510321273089765</v>
          </cell>
          <cell r="CY2380">
            <v>13.473275210017142</v>
          </cell>
        </row>
        <row r="2381">
          <cell r="A2381">
            <v>42871</v>
          </cell>
          <cell r="CF2381">
            <v>23.288808974876886</v>
          </cell>
          <cell r="CG2381">
            <v>22.085252262534414</v>
          </cell>
          <cell r="CH2381">
            <v>18.555263085067214</v>
          </cell>
          <cell r="CI2381">
            <v>14.926604548033502</v>
          </cell>
          <cell r="CJ2381">
            <v>22.183921622100925</v>
          </cell>
          <cell r="CU2381">
            <v>14.869925326697263</v>
          </cell>
          <cell r="CV2381">
            <v>13.67289934744978</v>
          </cell>
          <cell r="CW2381">
            <v>11.062153668663059</v>
          </cell>
          <cell r="CX2381">
            <v>8.6510321273089765</v>
          </cell>
          <cell r="CY2381">
            <v>13.473275210017142</v>
          </cell>
        </row>
        <row r="2382">
          <cell r="A2382">
            <v>42872</v>
          </cell>
          <cell r="CF2382">
            <v>22.977743163347135</v>
          </cell>
          <cell r="CG2382">
            <v>22.085252262534414</v>
          </cell>
          <cell r="CH2382">
            <v>18.555263085067214</v>
          </cell>
          <cell r="CI2382">
            <v>14.926604548033502</v>
          </cell>
          <cell r="CJ2382">
            <v>22.183921622100925</v>
          </cell>
          <cell r="CU2382">
            <v>14.702790507801986</v>
          </cell>
          <cell r="CV2382">
            <v>13.67289934744978</v>
          </cell>
          <cell r="CW2382">
            <v>11.062153668663059</v>
          </cell>
          <cell r="CX2382">
            <v>8.6510321273089765</v>
          </cell>
          <cell r="CY2382">
            <v>13.473275210017142</v>
          </cell>
        </row>
        <row r="2383">
          <cell r="A2383">
            <v>42873</v>
          </cell>
          <cell r="CF2383">
            <v>23.305509033272465</v>
          </cell>
          <cell r="CG2383">
            <v>22.085252262534414</v>
          </cell>
          <cell r="CH2383">
            <v>18.555263085067214</v>
          </cell>
          <cell r="CI2383">
            <v>14.926604548033502</v>
          </cell>
          <cell r="CJ2383">
            <v>22.183921622100925</v>
          </cell>
          <cell r="CU2383">
            <v>14.885318590127007</v>
          </cell>
          <cell r="CV2383">
            <v>13.67289934744978</v>
          </cell>
          <cell r="CW2383">
            <v>11.062153668663059</v>
          </cell>
          <cell r="CX2383">
            <v>8.6510321273089765</v>
          </cell>
          <cell r="CY2383">
            <v>13.473275210017142</v>
          </cell>
        </row>
        <row r="2384">
          <cell r="A2384">
            <v>42874</v>
          </cell>
          <cell r="CF2384">
            <v>23.395257398051371</v>
          </cell>
          <cell r="CG2384">
            <v>22.085252262534414</v>
          </cell>
          <cell r="CH2384">
            <v>18.555263085067214</v>
          </cell>
          <cell r="CI2384">
            <v>14.926604548033502</v>
          </cell>
          <cell r="CJ2384">
            <v>22.183921622100925</v>
          </cell>
          <cell r="CU2384">
            <v>14.897655766394344</v>
          </cell>
          <cell r="CV2384">
            <v>13.67289934744978</v>
          </cell>
          <cell r="CW2384">
            <v>11.062153668663059</v>
          </cell>
          <cell r="CX2384">
            <v>8.6510321273089765</v>
          </cell>
          <cell r="CY2384">
            <v>13.473275210017142</v>
          </cell>
        </row>
        <row r="2385">
          <cell r="A2385">
            <v>42877</v>
          </cell>
          <cell r="CF2385">
            <v>23.803139586266504</v>
          </cell>
          <cell r="CG2385">
            <v>22.085252262534414</v>
          </cell>
          <cell r="CH2385">
            <v>18.555263085067214</v>
          </cell>
          <cell r="CI2385">
            <v>14.926604548033502</v>
          </cell>
          <cell r="CJ2385">
            <v>22.183921622100925</v>
          </cell>
          <cell r="CU2385">
            <v>15.124241495285162</v>
          </cell>
          <cell r="CV2385">
            <v>13.67289934744978</v>
          </cell>
          <cell r="CW2385">
            <v>11.062153668663059</v>
          </cell>
          <cell r="CX2385">
            <v>8.6510321273089765</v>
          </cell>
          <cell r="CY2385">
            <v>13.473275210017142</v>
          </cell>
        </row>
        <row r="2386">
          <cell r="A2386">
            <v>42878</v>
          </cell>
          <cell r="CF2386">
            <v>23.957900668788774</v>
          </cell>
          <cell r="CG2386">
            <v>22.085252262534414</v>
          </cell>
          <cell r="CH2386">
            <v>18.555263085067214</v>
          </cell>
          <cell r="CI2386">
            <v>14.926604548033502</v>
          </cell>
          <cell r="CJ2386">
            <v>22.183921622100925</v>
          </cell>
          <cell r="CU2386">
            <v>15.211220897732277</v>
          </cell>
          <cell r="CV2386">
            <v>13.67289934744978</v>
          </cell>
          <cell r="CW2386">
            <v>11.062153668663059</v>
          </cell>
          <cell r="CX2386">
            <v>8.6510321273089765</v>
          </cell>
          <cell r="CY2386">
            <v>13.473275210017142</v>
          </cell>
        </row>
        <row r="2387">
          <cell r="A2387">
            <v>42879</v>
          </cell>
          <cell r="CF2387">
            <v>23.89606534371476</v>
          </cell>
          <cell r="CG2387">
            <v>22.085252262534414</v>
          </cell>
          <cell r="CH2387">
            <v>18.555263085067214</v>
          </cell>
          <cell r="CI2387">
            <v>14.926604548033502</v>
          </cell>
          <cell r="CJ2387">
            <v>22.183921622100925</v>
          </cell>
          <cell r="CU2387">
            <v>15.176867688362407</v>
          </cell>
          <cell r="CV2387">
            <v>13.67289934744978</v>
          </cell>
          <cell r="CW2387">
            <v>11.062153668663059</v>
          </cell>
          <cell r="CX2387">
            <v>8.6510321273089765</v>
          </cell>
          <cell r="CY2387">
            <v>13.473275210017142</v>
          </cell>
        </row>
        <row r="2388">
          <cell r="A2388">
            <v>42880</v>
          </cell>
          <cell r="CF2388">
            <v>24.110514198007074</v>
          </cell>
          <cell r="CG2388">
            <v>22.085252262534414</v>
          </cell>
          <cell r="CH2388">
            <v>18.555263085067214</v>
          </cell>
          <cell r="CI2388">
            <v>14.926604548033502</v>
          </cell>
          <cell r="CJ2388">
            <v>22.183921622100925</v>
          </cell>
          <cell r="CU2388">
            <v>15.296006811215154</v>
          </cell>
          <cell r="CV2388">
            <v>13.67289934744978</v>
          </cell>
          <cell r="CW2388">
            <v>11.062153668663059</v>
          </cell>
          <cell r="CX2388">
            <v>8.6510321273089765</v>
          </cell>
          <cell r="CY2388">
            <v>13.473275210017142</v>
          </cell>
        </row>
        <row r="2389">
          <cell r="A2389">
            <v>42881</v>
          </cell>
          <cell r="CF2389">
            <v>24.034206775575317</v>
          </cell>
          <cell r="CG2389">
            <v>22.085252262534414</v>
          </cell>
          <cell r="CH2389">
            <v>18.555263085067214</v>
          </cell>
          <cell r="CI2389">
            <v>14.926604548033502</v>
          </cell>
          <cell r="CJ2389">
            <v>22.183921622100925</v>
          </cell>
          <cell r="CU2389">
            <v>15.253613489014041</v>
          </cell>
          <cell r="CV2389">
            <v>13.67289934744978</v>
          </cell>
          <cell r="CW2389">
            <v>11.062153668663059</v>
          </cell>
          <cell r="CX2389">
            <v>8.6510321273089765</v>
          </cell>
          <cell r="CY2389">
            <v>13.473275210017142</v>
          </cell>
        </row>
        <row r="2390">
          <cell r="A2390">
            <v>42884</v>
          </cell>
          <cell r="CF2390">
            <v>24.034206775575317</v>
          </cell>
          <cell r="CG2390">
            <v>22.085252262534414</v>
          </cell>
          <cell r="CH2390">
            <v>18.555263085067214</v>
          </cell>
          <cell r="CI2390">
            <v>14.926604548033502</v>
          </cell>
          <cell r="CJ2390">
            <v>22.183921622100925</v>
          </cell>
          <cell r="CU2390">
            <v>15.253613489014041</v>
          </cell>
          <cell r="CV2390">
            <v>13.67289934744978</v>
          </cell>
          <cell r="CW2390">
            <v>11.062153668663059</v>
          </cell>
          <cell r="CX2390">
            <v>8.6510321273089765</v>
          </cell>
          <cell r="CY2390">
            <v>13.473275210017142</v>
          </cell>
        </row>
        <row r="2391">
          <cell r="A2391">
            <v>42885</v>
          </cell>
          <cell r="CF2391">
            <v>24.061835325076469</v>
          </cell>
          <cell r="CG2391">
            <v>22.085252262534414</v>
          </cell>
          <cell r="CH2391">
            <v>18.555263085067214</v>
          </cell>
          <cell r="CI2391">
            <v>14.926604548033502</v>
          </cell>
          <cell r="CJ2391">
            <v>22.183921622100925</v>
          </cell>
          <cell r="CU2391">
            <v>15.268962795328234</v>
          </cell>
          <cell r="CV2391">
            <v>13.67289934744978</v>
          </cell>
          <cell r="CW2391">
            <v>11.062153668663059</v>
          </cell>
          <cell r="CX2391">
            <v>8.6510321273089765</v>
          </cell>
          <cell r="CY2391">
            <v>13.473275210017142</v>
          </cell>
        </row>
        <row r="2392">
          <cell r="A2392">
            <v>42886</v>
          </cell>
          <cell r="CF2392">
            <v>24.20392632387048</v>
          </cell>
          <cell r="CG2392">
            <v>22.085252262534414</v>
          </cell>
          <cell r="CH2392">
            <v>18.555263085067214</v>
          </cell>
          <cell r="CI2392">
            <v>14.926604548033502</v>
          </cell>
          <cell r="CJ2392">
            <v>22.183921622100925</v>
          </cell>
          <cell r="CU2392">
            <v>15.347902815863453</v>
          </cell>
          <cell r="CV2392">
            <v>13.67289934744978</v>
          </cell>
          <cell r="CW2392">
            <v>11.062153668663059</v>
          </cell>
          <cell r="CX2392">
            <v>8.6510321273089765</v>
          </cell>
          <cell r="CY2392">
            <v>13.473275210017142</v>
          </cell>
        </row>
        <row r="2393">
          <cell r="A2393">
            <v>42887</v>
          </cell>
          <cell r="CF2393">
            <v>24.332681017612522</v>
          </cell>
          <cell r="CG2393">
            <v>22.085252262534414</v>
          </cell>
          <cell r="CH2393">
            <v>18.555263085067214</v>
          </cell>
          <cell r="CI2393">
            <v>14.926604548033502</v>
          </cell>
          <cell r="CJ2393">
            <v>22.183921622100925</v>
          </cell>
          <cell r="CU2393">
            <v>15.426875579840837</v>
          </cell>
          <cell r="CV2393">
            <v>13.67289934744978</v>
          </cell>
          <cell r="CW2393">
            <v>11.062153668663059</v>
          </cell>
          <cell r="CX2393">
            <v>8.6510321273089765</v>
          </cell>
          <cell r="CY2393">
            <v>13.473275210017142</v>
          </cell>
        </row>
        <row r="2394">
          <cell r="A2394">
            <v>42888</v>
          </cell>
          <cell r="CF2394">
            <v>24.340510110893668</v>
          </cell>
          <cell r="CG2394">
            <v>22.085252262534414</v>
          </cell>
          <cell r="CH2394">
            <v>18.555263085067214</v>
          </cell>
          <cell r="CI2394">
            <v>14.926604548033502</v>
          </cell>
          <cell r="CJ2394">
            <v>22.183921622100925</v>
          </cell>
          <cell r="CU2394">
            <v>15.431230977459709</v>
          </cell>
          <cell r="CV2394">
            <v>13.67289934744978</v>
          </cell>
          <cell r="CW2394">
            <v>11.062153668663059</v>
          </cell>
          <cell r="CX2394">
            <v>8.6510321273089765</v>
          </cell>
          <cell r="CY2394">
            <v>13.473275210017142</v>
          </cell>
        </row>
        <row r="2395">
          <cell r="A2395">
            <v>42891</v>
          </cell>
          <cell r="CF2395">
            <v>24.167998966521566</v>
          </cell>
          <cell r="CG2395">
            <v>22.085252262534414</v>
          </cell>
          <cell r="CH2395">
            <v>18.555263085067214</v>
          </cell>
          <cell r="CI2395">
            <v>14.926604548033502</v>
          </cell>
          <cell r="CJ2395">
            <v>22.183921622100925</v>
          </cell>
          <cell r="CU2395">
            <v>15.35666480032911</v>
          </cell>
          <cell r="CV2395">
            <v>13.67289934744978</v>
          </cell>
          <cell r="CW2395">
            <v>11.062153668663059</v>
          </cell>
          <cell r="CX2395">
            <v>8.6510321273089765</v>
          </cell>
          <cell r="CY2395">
            <v>13.473275210017142</v>
          </cell>
        </row>
        <row r="2396">
          <cell r="A2396">
            <v>42892</v>
          </cell>
          <cell r="CF2396">
            <v>24.016630912488385</v>
          </cell>
          <cell r="CG2396">
            <v>22.085252262534414</v>
          </cell>
          <cell r="CH2396">
            <v>18.555263085067214</v>
          </cell>
          <cell r="CI2396">
            <v>14.926604548033502</v>
          </cell>
          <cell r="CJ2396">
            <v>22.183921622100925</v>
          </cell>
          <cell r="CU2396">
            <v>15.272327787487304</v>
          </cell>
          <cell r="CV2396">
            <v>13.67289934744978</v>
          </cell>
          <cell r="CW2396">
            <v>11.062153668663059</v>
          </cell>
          <cell r="CX2396">
            <v>8.6510321273089765</v>
          </cell>
          <cell r="CY2396">
            <v>13.473275210017142</v>
          </cell>
        </row>
        <row r="2397">
          <cell r="A2397">
            <v>42893</v>
          </cell>
          <cell r="CF2397">
            <v>24.192790704957567</v>
          </cell>
          <cell r="CG2397">
            <v>22.085252262534414</v>
          </cell>
          <cell r="CH2397">
            <v>18.555263085067214</v>
          </cell>
          <cell r="CI2397">
            <v>14.926604548033502</v>
          </cell>
          <cell r="CJ2397">
            <v>22.183921622100925</v>
          </cell>
          <cell r="CU2397">
            <v>15.370477894354813</v>
          </cell>
          <cell r="CV2397">
            <v>13.67289934744978</v>
          </cell>
          <cell r="CW2397">
            <v>11.062153668663059</v>
          </cell>
          <cell r="CX2397">
            <v>8.6510321273089765</v>
          </cell>
          <cell r="CY2397">
            <v>13.473275210017142</v>
          </cell>
        </row>
        <row r="2398">
          <cell r="A2398">
            <v>42894</v>
          </cell>
          <cell r="CF2398">
            <v>24.033593268819228</v>
          </cell>
          <cell r="CG2398">
            <v>22.085252262534414</v>
          </cell>
          <cell r="CH2398">
            <v>18.555263085067214</v>
          </cell>
          <cell r="CI2398">
            <v>14.926604548033502</v>
          </cell>
          <cell r="CJ2398">
            <v>22.183921622100925</v>
          </cell>
          <cell r="CU2398">
            <v>15.281778622228089</v>
          </cell>
          <cell r="CV2398">
            <v>13.67289934744978</v>
          </cell>
          <cell r="CW2398">
            <v>11.062153668663059</v>
          </cell>
          <cell r="CX2398">
            <v>8.6510321273089765</v>
          </cell>
          <cell r="CY2398">
            <v>13.473275210017142</v>
          </cell>
        </row>
        <row r="2399">
          <cell r="A2399">
            <v>42895</v>
          </cell>
          <cell r="CF2399">
            <v>24.234698870004163</v>
          </cell>
          <cell r="CG2399">
            <v>22.085252262534414</v>
          </cell>
          <cell r="CH2399">
            <v>18.555263085067214</v>
          </cell>
          <cell r="CI2399">
            <v>14.926604548033502</v>
          </cell>
          <cell r="CJ2399">
            <v>22.183921622100925</v>
          </cell>
          <cell r="CU2399">
            <v>15.395980847661122</v>
          </cell>
          <cell r="CV2399">
            <v>13.67289934744978</v>
          </cell>
          <cell r="CW2399">
            <v>11.062153668663059</v>
          </cell>
          <cell r="CX2399">
            <v>8.6510321273089765</v>
          </cell>
          <cell r="CY2399">
            <v>13.473275210017142</v>
          </cell>
        </row>
        <row r="2400">
          <cell r="A2400">
            <v>42898</v>
          </cell>
          <cell r="CF2400">
            <v>24.012073889121957</v>
          </cell>
          <cell r="CG2400">
            <v>22.085252262534414</v>
          </cell>
          <cell r="CH2400">
            <v>18.555263085067214</v>
          </cell>
          <cell r="CI2400">
            <v>14.926604548033502</v>
          </cell>
          <cell r="CJ2400">
            <v>22.183921622100925</v>
          </cell>
          <cell r="CU2400">
            <v>15.276762102187822</v>
          </cell>
          <cell r="CV2400">
            <v>13.67289934744978</v>
          </cell>
          <cell r="CW2400">
            <v>11.062153668663059</v>
          </cell>
          <cell r="CX2400">
            <v>8.6510321273089765</v>
          </cell>
          <cell r="CY2400">
            <v>13.473275210017142</v>
          </cell>
        </row>
        <row r="2401">
          <cell r="A2401">
            <v>42899</v>
          </cell>
          <cell r="CF2401">
            <v>23.976841307236963</v>
          </cell>
          <cell r="CG2401">
            <v>22.085252262534414</v>
          </cell>
          <cell r="CH2401">
            <v>18.555263085067214</v>
          </cell>
          <cell r="CI2401">
            <v>14.926604548033502</v>
          </cell>
          <cell r="CJ2401">
            <v>22.183921622100925</v>
          </cell>
          <cell r="CU2401">
            <v>15.257122703723418</v>
          </cell>
          <cell r="CV2401">
            <v>13.67289934744978</v>
          </cell>
          <cell r="CW2401">
            <v>11.062153668663059</v>
          </cell>
          <cell r="CX2401">
            <v>8.6510321273089765</v>
          </cell>
          <cell r="CY2401">
            <v>13.473275210017142</v>
          </cell>
        </row>
        <row r="2402">
          <cell r="A2402">
            <v>42900</v>
          </cell>
          <cell r="CF2402">
            <v>24.012073889121957</v>
          </cell>
          <cell r="CG2402">
            <v>22.085252262534414</v>
          </cell>
          <cell r="CH2402">
            <v>18.555263085067214</v>
          </cell>
          <cell r="CI2402">
            <v>14.926604548033502</v>
          </cell>
          <cell r="CJ2402">
            <v>22.183921622100925</v>
          </cell>
          <cell r="CU2402">
            <v>15.276762102187822</v>
          </cell>
          <cell r="CV2402">
            <v>13.67289934744978</v>
          </cell>
          <cell r="CW2402">
            <v>11.062153668663059</v>
          </cell>
          <cell r="CX2402">
            <v>8.6510321273089765</v>
          </cell>
          <cell r="CY2402">
            <v>13.473275210017142</v>
          </cell>
        </row>
        <row r="2403">
          <cell r="A2403">
            <v>42901</v>
          </cell>
          <cell r="CF2403">
            <v>23.965098853091451</v>
          </cell>
          <cell r="CG2403">
            <v>22.085252262534414</v>
          </cell>
          <cell r="CH2403">
            <v>18.555263085067214</v>
          </cell>
          <cell r="CI2403">
            <v>14.926604548033502</v>
          </cell>
          <cell r="CJ2403">
            <v>22.183921622100925</v>
          </cell>
          <cell r="CU2403">
            <v>15.250577207379536</v>
          </cell>
          <cell r="CV2403">
            <v>13.67289934744978</v>
          </cell>
          <cell r="CW2403">
            <v>11.062153668663059</v>
          </cell>
          <cell r="CX2403">
            <v>8.6510321273089765</v>
          </cell>
          <cell r="CY2403">
            <v>13.473275210017142</v>
          </cell>
        </row>
        <row r="2404">
          <cell r="A2404">
            <v>42902</v>
          </cell>
          <cell r="CF2404">
            <v>23.842640918580376</v>
          </cell>
          <cell r="CG2404">
            <v>22.085252262534414</v>
          </cell>
          <cell r="CH2404">
            <v>18.555263085067214</v>
          </cell>
          <cell r="CI2404">
            <v>14.926604548033502</v>
          </cell>
          <cell r="CJ2404">
            <v>22.183921622100925</v>
          </cell>
          <cell r="CU2404">
            <v>15.182932168433272</v>
          </cell>
          <cell r="CV2404">
            <v>13.67289934744978</v>
          </cell>
          <cell r="CW2404">
            <v>11.062153668663059</v>
          </cell>
          <cell r="CX2404">
            <v>8.6510321273089765</v>
          </cell>
          <cell r="CY2404">
            <v>13.473275210017142</v>
          </cell>
        </row>
        <row r="2405">
          <cell r="A2405">
            <v>42905</v>
          </cell>
          <cell r="CF2405">
            <v>24.146659707724428</v>
          </cell>
          <cell r="CG2405">
            <v>22.085252262534414</v>
          </cell>
          <cell r="CH2405">
            <v>18.555263085067214</v>
          </cell>
          <cell r="CI2405">
            <v>14.926604548033502</v>
          </cell>
          <cell r="CJ2405">
            <v>22.183921622100925</v>
          </cell>
          <cell r="CU2405">
            <v>15.352406626498016</v>
          </cell>
          <cell r="CV2405">
            <v>13.67289934744978</v>
          </cell>
          <cell r="CW2405">
            <v>11.062153668663059</v>
          </cell>
          <cell r="CX2405">
            <v>8.6510321273089765</v>
          </cell>
          <cell r="CY2405">
            <v>13.473275210017142</v>
          </cell>
        </row>
        <row r="2406">
          <cell r="A2406">
            <v>42906</v>
          </cell>
          <cell r="CF2406">
            <v>23.763048016701465</v>
          </cell>
          <cell r="CG2406">
            <v>22.085252262534414</v>
          </cell>
          <cell r="CH2406">
            <v>18.555263085067214</v>
          </cell>
          <cell r="CI2406">
            <v>14.926604548033502</v>
          </cell>
          <cell r="CJ2406">
            <v>22.183921622100925</v>
          </cell>
          <cell r="CU2406">
            <v>15.13856331889701</v>
          </cell>
          <cell r="CV2406">
            <v>13.67289934744978</v>
          </cell>
          <cell r="CW2406">
            <v>11.062153668663059</v>
          </cell>
          <cell r="CX2406">
            <v>8.6510321273089765</v>
          </cell>
          <cell r="CY2406">
            <v>13.473275210017142</v>
          </cell>
        </row>
        <row r="2407">
          <cell r="A2407">
            <v>42907</v>
          </cell>
          <cell r="CF2407">
            <v>23.913101513569941</v>
          </cell>
          <cell r="CG2407">
            <v>22.085252262534414</v>
          </cell>
          <cell r="CH2407">
            <v>18.555263085067214</v>
          </cell>
          <cell r="CI2407">
            <v>14.926604548033502</v>
          </cell>
          <cell r="CJ2407">
            <v>22.183921622100925</v>
          </cell>
          <cell r="CU2407">
            <v>15.222210238003893</v>
          </cell>
          <cell r="CV2407">
            <v>13.67289934744978</v>
          </cell>
          <cell r="CW2407">
            <v>11.062153668663059</v>
          </cell>
          <cell r="CX2407">
            <v>8.6510321273089765</v>
          </cell>
          <cell r="CY2407">
            <v>13.473275210017142</v>
          </cell>
        </row>
        <row r="2408">
          <cell r="A2408">
            <v>42908</v>
          </cell>
          <cell r="CF2408">
            <v>24.042275574112736</v>
          </cell>
          <cell r="CG2408">
            <v>22.085252262534414</v>
          </cell>
          <cell r="CH2408">
            <v>18.555263085067214</v>
          </cell>
          <cell r="CI2408">
            <v>14.926604548033502</v>
          </cell>
          <cell r="CJ2408">
            <v>22.183921622100925</v>
          </cell>
          <cell r="CU2408">
            <v>15.294217971368488</v>
          </cell>
          <cell r="CV2408">
            <v>13.67289934744978</v>
          </cell>
          <cell r="CW2408">
            <v>11.062153668663059</v>
          </cell>
          <cell r="CX2408">
            <v>8.6510321273089765</v>
          </cell>
          <cell r="CY2408">
            <v>13.473275210017142</v>
          </cell>
        </row>
        <row r="2409">
          <cell r="A2409">
            <v>42909</v>
          </cell>
          <cell r="CF2409">
            <v>24.03053235908142</v>
          </cell>
          <cell r="CG2409">
            <v>22.085252262534414</v>
          </cell>
          <cell r="CH2409">
            <v>18.555263085067214</v>
          </cell>
          <cell r="CI2409">
            <v>14.926604548033502</v>
          </cell>
          <cell r="CJ2409">
            <v>22.183921622100925</v>
          </cell>
          <cell r="CU2409">
            <v>15.287671747666419</v>
          </cell>
          <cell r="CV2409">
            <v>13.67289934744978</v>
          </cell>
          <cell r="CW2409">
            <v>11.062153668663059</v>
          </cell>
          <cell r="CX2409">
            <v>8.6510321273089765</v>
          </cell>
          <cell r="CY2409">
            <v>13.473275210017142</v>
          </cell>
        </row>
        <row r="2410">
          <cell r="A2410">
            <v>42912</v>
          </cell>
          <cell r="CF2410">
            <v>24.133612995824638</v>
          </cell>
          <cell r="CG2410">
            <v>22.085252262534414</v>
          </cell>
          <cell r="CH2410">
            <v>18.555263085067214</v>
          </cell>
          <cell r="CI2410">
            <v>14.926604548033502</v>
          </cell>
          <cell r="CJ2410">
            <v>22.183921622100925</v>
          </cell>
          <cell r="CU2410">
            <v>15.345133771965015</v>
          </cell>
          <cell r="CV2410">
            <v>13.67289934744978</v>
          </cell>
          <cell r="CW2410">
            <v>11.062153668663059</v>
          </cell>
          <cell r="CX2410">
            <v>8.6510321273089765</v>
          </cell>
          <cell r="CY2410">
            <v>13.473275210017142</v>
          </cell>
        </row>
        <row r="2411">
          <cell r="A2411">
            <v>42913</v>
          </cell>
          <cell r="CF2411">
            <v>23.860908141962422</v>
          </cell>
          <cell r="CG2411">
            <v>22.085252262534414</v>
          </cell>
          <cell r="CH2411">
            <v>18.555263085067214</v>
          </cell>
          <cell r="CI2411">
            <v>14.926604548033502</v>
          </cell>
          <cell r="CJ2411">
            <v>22.183921622100925</v>
          </cell>
          <cell r="CU2411">
            <v>15.193115183080938</v>
          </cell>
          <cell r="CV2411">
            <v>13.67289934744978</v>
          </cell>
          <cell r="CW2411">
            <v>11.062153668663059</v>
          </cell>
          <cell r="CX2411">
            <v>8.6510321273089765</v>
          </cell>
          <cell r="CY2411">
            <v>13.473275210017142</v>
          </cell>
        </row>
        <row r="2412">
          <cell r="A2412">
            <v>42914</v>
          </cell>
          <cell r="CF2412">
            <v>24.044885177453029</v>
          </cell>
          <cell r="CG2412">
            <v>22.085252262534414</v>
          </cell>
          <cell r="CH2412">
            <v>18.555263085067214</v>
          </cell>
          <cell r="CI2412">
            <v>14.926604548033502</v>
          </cell>
          <cell r="CJ2412">
            <v>22.183921622100925</v>
          </cell>
          <cell r="CU2412">
            <v>15.295672687746729</v>
          </cell>
          <cell r="CV2412">
            <v>13.67289934744978</v>
          </cell>
          <cell r="CW2412">
            <v>11.062153668663059</v>
          </cell>
          <cell r="CX2412">
            <v>8.6510321273089765</v>
          </cell>
          <cell r="CY2412">
            <v>13.473275210017142</v>
          </cell>
        </row>
        <row r="2413">
          <cell r="A2413">
            <v>42915</v>
          </cell>
          <cell r="CF2413">
            <v>23.796974164926933</v>
          </cell>
          <cell r="CG2413">
            <v>22.085252262534414</v>
          </cell>
          <cell r="CH2413">
            <v>18.555263085067214</v>
          </cell>
          <cell r="CI2413">
            <v>14.926604548033502</v>
          </cell>
          <cell r="CJ2413">
            <v>22.183921622100925</v>
          </cell>
          <cell r="CU2413">
            <v>15.157475359172292</v>
          </cell>
          <cell r="CV2413">
            <v>13.67289934744978</v>
          </cell>
          <cell r="CW2413">
            <v>11.062153668663059</v>
          </cell>
          <cell r="CX2413">
            <v>8.6510321273089765</v>
          </cell>
          <cell r="CY2413">
            <v>13.473275210017142</v>
          </cell>
        </row>
        <row r="2414">
          <cell r="A2414">
            <v>42916</v>
          </cell>
          <cell r="CF2414">
            <v>23.880481471816285</v>
          </cell>
          <cell r="CG2414">
            <v>22.085252262534414</v>
          </cell>
          <cell r="CH2414">
            <v>18.555263085067214</v>
          </cell>
          <cell r="CI2414">
            <v>14.926604548033502</v>
          </cell>
          <cell r="CJ2414">
            <v>22.183921622100925</v>
          </cell>
          <cell r="CU2414">
            <v>15.204026283275914</v>
          </cell>
          <cell r="CV2414">
            <v>13.67289934744978</v>
          </cell>
          <cell r="CW2414">
            <v>11.062153668663059</v>
          </cell>
          <cell r="CX2414">
            <v>8.6510321273089765</v>
          </cell>
          <cell r="CY2414">
            <v>13.473275210017142</v>
          </cell>
        </row>
        <row r="2415">
          <cell r="A2415">
            <v>42919</v>
          </cell>
          <cell r="CF2415">
            <v>23.545828337289336</v>
          </cell>
          <cell r="CG2415">
            <v>22.085252262534414</v>
          </cell>
          <cell r="CH2415">
            <v>18.555263085067214</v>
          </cell>
          <cell r="CI2415">
            <v>14.926604548033502</v>
          </cell>
          <cell r="CJ2415">
            <v>22.183921622100925</v>
          </cell>
          <cell r="CU2415">
            <v>15.021351571632335</v>
          </cell>
          <cell r="CV2415">
            <v>13.67289934744978</v>
          </cell>
          <cell r="CW2415">
            <v>11.062153668663059</v>
          </cell>
          <cell r="CX2415">
            <v>8.6510321273089765</v>
          </cell>
          <cell r="CY2415">
            <v>13.473275210017142</v>
          </cell>
        </row>
        <row r="2416">
          <cell r="A2416">
            <v>42920</v>
          </cell>
          <cell r="CF2416">
            <v>23.545828337289336</v>
          </cell>
          <cell r="CG2416">
            <v>22.085252262534414</v>
          </cell>
          <cell r="CH2416">
            <v>18.555263085067214</v>
          </cell>
          <cell r="CI2416">
            <v>14.926604548033502</v>
          </cell>
          <cell r="CJ2416">
            <v>22.183921622100925</v>
          </cell>
          <cell r="CU2416">
            <v>15.021351571632335</v>
          </cell>
          <cell r="CV2416">
            <v>13.67289934744978</v>
          </cell>
          <cell r="CW2416">
            <v>11.062153668663059</v>
          </cell>
          <cell r="CX2416">
            <v>8.6510321273089765</v>
          </cell>
          <cell r="CY2416">
            <v>13.473275210017142</v>
          </cell>
        </row>
        <row r="2417">
          <cell r="A2417">
            <v>42921</v>
          </cell>
          <cell r="CF2417">
            <v>23.767090791462316</v>
          </cell>
          <cell r="CG2417">
            <v>22.085252262534414</v>
          </cell>
          <cell r="CH2417">
            <v>18.555263085067214</v>
          </cell>
          <cell r="CI2417">
            <v>14.926604548033502</v>
          </cell>
          <cell r="CJ2417">
            <v>22.183921622100925</v>
          </cell>
          <cell r="CU2417">
            <v>15.144855093106512</v>
          </cell>
          <cell r="CV2417">
            <v>13.67289934744978</v>
          </cell>
          <cell r="CW2417">
            <v>11.062153668663059</v>
          </cell>
          <cell r="CX2417">
            <v>8.6510321273089765</v>
          </cell>
          <cell r="CY2417">
            <v>13.473275210017142</v>
          </cell>
        </row>
        <row r="2418">
          <cell r="A2418">
            <v>42922</v>
          </cell>
          <cell r="CF2418">
            <v>23.434549493209101</v>
          </cell>
          <cell r="CG2418">
            <v>22.085252262534414</v>
          </cell>
          <cell r="CH2418">
            <v>18.555263085067214</v>
          </cell>
          <cell r="CI2418">
            <v>14.926604548033502</v>
          </cell>
          <cell r="CJ2418">
            <v>22.183921622100925</v>
          </cell>
          <cell r="CU2418">
            <v>14.959238326252072</v>
          </cell>
          <cell r="CV2418">
            <v>13.67289934744978</v>
          </cell>
          <cell r="CW2418">
            <v>11.062153668663059</v>
          </cell>
          <cell r="CX2418">
            <v>8.6510321273089765</v>
          </cell>
          <cell r="CY2418">
            <v>13.473275210017142</v>
          </cell>
        </row>
        <row r="2419">
          <cell r="A2419">
            <v>42923</v>
          </cell>
          <cell r="CF2419">
            <v>23.656507102841395</v>
          </cell>
          <cell r="CG2419">
            <v>22.085252262534414</v>
          </cell>
          <cell r="CH2419">
            <v>18.555263085067214</v>
          </cell>
          <cell r="CI2419">
            <v>14.926604548033502</v>
          </cell>
          <cell r="CJ2419">
            <v>22.183921622100925</v>
          </cell>
          <cell r="CU2419">
            <v>15.084205797267423</v>
          </cell>
          <cell r="CV2419">
            <v>13.67289934744978</v>
          </cell>
          <cell r="CW2419">
            <v>11.062153668663059</v>
          </cell>
          <cell r="CX2419">
            <v>8.6510321273089765</v>
          </cell>
          <cell r="CY2419">
            <v>13.473275210017142</v>
          </cell>
        </row>
        <row r="2420">
          <cell r="A2420">
            <v>42926</v>
          </cell>
          <cell r="CF2420">
            <v>23.369275393323196</v>
          </cell>
          <cell r="CG2420">
            <v>22.085252262534414</v>
          </cell>
          <cell r="CH2420">
            <v>18.555263085067214</v>
          </cell>
          <cell r="CI2420">
            <v>14.926604548033502</v>
          </cell>
          <cell r="CJ2420">
            <v>22.183921622100925</v>
          </cell>
          <cell r="CU2420">
            <v>14.923866747737875</v>
          </cell>
          <cell r="CV2420">
            <v>13.67289934744978</v>
          </cell>
          <cell r="CW2420">
            <v>11.062153668663059</v>
          </cell>
          <cell r="CX2420">
            <v>8.6510321273089765</v>
          </cell>
          <cell r="CY2420">
            <v>13.473275210017142</v>
          </cell>
        </row>
        <row r="2421">
          <cell r="A2421">
            <v>42927</v>
          </cell>
          <cell r="CF2421">
            <v>23.377038412499363</v>
          </cell>
          <cell r="CG2421">
            <v>22.085252262534414</v>
          </cell>
          <cell r="CH2421">
            <v>18.555263085067214</v>
          </cell>
          <cell r="CI2421">
            <v>14.926604548033502</v>
          </cell>
          <cell r="CJ2421">
            <v>22.183921622100925</v>
          </cell>
          <cell r="CU2421">
            <v>14.928200235563001</v>
          </cell>
          <cell r="CV2421">
            <v>13.67289934744978</v>
          </cell>
          <cell r="CW2421">
            <v>11.062153668663059</v>
          </cell>
          <cell r="CX2421">
            <v>8.6510321273089765</v>
          </cell>
          <cell r="CY2421">
            <v>13.473275210017142</v>
          </cell>
        </row>
        <row r="2422">
          <cell r="A2422">
            <v>42928</v>
          </cell>
          <cell r="CF2422">
            <v>23.692158447860027</v>
          </cell>
          <cell r="CG2422">
            <v>22.085252262534414</v>
          </cell>
          <cell r="CH2422">
            <v>18.555263085067214</v>
          </cell>
          <cell r="CI2422">
            <v>14.926604548033502</v>
          </cell>
          <cell r="CJ2422">
            <v>22.183921622100925</v>
          </cell>
          <cell r="CU2422">
            <v>15.107816465105724</v>
          </cell>
          <cell r="CV2422">
            <v>13.67289934744978</v>
          </cell>
          <cell r="CW2422">
            <v>11.062153668663059</v>
          </cell>
          <cell r="CX2422">
            <v>8.6510321273089765</v>
          </cell>
          <cell r="CY2422">
            <v>13.473275210017142</v>
          </cell>
        </row>
        <row r="2423">
          <cell r="A2423">
            <v>42929</v>
          </cell>
          <cell r="CF2423">
            <v>23.596443007277969</v>
          </cell>
          <cell r="CG2423">
            <v>22.085252262534414</v>
          </cell>
          <cell r="CH2423">
            <v>18.555263085067214</v>
          </cell>
          <cell r="CI2423">
            <v>14.926604548033502</v>
          </cell>
          <cell r="CJ2423">
            <v>22.183921622100925</v>
          </cell>
          <cell r="CU2423">
            <v>15.054370905972101</v>
          </cell>
          <cell r="CV2423">
            <v>13.67289934744978</v>
          </cell>
          <cell r="CW2423">
            <v>11.062153668663059</v>
          </cell>
          <cell r="CX2423">
            <v>8.6510321273089765</v>
          </cell>
          <cell r="CY2423">
            <v>13.473275210017142</v>
          </cell>
        </row>
        <row r="2424">
          <cell r="A2424">
            <v>42930</v>
          </cell>
          <cell r="CF2424">
            <v>23.898614807765622</v>
          </cell>
          <cell r="CG2424">
            <v>22.085252262534414</v>
          </cell>
          <cell r="CH2424">
            <v>18.555263085067214</v>
          </cell>
          <cell r="CI2424">
            <v>14.926604548033502</v>
          </cell>
          <cell r="CJ2424">
            <v>22.183921622100925</v>
          </cell>
          <cell r="CU2424">
            <v>15.216049614066874</v>
          </cell>
          <cell r="CV2424">
            <v>13.67289934744978</v>
          </cell>
          <cell r="CW2424">
            <v>11.062153668663059</v>
          </cell>
          <cell r="CX2424">
            <v>8.6510321273089765</v>
          </cell>
          <cell r="CY2424">
            <v>13.473275210017142</v>
          </cell>
        </row>
        <row r="2425">
          <cell r="A2425">
            <v>42933</v>
          </cell>
          <cell r="CF2425">
            <v>23.989654615013922</v>
          </cell>
          <cell r="CG2425">
            <v>22.085252262534414</v>
          </cell>
          <cell r="CH2425">
            <v>18.555263085067214</v>
          </cell>
          <cell r="CI2425">
            <v>14.926604548033502</v>
          </cell>
          <cell r="CJ2425">
            <v>22.183921622100925</v>
          </cell>
          <cell r="CU2425">
            <v>15.269087334214968</v>
          </cell>
          <cell r="CV2425">
            <v>13.67289934744978</v>
          </cell>
          <cell r="CW2425">
            <v>11.062153668663059</v>
          </cell>
          <cell r="CX2425">
            <v>8.6510321273089765</v>
          </cell>
          <cell r="CY2425">
            <v>13.473275210017142</v>
          </cell>
        </row>
        <row r="2426">
          <cell r="A2426">
            <v>42934</v>
          </cell>
          <cell r="CF2426">
            <v>23.843527345225667</v>
          </cell>
          <cell r="CG2426">
            <v>22.085252262534414</v>
          </cell>
          <cell r="CH2426">
            <v>18.555263085067214</v>
          </cell>
          <cell r="CI2426">
            <v>14.926604548033502</v>
          </cell>
          <cell r="CJ2426">
            <v>22.183921622100925</v>
          </cell>
          <cell r="CU2426">
            <v>15.187516552707283</v>
          </cell>
          <cell r="CV2426">
            <v>13.67289934744978</v>
          </cell>
          <cell r="CW2426">
            <v>11.062153668663059</v>
          </cell>
          <cell r="CX2426">
            <v>8.6510321273089765</v>
          </cell>
          <cell r="CY2426">
            <v>13.473275210017142</v>
          </cell>
        </row>
        <row r="2427">
          <cell r="A2427">
            <v>42935</v>
          </cell>
          <cell r="CF2427">
            <v>23.949566248183807</v>
          </cell>
          <cell r="CG2427">
            <v>22.085252262534414</v>
          </cell>
          <cell r="CH2427">
            <v>18.555263085067214</v>
          </cell>
          <cell r="CI2427">
            <v>14.926604548033502</v>
          </cell>
          <cell r="CJ2427">
            <v>22.183921622100925</v>
          </cell>
          <cell r="CU2427">
            <v>15.245834142994765</v>
          </cell>
          <cell r="CV2427">
            <v>13.67289934744978</v>
          </cell>
          <cell r="CW2427">
            <v>11.062153668663059</v>
          </cell>
          <cell r="CX2427">
            <v>8.6510321273089765</v>
          </cell>
          <cell r="CY2427">
            <v>13.473275210017142</v>
          </cell>
        </row>
        <row r="2428">
          <cell r="A2428">
            <v>42936</v>
          </cell>
          <cell r="CF2428">
            <v>23.851286383966979</v>
          </cell>
          <cell r="CG2428">
            <v>22.085252262534414</v>
          </cell>
          <cell r="CH2428">
            <v>18.555263085067214</v>
          </cell>
          <cell r="CI2428">
            <v>14.926604548033502</v>
          </cell>
          <cell r="CJ2428">
            <v>22.183921622100925</v>
          </cell>
          <cell r="CU2428">
            <v>15.190974320222546</v>
          </cell>
          <cell r="CV2428">
            <v>13.67289934744978</v>
          </cell>
          <cell r="CW2428">
            <v>11.062153668663059</v>
          </cell>
          <cell r="CX2428">
            <v>8.6510321273089765</v>
          </cell>
          <cell r="CY2428">
            <v>13.473275210017142</v>
          </cell>
        </row>
        <row r="2429">
          <cell r="A2429">
            <v>42937</v>
          </cell>
          <cell r="CF2429">
            <v>23.996932254607042</v>
          </cell>
          <cell r="CG2429">
            <v>22.085252262534414</v>
          </cell>
          <cell r="CH2429">
            <v>18.555263085067214</v>
          </cell>
          <cell r="CI2429">
            <v>14.926604548033502</v>
          </cell>
          <cell r="CJ2429">
            <v>22.183921622100925</v>
          </cell>
          <cell r="CU2429">
            <v>15.225573251867377</v>
          </cell>
          <cell r="CV2429">
            <v>13.67289934744978</v>
          </cell>
          <cell r="CW2429">
            <v>11.062153668663059</v>
          </cell>
          <cell r="CX2429">
            <v>8.6510321273089765</v>
          </cell>
          <cell r="CY2429">
            <v>13.473275210017142</v>
          </cell>
        </row>
        <row r="2430">
          <cell r="A2430">
            <v>42940</v>
          </cell>
          <cell r="CF2430">
            <v>24.096855885395328</v>
          </cell>
          <cell r="CG2430">
            <v>22.085252262534414</v>
          </cell>
          <cell r="CH2430">
            <v>18.555263085067214</v>
          </cell>
          <cell r="CI2430">
            <v>14.926604548033502</v>
          </cell>
          <cell r="CJ2430">
            <v>22.183921622100925</v>
          </cell>
          <cell r="CU2430">
            <v>15.281154723690188</v>
          </cell>
          <cell r="CV2430">
            <v>13.67289934744978</v>
          </cell>
          <cell r="CW2430">
            <v>11.062153668663059</v>
          </cell>
          <cell r="CX2430">
            <v>8.6510321273089765</v>
          </cell>
          <cell r="CY2430">
            <v>13.473275210017142</v>
          </cell>
        </row>
        <row r="2431">
          <cell r="A2431">
            <v>42941</v>
          </cell>
          <cell r="CF2431">
            <v>23.973575084822777</v>
          </cell>
          <cell r="CG2431">
            <v>22.085252262534414</v>
          </cell>
          <cell r="CH2431">
            <v>18.555263085067214</v>
          </cell>
          <cell r="CI2431">
            <v>14.926604548033502</v>
          </cell>
          <cell r="CJ2431">
            <v>22.183921622100925</v>
          </cell>
          <cell r="CU2431">
            <v>15.281154723690188</v>
          </cell>
          <cell r="CV2431">
            <v>13.67289934744978</v>
          </cell>
          <cell r="CW2431">
            <v>11.062153668663059</v>
          </cell>
          <cell r="CX2431">
            <v>8.6510321273089765</v>
          </cell>
          <cell r="CY2431">
            <v>13.473275210017142</v>
          </cell>
        </row>
        <row r="2432">
          <cell r="A2432">
            <v>42942</v>
          </cell>
          <cell r="CF2432">
            <v>23.885705727709958</v>
          </cell>
          <cell r="CG2432">
            <v>22.085252262534414</v>
          </cell>
          <cell r="CH2432">
            <v>18.555263085067214</v>
          </cell>
          <cell r="CI2432">
            <v>14.926604548033502</v>
          </cell>
          <cell r="CJ2432">
            <v>22.183921622100925</v>
          </cell>
          <cell r="CU2432">
            <v>15.27444874441418</v>
          </cell>
          <cell r="CV2432">
            <v>13.67289934744978</v>
          </cell>
          <cell r="CW2432">
            <v>11.062153668663059</v>
          </cell>
          <cell r="CX2432">
            <v>8.6510321273089765</v>
          </cell>
          <cell r="CY2432">
            <v>13.473275210017142</v>
          </cell>
        </row>
        <row r="2433">
          <cell r="A2433">
            <v>42943</v>
          </cell>
          <cell r="CF2433">
            <v>23.638754902385621</v>
          </cell>
          <cell r="CG2433">
            <v>22.085252262534414</v>
          </cell>
          <cell r="CH2433">
            <v>18.555263085067214</v>
          </cell>
          <cell r="CI2433">
            <v>14.926604548033502</v>
          </cell>
          <cell r="CJ2433">
            <v>22.183921622100925</v>
          </cell>
          <cell r="CU2433">
            <v>15.27444874441418</v>
          </cell>
          <cell r="CV2433">
            <v>13.67289934744978</v>
          </cell>
          <cell r="CW2433">
            <v>11.062153668663059</v>
          </cell>
          <cell r="CX2433">
            <v>8.6510321273089765</v>
          </cell>
          <cell r="CY2433">
            <v>13.473275210017142</v>
          </cell>
        </row>
        <row r="2434">
          <cell r="A2434">
            <v>42944</v>
          </cell>
          <cell r="CF2434">
            <v>23.649098392451563</v>
          </cell>
          <cell r="CG2434">
            <v>22.085252262534414</v>
          </cell>
          <cell r="CH2434">
            <v>18.555263085067214</v>
          </cell>
          <cell r="CI2434">
            <v>14.926604548033502</v>
          </cell>
          <cell r="CJ2434">
            <v>22.183921622100925</v>
          </cell>
          <cell r="CU2434">
            <v>15.073868643276358</v>
          </cell>
          <cell r="CV2434">
            <v>13.67289934744978</v>
          </cell>
          <cell r="CW2434">
            <v>11.062153668663059</v>
          </cell>
          <cell r="CX2434">
            <v>8.6510321273089765</v>
          </cell>
          <cell r="CY2434">
            <v>13.473275210017142</v>
          </cell>
        </row>
        <row r="2435">
          <cell r="A2435">
            <v>42947</v>
          </cell>
          <cell r="CF2435">
            <v>23.558592854374581</v>
          </cell>
          <cell r="CG2435">
            <v>22.085252262534414</v>
          </cell>
          <cell r="CH2435">
            <v>18.555263085067214</v>
          </cell>
          <cell r="CI2435">
            <v>14.926604548033502</v>
          </cell>
          <cell r="CJ2435">
            <v>22.183921622100925</v>
          </cell>
          <cell r="CU2435">
            <v>15.023362862414322</v>
          </cell>
          <cell r="CV2435">
            <v>13.67289934744978</v>
          </cell>
          <cell r="CW2435">
            <v>11.062153668663059</v>
          </cell>
          <cell r="CX2435">
            <v>8.6510321273089765</v>
          </cell>
          <cell r="CY2435">
            <v>13.473275210017142</v>
          </cell>
        </row>
        <row r="2436">
          <cell r="A2436">
            <v>42948</v>
          </cell>
          <cell r="CF2436">
            <v>23.243718156952234</v>
          </cell>
          <cell r="CG2436">
            <v>22.085252262534414</v>
          </cell>
          <cell r="CH2436">
            <v>18.555263085067214</v>
          </cell>
          <cell r="CI2436">
            <v>14.926604548033502</v>
          </cell>
          <cell r="CJ2436">
            <v>22.183921622100925</v>
          </cell>
          <cell r="CU2436">
            <v>14.851585523476581</v>
          </cell>
          <cell r="CV2436">
            <v>13.67289934744978</v>
          </cell>
          <cell r="CW2436">
            <v>11.062153668663059</v>
          </cell>
          <cell r="CX2436">
            <v>8.6510321273089765</v>
          </cell>
          <cell r="CY2436">
            <v>13.473275210017142</v>
          </cell>
        </row>
        <row r="2437">
          <cell r="A2437">
            <v>42949</v>
          </cell>
          <cell r="CF2437">
            <v>22.991110873655916</v>
          </cell>
          <cell r="CG2437">
            <v>22.085252262534414</v>
          </cell>
          <cell r="CH2437">
            <v>18.555263085067214</v>
          </cell>
          <cell r="CI2437">
            <v>14.926604548033502</v>
          </cell>
          <cell r="CJ2437">
            <v>22.183921622100925</v>
          </cell>
          <cell r="CU2437">
            <v>14.710435818639258</v>
          </cell>
          <cell r="CV2437">
            <v>13.67289934744978</v>
          </cell>
          <cell r="CW2437">
            <v>11.062153668663059</v>
          </cell>
          <cell r="CX2437">
            <v>8.6510321273089765</v>
          </cell>
          <cell r="CY2437">
            <v>13.473275210017142</v>
          </cell>
        </row>
        <row r="2438">
          <cell r="A2438">
            <v>42950</v>
          </cell>
          <cell r="CF2438">
            <v>22.975722345702422</v>
          </cell>
          <cell r="CG2438">
            <v>22.085252262534414</v>
          </cell>
          <cell r="CH2438">
            <v>18.555263085067214</v>
          </cell>
          <cell r="CI2438">
            <v>14.926604548033502</v>
          </cell>
          <cell r="CJ2438">
            <v>22.183921622100925</v>
          </cell>
          <cell r="CU2438">
            <v>14.700403442156354</v>
          </cell>
          <cell r="CV2438">
            <v>13.67289934744978</v>
          </cell>
          <cell r="CW2438">
            <v>11.062153668663059</v>
          </cell>
          <cell r="CX2438">
            <v>8.6510321273089765</v>
          </cell>
          <cell r="CY2438">
            <v>13.473275210017142</v>
          </cell>
        </row>
        <row r="2439">
          <cell r="A2439">
            <v>42951</v>
          </cell>
          <cell r="CF2439">
            <v>22.915623425202426</v>
          </cell>
          <cell r="CG2439">
            <v>22.085252262534414</v>
          </cell>
          <cell r="CH2439">
            <v>18.555263085067214</v>
          </cell>
          <cell r="CI2439">
            <v>14.926604548033502</v>
          </cell>
          <cell r="CJ2439">
            <v>22.183921622100925</v>
          </cell>
          <cell r="CU2439">
            <v>14.668153724691944</v>
          </cell>
          <cell r="CV2439">
            <v>13.67289934744978</v>
          </cell>
          <cell r="CW2439">
            <v>11.062153668663059</v>
          </cell>
          <cell r="CX2439">
            <v>8.6510321273089765</v>
          </cell>
          <cell r="CY2439">
            <v>13.473275210017142</v>
          </cell>
        </row>
        <row r="2440">
          <cell r="A2440">
            <v>42954</v>
          </cell>
          <cell r="CF2440">
            <v>23.53825623003921</v>
          </cell>
          <cell r="CG2440">
            <v>22.085252262534414</v>
          </cell>
          <cell r="CH2440">
            <v>18.555263085067214</v>
          </cell>
          <cell r="CI2440">
            <v>14.926604548033502</v>
          </cell>
          <cell r="CJ2440">
            <v>22.183921622100925</v>
          </cell>
          <cell r="CU2440">
            <v>15.032132738564105</v>
          </cell>
          <cell r="CV2440">
            <v>13.67289934744978</v>
          </cell>
          <cell r="CW2440">
            <v>11.062153668663059</v>
          </cell>
          <cell r="CX2440">
            <v>8.6510321273089765</v>
          </cell>
          <cell r="CY2440">
            <v>13.473275210017142</v>
          </cell>
        </row>
        <row r="2441">
          <cell r="A2441">
            <v>42955</v>
          </cell>
          <cell r="CF2441">
            <v>22.315750800199204</v>
          </cell>
          <cell r="CG2441">
            <v>22.085252262534414</v>
          </cell>
          <cell r="CH2441">
            <v>18.555263085067214</v>
          </cell>
          <cell r="CI2441">
            <v>14.926604548033502</v>
          </cell>
          <cell r="CJ2441">
            <v>22.183921622100925</v>
          </cell>
          <cell r="CU2441">
            <v>14.291410853705822</v>
          </cell>
          <cell r="CV2441">
            <v>13.67289934744978</v>
          </cell>
          <cell r="CW2441">
            <v>11.062153668663059</v>
          </cell>
          <cell r="CX2441">
            <v>8.6510321273089765</v>
          </cell>
          <cell r="CY2441">
            <v>13.473275210017142</v>
          </cell>
        </row>
        <row r="2442">
          <cell r="A2442">
            <v>42956</v>
          </cell>
          <cell r="CF2442">
            <v>21.801242236027026</v>
          </cell>
          <cell r="CG2442">
            <v>22.085252262534414</v>
          </cell>
          <cell r="CH2442">
            <v>18.555263085067214</v>
          </cell>
          <cell r="CI2442">
            <v>14.926604548033502</v>
          </cell>
          <cell r="CJ2442">
            <v>22.183921622100925</v>
          </cell>
          <cell r="CU2442">
            <v>14.013399864072117</v>
          </cell>
          <cell r="CV2442">
            <v>13.67289934744978</v>
          </cell>
          <cell r="CW2442">
            <v>11.062153668663059</v>
          </cell>
          <cell r="CX2442">
            <v>8.6510321273089765</v>
          </cell>
          <cell r="CY2442">
            <v>13.473275210017142</v>
          </cell>
        </row>
        <row r="2443">
          <cell r="A2443">
            <v>42957</v>
          </cell>
          <cell r="CF2443">
            <v>21.501821803386171</v>
          </cell>
          <cell r="CG2443">
            <v>22.085252262534414</v>
          </cell>
          <cell r="CH2443">
            <v>18.555263085067214</v>
          </cell>
          <cell r="CI2443">
            <v>14.926604548033502</v>
          </cell>
          <cell r="CJ2443">
            <v>22.183921622100925</v>
          </cell>
          <cell r="CU2443">
            <v>13.846811592426967</v>
          </cell>
          <cell r="CV2443">
            <v>13.67289934744978</v>
          </cell>
          <cell r="CW2443">
            <v>11.062153668663059</v>
          </cell>
          <cell r="CX2443">
            <v>8.6510321273089765</v>
          </cell>
          <cell r="CY2443">
            <v>13.473275210017142</v>
          </cell>
        </row>
        <row r="2444">
          <cell r="A2444">
            <v>42958</v>
          </cell>
          <cell r="CF2444">
            <v>21.934670484897513</v>
          </cell>
          <cell r="CG2444">
            <v>22.085252262534414</v>
          </cell>
          <cell r="CH2444">
            <v>18.555263085067214</v>
          </cell>
          <cell r="CI2444">
            <v>14.926604548033502</v>
          </cell>
          <cell r="CJ2444">
            <v>22.183921622100925</v>
          </cell>
          <cell r="CU2444">
            <v>14.079918360851623</v>
          </cell>
          <cell r="CV2444">
            <v>13.67289934744978</v>
          </cell>
          <cell r="CW2444">
            <v>11.062153668663059</v>
          </cell>
          <cell r="CX2444">
            <v>8.6510321273089765</v>
          </cell>
          <cell r="CY2444">
            <v>13.473275210017142</v>
          </cell>
        </row>
        <row r="2445">
          <cell r="A2445">
            <v>42961</v>
          </cell>
          <cell r="CF2445">
            <v>21.779195146399825</v>
          </cell>
          <cell r="CG2445">
            <v>22.085252262534414</v>
          </cell>
          <cell r="CH2445">
            <v>18.555263085067214</v>
          </cell>
          <cell r="CI2445">
            <v>14.926604548033502</v>
          </cell>
          <cell r="CJ2445">
            <v>22.183921622100925</v>
          </cell>
          <cell r="CU2445">
            <v>13.995268868334756</v>
          </cell>
          <cell r="CV2445">
            <v>13.67289934744978</v>
          </cell>
          <cell r="CW2445">
            <v>11.062153668663059</v>
          </cell>
          <cell r="CX2445">
            <v>8.6510321273089765</v>
          </cell>
          <cell r="CY2445">
            <v>13.473275210017142</v>
          </cell>
        </row>
        <row r="2446">
          <cell r="A2446">
            <v>42962</v>
          </cell>
          <cell r="CF2446">
            <v>21.605558986236563</v>
          </cell>
          <cell r="CG2446">
            <v>22.085252262534414</v>
          </cell>
          <cell r="CH2446">
            <v>18.555263085067214</v>
          </cell>
          <cell r="CI2446">
            <v>14.926604548033502</v>
          </cell>
          <cell r="CJ2446">
            <v>22.183921622100925</v>
          </cell>
          <cell r="CU2446">
            <v>13.884953922229233</v>
          </cell>
          <cell r="CV2446">
            <v>13.67289934744978</v>
          </cell>
          <cell r="CW2446">
            <v>11.062153668663059</v>
          </cell>
          <cell r="CX2446">
            <v>8.6510321273089765</v>
          </cell>
          <cell r="CY2446">
            <v>13.473275210017142</v>
          </cell>
        </row>
        <row r="2447">
          <cell r="A2447">
            <v>42963</v>
          </cell>
          <cell r="CF2447">
            <v>21.910459282132642</v>
          </cell>
          <cell r="CG2447">
            <v>22.085252262534414</v>
          </cell>
          <cell r="CH2447">
            <v>18.555263085067214</v>
          </cell>
          <cell r="CI2447">
            <v>14.926604548033502</v>
          </cell>
          <cell r="CJ2447">
            <v>22.183921622100925</v>
          </cell>
          <cell r="CU2447">
            <v>14.054325897837991</v>
          </cell>
          <cell r="CV2447">
            <v>13.67289934744978</v>
          </cell>
          <cell r="CW2447">
            <v>11.062153668663059</v>
          </cell>
          <cell r="CX2447">
            <v>8.6510321273089765</v>
          </cell>
          <cell r="CY2447">
            <v>13.473275210017142</v>
          </cell>
        </row>
        <row r="2448">
          <cell r="A2448">
            <v>42964</v>
          </cell>
          <cell r="CF2448">
            <v>21.820405248940816</v>
          </cell>
          <cell r="CG2448">
            <v>22.085252262534414</v>
          </cell>
          <cell r="CH2448">
            <v>18.555263085067214</v>
          </cell>
          <cell r="CI2448">
            <v>14.926604548033502</v>
          </cell>
          <cell r="CJ2448">
            <v>22.183921622100925</v>
          </cell>
          <cell r="CU2448">
            <v>14.004299494078532</v>
          </cell>
          <cell r="CV2448">
            <v>13.67289934744978</v>
          </cell>
          <cell r="CW2448">
            <v>11.062153668663059</v>
          </cell>
          <cell r="CX2448">
            <v>8.6510321273089765</v>
          </cell>
          <cell r="CY2448">
            <v>13.473275210017142</v>
          </cell>
        </row>
        <row r="2449">
          <cell r="A2449">
            <v>42965</v>
          </cell>
          <cell r="CF2449">
            <v>21.805677872774741</v>
          </cell>
          <cell r="CG2449">
            <v>22.085252262534414</v>
          </cell>
          <cell r="CH2449">
            <v>18.555263085067214</v>
          </cell>
          <cell r="CI2449">
            <v>14.926604548033502</v>
          </cell>
          <cell r="CJ2449">
            <v>22.183921622100925</v>
          </cell>
          <cell r="CU2449">
            <v>13.995741960195305</v>
          </cell>
          <cell r="CV2449">
            <v>13.67289934744978</v>
          </cell>
          <cell r="CW2449">
            <v>11.062153668663059</v>
          </cell>
          <cell r="CX2449">
            <v>8.6510321273089765</v>
          </cell>
          <cell r="CY2449">
            <v>13.473275210017142</v>
          </cell>
        </row>
        <row r="2450">
          <cell r="A2450">
            <v>42968</v>
          </cell>
          <cell r="CF2450">
            <v>21.976788556943031</v>
          </cell>
          <cell r="CG2450">
            <v>22.085252262534414</v>
          </cell>
          <cell r="CH2450">
            <v>18.555263085067214</v>
          </cell>
          <cell r="CI2450">
            <v>14.926604548033502</v>
          </cell>
          <cell r="CJ2450">
            <v>22.183921622100925</v>
          </cell>
          <cell r="CU2450">
            <v>14.090790884061718</v>
          </cell>
          <cell r="CV2450">
            <v>13.67289934744978</v>
          </cell>
          <cell r="CW2450">
            <v>11.062153668663059</v>
          </cell>
          <cell r="CX2450">
            <v>8.6510321273089765</v>
          </cell>
          <cell r="CY2450">
            <v>13.473275210017142</v>
          </cell>
        </row>
        <row r="2451">
          <cell r="A2451">
            <v>42969</v>
          </cell>
          <cell r="CF2451">
            <v>22.038542788823314</v>
          </cell>
          <cell r="CG2451">
            <v>22.085252262534414</v>
          </cell>
          <cell r="CH2451">
            <v>18.555263085067214</v>
          </cell>
          <cell r="CI2451">
            <v>14.926604548033502</v>
          </cell>
          <cell r="CJ2451">
            <v>22.183921622100925</v>
          </cell>
          <cell r="CU2451">
            <v>14.125094255081175</v>
          </cell>
          <cell r="CV2451">
            <v>13.67289934744978</v>
          </cell>
          <cell r="CW2451">
            <v>11.062153668663059</v>
          </cell>
          <cell r="CX2451">
            <v>8.6510321273089765</v>
          </cell>
          <cell r="CY2451">
            <v>13.473275210017142</v>
          </cell>
        </row>
        <row r="2452">
          <cell r="A2452">
            <v>42970</v>
          </cell>
          <cell r="CF2452">
            <v>21.933520480379631</v>
          </cell>
          <cell r="CG2452">
            <v>22.085252262534414</v>
          </cell>
          <cell r="CH2452">
            <v>18.555263085067214</v>
          </cell>
          <cell r="CI2452">
            <v>14.926604548033502</v>
          </cell>
          <cell r="CJ2452">
            <v>22.183921622100925</v>
          </cell>
          <cell r="CU2452">
            <v>14.076214420001191</v>
          </cell>
          <cell r="CV2452">
            <v>13.67289934744978</v>
          </cell>
          <cell r="CW2452">
            <v>11.062153668663059</v>
          </cell>
          <cell r="CX2452">
            <v>8.6510321273089765</v>
          </cell>
          <cell r="CY2452">
            <v>13.473275210017142</v>
          </cell>
        </row>
        <row r="2453">
          <cell r="A2453">
            <v>42971</v>
          </cell>
          <cell r="CF2453">
            <v>22.010722710703465</v>
          </cell>
          <cell r="CG2453">
            <v>22.085252262534414</v>
          </cell>
          <cell r="CH2453">
            <v>18.555263085067214</v>
          </cell>
          <cell r="CI2453">
            <v>14.926604548033502</v>
          </cell>
          <cell r="CJ2453">
            <v>22.183921622100925</v>
          </cell>
          <cell r="CU2453">
            <v>14.119126914055677</v>
          </cell>
          <cell r="CV2453">
            <v>13.67289934744978</v>
          </cell>
          <cell r="CW2453">
            <v>11.062153668663059</v>
          </cell>
          <cell r="CX2453">
            <v>8.6510321273089765</v>
          </cell>
          <cell r="CY2453">
            <v>13.473275210017142</v>
          </cell>
        </row>
        <row r="2454">
          <cell r="A2454">
            <v>42972</v>
          </cell>
          <cell r="CF2454">
            <v>22.075826218984819</v>
          </cell>
          <cell r="CG2454">
            <v>22.085252262534414</v>
          </cell>
          <cell r="CH2454">
            <v>18.555263085067214</v>
          </cell>
          <cell r="CI2454">
            <v>14.926604548033502</v>
          </cell>
          <cell r="CJ2454">
            <v>22.183921622100925</v>
          </cell>
          <cell r="CU2454">
            <v>14.155650814831905</v>
          </cell>
          <cell r="CV2454">
            <v>13.67289934744978</v>
          </cell>
          <cell r="CW2454">
            <v>11.062153668663059</v>
          </cell>
          <cell r="CX2454">
            <v>8.6510321273089765</v>
          </cell>
          <cell r="CY2454">
            <v>13.473275210017142</v>
          </cell>
        </row>
        <row r="2455">
          <cell r="A2455">
            <v>42975</v>
          </cell>
          <cell r="CF2455">
            <v>21.819773927702794</v>
          </cell>
          <cell r="CG2455">
            <v>22.085252262534414</v>
          </cell>
          <cell r="CH2455">
            <v>18.555263085067214</v>
          </cell>
          <cell r="CI2455">
            <v>14.926604548033502</v>
          </cell>
          <cell r="CJ2455">
            <v>22.183921622100925</v>
          </cell>
          <cell r="CU2455">
            <v>14.013321531930803</v>
          </cell>
          <cell r="CV2455">
            <v>13.67289934744978</v>
          </cell>
          <cell r="CW2455">
            <v>11.062153668663059</v>
          </cell>
          <cell r="CX2455">
            <v>8.6510321273089765</v>
          </cell>
          <cell r="CY2455">
            <v>13.473275210017142</v>
          </cell>
        </row>
        <row r="2456">
          <cell r="A2456">
            <v>42976</v>
          </cell>
          <cell r="CF2456">
            <v>21.666208578584143</v>
          </cell>
          <cell r="CG2456">
            <v>22.085252262534414</v>
          </cell>
          <cell r="CH2456">
            <v>18.555263085067214</v>
          </cell>
          <cell r="CI2456">
            <v>14.926604548033502</v>
          </cell>
          <cell r="CJ2456">
            <v>22.183921622100925</v>
          </cell>
          <cell r="CU2456">
            <v>13.927340588438506</v>
          </cell>
          <cell r="CV2456">
            <v>13.67289934744978</v>
          </cell>
          <cell r="CW2456">
            <v>11.062153668663059</v>
          </cell>
          <cell r="CX2456">
            <v>8.6510321273089765</v>
          </cell>
          <cell r="CY2456">
            <v>13.473275210017142</v>
          </cell>
        </row>
        <row r="2457">
          <cell r="A2457">
            <v>42977</v>
          </cell>
          <cell r="CF2457">
            <v>21.819819047212853</v>
          </cell>
          <cell r="CG2457">
            <v>22.085252262534414</v>
          </cell>
          <cell r="CH2457">
            <v>18.555263085067214</v>
          </cell>
          <cell r="CI2457">
            <v>14.926604548033502</v>
          </cell>
          <cell r="CJ2457">
            <v>22.183921622100925</v>
          </cell>
          <cell r="CU2457">
            <v>14.01242928305226</v>
          </cell>
          <cell r="CV2457">
            <v>13.67289934744978</v>
          </cell>
          <cell r="CW2457">
            <v>11.062153668663059</v>
          </cell>
          <cell r="CX2457">
            <v>8.6510321273089765</v>
          </cell>
          <cell r="CY2457">
            <v>13.473275210017142</v>
          </cell>
        </row>
        <row r="2458">
          <cell r="A2458">
            <v>42978</v>
          </cell>
          <cell r="CF2458">
            <v>22.342095107416153</v>
          </cell>
          <cell r="CG2458">
            <v>22.085252262534414</v>
          </cell>
          <cell r="CH2458">
            <v>18.555263085067214</v>
          </cell>
          <cell r="CI2458">
            <v>14.926604548033502</v>
          </cell>
          <cell r="CJ2458">
            <v>22.183921622100925</v>
          </cell>
          <cell r="CU2458">
            <v>14.30273188820507</v>
          </cell>
          <cell r="CV2458">
            <v>13.67289934744978</v>
          </cell>
          <cell r="CW2458">
            <v>11.062153668663059</v>
          </cell>
          <cell r="CX2458">
            <v>8.6510321273089765</v>
          </cell>
          <cell r="CY2458">
            <v>13.473275210017142</v>
          </cell>
        </row>
        <row r="2459">
          <cell r="A2459">
            <v>42979</v>
          </cell>
          <cell r="CF2459">
            <v>22.144739667229125</v>
          </cell>
          <cell r="CG2459">
            <v>22.085252262534414</v>
          </cell>
          <cell r="CH2459">
            <v>18.555263085067214</v>
          </cell>
          <cell r="CI2459">
            <v>14.926604548033502</v>
          </cell>
          <cell r="CJ2459">
            <v>22.183921622100925</v>
          </cell>
          <cell r="CU2459">
            <v>14.201366362927187</v>
          </cell>
          <cell r="CV2459">
            <v>13.67289934744978</v>
          </cell>
          <cell r="CW2459">
            <v>11.062153668663059</v>
          </cell>
          <cell r="CX2459">
            <v>8.6510321273089765</v>
          </cell>
          <cell r="CY2459">
            <v>13.473275210017142</v>
          </cell>
        </row>
        <row r="2460">
          <cell r="A2460">
            <v>42982</v>
          </cell>
          <cell r="CF2460">
            <v>22.144739667229125</v>
          </cell>
          <cell r="CG2460">
            <v>22.085252262534414</v>
          </cell>
          <cell r="CH2460">
            <v>18.555263085067214</v>
          </cell>
          <cell r="CI2460">
            <v>14.926604548033502</v>
          </cell>
          <cell r="CJ2460">
            <v>22.183921622100925</v>
          </cell>
          <cell r="CU2460">
            <v>14.201366362927187</v>
          </cell>
          <cell r="CV2460">
            <v>13.67289934744978</v>
          </cell>
          <cell r="CW2460">
            <v>11.062153668663059</v>
          </cell>
          <cell r="CX2460">
            <v>8.6510321273089765</v>
          </cell>
          <cell r="CY2460">
            <v>13.473275210017142</v>
          </cell>
        </row>
        <row r="2461">
          <cell r="A2461">
            <v>42983</v>
          </cell>
          <cell r="CF2461">
            <v>21.994157224078467</v>
          </cell>
          <cell r="CG2461">
            <v>22.085252262534414</v>
          </cell>
          <cell r="CH2461">
            <v>18.555263085067214</v>
          </cell>
          <cell r="CI2461">
            <v>14.926604548033502</v>
          </cell>
          <cell r="CJ2461">
            <v>22.183921622100925</v>
          </cell>
          <cell r="CU2461">
            <v>14.117528508545357</v>
          </cell>
          <cell r="CV2461">
            <v>13.67289934744978</v>
          </cell>
          <cell r="CW2461">
            <v>11.062153668663059</v>
          </cell>
          <cell r="CX2461">
            <v>8.6510321273089765</v>
          </cell>
          <cell r="CY2461">
            <v>13.473275210017142</v>
          </cell>
        </row>
        <row r="2462">
          <cell r="A2462">
            <v>42984</v>
          </cell>
          <cell r="CF2462">
            <v>22.006126850433898</v>
          </cell>
          <cell r="CG2462">
            <v>22.085252262534414</v>
          </cell>
          <cell r="CH2462">
            <v>18.555263085067214</v>
          </cell>
          <cell r="CI2462">
            <v>14.926604548033502</v>
          </cell>
          <cell r="CJ2462">
            <v>22.183921622100925</v>
          </cell>
          <cell r="CU2462">
            <v>14.123922975358099</v>
          </cell>
          <cell r="CV2462">
            <v>13.67289934744978</v>
          </cell>
          <cell r="CW2462">
            <v>11.062153668663059</v>
          </cell>
          <cell r="CX2462">
            <v>8.6510321273089765</v>
          </cell>
          <cell r="CY2462">
            <v>13.473275210017142</v>
          </cell>
        </row>
        <row r="2463">
          <cell r="A2463">
            <v>42985</v>
          </cell>
          <cell r="CF2463">
            <v>22.31112940275651</v>
          </cell>
          <cell r="CG2463">
            <v>22.085252262534414</v>
          </cell>
          <cell r="CH2463">
            <v>18.555263085067214</v>
          </cell>
          <cell r="CI2463">
            <v>14.926604548033502</v>
          </cell>
          <cell r="CJ2463">
            <v>22.183921622100925</v>
          </cell>
          <cell r="CU2463">
            <v>14.293730173059336</v>
          </cell>
          <cell r="CV2463">
            <v>13.67289934744978</v>
          </cell>
          <cell r="CW2463">
            <v>11.062153668663059</v>
          </cell>
          <cell r="CX2463">
            <v>8.6510321273089765</v>
          </cell>
          <cell r="CY2463">
            <v>13.473275210017142</v>
          </cell>
        </row>
        <row r="2464">
          <cell r="A2464">
            <v>42986</v>
          </cell>
          <cell r="CF2464">
            <v>22.376212353241453</v>
          </cell>
          <cell r="CG2464">
            <v>22.085252262534414</v>
          </cell>
          <cell r="CH2464">
            <v>18.555263085067214</v>
          </cell>
          <cell r="CI2464">
            <v>14.926604548033502</v>
          </cell>
          <cell r="CJ2464">
            <v>22.183921622100925</v>
          </cell>
          <cell r="CU2464">
            <v>14.329966195494508</v>
          </cell>
          <cell r="CV2464">
            <v>13.67289934744978</v>
          </cell>
          <cell r="CW2464">
            <v>11.062153668663059</v>
          </cell>
          <cell r="CX2464">
            <v>8.6510321273089765</v>
          </cell>
          <cell r="CY2464">
            <v>13.473275210017142</v>
          </cell>
        </row>
        <row r="2465">
          <cell r="A2465">
            <v>42989</v>
          </cell>
          <cell r="CF2465">
            <v>22.660797600816746</v>
          </cell>
          <cell r="CG2465">
            <v>22.085252262534414</v>
          </cell>
          <cell r="CH2465">
            <v>18.555263085067214</v>
          </cell>
          <cell r="CI2465">
            <v>14.926604548033502</v>
          </cell>
          <cell r="CJ2465">
            <v>22.183921622100925</v>
          </cell>
          <cell r="CU2465">
            <v>14.488407583684257</v>
          </cell>
          <cell r="CV2465">
            <v>13.67289934744978</v>
          </cell>
          <cell r="CW2465">
            <v>11.062153668663059</v>
          </cell>
          <cell r="CX2465">
            <v>8.6510321273089765</v>
          </cell>
          <cell r="CY2465">
            <v>13.473275210017142</v>
          </cell>
        </row>
        <row r="2466">
          <cell r="A2466">
            <v>42990</v>
          </cell>
          <cell r="CF2466">
            <v>22.450229709035224</v>
          </cell>
          <cell r="CG2466">
            <v>22.085252262534414</v>
          </cell>
          <cell r="CH2466">
            <v>18.555263085067214</v>
          </cell>
          <cell r="CI2466">
            <v>14.926604548033502</v>
          </cell>
          <cell r="CJ2466">
            <v>22.183921622100925</v>
          </cell>
          <cell r="CU2466">
            <v>14.371174981621051</v>
          </cell>
          <cell r="CV2466">
            <v>13.67289934744978</v>
          </cell>
          <cell r="CW2466">
            <v>11.062153668663059</v>
          </cell>
          <cell r="CX2466">
            <v>8.6510321273089765</v>
          </cell>
          <cell r="CY2466">
            <v>13.473275210017142</v>
          </cell>
        </row>
        <row r="2467">
          <cell r="A2467">
            <v>42991</v>
          </cell>
          <cell r="CF2467">
            <v>21.551813425216952</v>
          </cell>
          <cell r="CG2467">
            <v>22.085252262534414</v>
          </cell>
          <cell r="CH2467">
            <v>18.555263085067214</v>
          </cell>
          <cell r="CI2467">
            <v>14.926604548033502</v>
          </cell>
          <cell r="CJ2467">
            <v>22.183921622100925</v>
          </cell>
          <cell r="CU2467">
            <v>13.870986288098619</v>
          </cell>
          <cell r="CV2467">
            <v>13.67289934744978</v>
          </cell>
          <cell r="CW2467">
            <v>11.062153668663059</v>
          </cell>
          <cell r="CX2467">
            <v>8.6510321273089765</v>
          </cell>
          <cell r="CY2467">
            <v>13.473275210017142</v>
          </cell>
        </row>
        <row r="2468">
          <cell r="A2468">
            <v>42992</v>
          </cell>
          <cell r="CF2468">
            <v>20.565339458907612</v>
          </cell>
          <cell r="CG2468">
            <v>22.085252262534414</v>
          </cell>
          <cell r="CH2468">
            <v>18.555263085067214</v>
          </cell>
          <cell r="CI2468">
            <v>14.926604548033502</v>
          </cell>
          <cell r="CJ2468">
            <v>22.183921622100925</v>
          </cell>
          <cell r="CU2468">
            <v>13.321771928019226</v>
          </cell>
          <cell r="CV2468">
            <v>13.67289934744978</v>
          </cell>
          <cell r="CW2468">
            <v>11.062153668663059</v>
          </cell>
          <cell r="CX2468">
            <v>8.6510321273089765</v>
          </cell>
          <cell r="CY2468">
            <v>13.473275210017142</v>
          </cell>
        </row>
        <row r="2469">
          <cell r="A2469">
            <v>42993</v>
          </cell>
          <cell r="CF2469">
            <v>21.150816952807496</v>
          </cell>
          <cell r="CG2469">
            <v>22.085252262534414</v>
          </cell>
          <cell r="CH2469">
            <v>18.555263085067214</v>
          </cell>
          <cell r="CI2469">
            <v>14.926604548033502</v>
          </cell>
          <cell r="CJ2469">
            <v>22.183921622100925</v>
          </cell>
          <cell r="CU2469">
            <v>13.644852925708324</v>
          </cell>
          <cell r="CV2469">
            <v>13.67289934744978</v>
          </cell>
          <cell r="CW2469">
            <v>11.062153668663059</v>
          </cell>
          <cell r="CX2469">
            <v>8.6510321273089765</v>
          </cell>
          <cell r="CY2469">
            <v>13.473275210017142</v>
          </cell>
        </row>
        <row r="2470">
          <cell r="A2470">
            <v>42996</v>
          </cell>
          <cell r="CF2470">
            <v>20.656196604110814</v>
          </cell>
          <cell r="CG2470">
            <v>22.085252262534414</v>
          </cell>
          <cell r="CH2470">
            <v>18.555263085067214</v>
          </cell>
          <cell r="CI2470">
            <v>14.926604548033502</v>
          </cell>
          <cell r="CJ2470">
            <v>22.183921622100925</v>
          </cell>
          <cell r="CU2470">
            <v>13.39163509063696</v>
          </cell>
          <cell r="CV2470">
            <v>13.67289934744978</v>
          </cell>
          <cell r="CW2470">
            <v>11.062153668663059</v>
          </cell>
          <cell r="CX2470">
            <v>8.6510321273089765</v>
          </cell>
          <cell r="CY2470">
            <v>13.473275210017142</v>
          </cell>
        </row>
        <row r="2471">
          <cell r="A2471">
            <v>42997</v>
          </cell>
          <cell r="CF2471">
            <v>20.206817311374952</v>
          </cell>
          <cell r="CG2471">
            <v>22.085252262534414</v>
          </cell>
          <cell r="CH2471">
            <v>18.555263085067214</v>
          </cell>
          <cell r="CI2471">
            <v>14.926604548033502</v>
          </cell>
          <cell r="CJ2471">
            <v>22.183921622100925</v>
          </cell>
          <cell r="CU2471">
            <v>13.141098176473568</v>
          </cell>
          <cell r="CV2471">
            <v>13.67289934744978</v>
          </cell>
          <cell r="CW2471">
            <v>11.062153668663059</v>
          </cell>
          <cell r="CX2471">
            <v>8.6510321273089765</v>
          </cell>
          <cell r="CY2471">
            <v>13.473275210017142</v>
          </cell>
        </row>
        <row r="2472">
          <cell r="A2472">
            <v>42998</v>
          </cell>
          <cell r="CF2472">
            <v>20.524931702708912</v>
          </cell>
          <cell r="CG2472">
            <v>22.085252262534414</v>
          </cell>
          <cell r="CH2472">
            <v>18.555263085067214</v>
          </cell>
          <cell r="CI2472">
            <v>14.926604548033502</v>
          </cell>
          <cell r="CJ2472">
            <v>22.183921622100925</v>
          </cell>
          <cell r="CU2472">
            <v>13.31902194315399</v>
          </cell>
          <cell r="CV2472">
            <v>13.67289934744978</v>
          </cell>
          <cell r="CW2472">
            <v>11.062153668663059</v>
          </cell>
          <cell r="CX2472">
            <v>8.6510321273089765</v>
          </cell>
          <cell r="CY2472">
            <v>13.473275210017142</v>
          </cell>
        </row>
        <row r="2473">
          <cell r="A2473">
            <v>42999</v>
          </cell>
          <cell r="CF2473">
            <v>20.243991628809148</v>
          </cell>
          <cell r="CG2473">
            <v>22.085252262534414</v>
          </cell>
          <cell r="CH2473">
            <v>18.555263085067214</v>
          </cell>
          <cell r="CI2473">
            <v>14.926604548033502</v>
          </cell>
          <cell r="CJ2473">
            <v>22.183921622100925</v>
          </cell>
          <cell r="CU2473">
            <v>13.16593719981404</v>
          </cell>
          <cell r="CV2473">
            <v>13.67289934744978</v>
          </cell>
          <cell r="CW2473">
            <v>11.062153668663059</v>
          </cell>
          <cell r="CX2473">
            <v>8.6510321273089765</v>
          </cell>
          <cell r="CY2473">
            <v>13.473275210017142</v>
          </cell>
        </row>
        <row r="2474">
          <cell r="A2474">
            <v>43000</v>
          </cell>
          <cell r="CF2474">
            <v>20.315452758919914</v>
          </cell>
          <cell r="CG2474">
            <v>22.085252262534414</v>
          </cell>
          <cell r="CH2474">
            <v>18.555263085067214</v>
          </cell>
          <cell r="CI2474">
            <v>14.926604548033502</v>
          </cell>
          <cell r="CJ2474">
            <v>22.183921622100925</v>
          </cell>
          <cell r="CU2474">
            <v>13.205792961539371</v>
          </cell>
          <cell r="CV2474">
            <v>13.67289934744978</v>
          </cell>
          <cell r="CW2474">
            <v>11.062153668663059</v>
          </cell>
          <cell r="CX2474">
            <v>8.6510321273089765</v>
          </cell>
          <cell r="CY2474">
            <v>13.473275210017142</v>
          </cell>
        </row>
        <row r="2475">
          <cell r="A2475">
            <v>43003</v>
          </cell>
          <cell r="CF2475">
            <v>20.504312439385433</v>
          </cell>
          <cell r="CG2475">
            <v>22.085252262534414</v>
          </cell>
          <cell r="CH2475">
            <v>18.555263085067214</v>
          </cell>
          <cell r="CI2475">
            <v>14.926604548033502</v>
          </cell>
          <cell r="CJ2475">
            <v>22.183921622100925</v>
          </cell>
          <cell r="CU2475">
            <v>13.311124998864955</v>
          </cell>
          <cell r="CV2475">
            <v>13.67289934744978</v>
          </cell>
          <cell r="CW2475">
            <v>11.062153668663059</v>
          </cell>
          <cell r="CX2475">
            <v>8.6510321273089765</v>
          </cell>
          <cell r="CY2475">
            <v>13.473275210017142</v>
          </cell>
        </row>
        <row r="2476">
          <cell r="A2476">
            <v>43004</v>
          </cell>
          <cell r="CF2476">
            <v>20.517074166709204</v>
          </cell>
          <cell r="CG2476">
            <v>22.085252262534414</v>
          </cell>
          <cell r="CH2476">
            <v>18.555263085067214</v>
          </cell>
          <cell r="CI2476">
            <v>14.926604548033502</v>
          </cell>
          <cell r="CJ2476">
            <v>22.183921622100925</v>
          </cell>
          <cell r="CU2476">
            <v>13.3182425516189</v>
          </cell>
          <cell r="CV2476">
            <v>13.67289934744978</v>
          </cell>
          <cell r="CW2476">
            <v>11.062153668663059</v>
          </cell>
          <cell r="CX2476">
            <v>8.6510321273089765</v>
          </cell>
          <cell r="CY2476">
            <v>13.473275210017142</v>
          </cell>
        </row>
        <row r="2477">
          <cell r="A2477">
            <v>43005</v>
          </cell>
          <cell r="CF2477">
            <v>20.713603114827343</v>
          </cell>
          <cell r="CG2477">
            <v>22.085252262534414</v>
          </cell>
          <cell r="CH2477">
            <v>18.555263085067214</v>
          </cell>
          <cell r="CI2477">
            <v>14.926604548033502</v>
          </cell>
          <cell r="CJ2477">
            <v>22.183921622100925</v>
          </cell>
          <cell r="CU2477">
            <v>13.446258815986985</v>
          </cell>
          <cell r="CV2477">
            <v>13.67289934744978</v>
          </cell>
          <cell r="CW2477">
            <v>11.062153668663059</v>
          </cell>
          <cell r="CX2477">
            <v>8.6510321273089765</v>
          </cell>
          <cell r="CY2477">
            <v>13.473275210017142</v>
          </cell>
        </row>
        <row r="2478">
          <cell r="A2478">
            <v>43006</v>
          </cell>
          <cell r="CF2478">
            <v>20.644667390055531</v>
          </cell>
          <cell r="CG2478">
            <v>22.085252262534414</v>
          </cell>
          <cell r="CH2478">
            <v>18.555263085067214</v>
          </cell>
          <cell r="CI2478">
            <v>14.926604548033502</v>
          </cell>
          <cell r="CJ2478">
            <v>22.183921622100925</v>
          </cell>
          <cell r="CU2478">
            <v>13.407758687841772</v>
          </cell>
          <cell r="CV2478">
            <v>13.67289934744978</v>
          </cell>
          <cell r="CW2478">
            <v>11.062153668663059</v>
          </cell>
          <cell r="CX2478">
            <v>8.6510321273089765</v>
          </cell>
          <cell r="CY2478">
            <v>13.473275210017142</v>
          </cell>
        </row>
        <row r="2479">
          <cell r="A2479">
            <v>43007</v>
          </cell>
          <cell r="CF2479">
            <v>20.93317316652837</v>
          </cell>
          <cell r="CG2479">
            <v>22.085252262534414</v>
          </cell>
          <cell r="CH2479">
            <v>18.555263085067214</v>
          </cell>
          <cell r="CI2479">
            <v>14.926604548033502</v>
          </cell>
          <cell r="CJ2479">
            <v>22.183921622100925</v>
          </cell>
          <cell r="CU2479">
            <v>13.568880367451928</v>
          </cell>
          <cell r="CV2479">
            <v>13.67289934744978</v>
          </cell>
          <cell r="CW2479">
            <v>11.062153668663059</v>
          </cell>
          <cell r="CX2479">
            <v>8.6510321273089765</v>
          </cell>
          <cell r="CY2479">
            <v>13.473275210017142</v>
          </cell>
        </row>
        <row r="2480">
          <cell r="A2480">
            <v>43010</v>
          </cell>
          <cell r="CF2480">
            <v>20.525182336304571</v>
          </cell>
          <cell r="CG2480">
            <v>22.085252262534414</v>
          </cell>
          <cell r="CH2480">
            <v>18.555263085067214</v>
          </cell>
          <cell r="CI2480">
            <v>14.926604548033502</v>
          </cell>
          <cell r="CJ2480">
            <v>22.183921622100925</v>
          </cell>
          <cell r="CU2480">
            <v>13.352341767774156</v>
          </cell>
          <cell r="CV2480">
            <v>13.67289934744978</v>
          </cell>
          <cell r="CW2480">
            <v>11.062153668663059</v>
          </cell>
          <cell r="CX2480">
            <v>8.6510321273089765</v>
          </cell>
          <cell r="CY2480">
            <v>13.473275210017142</v>
          </cell>
        </row>
        <row r="2481">
          <cell r="A2481">
            <v>43011</v>
          </cell>
          <cell r="CF2481">
            <v>20.664500021110594</v>
          </cell>
          <cell r="CG2481">
            <v>22.085252262534414</v>
          </cell>
          <cell r="CH2481">
            <v>18.555263085067214</v>
          </cell>
          <cell r="CI2481">
            <v>14.926604548033502</v>
          </cell>
          <cell r="CJ2481">
            <v>22.183921622100925</v>
          </cell>
          <cell r="CU2481">
            <v>13.430297791096288</v>
          </cell>
          <cell r="CV2481">
            <v>13.67289934744978</v>
          </cell>
          <cell r="CW2481">
            <v>11.062153668663059</v>
          </cell>
          <cell r="CX2481">
            <v>8.6510321273089765</v>
          </cell>
          <cell r="CY2481">
            <v>13.473275210017142</v>
          </cell>
        </row>
        <row r="2482">
          <cell r="A2482">
            <v>43012</v>
          </cell>
          <cell r="CF2482">
            <v>20.705029594294199</v>
          </cell>
          <cell r="CG2482">
            <v>22.085252262534414</v>
          </cell>
          <cell r="CH2482">
            <v>18.555263085067214</v>
          </cell>
          <cell r="CI2482">
            <v>14.926604548033502</v>
          </cell>
          <cell r="CJ2482">
            <v>22.183921622100925</v>
          </cell>
          <cell r="CU2482">
            <v>13.452974224161718</v>
          </cell>
          <cell r="CV2482">
            <v>13.67289934744978</v>
          </cell>
          <cell r="CW2482">
            <v>11.062153668663059</v>
          </cell>
          <cell r="CX2482">
            <v>8.6510321273089765</v>
          </cell>
          <cell r="CY2482">
            <v>13.473275210017142</v>
          </cell>
        </row>
        <row r="2483">
          <cell r="A2483">
            <v>43013</v>
          </cell>
          <cell r="CF2483">
            <v>20.705029594294199</v>
          </cell>
          <cell r="CG2483">
            <v>22.085252262534414</v>
          </cell>
          <cell r="CH2483">
            <v>18.555263085067214</v>
          </cell>
          <cell r="CI2483">
            <v>14.926604548033502</v>
          </cell>
          <cell r="CJ2483">
            <v>22.183921622100925</v>
          </cell>
          <cell r="CU2483">
            <v>13.452974224161718</v>
          </cell>
          <cell r="CV2483">
            <v>13.67289934744978</v>
          </cell>
          <cell r="CW2483">
            <v>11.062153668663059</v>
          </cell>
          <cell r="CX2483">
            <v>8.6510321273089765</v>
          </cell>
          <cell r="CY2483">
            <v>13.473275210017142</v>
          </cell>
        </row>
        <row r="2484">
          <cell r="A2484">
            <v>43014</v>
          </cell>
          <cell r="CF2484">
            <v>20.49938772669368</v>
          </cell>
          <cell r="CG2484">
            <v>22.085252262534414</v>
          </cell>
          <cell r="CH2484">
            <v>18.555263085067214</v>
          </cell>
          <cell r="CI2484">
            <v>14.926604548033502</v>
          </cell>
          <cell r="CJ2484">
            <v>22.183921622100925</v>
          </cell>
          <cell r="CU2484">
            <v>13.334562272173873</v>
          </cell>
          <cell r="CV2484">
            <v>13.67289934744978</v>
          </cell>
          <cell r="CW2484">
            <v>11.062153668663059</v>
          </cell>
          <cell r="CX2484">
            <v>8.6510321273089765</v>
          </cell>
          <cell r="CY2484">
            <v>13.473275210017142</v>
          </cell>
        </row>
        <row r="2485">
          <cell r="A2485">
            <v>43017</v>
          </cell>
          <cell r="CF2485">
            <v>20.274119999495717</v>
          </cell>
          <cell r="CG2485">
            <v>22.085252262534414</v>
          </cell>
          <cell r="CH2485">
            <v>18.555263085067214</v>
          </cell>
          <cell r="CI2485">
            <v>14.926604548033502</v>
          </cell>
          <cell r="CJ2485">
            <v>22.183921622100925</v>
          </cell>
          <cell r="CU2485">
            <v>13.208530549541383</v>
          </cell>
          <cell r="CV2485">
            <v>13.67289934744978</v>
          </cell>
          <cell r="CW2485">
            <v>11.062153668663059</v>
          </cell>
          <cell r="CX2485">
            <v>8.6510321273089765</v>
          </cell>
          <cell r="CY2485">
            <v>13.473275210017142</v>
          </cell>
        </row>
        <row r="2486">
          <cell r="A2486">
            <v>43018</v>
          </cell>
          <cell r="CF2486">
            <v>20.220965108775992</v>
          </cell>
          <cell r="CG2486">
            <v>22.085252262534414</v>
          </cell>
          <cell r="CH2486">
            <v>18.555263085067214</v>
          </cell>
          <cell r="CI2486">
            <v>14.926604548033502</v>
          </cell>
          <cell r="CJ2486">
            <v>22.183921622100925</v>
          </cell>
          <cell r="CU2486">
            <v>13.178791702672024</v>
          </cell>
          <cell r="CV2486">
            <v>13.67289934744978</v>
          </cell>
          <cell r="CW2486">
            <v>11.062153668663059</v>
          </cell>
          <cell r="CX2486">
            <v>8.6510321273089765</v>
          </cell>
          <cell r="CY2486">
            <v>13.473275210017142</v>
          </cell>
        </row>
        <row r="2487">
          <cell r="A2487">
            <v>43019</v>
          </cell>
          <cell r="CF2487">
            <v>20.418390726048244</v>
          </cell>
          <cell r="CG2487">
            <v>22.085252262534414</v>
          </cell>
          <cell r="CH2487">
            <v>18.555263085067214</v>
          </cell>
          <cell r="CI2487">
            <v>14.926604548033502</v>
          </cell>
          <cell r="CJ2487">
            <v>22.183921622100925</v>
          </cell>
          <cell r="CU2487">
            <v>13.289246453319633</v>
          </cell>
          <cell r="CV2487">
            <v>13.67289934744978</v>
          </cell>
          <cell r="CW2487">
            <v>11.062153668663059</v>
          </cell>
          <cell r="CX2487">
            <v>8.6510321273089765</v>
          </cell>
          <cell r="CY2487">
            <v>13.473275210017142</v>
          </cell>
        </row>
        <row r="2488">
          <cell r="A2488">
            <v>43020</v>
          </cell>
          <cell r="CF2488">
            <v>20.396046698194816</v>
          </cell>
          <cell r="CG2488">
            <v>22.085252262534414</v>
          </cell>
          <cell r="CH2488">
            <v>18.555263085067214</v>
          </cell>
          <cell r="CI2488">
            <v>14.926604548033502</v>
          </cell>
          <cell r="CJ2488">
            <v>22.183921622100925</v>
          </cell>
          <cell r="CU2488">
            <v>13.274679019842354</v>
          </cell>
          <cell r="CV2488">
            <v>13.67289934744978</v>
          </cell>
          <cell r="CW2488">
            <v>11.062153668663059</v>
          </cell>
          <cell r="CX2488">
            <v>8.6510321273089765</v>
          </cell>
          <cell r="CY2488">
            <v>13.473275210017142</v>
          </cell>
        </row>
        <row r="2489">
          <cell r="A2489">
            <v>43021</v>
          </cell>
          <cell r="CF2489">
            <v>20.502299975048579</v>
          </cell>
          <cell r="CG2489">
            <v>22.085252262534414</v>
          </cell>
          <cell r="CH2489">
            <v>18.555263085067214</v>
          </cell>
          <cell r="CI2489">
            <v>14.926604548033502</v>
          </cell>
          <cell r="CJ2489">
            <v>22.183921622100925</v>
          </cell>
          <cell r="CU2489">
            <v>13.334190718560828</v>
          </cell>
          <cell r="CV2489">
            <v>13.67289934744978</v>
          </cell>
          <cell r="CW2489">
            <v>11.062153668663059</v>
          </cell>
          <cell r="CX2489">
            <v>8.6510321273089765</v>
          </cell>
          <cell r="CY2489">
            <v>13.473275210017142</v>
          </cell>
        </row>
        <row r="2490">
          <cell r="A2490">
            <v>43024</v>
          </cell>
          <cell r="CF2490">
            <v>20.750569853199284</v>
          </cell>
          <cell r="CG2490">
            <v>22.085252262534414</v>
          </cell>
          <cell r="CH2490">
            <v>18.555263085067214</v>
          </cell>
          <cell r="CI2490">
            <v>14.926604548033502</v>
          </cell>
          <cell r="CJ2490">
            <v>22.183921622100925</v>
          </cell>
          <cell r="CU2490">
            <v>13.473053568795331</v>
          </cell>
          <cell r="CV2490">
            <v>13.67289934744978</v>
          </cell>
          <cell r="CW2490">
            <v>11.062153668663059</v>
          </cell>
          <cell r="CX2490">
            <v>8.6510321273089765</v>
          </cell>
          <cell r="CY2490">
            <v>13.473275210017142</v>
          </cell>
        </row>
        <row r="2491">
          <cell r="A2491">
            <v>43025</v>
          </cell>
          <cell r="CF2491">
            <v>20.88736831394333</v>
          </cell>
          <cell r="CG2491">
            <v>22.085252262534414</v>
          </cell>
          <cell r="CH2491">
            <v>18.555263085067214</v>
          </cell>
          <cell r="CI2491">
            <v>14.926604548033502</v>
          </cell>
          <cell r="CJ2491">
            <v>22.183921622100925</v>
          </cell>
          <cell r="CU2491">
            <v>13.5495679824975</v>
          </cell>
          <cell r="CV2491">
            <v>13.67289934744978</v>
          </cell>
          <cell r="CW2491">
            <v>11.062153668663059</v>
          </cell>
          <cell r="CX2491">
            <v>8.6510321273089765</v>
          </cell>
          <cell r="CY2491">
            <v>13.473275210017142</v>
          </cell>
        </row>
        <row r="2492">
          <cell r="A2492">
            <v>43026</v>
          </cell>
          <cell r="CF2492">
            <v>20.846834151251535</v>
          </cell>
          <cell r="CG2492">
            <v>22.085252262534414</v>
          </cell>
          <cell r="CH2492">
            <v>18.555263085067214</v>
          </cell>
          <cell r="CI2492">
            <v>14.926604548033502</v>
          </cell>
          <cell r="CJ2492">
            <v>22.183921622100925</v>
          </cell>
          <cell r="CU2492">
            <v>13.526896326132345</v>
          </cell>
          <cell r="CV2492">
            <v>13.67289934744978</v>
          </cell>
          <cell r="CW2492">
            <v>11.062153668663059</v>
          </cell>
          <cell r="CX2492">
            <v>8.6510321273089765</v>
          </cell>
          <cell r="CY2492">
            <v>13.473275210017142</v>
          </cell>
        </row>
        <row r="2493">
          <cell r="A2493">
            <v>43027</v>
          </cell>
          <cell r="CF2493">
            <v>21.0495019247053</v>
          </cell>
          <cell r="CG2493">
            <v>22.085252262534414</v>
          </cell>
          <cell r="CH2493">
            <v>18.555263085067214</v>
          </cell>
          <cell r="CI2493">
            <v>14.926604548033502</v>
          </cell>
          <cell r="CJ2493">
            <v>22.183921622100925</v>
          </cell>
          <cell r="CU2493">
            <v>13.640252907615771</v>
          </cell>
          <cell r="CV2493">
            <v>13.67289934744978</v>
          </cell>
          <cell r="CW2493">
            <v>11.062153668663059</v>
          </cell>
          <cell r="CX2493">
            <v>8.6510321273089765</v>
          </cell>
          <cell r="CY2493">
            <v>13.473275210017142</v>
          </cell>
        </row>
        <row r="2494">
          <cell r="A2494">
            <v>43028</v>
          </cell>
          <cell r="CF2494">
            <v>21.435952451899215</v>
          </cell>
          <cell r="CG2494">
            <v>22.085252262534414</v>
          </cell>
          <cell r="CH2494">
            <v>18.555263085067214</v>
          </cell>
          <cell r="CI2494">
            <v>14.926604548033502</v>
          </cell>
          <cell r="CJ2494">
            <v>22.183921622100925</v>
          </cell>
          <cell r="CU2494">
            <v>13.844350103543526</v>
          </cell>
          <cell r="CV2494">
            <v>13.67289934744978</v>
          </cell>
          <cell r="CW2494">
            <v>11.062153668663059</v>
          </cell>
          <cell r="CX2494">
            <v>8.6510321273089765</v>
          </cell>
          <cell r="CY2494">
            <v>13.473275210017142</v>
          </cell>
        </row>
        <row r="2495">
          <cell r="A2495">
            <v>43031</v>
          </cell>
          <cell r="CF2495">
            <v>21.009923479255182</v>
          </cell>
          <cell r="CG2495">
            <v>22.085252262534414</v>
          </cell>
          <cell r="CH2495">
            <v>18.555263085067214</v>
          </cell>
          <cell r="CI2495">
            <v>14.926604548033502</v>
          </cell>
          <cell r="CJ2495">
            <v>22.183921622100925</v>
          </cell>
          <cell r="CU2495">
            <v>13.606302348678794</v>
          </cell>
          <cell r="CV2495">
            <v>13.67289934744978</v>
          </cell>
          <cell r="CW2495">
            <v>11.062153668663059</v>
          </cell>
          <cell r="CX2495">
            <v>8.6510321273089765</v>
          </cell>
          <cell r="CY2495">
            <v>13.473275210017142</v>
          </cell>
        </row>
        <row r="2496">
          <cell r="A2496">
            <v>43032</v>
          </cell>
          <cell r="CF2496">
            <v>21.028132634960187</v>
          </cell>
          <cell r="CG2496">
            <v>22.085252262534414</v>
          </cell>
          <cell r="CH2496">
            <v>18.555263085067214</v>
          </cell>
          <cell r="CI2496">
            <v>14.926604548033502</v>
          </cell>
          <cell r="CJ2496">
            <v>22.183921622100925</v>
          </cell>
          <cell r="CU2496">
            <v>13.623150488566292</v>
          </cell>
          <cell r="CV2496">
            <v>13.67289934744978</v>
          </cell>
          <cell r="CW2496">
            <v>11.062153668663059</v>
          </cell>
          <cell r="CX2496">
            <v>8.6510321273089765</v>
          </cell>
          <cell r="CY2496">
            <v>13.473275210017142</v>
          </cell>
        </row>
        <row r="2497">
          <cell r="A2497">
            <v>43033</v>
          </cell>
          <cell r="CF2497">
            <v>21.010389625751774</v>
          </cell>
          <cell r="CG2497">
            <v>22.085252262534414</v>
          </cell>
          <cell r="CH2497">
            <v>18.555263085067214</v>
          </cell>
          <cell r="CI2497">
            <v>14.926604548033502</v>
          </cell>
          <cell r="CJ2497">
            <v>22.183921622100925</v>
          </cell>
          <cell r="CU2497">
            <v>13.613230763919637</v>
          </cell>
          <cell r="CV2497">
            <v>13.67289934744978</v>
          </cell>
          <cell r="CW2497">
            <v>11.062153668663059</v>
          </cell>
          <cell r="CX2497">
            <v>8.6510321273089765</v>
          </cell>
          <cell r="CY2497">
            <v>13.473275210017142</v>
          </cell>
        </row>
        <row r="2498">
          <cell r="A2498">
            <v>43034</v>
          </cell>
          <cell r="CF2498">
            <v>20.647968742081886</v>
          </cell>
          <cell r="CG2498">
            <v>22.085252262534414</v>
          </cell>
          <cell r="CH2498">
            <v>18.555263085067214</v>
          </cell>
          <cell r="CI2498">
            <v>14.926604548033502</v>
          </cell>
          <cell r="CJ2498">
            <v>22.183921622100925</v>
          </cell>
          <cell r="CU2498">
            <v>13.410606983744275</v>
          </cell>
          <cell r="CV2498">
            <v>13.67289934744978</v>
          </cell>
          <cell r="CW2498">
            <v>11.062153668663059</v>
          </cell>
          <cell r="CX2498">
            <v>8.6510321273089765</v>
          </cell>
          <cell r="CY2498">
            <v>13.473275210017142</v>
          </cell>
        </row>
        <row r="2499">
          <cell r="A2499">
            <v>43035</v>
          </cell>
          <cell r="CF2499">
            <v>19.399646810717822</v>
          </cell>
          <cell r="CG2499">
            <v>22.085252262534414</v>
          </cell>
          <cell r="CH2499">
            <v>18.555263085067214</v>
          </cell>
          <cell r="CI2499">
            <v>14.926604548033502</v>
          </cell>
          <cell r="CJ2499">
            <v>22.183921622100925</v>
          </cell>
          <cell r="CU2499">
            <v>12.723881119820165</v>
          </cell>
          <cell r="CV2499">
            <v>13.67289934744978</v>
          </cell>
          <cell r="CW2499">
            <v>11.062153668663059</v>
          </cell>
          <cell r="CX2499">
            <v>8.6510321273089765</v>
          </cell>
          <cell r="CY2499">
            <v>13.473275210017142</v>
          </cell>
        </row>
        <row r="2500">
          <cell r="A2500">
            <v>43038</v>
          </cell>
          <cell r="CF2500">
            <v>19.685005362498181</v>
          </cell>
          <cell r="CG2500">
            <v>22.085252262534414</v>
          </cell>
          <cell r="CH2500">
            <v>18.555263085067214</v>
          </cell>
          <cell r="CI2500">
            <v>14.926604548033502</v>
          </cell>
          <cell r="CJ2500">
            <v>22.183921622100925</v>
          </cell>
          <cell r="CU2500">
            <v>12.890021611382291</v>
          </cell>
          <cell r="CV2500">
            <v>13.67289934744978</v>
          </cell>
          <cell r="CW2500">
            <v>11.062153668663059</v>
          </cell>
          <cell r="CX2500">
            <v>8.6510321273089765</v>
          </cell>
          <cell r="CY2500">
            <v>13.473275210017142</v>
          </cell>
        </row>
        <row r="2501">
          <cell r="A2501">
            <v>43039</v>
          </cell>
          <cell r="CF2501">
            <v>19.913019549890006</v>
          </cell>
          <cell r="CG2501">
            <v>22.085252262534414</v>
          </cell>
          <cell r="CH2501">
            <v>18.555263085067214</v>
          </cell>
          <cell r="CI2501">
            <v>14.926604548033502</v>
          </cell>
          <cell r="CJ2501">
            <v>22.183921622100925</v>
          </cell>
          <cell r="CU2501">
            <v>13.017682463785826</v>
          </cell>
          <cell r="CV2501">
            <v>13.67289934744978</v>
          </cell>
          <cell r="CW2501">
            <v>11.062153668663059</v>
          </cell>
          <cell r="CX2501">
            <v>8.6510321273089765</v>
          </cell>
          <cell r="CY2501">
            <v>13.473275210017142</v>
          </cell>
        </row>
        <row r="2502">
          <cell r="A2502">
            <v>43040</v>
          </cell>
          <cell r="CF2502">
            <v>19.416387121102925</v>
          </cell>
          <cell r="CG2502">
            <v>22.085252262534414</v>
          </cell>
          <cell r="CH2502">
            <v>18.555263085067214</v>
          </cell>
          <cell r="CI2502">
            <v>14.926604548033502</v>
          </cell>
          <cell r="CJ2502">
            <v>22.183921622100925</v>
          </cell>
          <cell r="CU2502">
            <v>12.751074401247593</v>
          </cell>
          <cell r="CV2502">
            <v>13.67289934744978</v>
          </cell>
          <cell r="CW2502">
            <v>11.062153668663059</v>
          </cell>
          <cell r="CX2502">
            <v>8.6510321273089765</v>
          </cell>
          <cell r="CY2502">
            <v>13.473275210017142</v>
          </cell>
        </row>
        <row r="2503">
          <cell r="A2503">
            <v>43041</v>
          </cell>
          <cell r="CF2503">
            <v>19.180091920315256</v>
          </cell>
          <cell r="CG2503">
            <v>22.085252262534414</v>
          </cell>
          <cell r="CH2503">
            <v>18.555263085067214</v>
          </cell>
          <cell r="CI2503">
            <v>14.926604548033502</v>
          </cell>
          <cell r="CJ2503">
            <v>22.183921622100925</v>
          </cell>
          <cell r="CU2503">
            <v>12.751074401247593</v>
          </cell>
          <cell r="CV2503">
            <v>13.67289934744978</v>
          </cell>
          <cell r="CW2503">
            <v>11.062153668663059</v>
          </cell>
          <cell r="CX2503">
            <v>8.6510321273089765</v>
          </cell>
          <cell r="CY2503">
            <v>13.473275210017142</v>
          </cell>
        </row>
        <row r="2504">
          <cell r="A2504">
            <v>43042</v>
          </cell>
          <cell r="CF2504">
            <v>19.518637483126732</v>
          </cell>
          <cell r="CG2504">
            <v>22.085252262534414</v>
          </cell>
          <cell r="CH2504">
            <v>18.555263085067214</v>
          </cell>
          <cell r="CI2504">
            <v>14.926604548033502</v>
          </cell>
          <cell r="CJ2504">
            <v>22.183921622100925</v>
          </cell>
          <cell r="CU2504">
            <v>12.807445044048819</v>
          </cell>
          <cell r="CV2504">
            <v>13.67289934744978</v>
          </cell>
          <cell r="CW2504">
            <v>11.062153668663059</v>
          </cell>
          <cell r="CX2504">
            <v>8.6510321273089765</v>
          </cell>
          <cell r="CY2504">
            <v>13.473275210017142</v>
          </cell>
        </row>
        <row r="2505">
          <cell r="A2505">
            <v>43045</v>
          </cell>
          <cell r="CF2505">
            <v>17.730604154441618</v>
          </cell>
          <cell r="CG2505">
            <v>22.085252262534414</v>
          </cell>
          <cell r="CH2505">
            <v>18.555263085067214</v>
          </cell>
          <cell r="CI2505">
            <v>14.926604548033502</v>
          </cell>
          <cell r="CJ2505">
            <v>22.183921622100925</v>
          </cell>
          <cell r="CU2505">
            <v>12.836039245781292</v>
          </cell>
          <cell r="CV2505">
            <v>13.67289934744978</v>
          </cell>
          <cell r="CW2505">
            <v>11.062153668663059</v>
          </cell>
          <cell r="CX2505">
            <v>8.6510321273089765</v>
          </cell>
          <cell r="CY2505">
            <v>13.473275210017142</v>
          </cell>
        </row>
        <row r="2506">
          <cell r="A2506">
            <v>43046</v>
          </cell>
          <cell r="CF2506">
            <v>18.178496670733146</v>
          </cell>
          <cell r="CG2506">
            <v>22.085252262534414</v>
          </cell>
          <cell r="CH2506">
            <v>18.555263085067214</v>
          </cell>
          <cell r="CI2506">
            <v>14.926604548033502</v>
          </cell>
          <cell r="CJ2506">
            <v>22.183921622100925</v>
          </cell>
          <cell r="CU2506">
            <v>11.950002970287402</v>
          </cell>
          <cell r="CV2506">
            <v>13.67289934744978</v>
          </cell>
          <cell r="CW2506">
            <v>11.062153668663059</v>
          </cell>
          <cell r="CX2506">
            <v>8.6510321273089765</v>
          </cell>
          <cell r="CY2506">
            <v>13.473275210017142</v>
          </cell>
        </row>
        <row r="2507">
          <cell r="A2507">
            <v>43047</v>
          </cell>
          <cell r="CF2507">
            <v>17.920764619292179</v>
          </cell>
          <cell r="CG2507">
            <v>22.085252262534414</v>
          </cell>
          <cell r="CH2507">
            <v>18.555263085067214</v>
          </cell>
          <cell r="CI2507">
            <v>14.926604548033502</v>
          </cell>
          <cell r="CJ2507">
            <v>22.183921622100925</v>
          </cell>
          <cell r="CU2507">
            <v>11.808300015912476</v>
          </cell>
          <cell r="CV2507">
            <v>13.67289934744978</v>
          </cell>
          <cell r="CW2507">
            <v>11.062153668663059</v>
          </cell>
          <cell r="CX2507">
            <v>8.6510321273089765</v>
          </cell>
          <cell r="CY2507">
            <v>13.473275210017142</v>
          </cell>
        </row>
        <row r="2508">
          <cell r="A2508">
            <v>43048</v>
          </cell>
          <cell r="CF2508">
            <v>17.833721929470737</v>
          </cell>
          <cell r="CG2508">
            <v>22.085252262534414</v>
          </cell>
          <cell r="CH2508">
            <v>18.555263085067214</v>
          </cell>
          <cell r="CI2508">
            <v>14.926604548033502</v>
          </cell>
          <cell r="CJ2508">
            <v>22.183921622100925</v>
          </cell>
          <cell r="CU2508">
            <v>11.808300015912476</v>
          </cell>
          <cell r="CV2508">
            <v>13.67289934744978</v>
          </cell>
          <cell r="CW2508">
            <v>11.062153668663059</v>
          </cell>
          <cell r="CX2508">
            <v>8.6510321273089765</v>
          </cell>
          <cell r="CY2508">
            <v>13.473275210017142</v>
          </cell>
        </row>
        <row r="2509">
          <cell r="A2509">
            <v>43049</v>
          </cell>
          <cell r="CF2509">
            <v>17.165123270582548</v>
          </cell>
          <cell r="CG2509">
            <v>22.085252262534414</v>
          </cell>
          <cell r="CH2509">
            <v>18.555263085067214</v>
          </cell>
          <cell r="CI2509">
            <v>14.926604548033502</v>
          </cell>
          <cell r="CJ2509">
            <v>22.183921622100925</v>
          </cell>
          <cell r="CU2509">
            <v>11.394428939551641</v>
          </cell>
          <cell r="CV2509">
            <v>13.67289934744978</v>
          </cell>
          <cell r="CW2509">
            <v>11.062153668663059</v>
          </cell>
          <cell r="CX2509">
            <v>8.6510321273089765</v>
          </cell>
          <cell r="CY2509">
            <v>13.473275210017142</v>
          </cell>
        </row>
        <row r="2510">
          <cell r="A2510">
            <v>43052</v>
          </cell>
          <cell r="CF2510">
            <v>17.024319603228353</v>
          </cell>
          <cell r="CG2510">
            <v>22.085252262534414</v>
          </cell>
          <cell r="CH2510">
            <v>18.555263085067214</v>
          </cell>
          <cell r="CI2510">
            <v>14.926604548033502</v>
          </cell>
          <cell r="CJ2510">
            <v>22.183921622100925</v>
          </cell>
          <cell r="CU2510">
            <v>11.317262917720276</v>
          </cell>
          <cell r="CV2510">
            <v>13.67289934744978</v>
          </cell>
          <cell r="CW2510">
            <v>11.062153668663059</v>
          </cell>
          <cell r="CX2510">
            <v>8.6510321273089765</v>
          </cell>
          <cell r="CY2510">
            <v>13.473275210017142</v>
          </cell>
        </row>
        <row r="2511">
          <cell r="A2511">
            <v>43053</v>
          </cell>
          <cell r="CF2511">
            <v>17.111360469275553</v>
          </cell>
          <cell r="CG2511">
            <v>22.085252262534414</v>
          </cell>
          <cell r="CH2511">
            <v>18.555263085067214</v>
          </cell>
          <cell r="CI2511">
            <v>14.926604548033502</v>
          </cell>
          <cell r="CJ2511">
            <v>22.183921622100925</v>
          </cell>
          <cell r="CU2511">
            <v>11.364964781569627</v>
          </cell>
          <cell r="CV2511">
            <v>13.67289934744978</v>
          </cell>
          <cell r="CW2511">
            <v>11.062153668663059</v>
          </cell>
          <cell r="CX2511">
            <v>8.6510321273089765</v>
          </cell>
          <cell r="CY2511">
            <v>13.473275210017142</v>
          </cell>
        </row>
        <row r="2512">
          <cell r="A2512">
            <v>43054</v>
          </cell>
          <cell r="CF2512">
            <v>17.400647180151431</v>
          </cell>
          <cell r="CG2512">
            <v>22.085252262534414</v>
          </cell>
          <cell r="CH2512">
            <v>18.555263085067214</v>
          </cell>
          <cell r="CI2512">
            <v>14.926604548033502</v>
          </cell>
          <cell r="CJ2512">
            <v>22.183921622100925</v>
          </cell>
          <cell r="CU2512">
            <v>11.523505429455007</v>
          </cell>
          <cell r="CV2512">
            <v>13.67289934744978</v>
          </cell>
          <cell r="CW2512">
            <v>11.062153668663059</v>
          </cell>
          <cell r="CX2512">
            <v>8.6510321273089765</v>
          </cell>
          <cell r="CY2512">
            <v>13.473275210017142</v>
          </cell>
        </row>
        <row r="2513">
          <cell r="A2513">
            <v>43055</v>
          </cell>
          <cell r="CF2513">
            <v>17.889204538144892</v>
          </cell>
          <cell r="CG2513">
            <v>22.085252262534414</v>
          </cell>
          <cell r="CH2513">
            <v>18.555263085067214</v>
          </cell>
          <cell r="CI2513">
            <v>14.926604548033502</v>
          </cell>
          <cell r="CJ2513">
            <v>22.183921622100925</v>
          </cell>
          <cell r="CU2513">
            <v>11.526496014920713</v>
          </cell>
          <cell r="CV2513">
            <v>13.67289934744978</v>
          </cell>
          <cell r="CW2513">
            <v>11.062153668663059</v>
          </cell>
          <cell r="CX2513">
            <v>8.6510321273089765</v>
          </cell>
          <cell r="CY2513">
            <v>13.473275210017142</v>
          </cell>
        </row>
        <row r="2514">
          <cell r="A2514">
            <v>43056</v>
          </cell>
          <cell r="CF2514">
            <v>17.78883376584557</v>
          </cell>
          <cell r="CG2514">
            <v>22.085252262534414</v>
          </cell>
          <cell r="CH2514">
            <v>18.555263085067214</v>
          </cell>
          <cell r="CI2514">
            <v>14.926604548033502</v>
          </cell>
          <cell r="CJ2514">
            <v>22.183921622100925</v>
          </cell>
          <cell r="CU2514">
            <v>11.687871687291391</v>
          </cell>
          <cell r="CV2514">
            <v>13.67289934744978</v>
          </cell>
          <cell r="CW2514">
            <v>11.062153668663059</v>
          </cell>
          <cell r="CX2514">
            <v>8.6510321273089765</v>
          </cell>
          <cell r="CY2514">
            <v>13.473275210017142</v>
          </cell>
        </row>
        <row r="2515">
          <cell r="A2515">
            <v>43059</v>
          </cell>
          <cell r="CF2515">
            <v>17.37190897977737</v>
          </cell>
          <cell r="CG2515">
            <v>22.085252262534414</v>
          </cell>
          <cell r="CH2515">
            <v>18.555263085067214</v>
          </cell>
          <cell r="CI2515">
            <v>14.926604548033502</v>
          </cell>
          <cell r="CJ2515">
            <v>22.183921622100925</v>
          </cell>
          <cell r="CU2515">
            <v>11.460526126376964</v>
          </cell>
          <cell r="CV2515">
            <v>13.67289934744978</v>
          </cell>
          <cell r="CW2515">
            <v>11.062153668663059</v>
          </cell>
          <cell r="CX2515">
            <v>8.6510321273089765</v>
          </cell>
          <cell r="CY2515">
            <v>13.473275210017142</v>
          </cell>
        </row>
        <row r="2516">
          <cell r="A2516">
            <v>43060</v>
          </cell>
          <cell r="CF2516">
            <v>17.492869453322751</v>
          </cell>
          <cell r="CG2516">
            <v>22.085252262534414</v>
          </cell>
          <cell r="CH2516">
            <v>18.555263085067214</v>
          </cell>
          <cell r="CI2516">
            <v>14.926604548033502</v>
          </cell>
          <cell r="CJ2516">
            <v>22.183921622100925</v>
          </cell>
          <cell r="CU2516">
            <v>11.521044920203842</v>
          </cell>
          <cell r="CV2516">
            <v>13.67289934744978</v>
          </cell>
          <cell r="CW2516">
            <v>11.062153668663059</v>
          </cell>
          <cell r="CX2516">
            <v>8.6510321273089765</v>
          </cell>
          <cell r="CY2516">
            <v>13.473275210017142</v>
          </cell>
        </row>
        <row r="2517">
          <cell r="A2517">
            <v>43061</v>
          </cell>
          <cell r="CF2517">
            <v>18.002444163254815</v>
          </cell>
          <cell r="CG2517">
            <v>22.085252262534414</v>
          </cell>
          <cell r="CH2517">
            <v>18.555263085067214</v>
          </cell>
          <cell r="CI2517">
            <v>14.926604548033502</v>
          </cell>
          <cell r="CJ2517">
            <v>22.183921622100925</v>
          </cell>
          <cell r="CU2517">
            <v>11.521044920203842</v>
          </cell>
          <cell r="CV2517">
            <v>13.67289934744978</v>
          </cell>
          <cell r="CW2517">
            <v>11.062153668663059</v>
          </cell>
          <cell r="CX2517">
            <v>8.6510321273089765</v>
          </cell>
          <cell r="CY2517">
            <v>13.473275210017142</v>
          </cell>
        </row>
        <row r="2518">
          <cell r="A2518">
            <v>43062</v>
          </cell>
          <cell r="CF2518">
            <v>18.002444163254815</v>
          </cell>
          <cell r="CG2518">
            <v>22.085252262534414</v>
          </cell>
          <cell r="CH2518">
            <v>18.555263085067214</v>
          </cell>
          <cell r="CI2518">
            <v>14.926604548033502</v>
          </cell>
          <cell r="CJ2518">
            <v>22.183921622100925</v>
          </cell>
          <cell r="CU2518">
            <v>11.521044920203842</v>
          </cell>
          <cell r="CV2518">
            <v>13.67289934744978</v>
          </cell>
          <cell r="CW2518">
            <v>11.062153668663059</v>
          </cell>
          <cell r="CX2518">
            <v>8.6510321273089765</v>
          </cell>
          <cell r="CY2518">
            <v>13.473275210017142</v>
          </cell>
        </row>
        <row r="2519">
          <cell r="A2519">
            <v>43063</v>
          </cell>
          <cell r="CF2519">
            <v>18.008357401242556</v>
          </cell>
          <cell r="CG2519">
            <v>22.085252262534414</v>
          </cell>
          <cell r="CH2519">
            <v>18.555263085067214</v>
          </cell>
          <cell r="CI2519">
            <v>14.926604548033502</v>
          </cell>
          <cell r="CJ2519">
            <v>22.183921622100925</v>
          </cell>
          <cell r="CU2519">
            <v>11.801586680892594</v>
          </cell>
          <cell r="CV2519">
            <v>13.67289934744978</v>
          </cell>
          <cell r="CW2519">
            <v>11.062153668663059</v>
          </cell>
          <cell r="CX2519">
            <v>8.6510321273089765</v>
          </cell>
          <cell r="CY2519">
            <v>13.473275210017142</v>
          </cell>
        </row>
        <row r="2520">
          <cell r="A2520">
            <v>43066</v>
          </cell>
          <cell r="CF2520">
            <v>17.999742456111996</v>
          </cell>
          <cell r="CG2520">
            <v>22.085252262534414</v>
          </cell>
          <cell r="CH2520">
            <v>18.555263085067214</v>
          </cell>
          <cell r="CI2520">
            <v>14.926604548033502</v>
          </cell>
          <cell r="CJ2520">
            <v>22.183921622100925</v>
          </cell>
          <cell r="CU2520">
            <v>11.790364729923285</v>
          </cell>
          <cell r="CV2520">
            <v>13.67289934744978</v>
          </cell>
          <cell r="CW2520">
            <v>11.062153668663059</v>
          </cell>
          <cell r="CX2520">
            <v>8.6510321273089765</v>
          </cell>
          <cell r="CY2520">
            <v>13.473275210017142</v>
          </cell>
        </row>
        <row r="2521">
          <cell r="A2521">
            <v>43067</v>
          </cell>
          <cell r="CF2521">
            <v>18.156844228872451</v>
          </cell>
          <cell r="CG2521">
            <v>22.085252262534414</v>
          </cell>
          <cell r="CH2521">
            <v>18.555263085067214</v>
          </cell>
          <cell r="CI2521">
            <v>14.926604548033502</v>
          </cell>
          <cell r="CJ2521">
            <v>22.183921622100925</v>
          </cell>
          <cell r="CU2521">
            <v>11.875929966933352</v>
          </cell>
          <cell r="CV2521">
            <v>13.67289934744978</v>
          </cell>
          <cell r="CW2521">
            <v>11.062153668663059</v>
          </cell>
          <cell r="CX2521">
            <v>8.6510321273089765</v>
          </cell>
          <cell r="CY2521">
            <v>13.473275210017142</v>
          </cell>
        </row>
        <row r="2522">
          <cell r="A2522">
            <v>43068</v>
          </cell>
          <cell r="CF2522">
            <v>18.105336481093762</v>
          </cell>
          <cell r="CG2522">
            <v>22.085252262534414</v>
          </cell>
          <cell r="CH2522">
            <v>18.555263085067214</v>
          </cell>
          <cell r="CI2522">
            <v>14.926604548033502</v>
          </cell>
          <cell r="CJ2522">
            <v>22.183921622100925</v>
          </cell>
          <cell r="CU2522">
            <v>11.847876351948001</v>
          </cell>
          <cell r="CV2522">
            <v>13.67289934744978</v>
          </cell>
          <cell r="CW2522">
            <v>11.062153668663059</v>
          </cell>
          <cell r="CX2522">
            <v>8.6510321273089765</v>
          </cell>
          <cell r="CY2522">
            <v>13.473275210017142</v>
          </cell>
        </row>
        <row r="2523">
          <cell r="A2523">
            <v>43069</v>
          </cell>
          <cell r="CF2523">
            <v>18.40151015152346</v>
          </cell>
          <cell r="CG2523">
            <v>22.085252262534414</v>
          </cell>
          <cell r="CH2523">
            <v>18.555263085067214</v>
          </cell>
          <cell r="CI2523">
            <v>14.926604548033502</v>
          </cell>
          <cell r="CJ2523">
            <v>22.183921622100925</v>
          </cell>
          <cell r="CU2523">
            <v>11.847876351948001</v>
          </cell>
          <cell r="CV2523">
            <v>13.67289934744978</v>
          </cell>
          <cell r="CW2523">
            <v>11.062153668663059</v>
          </cell>
          <cell r="CX2523">
            <v>8.6510321273089765</v>
          </cell>
          <cell r="CY2523">
            <v>13.473275210017142</v>
          </cell>
        </row>
        <row r="2524">
          <cell r="A2524">
            <v>43070</v>
          </cell>
          <cell r="CF2524">
            <v>18.080860798362334</v>
          </cell>
          <cell r="CG2524">
            <v>22.085252262534414</v>
          </cell>
          <cell r="CH2524">
            <v>18.555263085067214</v>
          </cell>
          <cell r="CI2524">
            <v>14.926604548033502</v>
          </cell>
          <cell r="CJ2524">
            <v>22.183921622100925</v>
          </cell>
          <cell r="CU2524">
            <v>11.824486115138347</v>
          </cell>
          <cell r="CV2524">
            <v>13.67289934744978</v>
          </cell>
          <cell r="CW2524">
            <v>11.062153668663059</v>
          </cell>
          <cell r="CX2524">
            <v>8.6510321273089765</v>
          </cell>
          <cell r="CY2524">
            <v>13.473275210017142</v>
          </cell>
        </row>
        <row r="2525">
          <cell r="A2525">
            <v>43073</v>
          </cell>
          <cell r="CF2525">
            <v>18.221598515864894</v>
          </cell>
          <cell r="CG2525">
            <v>22.085252262534414</v>
          </cell>
          <cell r="CH2525">
            <v>18.555263085067214</v>
          </cell>
          <cell r="CI2525">
            <v>14.926604548033502</v>
          </cell>
          <cell r="CJ2525">
            <v>22.183921622100925</v>
          </cell>
          <cell r="CU2525">
            <v>11.901156429778947</v>
          </cell>
          <cell r="CV2525">
            <v>13.67289934744978</v>
          </cell>
          <cell r="CW2525">
            <v>11.062153668663059</v>
          </cell>
          <cell r="CX2525">
            <v>8.6510321273089765</v>
          </cell>
          <cell r="CY2525">
            <v>13.473275210017142</v>
          </cell>
        </row>
        <row r="2526">
          <cell r="A2526">
            <v>43074</v>
          </cell>
          <cell r="CF2526">
            <v>18.193451125895599</v>
          </cell>
          <cell r="CG2526">
            <v>22.085252262534414</v>
          </cell>
          <cell r="CH2526">
            <v>18.555263085067214</v>
          </cell>
          <cell r="CI2526">
            <v>14.926604548033502</v>
          </cell>
          <cell r="CJ2526">
            <v>22.183921622100925</v>
          </cell>
          <cell r="CU2526">
            <v>11.885822450490714</v>
          </cell>
          <cell r="CV2526">
            <v>13.67289934744978</v>
          </cell>
          <cell r="CW2526">
            <v>11.062153668663059</v>
          </cell>
          <cell r="CX2526">
            <v>8.6510321273089765</v>
          </cell>
          <cell r="CY2526">
            <v>13.473275210017142</v>
          </cell>
        </row>
        <row r="2527">
          <cell r="A2527">
            <v>43075</v>
          </cell>
          <cell r="CF2527">
            <v>17.306018437900129</v>
          </cell>
          <cell r="CG2527">
            <v>22.085252262534414</v>
          </cell>
          <cell r="CH2527">
            <v>18.555263085067214</v>
          </cell>
          <cell r="CI2527">
            <v>14.926604548033502</v>
          </cell>
          <cell r="CJ2527">
            <v>22.183921622100925</v>
          </cell>
          <cell r="CU2527">
            <v>11.877773334600473</v>
          </cell>
          <cell r="CV2527">
            <v>13.67289934744978</v>
          </cell>
          <cell r="CW2527">
            <v>11.062153668663059</v>
          </cell>
          <cell r="CX2527">
            <v>8.6510321273089765</v>
          </cell>
          <cell r="CY2527">
            <v>13.473275210017142</v>
          </cell>
        </row>
        <row r="2528">
          <cell r="A2528">
            <v>43076</v>
          </cell>
          <cell r="CF2528">
            <v>17.30345915492958</v>
          </cell>
          <cell r="CG2528">
            <v>22.085252262534414</v>
          </cell>
          <cell r="CH2528">
            <v>18.555263085067214</v>
          </cell>
          <cell r="CI2528">
            <v>14.926604548033502</v>
          </cell>
          <cell r="CJ2528">
            <v>22.183921622100925</v>
          </cell>
          <cell r="CU2528">
            <v>11.387417595839203</v>
          </cell>
          <cell r="CV2528">
            <v>13.67289934744978</v>
          </cell>
          <cell r="CW2528">
            <v>11.062153668663059</v>
          </cell>
          <cell r="CX2528">
            <v>8.6510321273089765</v>
          </cell>
          <cell r="CY2528">
            <v>13.473275210017142</v>
          </cell>
        </row>
        <row r="2529">
          <cell r="A2529">
            <v>43077</v>
          </cell>
          <cell r="CF2529">
            <v>17.40133111225013</v>
          </cell>
          <cell r="CG2529">
            <v>22.085252262534414</v>
          </cell>
          <cell r="CH2529">
            <v>18.555263085067214</v>
          </cell>
          <cell r="CI2529">
            <v>14.926604548033502</v>
          </cell>
          <cell r="CJ2529">
            <v>22.183921622100925</v>
          </cell>
          <cell r="CU2529">
            <v>11.432024652098997</v>
          </cell>
          <cell r="CV2529">
            <v>13.67289934744978</v>
          </cell>
          <cell r="CW2529">
            <v>11.062153668663059</v>
          </cell>
          <cell r="CX2529">
            <v>8.6510321273089765</v>
          </cell>
          <cell r="CY2529">
            <v>13.473275210017142</v>
          </cell>
        </row>
        <row r="2530">
          <cell r="A2530">
            <v>43080</v>
          </cell>
          <cell r="CF2530">
            <v>17.50897180932855</v>
          </cell>
          <cell r="CG2530">
            <v>22.085252262534414</v>
          </cell>
          <cell r="CH2530">
            <v>18.555263085067214</v>
          </cell>
          <cell r="CI2530">
            <v>14.926604548033502</v>
          </cell>
          <cell r="CJ2530">
            <v>22.183921622100925</v>
          </cell>
          <cell r="CU2530">
            <v>11.490535030252721</v>
          </cell>
          <cell r="CV2530">
            <v>13.67289934744978</v>
          </cell>
          <cell r="CW2530">
            <v>11.062153668663059</v>
          </cell>
          <cell r="CX2530">
            <v>8.6510321273089765</v>
          </cell>
          <cell r="CY2530">
            <v>13.473275210017142</v>
          </cell>
        </row>
        <row r="2531">
          <cell r="A2531">
            <v>43081</v>
          </cell>
          <cell r="CF2531">
            <v>17.378267042542284</v>
          </cell>
          <cell r="CG2531">
            <v>22.085252262534414</v>
          </cell>
          <cell r="CH2531">
            <v>18.555263085067214</v>
          </cell>
          <cell r="CI2531">
            <v>14.926604548033502</v>
          </cell>
          <cell r="CJ2531">
            <v>22.183921622100925</v>
          </cell>
          <cell r="CU2531">
            <v>11.419487689063663</v>
          </cell>
          <cell r="CV2531">
            <v>13.67289934744978</v>
          </cell>
          <cell r="CW2531">
            <v>11.062153668663059</v>
          </cell>
          <cell r="CX2531">
            <v>8.6510321273089765</v>
          </cell>
          <cell r="CY2531">
            <v>13.473275210017142</v>
          </cell>
        </row>
        <row r="2532">
          <cell r="A2532">
            <v>43082</v>
          </cell>
          <cell r="CF2532">
            <v>17.606354946181444</v>
          </cell>
          <cell r="CG2532">
            <v>22.085252262534414</v>
          </cell>
          <cell r="CH2532">
            <v>18.555263085067214</v>
          </cell>
          <cell r="CI2532">
            <v>14.926604548033502</v>
          </cell>
          <cell r="CJ2532">
            <v>22.183921622100925</v>
          </cell>
          <cell r="CU2532">
            <v>11.56727794485691</v>
          </cell>
          <cell r="CV2532">
            <v>13.67289934744978</v>
          </cell>
          <cell r="CW2532">
            <v>11.062153668663059</v>
          </cell>
          <cell r="CX2532">
            <v>8.6510321273089765</v>
          </cell>
          <cell r="CY2532">
            <v>13.473275210017142</v>
          </cell>
        </row>
        <row r="2533">
          <cell r="A2533">
            <v>43083</v>
          </cell>
          <cell r="CF2533">
            <v>17.603793695540748</v>
          </cell>
          <cell r="CG2533">
            <v>22.085252262534414</v>
          </cell>
          <cell r="CH2533">
            <v>18.555263085067214</v>
          </cell>
          <cell r="CI2533">
            <v>14.926604548033502</v>
          </cell>
          <cell r="CJ2533">
            <v>22.183921622100925</v>
          </cell>
          <cell r="CU2533">
            <v>11.56727794485691</v>
          </cell>
          <cell r="CV2533">
            <v>13.67289934744978</v>
          </cell>
          <cell r="CW2533">
            <v>11.062153668663059</v>
          </cell>
          <cell r="CX2533">
            <v>8.6510321273089765</v>
          </cell>
          <cell r="CY2533">
            <v>13.473275210017142</v>
          </cell>
        </row>
        <row r="2534">
          <cell r="A2534">
            <v>43084</v>
          </cell>
          <cell r="CF2534">
            <v>17.980523833931318</v>
          </cell>
          <cell r="CG2534">
            <v>22.085252262534414</v>
          </cell>
          <cell r="CH2534">
            <v>18.555263085067214</v>
          </cell>
          <cell r="CI2534">
            <v>14.926604548033502</v>
          </cell>
          <cell r="CJ2534">
            <v>22.183921622100925</v>
          </cell>
          <cell r="CU2534">
            <v>11.771084843541605</v>
          </cell>
          <cell r="CV2534">
            <v>13.67289934744978</v>
          </cell>
          <cell r="CW2534">
            <v>11.062153668663059</v>
          </cell>
          <cell r="CX2534">
            <v>8.6510321273089765</v>
          </cell>
          <cell r="CY2534">
            <v>13.473275210017142</v>
          </cell>
        </row>
        <row r="2535">
          <cell r="A2535">
            <v>43087</v>
          </cell>
          <cell r="CF2535">
            <v>17.980523833931318</v>
          </cell>
          <cell r="CG2535">
            <v>22.085252262534414</v>
          </cell>
          <cell r="CH2535">
            <v>18.555263085067214</v>
          </cell>
          <cell r="CI2535">
            <v>14.926604548033502</v>
          </cell>
          <cell r="CJ2535">
            <v>22.183921622100925</v>
          </cell>
          <cell r="CU2535">
            <v>11.771084843541605</v>
          </cell>
          <cell r="CV2535">
            <v>13.67289934744978</v>
          </cell>
          <cell r="CW2535">
            <v>11.062153668663059</v>
          </cell>
          <cell r="CX2535">
            <v>8.6510321273089765</v>
          </cell>
          <cell r="CY2535">
            <v>13.473275210017142</v>
          </cell>
        </row>
        <row r="2536">
          <cell r="A2536">
            <v>43088</v>
          </cell>
          <cell r="CF2536">
            <v>18.321375192209121</v>
          </cell>
          <cell r="CG2536">
            <v>22.085252262534414</v>
          </cell>
          <cell r="CH2536">
            <v>18.555263085067214</v>
          </cell>
          <cell r="CI2536">
            <v>14.926604548033502</v>
          </cell>
          <cell r="CJ2536">
            <v>22.183921622100925</v>
          </cell>
          <cell r="CU2536">
            <v>11.95674394165856</v>
          </cell>
          <cell r="CV2536">
            <v>13.67289934744978</v>
          </cell>
          <cell r="CW2536">
            <v>11.062153668663059</v>
          </cell>
          <cell r="CX2536">
            <v>8.6510321273089765</v>
          </cell>
          <cell r="CY2536">
            <v>13.473275210017142</v>
          </cell>
        </row>
        <row r="2537">
          <cell r="A2537">
            <v>43089</v>
          </cell>
          <cell r="CF2537">
            <v>18.221426704254228</v>
          </cell>
          <cell r="CG2537">
            <v>22.085252262534414</v>
          </cell>
          <cell r="CH2537">
            <v>18.555263085067214</v>
          </cell>
          <cell r="CI2537">
            <v>14.926604548033502</v>
          </cell>
          <cell r="CJ2537">
            <v>22.183921622100925</v>
          </cell>
          <cell r="CU2537">
            <v>11.902302773444895</v>
          </cell>
          <cell r="CV2537">
            <v>13.67289934744978</v>
          </cell>
          <cell r="CW2537">
            <v>11.062153668663059</v>
          </cell>
          <cell r="CX2537">
            <v>8.6510321273089765</v>
          </cell>
          <cell r="CY2537">
            <v>13.473275210017142</v>
          </cell>
        </row>
        <row r="2538">
          <cell r="A2538">
            <v>43090</v>
          </cell>
          <cell r="CF2538">
            <v>18.236802665299845</v>
          </cell>
          <cell r="CG2538">
            <v>22.085252262534414</v>
          </cell>
          <cell r="CH2538">
            <v>18.555263085067214</v>
          </cell>
          <cell r="CI2538">
            <v>14.926604548033502</v>
          </cell>
          <cell r="CJ2538">
            <v>22.183921622100925</v>
          </cell>
          <cell r="CU2538">
            <v>11.902302773444895</v>
          </cell>
          <cell r="CV2538">
            <v>13.67289934744978</v>
          </cell>
          <cell r="CW2538">
            <v>11.062153668663059</v>
          </cell>
          <cell r="CX2538">
            <v>8.6510321273089765</v>
          </cell>
          <cell r="CY2538">
            <v>13.473275210017142</v>
          </cell>
        </row>
        <row r="2539">
          <cell r="A2539">
            <v>43091</v>
          </cell>
          <cell r="CF2539">
            <v>18.196866223169806</v>
          </cell>
          <cell r="CG2539">
            <v>22.085252262534414</v>
          </cell>
          <cell r="CH2539">
            <v>18.555263085067214</v>
          </cell>
          <cell r="CI2539">
            <v>14.926604548033502</v>
          </cell>
          <cell r="CJ2539">
            <v>22.183921622100925</v>
          </cell>
          <cell r="CU2539">
            <v>11.889737719603094</v>
          </cell>
          <cell r="CV2539">
            <v>13.67289934744978</v>
          </cell>
          <cell r="CW2539">
            <v>11.062153668663059</v>
          </cell>
          <cell r="CX2539">
            <v>8.6510321273089765</v>
          </cell>
          <cell r="CY2539">
            <v>13.473275210017142</v>
          </cell>
        </row>
        <row r="2540">
          <cell r="A2540">
            <v>43094</v>
          </cell>
          <cell r="CF2540">
            <v>18.196866223169806</v>
          </cell>
          <cell r="CG2540">
            <v>22.085252262534414</v>
          </cell>
          <cell r="CH2540">
            <v>18.555263085067214</v>
          </cell>
          <cell r="CI2540">
            <v>14.926604548033502</v>
          </cell>
          <cell r="CJ2540">
            <v>22.183921622100925</v>
          </cell>
          <cell r="CU2540">
            <v>11.889737719603094</v>
          </cell>
          <cell r="CV2540">
            <v>13.67289934744978</v>
          </cell>
          <cell r="CW2540">
            <v>11.062153668663059</v>
          </cell>
          <cell r="CX2540">
            <v>8.6510321273089765</v>
          </cell>
          <cell r="CY2540">
            <v>13.473275210017142</v>
          </cell>
        </row>
        <row r="2541">
          <cell r="A2541">
            <v>43095</v>
          </cell>
          <cell r="CF2541">
            <v>18.096925931240904</v>
          </cell>
          <cell r="CG2541">
            <v>22.085252262534414</v>
          </cell>
          <cell r="CH2541">
            <v>18.555263085067214</v>
          </cell>
          <cell r="CI2541">
            <v>14.926604548033502</v>
          </cell>
          <cell r="CJ2541">
            <v>22.183921622100925</v>
          </cell>
          <cell r="CU2541">
            <v>11.835296551389424</v>
          </cell>
          <cell r="CV2541">
            <v>13.67289934744978</v>
          </cell>
          <cell r="CW2541">
            <v>11.062153668663059</v>
          </cell>
          <cell r="CX2541">
            <v>8.6510321273089765</v>
          </cell>
          <cell r="CY2541">
            <v>13.473275210017142</v>
          </cell>
        </row>
        <row r="2542">
          <cell r="A2542">
            <v>43096</v>
          </cell>
          <cell r="CF2542">
            <v>18.055927499538736</v>
          </cell>
          <cell r="CG2542">
            <v>22.085252262534414</v>
          </cell>
          <cell r="CH2542">
            <v>18.555263085067214</v>
          </cell>
          <cell r="CI2542">
            <v>14.926604548033502</v>
          </cell>
          <cell r="CJ2542">
            <v>22.183921622100925</v>
          </cell>
          <cell r="CU2542">
            <v>11.812963191403023</v>
          </cell>
          <cell r="CV2542">
            <v>13.67289934744978</v>
          </cell>
          <cell r="CW2542">
            <v>11.062153668663059</v>
          </cell>
          <cell r="CX2542">
            <v>8.6510321273089765</v>
          </cell>
          <cell r="CY2542">
            <v>13.473275210017142</v>
          </cell>
        </row>
        <row r="2543">
          <cell r="A2543">
            <v>43097</v>
          </cell>
          <cell r="CF2543">
            <v>18.081550974804731</v>
          </cell>
          <cell r="CG2543">
            <v>22.085252262534414</v>
          </cell>
          <cell r="CH2543">
            <v>18.555263085067214</v>
          </cell>
          <cell r="CI2543">
            <v>14.926604548033502</v>
          </cell>
          <cell r="CJ2543">
            <v>22.183921622100925</v>
          </cell>
          <cell r="CU2543">
            <v>11.826921244759191</v>
          </cell>
          <cell r="CV2543">
            <v>13.67289934744978</v>
          </cell>
          <cell r="CW2543">
            <v>11.062153668663059</v>
          </cell>
          <cell r="CX2543">
            <v>8.6510321273089765</v>
          </cell>
          <cell r="CY2543">
            <v>13.473275210017142</v>
          </cell>
        </row>
        <row r="2544">
          <cell r="A2544">
            <v>43098</v>
          </cell>
          <cell r="CF2544">
            <v>17.907297453822341</v>
          </cell>
          <cell r="CG2544">
            <v>22.085252262534414</v>
          </cell>
          <cell r="CH2544">
            <v>18.555263085067214</v>
          </cell>
          <cell r="CI2544">
            <v>14.926604548033502</v>
          </cell>
          <cell r="CJ2544">
            <v>22.183921622100925</v>
          </cell>
          <cell r="CU2544">
            <v>11.826921244759191</v>
          </cell>
          <cell r="CV2544">
            <v>13.67289934744978</v>
          </cell>
          <cell r="CW2544">
            <v>11.062153668663059</v>
          </cell>
          <cell r="CX2544">
            <v>8.6510321273089765</v>
          </cell>
          <cell r="CY2544">
            <v>13.473275210017142</v>
          </cell>
        </row>
        <row r="2545">
          <cell r="A2545">
            <v>43101</v>
          </cell>
          <cell r="CF2545">
            <v>17.774896267540949</v>
          </cell>
          <cell r="CG2545">
            <v>22.085252262534414</v>
          </cell>
          <cell r="CH2545">
            <v>18.555263085067214</v>
          </cell>
          <cell r="CI2545">
            <v>14.926604548033502</v>
          </cell>
          <cell r="CJ2545">
            <v>22.183921622100925</v>
          </cell>
          <cell r="CU2545">
            <v>11.678207563342468</v>
          </cell>
          <cell r="CV2545">
            <v>13.67289934744978</v>
          </cell>
          <cell r="CW2545">
            <v>11.062153668663059</v>
          </cell>
          <cell r="CX2545">
            <v>8.6510321273089765</v>
          </cell>
          <cell r="CY2545">
            <v>13.473275210017142</v>
          </cell>
        </row>
        <row r="2546">
          <cell r="A2546">
            <v>43102</v>
          </cell>
          <cell r="CF2546">
            <v>18.116871690119787</v>
          </cell>
          <cell r="CG2546">
            <v>22.085252262534414</v>
          </cell>
          <cell r="CH2546">
            <v>18.555263085067214</v>
          </cell>
          <cell r="CI2546">
            <v>14.926604548033502</v>
          </cell>
          <cell r="CJ2546">
            <v>22.183921622100925</v>
          </cell>
          <cell r="CU2546">
            <v>11.899142513399337</v>
          </cell>
          <cell r="CV2546">
            <v>13.67289934744978</v>
          </cell>
          <cell r="CW2546">
            <v>11.062153668663059</v>
          </cell>
          <cell r="CX2546">
            <v>8.6510321273089765</v>
          </cell>
          <cell r="CY2546">
            <v>13.473275210017142</v>
          </cell>
        </row>
        <row r="2547">
          <cell r="A2547">
            <v>43103</v>
          </cell>
          <cell r="CF2547">
            <v>18.291948525265287</v>
          </cell>
          <cell r="CG2547">
            <v>22.085252262534414</v>
          </cell>
          <cell r="CH2547">
            <v>18.555263085067214</v>
          </cell>
          <cell r="CI2547">
            <v>14.926604548033502</v>
          </cell>
          <cell r="CJ2547">
            <v>22.183921622100925</v>
          </cell>
          <cell r="CU2547">
            <v>11.996143741336208</v>
          </cell>
          <cell r="CV2547">
            <v>13.67289934744978</v>
          </cell>
          <cell r="CW2547">
            <v>11.062153668663059</v>
          </cell>
          <cell r="CX2547">
            <v>8.6510321273089765</v>
          </cell>
          <cell r="CY2547">
            <v>13.473275210017142</v>
          </cell>
        </row>
        <row r="2548">
          <cell r="A2548">
            <v>43104</v>
          </cell>
          <cell r="CF2548">
            <v>18.236097353518929</v>
          </cell>
          <cell r="CG2548">
            <v>22.085252262534414</v>
          </cell>
          <cell r="CH2548">
            <v>18.555263085067214</v>
          </cell>
          <cell r="CI2548">
            <v>14.926604548033502</v>
          </cell>
          <cell r="CJ2548">
            <v>22.183921622100925</v>
          </cell>
          <cell r="CU2548">
            <v>12.005410370591299</v>
          </cell>
          <cell r="CV2548">
            <v>13.67289934744978</v>
          </cell>
          <cell r="CW2548">
            <v>11.062153668663059</v>
          </cell>
          <cell r="CX2548">
            <v>8.6510321273089765</v>
          </cell>
          <cell r="CY2548">
            <v>13.473275210017142</v>
          </cell>
        </row>
        <row r="2549">
          <cell r="A2549">
            <v>43105</v>
          </cell>
          <cell r="CF2549">
            <v>18.478402889483416</v>
          </cell>
          <cell r="CG2549">
            <v>22.085252262534414</v>
          </cell>
          <cell r="CH2549">
            <v>18.555263085067214</v>
          </cell>
          <cell r="CI2549">
            <v>14.926604548033502</v>
          </cell>
          <cell r="CJ2549">
            <v>22.183921622100925</v>
          </cell>
          <cell r="CU2549">
            <v>12.170946379194907</v>
          </cell>
          <cell r="CV2549">
            <v>13.67289934744978</v>
          </cell>
          <cell r="CW2549">
            <v>11.062153668663059</v>
          </cell>
          <cell r="CX2549">
            <v>8.6510321273089765</v>
          </cell>
          <cell r="CY2549">
            <v>13.473275210017142</v>
          </cell>
        </row>
        <row r="2550">
          <cell r="A2550">
            <v>43108</v>
          </cell>
          <cell r="CF2550">
            <v>18.732911194642934</v>
          </cell>
          <cell r="CG2550">
            <v>22.085252262534414</v>
          </cell>
          <cell r="CH2550">
            <v>18.555263085067214</v>
          </cell>
          <cell r="CI2550">
            <v>14.926604548033502</v>
          </cell>
          <cell r="CJ2550">
            <v>22.183921622100925</v>
          </cell>
          <cell r="CU2550">
            <v>12.311442396016393</v>
          </cell>
          <cell r="CV2550">
            <v>13.67289934744978</v>
          </cell>
          <cell r="CW2550">
            <v>11.062153668663059</v>
          </cell>
          <cell r="CX2550">
            <v>8.6510321273089765</v>
          </cell>
          <cell r="CY2550">
            <v>13.473275210017142</v>
          </cell>
        </row>
        <row r="2551">
          <cell r="A2551">
            <v>43109</v>
          </cell>
          <cell r="CF2551">
            <v>18.50864038974591</v>
          </cell>
          <cell r="CG2551">
            <v>22.085252262534414</v>
          </cell>
          <cell r="CH2551">
            <v>18.555263085067214</v>
          </cell>
          <cell r="CI2551">
            <v>14.926604548033502</v>
          </cell>
          <cell r="CJ2551">
            <v>22.183921622100925</v>
          </cell>
          <cell r="CU2551">
            <v>12.311442396016393</v>
          </cell>
          <cell r="CV2551">
            <v>13.67289934744978</v>
          </cell>
          <cell r="CW2551">
            <v>11.062153668663059</v>
          </cell>
          <cell r="CX2551">
            <v>8.6510321273089765</v>
          </cell>
          <cell r="CY2551">
            <v>13.473275210017142</v>
          </cell>
        </row>
        <row r="2552">
          <cell r="A2552">
            <v>43110</v>
          </cell>
          <cell r="CF2552">
            <v>18.343978993930687</v>
          </cell>
          <cell r="CG2552">
            <v>22.085252262534414</v>
          </cell>
          <cell r="CH2552">
            <v>18.555263085067214</v>
          </cell>
          <cell r="CI2552">
            <v>14.926604548033502</v>
          </cell>
          <cell r="CJ2552">
            <v>22.183921622100925</v>
          </cell>
          <cell r="CU2552">
            <v>12.09581123844219</v>
          </cell>
          <cell r="CV2552">
            <v>13.67289934744978</v>
          </cell>
          <cell r="CW2552">
            <v>11.062153668663059</v>
          </cell>
          <cell r="CX2552">
            <v>8.6510321273089765</v>
          </cell>
          <cell r="CY2552">
            <v>13.473275210017142</v>
          </cell>
        </row>
        <row r="2553">
          <cell r="A2553">
            <v>43111</v>
          </cell>
          <cell r="CF2553">
            <v>18.413616529550335</v>
          </cell>
          <cell r="CG2553">
            <v>22.085252262534414</v>
          </cell>
          <cell r="CH2553">
            <v>18.555263085067214</v>
          </cell>
          <cell r="CI2553">
            <v>14.926604548033502</v>
          </cell>
          <cell r="CJ2553">
            <v>22.183921622100925</v>
          </cell>
          <cell r="CU2553">
            <v>12.138552138079755</v>
          </cell>
          <cell r="CV2553">
            <v>13.67289934744978</v>
          </cell>
          <cell r="CW2553">
            <v>11.062153668663059</v>
          </cell>
          <cell r="CX2553">
            <v>8.6510321273089765</v>
          </cell>
          <cell r="CY2553">
            <v>13.473275210017142</v>
          </cell>
        </row>
        <row r="2554">
          <cell r="A2554">
            <v>43112</v>
          </cell>
          <cell r="CF2554">
            <v>18.800476543366862</v>
          </cell>
          <cell r="CG2554">
            <v>22.085252262534414</v>
          </cell>
          <cell r="CH2554">
            <v>18.555263085067214</v>
          </cell>
          <cell r="CI2554">
            <v>14.926604548033502</v>
          </cell>
          <cell r="CJ2554">
            <v>22.183921622100925</v>
          </cell>
          <cell r="CU2554">
            <v>12.349615267864767</v>
          </cell>
          <cell r="CV2554">
            <v>13.67289934744978</v>
          </cell>
          <cell r="CW2554">
            <v>11.062153668663059</v>
          </cell>
          <cell r="CX2554">
            <v>8.6510321273089765</v>
          </cell>
          <cell r="CY2554">
            <v>13.473275210017142</v>
          </cell>
        </row>
        <row r="2555">
          <cell r="A2555">
            <v>43115</v>
          </cell>
          <cell r="CF2555">
            <v>18.800476543366862</v>
          </cell>
          <cell r="CG2555">
            <v>22.085252262534414</v>
          </cell>
          <cell r="CH2555">
            <v>18.555263085067214</v>
          </cell>
          <cell r="CI2555">
            <v>14.926604548033502</v>
          </cell>
          <cell r="CJ2555">
            <v>22.183921622100925</v>
          </cell>
          <cell r="CU2555">
            <v>12.349615267864767</v>
          </cell>
          <cell r="CV2555">
            <v>13.67289934744978</v>
          </cell>
          <cell r="CW2555">
            <v>11.062153668663059</v>
          </cell>
          <cell r="CX2555">
            <v>8.6510321273089765</v>
          </cell>
          <cell r="CY2555">
            <v>13.473275210017142</v>
          </cell>
        </row>
        <row r="2556">
          <cell r="A2556">
            <v>43116</v>
          </cell>
          <cell r="CF2556">
            <v>19.101926521386112</v>
          </cell>
          <cell r="CG2556">
            <v>22.085252262534414</v>
          </cell>
          <cell r="CH2556">
            <v>18.555263085067214</v>
          </cell>
          <cell r="CI2556">
            <v>14.926604548033502</v>
          </cell>
          <cell r="CJ2556">
            <v>22.183921622100925</v>
          </cell>
          <cell r="CU2556">
            <v>12.349615267864767</v>
          </cell>
          <cell r="CV2556">
            <v>13.67289934744978</v>
          </cell>
          <cell r="CW2556">
            <v>11.062153668663059</v>
          </cell>
          <cell r="CX2556">
            <v>8.6510321273089765</v>
          </cell>
          <cell r="CY2556">
            <v>13.473275210017142</v>
          </cell>
        </row>
        <row r="2557">
          <cell r="A2557">
            <v>43117</v>
          </cell>
          <cell r="CF2557">
            <v>19.180442984036475</v>
          </cell>
          <cell r="CG2557">
            <v>22.085252262534414</v>
          </cell>
          <cell r="CH2557">
            <v>18.555263085067214</v>
          </cell>
          <cell r="CI2557">
            <v>14.926604548033502</v>
          </cell>
          <cell r="CJ2557">
            <v>22.183921622100925</v>
          </cell>
          <cell r="CU2557">
            <v>12.55913381959067</v>
          </cell>
          <cell r="CV2557">
            <v>13.67289934744978</v>
          </cell>
          <cell r="CW2557">
            <v>11.062153668663059</v>
          </cell>
          <cell r="CX2557">
            <v>8.6510321273089765</v>
          </cell>
          <cell r="CY2557">
            <v>13.473275210017142</v>
          </cell>
        </row>
        <row r="2558">
          <cell r="A2558">
            <v>43118</v>
          </cell>
          <cell r="CF2558">
            <v>18.769571593269152</v>
          </cell>
          <cell r="CG2558">
            <v>22.085252262534414</v>
          </cell>
          <cell r="CH2558">
            <v>18.555263085067214</v>
          </cell>
          <cell r="CI2558">
            <v>14.926604548033502</v>
          </cell>
          <cell r="CJ2558">
            <v>22.183921622100925</v>
          </cell>
          <cell r="CU2558">
            <v>12.55913381959067</v>
          </cell>
          <cell r="CV2558">
            <v>13.67289934744978</v>
          </cell>
          <cell r="CW2558">
            <v>11.062153668663059</v>
          </cell>
          <cell r="CX2558">
            <v>8.6510321273089765</v>
          </cell>
          <cell r="CY2558">
            <v>13.473275210017142</v>
          </cell>
        </row>
        <row r="2559">
          <cell r="A2559">
            <v>43119</v>
          </cell>
          <cell r="CF2559">
            <v>19.10721656227124</v>
          </cell>
          <cell r="CG2559">
            <v>22.085252262534414</v>
          </cell>
          <cell r="CH2559">
            <v>18.555263085067214</v>
          </cell>
          <cell r="CI2559">
            <v>14.926604548033502</v>
          </cell>
          <cell r="CJ2559">
            <v>22.183921622100925</v>
          </cell>
          <cell r="CU2559">
            <v>12.504997084002939</v>
          </cell>
          <cell r="CV2559">
            <v>13.67289934744978</v>
          </cell>
          <cell r="CW2559">
            <v>11.062153668663059</v>
          </cell>
          <cell r="CX2559">
            <v>8.6510321273089765</v>
          </cell>
          <cell r="CY2559">
            <v>13.473275210017142</v>
          </cell>
        </row>
        <row r="2560">
          <cell r="A2560">
            <v>43122</v>
          </cell>
          <cell r="CF2560">
            <v>19.220410208124541</v>
          </cell>
          <cell r="CG2560">
            <v>22.085252262534414</v>
          </cell>
          <cell r="CH2560">
            <v>18.555263085067214</v>
          </cell>
          <cell r="CI2560">
            <v>14.926604548033502</v>
          </cell>
          <cell r="CJ2560">
            <v>22.183921622100925</v>
          </cell>
          <cell r="CU2560">
            <v>12.567435442740466</v>
          </cell>
          <cell r="CV2560">
            <v>13.67289934744978</v>
          </cell>
          <cell r="CW2560">
            <v>11.062153668663059</v>
          </cell>
          <cell r="CX2560">
            <v>8.6510321273089765</v>
          </cell>
          <cell r="CY2560">
            <v>13.473275210017142</v>
          </cell>
        </row>
        <row r="2561">
          <cell r="A2561">
            <v>43123</v>
          </cell>
          <cell r="CF2561">
            <v>19.192740465784343</v>
          </cell>
          <cell r="CG2561">
            <v>22.085252262534414</v>
          </cell>
          <cell r="CH2561">
            <v>18.555263085067214</v>
          </cell>
          <cell r="CI2561">
            <v>14.926604548033502</v>
          </cell>
          <cell r="CJ2561">
            <v>22.183921622100925</v>
          </cell>
          <cell r="CU2561">
            <v>12.552172631074772</v>
          </cell>
          <cell r="CV2561">
            <v>13.67289934744978</v>
          </cell>
          <cell r="CW2561">
            <v>11.062153668663059</v>
          </cell>
          <cell r="CX2561">
            <v>8.6510321273089765</v>
          </cell>
          <cell r="CY2561">
            <v>13.473275210017142</v>
          </cell>
        </row>
        <row r="2562">
          <cell r="A2562">
            <v>43124</v>
          </cell>
          <cell r="CF2562">
            <v>19.471953320308184</v>
          </cell>
          <cell r="CG2562">
            <v>22.085252262534414</v>
          </cell>
          <cell r="CH2562">
            <v>18.555263085067214</v>
          </cell>
          <cell r="CI2562">
            <v>14.926604548033502</v>
          </cell>
          <cell r="CJ2562">
            <v>22.183921622100925</v>
          </cell>
          <cell r="CU2562">
            <v>12.706188276064974</v>
          </cell>
          <cell r="CV2562">
            <v>13.67289934744978</v>
          </cell>
          <cell r="CW2562">
            <v>11.062153668663059</v>
          </cell>
          <cell r="CX2562">
            <v>8.6510321273089765</v>
          </cell>
          <cell r="CY2562">
            <v>13.473275210017142</v>
          </cell>
        </row>
        <row r="2563">
          <cell r="A2563">
            <v>43125</v>
          </cell>
          <cell r="CF2563">
            <v>19.655578786029793</v>
          </cell>
          <cell r="CG2563">
            <v>22.085252262534414</v>
          </cell>
          <cell r="CH2563">
            <v>18.555263085067214</v>
          </cell>
          <cell r="CI2563">
            <v>14.926604548033502</v>
          </cell>
          <cell r="CJ2563">
            <v>22.183921622100925</v>
          </cell>
          <cell r="CU2563">
            <v>12.706188276064974</v>
          </cell>
          <cell r="CV2563">
            <v>13.67289934744978</v>
          </cell>
          <cell r="CW2563">
            <v>11.062153668663059</v>
          </cell>
          <cell r="CX2563">
            <v>8.6510321273089765</v>
          </cell>
          <cell r="CY2563">
            <v>13.473275210017142</v>
          </cell>
        </row>
        <row r="2564">
          <cell r="A2564">
            <v>43126</v>
          </cell>
          <cell r="CF2564">
            <v>19.767230922001218</v>
          </cell>
          <cell r="CG2564">
            <v>22.085252262534414</v>
          </cell>
          <cell r="CH2564">
            <v>18.555263085067214</v>
          </cell>
          <cell r="CI2564">
            <v>14.926604548033502</v>
          </cell>
          <cell r="CJ2564">
            <v>22.183921622100925</v>
          </cell>
          <cell r="CU2564">
            <v>12.89678555680246</v>
          </cell>
          <cell r="CV2564">
            <v>13.67289934744978</v>
          </cell>
          <cell r="CW2564">
            <v>11.062153668663059</v>
          </cell>
          <cell r="CX2564">
            <v>8.6510321273089765</v>
          </cell>
          <cell r="CY2564">
            <v>13.473275210017142</v>
          </cell>
        </row>
        <row r="2565">
          <cell r="A2565">
            <v>43129</v>
          </cell>
          <cell r="CF2565">
            <v>19.826066245008683</v>
          </cell>
          <cell r="CG2565">
            <v>22.085252262534414</v>
          </cell>
          <cell r="CH2565">
            <v>18.555263085067214</v>
          </cell>
          <cell r="CI2565">
            <v>14.926604548033502</v>
          </cell>
          <cell r="CJ2565">
            <v>22.183921622100925</v>
          </cell>
          <cell r="CU2565">
            <v>12.963283744205853</v>
          </cell>
          <cell r="CV2565">
            <v>13.67289934744978</v>
          </cell>
          <cell r="CW2565">
            <v>11.062153668663059</v>
          </cell>
          <cell r="CX2565">
            <v>8.6510321273089765</v>
          </cell>
          <cell r="CY2565">
            <v>13.473275210017142</v>
          </cell>
        </row>
        <row r="2566">
          <cell r="A2566">
            <v>43130</v>
          </cell>
          <cell r="CF2566">
            <v>19.491513315581219</v>
          </cell>
          <cell r="CG2566">
            <v>22.085252262534414</v>
          </cell>
          <cell r="CH2566">
            <v>18.555263085067214</v>
          </cell>
          <cell r="CI2566">
            <v>14.926604548033502</v>
          </cell>
          <cell r="CJ2566">
            <v>22.183921622100925</v>
          </cell>
          <cell r="CU2566">
            <v>12.777647779347133</v>
          </cell>
          <cell r="CV2566">
            <v>13.67289934744978</v>
          </cell>
          <cell r="CW2566">
            <v>11.062153668663059</v>
          </cell>
          <cell r="CX2566">
            <v>8.6510321273089765</v>
          </cell>
          <cell r="CY2566">
            <v>13.473275210017142</v>
          </cell>
        </row>
        <row r="2567">
          <cell r="A2567">
            <v>43131</v>
          </cell>
          <cell r="CF2567">
            <v>18.894805176433355</v>
          </cell>
          <cell r="CG2567">
            <v>22.085252262534414</v>
          </cell>
          <cell r="CH2567">
            <v>18.555263085067214</v>
          </cell>
          <cell r="CI2567">
            <v>14.926604548033502</v>
          </cell>
          <cell r="CJ2567">
            <v>22.183921622100925</v>
          </cell>
          <cell r="CU2567">
            <v>12.777647779347133</v>
          </cell>
          <cell r="CV2567">
            <v>13.67289934744978</v>
          </cell>
          <cell r="CW2567">
            <v>11.062153668663059</v>
          </cell>
          <cell r="CX2567">
            <v>8.6510321273089765</v>
          </cell>
          <cell r="CY2567">
            <v>13.473275210017142</v>
          </cell>
        </row>
        <row r="2568">
          <cell r="A2568">
            <v>43132</v>
          </cell>
          <cell r="CF2568">
            <v>18.6536711819628</v>
          </cell>
          <cell r="CG2568">
            <v>22.085252262534414</v>
          </cell>
          <cell r="CH2568">
            <v>18.555263085067214</v>
          </cell>
          <cell r="CI2568">
            <v>14.926604548033502</v>
          </cell>
          <cell r="CJ2568">
            <v>22.183921622100925</v>
          </cell>
          <cell r="CU2568">
            <v>12.335367748615004</v>
          </cell>
          <cell r="CV2568">
            <v>13.67289934744978</v>
          </cell>
          <cell r="CW2568">
            <v>11.062153668663059</v>
          </cell>
          <cell r="CX2568">
            <v>8.6510321273089765</v>
          </cell>
          <cell r="CY2568">
            <v>13.473275210017142</v>
          </cell>
        </row>
        <row r="2569">
          <cell r="A2569">
            <v>43133</v>
          </cell>
          <cell r="CF2569">
            <v>18.423227967293577</v>
          </cell>
          <cell r="CG2569">
            <v>22.085252262534414</v>
          </cell>
          <cell r="CH2569">
            <v>18.555263085067214</v>
          </cell>
          <cell r="CI2569">
            <v>14.926604548033502</v>
          </cell>
          <cell r="CJ2569">
            <v>22.183921622100925</v>
          </cell>
          <cell r="CU2569">
            <v>12.207111405040262</v>
          </cell>
          <cell r="CV2569">
            <v>13.67289934744978</v>
          </cell>
          <cell r="CW2569">
            <v>11.062153668663059</v>
          </cell>
          <cell r="CX2569">
            <v>8.6510321273089765</v>
          </cell>
          <cell r="CY2569">
            <v>13.473275210017142</v>
          </cell>
        </row>
        <row r="2570">
          <cell r="A2570">
            <v>43136</v>
          </cell>
          <cell r="CF2570">
            <v>17.791361361197861</v>
          </cell>
          <cell r="CG2570">
            <v>22.085252262534414</v>
          </cell>
          <cell r="CH2570">
            <v>18.555263085067214</v>
          </cell>
          <cell r="CI2570">
            <v>14.926604548033502</v>
          </cell>
          <cell r="CJ2570">
            <v>22.183921622100925</v>
          </cell>
          <cell r="CU2570">
            <v>12.207111405040262</v>
          </cell>
          <cell r="CV2570">
            <v>13.67289934744978</v>
          </cell>
          <cell r="CW2570">
            <v>11.062153668663059</v>
          </cell>
          <cell r="CX2570">
            <v>8.6510321273089765</v>
          </cell>
          <cell r="CY2570">
            <v>13.473275210017142</v>
          </cell>
        </row>
        <row r="2571">
          <cell r="A2571">
            <v>43137</v>
          </cell>
          <cell r="CF2571">
            <v>18.220037746759978</v>
          </cell>
          <cell r="CG2571">
            <v>22.085252262534414</v>
          </cell>
          <cell r="CH2571">
            <v>18.555263085067214</v>
          </cell>
          <cell r="CI2571">
            <v>14.926604548033502</v>
          </cell>
          <cell r="CJ2571">
            <v>22.183921622100925</v>
          </cell>
          <cell r="CU2571">
            <v>12.094023090536439</v>
          </cell>
          <cell r="CV2571">
            <v>13.67289934744978</v>
          </cell>
          <cell r="CW2571">
            <v>11.062153668663059</v>
          </cell>
          <cell r="CX2571">
            <v>8.6510321273089765</v>
          </cell>
          <cell r="CY2571">
            <v>13.473275210017142</v>
          </cell>
        </row>
        <row r="2572">
          <cell r="A2572">
            <v>43138</v>
          </cell>
          <cell r="CF2572">
            <v>18.081275790866677</v>
          </cell>
          <cell r="CG2572">
            <v>22.085252262534414</v>
          </cell>
          <cell r="CH2572">
            <v>18.555263085067214</v>
          </cell>
          <cell r="CI2572">
            <v>14.926604548033502</v>
          </cell>
          <cell r="CJ2572">
            <v>22.183921622100925</v>
          </cell>
          <cell r="CU2572">
            <v>12.016793213684997</v>
          </cell>
          <cell r="CV2572">
            <v>13.67289934744978</v>
          </cell>
          <cell r="CW2572">
            <v>11.062153668663059</v>
          </cell>
          <cell r="CX2572">
            <v>8.6510321273089765</v>
          </cell>
          <cell r="CY2572">
            <v>13.473275210017142</v>
          </cell>
        </row>
        <row r="2573">
          <cell r="A2573">
            <v>43139</v>
          </cell>
          <cell r="CF2573">
            <v>17.555961096887934</v>
          </cell>
          <cell r="CG2573">
            <v>22.085252262534414</v>
          </cell>
          <cell r="CH2573">
            <v>18.555263085067214</v>
          </cell>
          <cell r="CI2573">
            <v>14.926604548033502</v>
          </cell>
          <cell r="CJ2573">
            <v>22.183921622100925</v>
          </cell>
          <cell r="CU2573">
            <v>12.016793213684997</v>
          </cell>
          <cell r="CV2573">
            <v>13.67289934744978</v>
          </cell>
          <cell r="CW2573">
            <v>11.062153668663059</v>
          </cell>
          <cell r="CX2573">
            <v>8.6510321273089765</v>
          </cell>
          <cell r="CY2573">
            <v>13.473275210017142</v>
          </cell>
        </row>
        <row r="2574">
          <cell r="A2574">
            <v>43140</v>
          </cell>
          <cell r="CF2574">
            <v>17.741281427414666</v>
          </cell>
          <cell r="CG2574">
            <v>22.085252262534414</v>
          </cell>
          <cell r="CH2574">
            <v>18.555263085067214</v>
          </cell>
          <cell r="CI2574">
            <v>14.926604548033502</v>
          </cell>
          <cell r="CJ2574">
            <v>22.183921622100925</v>
          </cell>
          <cell r="CU2574">
            <v>11.848537763053132</v>
          </cell>
          <cell r="CV2574">
            <v>13.67289934744978</v>
          </cell>
          <cell r="CW2574">
            <v>11.062153668663059</v>
          </cell>
          <cell r="CX2574">
            <v>8.6510321273089765</v>
          </cell>
          <cell r="CY2574">
            <v>13.473275210017142</v>
          </cell>
        </row>
        <row r="2575">
          <cell r="A2575">
            <v>43143</v>
          </cell>
          <cell r="CF2575">
            <v>17.842089091805327</v>
          </cell>
          <cell r="CG2575">
            <v>22.085252262534414</v>
          </cell>
          <cell r="CH2575">
            <v>18.555263085067214</v>
          </cell>
          <cell r="CI2575">
            <v>14.926604548033502</v>
          </cell>
          <cell r="CJ2575">
            <v>22.183921622100925</v>
          </cell>
          <cell r="CU2575">
            <v>11.907838610576597</v>
          </cell>
          <cell r="CV2575">
            <v>13.67289934744978</v>
          </cell>
          <cell r="CW2575">
            <v>11.062153668663059</v>
          </cell>
          <cell r="CX2575">
            <v>8.6510321273089765</v>
          </cell>
          <cell r="CY2575">
            <v>13.473275210017142</v>
          </cell>
        </row>
        <row r="2576">
          <cell r="A2576">
            <v>43144</v>
          </cell>
          <cell r="CF2576">
            <v>16.658056255239053</v>
          </cell>
          <cell r="CG2576">
            <v>22.085252262534414</v>
          </cell>
          <cell r="CH2576">
            <v>18.555263085067214</v>
          </cell>
          <cell r="CI2576">
            <v>14.926604548033502</v>
          </cell>
          <cell r="CJ2576">
            <v>22.183921622100925</v>
          </cell>
          <cell r="CU2576">
            <v>11.247244962467292</v>
          </cell>
          <cell r="CV2576">
            <v>13.67289934744978</v>
          </cell>
          <cell r="CW2576">
            <v>11.062153668663059</v>
          </cell>
          <cell r="CX2576">
            <v>8.6510321273089765</v>
          </cell>
          <cell r="CY2576">
            <v>13.473275210017142</v>
          </cell>
        </row>
        <row r="2577">
          <cell r="A2577">
            <v>43145</v>
          </cell>
          <cell r="CF2577">
            <v>16.915130923573447</v>
          </cell>
          <cell r="CG2577">
            <v>22.085252262534414</v>
          </cell>
          <cell r="CH2577">
            <v>18.555263085067214</v>
          </cell>
          <cell r="CI2577">
            <v>14.926604548033502</v>
          </cell>
          <cell r="CJ2577">
            <v>22.183921622100925</v>
          </cell>
          <cell r="CU2577">
            <v>11.390671637595656</v>
          </cell>
          <cell r="CV2577">
            <v>13.67289934744978</v>
          </cell>
          <cell r="CW2577">
            <v>11.062153668663059</v>
          </cell>
          <cell r="CX2577">
            <v>8.6510321273089765</v>
          </cell>
          <cell r="CY2577">
            <v>13.473275210017142</v>
          </cell>
        </row>
        <row r="2578">
          <cell r="A2578">
            <v>43146</v>
          </cell>
          <cell r="CF2578">
            <v>16.897859555191221</v>
          </cell>
          <cell r="CG2578">
            <v>22.085252262534414</v>
          </cell>
          <cell r="CH2578">
            <v>18.555263085067214</v>
          </cell>
          <cell r="CI2578">
            <v>14.926604548033502</v>
          </cell>
          <cell r="CJ2578">
            <v>22.183921622100925</v>
          </cell>
          <cell r="CU2578">
            <v>11.385672846178384</v>
          </cell>
          <cell r="CV2578">
            <v>13.67289934744978</v>
          </cell>
          <cell r="CW2578">
            <v>11.062153668663059</v>
          </cell>
          <cell r="CX2578">
            <v>8.6510321273089765</v>
          </cell>
          <cell r="CY2578">
            <v>13.473275210017142</v>
          </cell>
        </row>
        <row r="2579">
          <cell r="A2579">
            <v>43147</v>
          </cell>
          <cell r="CF2579">
            <v>17.174840622581485</v>
          </cell>
          <cell r="CG2579">
            <v>22.085252262534414</v>
          </cell>
          <cell r="CH2579">
            <v>18.555263085067214</v>
          </cell>
          <cell r="CI2579">
            <v>14.926604548033502</v>
          </cell>
          <cell r="CJ2579">
            <v>22.183921622100925</v>
          </cell>
          <cell r="CU2579">
            <v>11.535928353983898</v>
          </cell>
          <cell r="CV2579">
            <v>13.67289934744978</v>
          </cell>
          <cell r="CW2579">
            <v>11.062153668663059</v>
          </cell>
          <cell r="CX2579">
            <v>8.6510321273089765</v>
          </cell>
          <cell r="CY2579">
            <v>13.473275210017142</v>
          </cell>
        </row>
        <row r="2580">
          <cell r="A2580">
            <v>43150</v>
          </cell>
          <cell r="CF2580">
            <v>17.174840622581485</v>
          </cell>
          <cell r="CG2580">
            <v>22.085252262534414</v>
          </cell>
          <cell r="CH2580">
            <v>18.555263085067214</v>
          </cell>
          <cell r="CI2580">
            <v>14.926604548033502</v>
          </cell>
          <cell r="CJ2580">
            <v>22.183921622100925</v>
          </cell>
          <cell r="CU2580">
            <v>11.535928353983898</v>
          </cell>
          <cell r="CV2580">
            <v>13.67289934744978</v>
          </cell>
          <cell r="CW2580">
            <v>11.062153668663059</v>
          </cell>
          <cell r="CX2580">
            <v>8.6510321273089765</v>
          </cell>
          <cell r="CY2580">
            <v>13.473275210017142</v>
          </cell>
        </row>
        <row r="2581">
          <cell r="A2581">
            <v>43151</v>
          </cell>
          <cell r="CF2581">
            <v>16.705718990662074</v>
          </cell>
          <cell r="CG2581">
            <v>22.085252262534414</v>
          </cell>
          <cell r="CH2581">
            <v>18.555263085067214</v>
          </cell>
          <cell r="CI2581">
            <v>14.926604548033502</v>
          </cell>
          <cell r="CJ2581">
            <v>22.183921622100925</v>
          </cell>
          <cell r="CU2581">
            <v>11.534483061222366</v>
          </cell>
          <cell r="CV2581">
            <v>13.67289934744978</v>
          </cell>
          <cell r="CW2581">
            <v>11.062153668663059</v>
          </cell>
          <cell r="CX2581">
            <v>8.6510321273089765</v>
          </cell>
          <cell r="CY2581">
            <v>13.473275210017142</v>
          </cell>
        </row>
        <row r="2582">
          <cell r="A2582">
            <v>43152</v>
          </cell>
          <cell r="CF2582">
            <v>16.698150268781696</v>
          </cell>
          <cell r="CG2582">
            <v>22.085252262534414</v>
          </cell>
          <cell r="CH2582">
            <v>18.555263085067214</v>
          </cell>
          <cell r="CI2582">
            <v>14.926604548033502</v>
          </cell>
          <cell r="CJ2582">
            <v>22.183921622100925</v>
          </cell>
          <cell r="CU2582">
            <v>11.320029625444315</v>
          </cell>
          <cell r="CV2582">
            <v>13.67289934744978</v>
          </cell>
          <cell r="CW2582">
            <v>11.062153668663059</v>
          </cell>
          <cell r="CX2582">
            <v>8.6510321273089765</v>
          </cell>
          <cell r="CY2582">
            <v>13.473275210017142</v>
          </cell>
        </row>
        <row r="2583">
          <cell r="A2583">
            <v>43153</v>
          </cell>
          <cell r="CF2583">
            <v>16.385223166397179</v>
          </cell>
          <cell r="CG2583">
            <v>22.085252262534414</v>
          </cell>
          <cell r="CH2583">
            <v>18.555263085067214</v>
          </cell>
          <cell r="CI2583">
            <v>14.926604548033502</v>
          </cell>
          <cell r="CJ2583">
            <v>22.183921622100925</v>
          </cell>
          <cell r="CU2583">
            <v>11.246615139117678</v>
          </cell>
          <cell r="CV2583">
            <v>13.67289934744978</v>
          </cell>
          <cell r="CW2583">
            <v>11.062153668663059</v>
          </cell>
          <cell r="CX2583">
            <v>8.6510321273089765</v>
          </cell>
          <cell r="CY2583">
            <v>13.473275210017142</v>
          </cell>
        </row>
        <row r="2584">
          <cell r="A2584">
            <v>43154</v>
          </cell>
          <cell r="CF2584">
            <v>16.40450888929238</v>
          </cell>
          <cell r="CG2584">
            <v>22.085252262534414</v>
          </cell>
          <cell r="CH2584">
            <v>18.555263085067214</v>
          </cell>
          <cell r="CI2584">
            <v>14.926604548033502</v>
          </cell>
          <cell r="CJ2584">
            <v>22.183921622100925</v>
          </cell>
          <cell r="CU2584">
            <v>11.247519318215287</v>
          </cell>
          <cell r="CV2584">
            <v>13.67289934744978</v>
          </cell>
          <cell r="CW2584">
            <v>11.062153668663059</v>
          </cell>
          <cell r="CX2584">
            <v>8.6510321273089765</v>
          </cell>
          <cell r="CY2584">
            <v>13.473275210017142</v>
          </cell>
        </row>
        <row r="2585">
          <cell r="A2585">
            <v>43157</v>
          </cell>
          <cell r="CF2585">
            <v>16.330847745231807</v>
          </cell>
          <cell r="CG2585">
            <v>22.085252262534414</v>
          </cell>
          <cell r="CH2585">
            <v>18.555263085067214</v>
          </cell>
          <cell r="CI2585">
            <v>14.926604548033502</v>
          </cell>
          <cell r="CJ2585">
            <v>22.183921622100925</v>
          </cell>
          <cell r="CU2585">
            <v>11.19888243281202</v>
          </cell>
          <cell r="CV2585">
            <v>13.67289934744978</v>
          </cell>
          <cell r="CW2585">
            <v>11.062153668663059</v>
          </cell>
          <cell r="CX2585">
            <v>8.6510321273089765</v>
          </cell>
          <cell r="CY2585">
            <v>13.473275210017142</v>
          </cell>
        </row>
        <row r="2586">
          <cell r="A2586">
            <v>43158</v>
          </cell>
          <cell r="CF2586">
            <v>16.211458974876066</v>
          </cell>
          <cell r="CG2586">
            <v>22.085252262534414</v>
          </cell>
          <cell r="CH2586">
            <v>18.555263085067214</v>
          </cell>
          <cell r="CI2586">
            <v>14.926604548033502</v>
          </cell>
          <cell r="CJ2586">
            <v>22.183921622100925</v>
          </cell>
          <cell r="CU2586">
            <v>11.200613634441911</v>
          </cell>
          <cell r="CV2586">
            <v>13.67289934744978</v>
          </cell>
          <cell r="CW2586">
            <v>11.062153668663059</v>
          </cell>
          <cell r="CX2586">
            <v>8.6510321273089765</v>
          </cell>
          <cell r="CY2586">
            <v>13.473275210017142</v>
          </cell>
        </row>
        <row r="2587">
          <cell r="A2587">
            <v>43159</v>
          </cell>
          <cell r="CF2587">
            <v>15.965094116627171</v>
          </cell>
          <cell r="CG2587">
            <v>22.085252262534414</v>
          </cell>
          <cell r="CH2587">
            <v>18.555263085067214</v>
          </cell>
          <cell r="CI2587">
            <v>14.926604548033502</v>
          </cell>
          <cell r="CJ2587">
            <v>22.183921622100925</v>
          </cell>
          <cell r="CU2587">
            <v>10.997922734635523</v>
          </cell>
          <cell r="CV2587">
            <v>13.67289934744978</v>
          </cell>
          <cell r="CW2587">
            <v>11.062153668663059</v>
          </cell>
          <cell r="CX2587">
            <v>8.6510321273089765</v>
          </cell>
          <cell r="CY2587">
            <v>13.473275210017142</v>
          </cell>
        </row>
        <row r="2588">
          <cell r="A2588">
            <v>43160</v>
          </cell>
          <cell r="CF2588">
            <v>15.190480329478245</v>
          </cell>
          <cell r="CG2588">
            <v>22.085252262534414</v>
          </cell>
          <cell r="CH2588">
            <v>18.555263085067214</v>
          </cell>
          <cell r="CI2588">
            <v>14.926604548033502</v>
          </cell>
          <cell r="CJ2588">
            <v>22.183921622100925</v>
          </cell>
          <cell r="CU2588">
            <v>10.947585247956576</v>
          </cell>
          <cell r="CV2588">
            <v>13.67289934744978</v>
          </cell>
          <cell r="CW2588">
            <v>11.062153668663059</v>
          </cell>
          <cell r="CX2588">
            <v>8.6510321273089765</v>
          </cell>
          <cell r="CY2588">
            <v>13.473275210017142</v>
          </cell>
        </row>
        <row r="2589">
          <cell r="A2589">
            <v>43161</v>
          </cell>
          <cell r="CF2589">
            <v>15.604887568334219</v>
          </cell>
          <cell r="CG2589">
            <v>22.085252262534414</v>
          </cell>
          <cell r="CH2589">
            <v>18.555263085067214</v>
          </cell>
          <cell r="CI2589">
            <v>14.926604548033502</v>
          </cell>
          <cell r="CJ2589">
            <v>22.183921622100925</v>
          </cell>
          <cell r="CU2589">
            <v>10.810642278378962</v>
          </cell>
          <cell r="CV2589">
            <v>13.67289934744978</v>
          </cell>
          <cell r="CW2589">
            <v>11.062153668663059</v>
          </cell>
          <cell r="CX2589">
            <v>8.6510321273089765</v>
          </cell>
          <cell r="CY2589">
            <v>13.473275210017142</v>
          </cell>
        </row>
        <row r="2590">
          <cell r="A2590">
            <v>43164</v>
          </cell>
          <cell r="CF2590">
            <v>15.808354562945276</v>
          </cell>
          <cell r="CG2590">
            <v>22.085252262534414</v>
          </cell>
          <cell r="CH2590">
            <v>18.555263085067214</v>
          </cell>
          <cell r="CI2590">
            <v>14.926604548033502</v>
          </cell>
          <cell r="CJ2590">
            <v>22.183921622100925</v>
          </cell>
          <cell r="CU2590">
            <v>10.924944052705797</v>
          </cell>
          <cell r="CV2590">
            <v>13.67289934744978</v>
          </cell>
          <cell r="CW2590">
            <v>11.062153668663059</v>
          </cell>
          <cell r="CX2590">
            <v>8.6510321273089765</v>
          </cell>
          <cell r="CY2590">
            <v>13.473275210017142</v>
          </cell>
        </row>
        <row r="2591">
          <cell r="A2591">
            <v>43165</v>
          </cell>
          <cell r="CF2591">
            <v>15.805962005128622</v>
          </cell>
          <cell r="CG2591">
            <v>22.085252262534414</v>
          </cell>
          <cell r="CH2591">
            <v>18.555263085067214</v>
          </cell>
          <cell r="CI2591">
            <v>14.926604548033502</v>
          </cell>
          <cell r="CJ2591">
            <v>22.183921622100925</v>
          </cell>
          <cell r="CU2591">
            <v>10.923599984081076</v>
          </cell>
          <cell r="CV2591">
            <v>13.67289934744978</v>
          </cell>
          <cell r="CW2591">
            <v>11.062153668663059</v>
          </cell>
          <cell r="CX2591">
            <v>8.6510321273089765</v>
          </cell>
          <cell r="CY2591">
            <v>13.473275210017142</v>
          </cell>
        </row>
        <row r="2592">
          <cell r="A2592">
            <v>43166</v>
          </cell>
          <cell r="CF2592">
            <v>16.069276457721806</v>
          </cell>
          <cell r="CG2592">
            <v>22.085252262534414</v>
          </cell>
          <cell r="CH2592">
            <v>18.555263085067214</v>
          </cell>
          <cell r="CI2592">
            <v>14.926604548033502</v>
          </cell>
          <cell r="CJ2592">
            <v>22.183921622100925</v>
          </cell>
          <cell r="CU2592">
            <v>11.071522300399915</v>
          </cell>
          <cell r="CV2592">
            <v>13.67289934744978</v>
          </cell>
          <cell r="CW2592">
            <v>11.062153668663059</v>
          </cell>
          <cell r="CX2592">
            <v>8.6510321273089765</v>
          </cell>
          <cell r="CY2592">
            <v>13.473275210017142</v>
          </cell>
        </row>
        <row r="2593">
          <cell r="A2593">
            <v>43167</v>
          </cell>
          <cell r="CF2593">
            <v>16.070382428631277</v>
          </cell>
          <cell r="CG2593">
            <v>22.085252262534414</v>
          </cell>
          <cell r="CH2593">
            <v>18.555263085067214</v>
          </cell>
          <cell r="CI2593">
            <v>14.926604548033502</v>
          </cell>
          <cell r="CJ2593">
            <v>22.183921622100925</v>
          </cell>
          <cell r="CU2593">
            <v>11.071522300399915</v>
          </cell>
          <cell r="CV2593">
            <v>13.67289934744978</v>
          </cell>
          <cell r="CW2593">
            <v>11.062153668663059</v>
          </cell>
          <cell r="CX2593">
            <v>8.6510321273089765</v>
          </cell>
          <cell r="CY2593">
            <v>13.473275210017142</v>
          </cell>
        </row>
        <row r="2594">
          <cell r="A2594">
            <v>43168</v>
          </cell>
          <cell r="CF2594">
            <v>16.381834188673601</v>
          </cell>
          <cell r="CG2594">
            <v>22.085252262534414</v>
          </cell>
          <cell r="CH2594">
            <v>18.555263085067214</v>
          </cell>
          <cell r="CI2594">
            <v>14.926604548033502</v>
          </cell>
          <cell r="CJ2594">
            <v>22.183921622100925</v>
          </cell>
          <cell r="CU2594">
            <v>11.246364075981136</v>
          </cell>
          <cell r="CV2594">
            <v>13.67289934744978</v>
          </cell>
          <cell r="CW2594">
            <v>11.062153668663059</v>
          </cell>
          <cell r="CX2594">
            <v>8.6510321273089765</v>
          </cell>
          <cell r="CY2594">
            <v>13.473275210017142</v>
          </cell>
        </row>
        <row r="2595">
          <cell r="A2595">
            <v>43171</v>
          </cell>
          <cell r="CF2595">
            <v>16.245661917873818</v>
          </cell>
          <cell r="CG2595">
            <v>22.085252262534414</v>
          </cell>
          <cell r="CH2595">
            <v>18.555263085067214</v>
          </cell>
          <cell r="CI2595">
            <v>14.926604548033502</v>
          </cell>
          <cell r="CJ2595">
            <v>22.183921622100925</v>
          </cell>
          <cell r="CU2595">
            <v>11.169348053165848</v>
          </cell>
          <cell r="CV2595">
            <v>13.67289934744978</v>
          </cell>
          <cell r="CW2595">
            <v>11.062153668663059</v>
          </cell>
          <cell r="CX2595">
            <v>8.6510321273089765</v>
          </cell>
          <cell r="CY2595">
            <v>13.473275210017142</v>
          </cell>
        </row>
        <row r="2596">
          <cell r="A2596">
            <v>43172</v>
          </cell>
          <cell r="CF2596">
            <v>16.291151442595474</v>
          </cell>
          <cell r="CG2596">
            <v>22.085252262534414</v>
          </cell>
          <cell r="CH2596">
            <v>18.555263085067214</v>
          </cell>
          <cell r="CI2596">
            <v>14.926604548033502</v>
          </cell>
          <cell r="CJ2596">
            <v>22.183921622100925</v>
          </cell>
          <cell r="CU2596">
            <v>11.194898680930956</v>
          </cell>
          <cell r="CV2596">
            <v>13.67289934744978</v>
          </cell>
          <cell r="CW2596">
            <v>11.062153668663059</v>
          </cell>
          <cell r="CX2596">
            <v>8.6510321273089765</v>
          </cell>
          <cell r="CY2596">
            <v>13.473275210017142</v>
          </cell>
        </row>
        <row r="2597">
          <cell r="A2597">
            <v>43173</v>
          </cell>
          <cell r="CF2597">
            <v>16.353406919669581</v>
          </cell>
          <cell r="CG2597">
            <v>22.085252262534414</v>
          </cell>
          <cell r="CH2597">
            <v>18.555263085067214</v>
          </cell>
          <cell r="CI2597">
            <v>14.926604548033502</v>
          </cell>
          <cell r="CJ2597">
            <v>22.183921622100925</v>
          </cell>
          <cell r="CU2597">
            <v>11.225880784589394</v>
          </cell>
          <cell r="CV2597">
            <v>13.67289934744978</v>
          </cell>
          <cell r="CW2597">
            <v>11.062153668663059</v>
          </cell>
          <cell r="CX2597">
            <v>8.6510321273089765</v>
          </cell>
          <cell r="CY2597">
            <v>13.473275210017142</v>
          </cell>
        </row>
        <row r="2598">
          <cell r="A2598">
            <v>43174</v>
          </cell>
          <cell r="CF2598">
            <v>16.279182569136836</v>
          </cell>
          <cell r="CG2598">
            <v>22.085252262534414</v>
          </cell>
          <cell r="CH2598">
            <v>18.555263085067214</v>
          </cell>
          <cell r="CI2598">
            <v>14.926604548033502</v>
          </cell>
          <cell r="CJ2598">
            <v>22.183921622100925</v>
          </cell>
          <cell r="CU2598">
            <v>11.225880784589394</v>
          </cell>
          <cell r="CV2598">
            <v>13.67289934744978</v>
          </cell>
          <cell r="CW2598">
            <v>11.062153668663059</v>
          </cell>
          <cell r="CX2598">
            <v>8.6510321273089765</v>
          </cell>
          <cell r="CY2598">
            <v>13.473275210017142</v>
          </cell>
        </row>
        <row r="2599">
          <cell r="A2599">
            <v>43175</v>
          </cell>
          <cell r="CF2599">
            <v>16.293548186280379</v>
          </cell>
          <cell r="CG2599">
            <v>22.085252262534414</v>
          </cell>
          <cell r="CH2599">
            <v>18.555263085067214</v>
          </cell>
          <cell r="CI2599">
            <v>14.926604548033502</v>
          </cell>
          <cell r="CJ2599">
            <v>22.183921622100925</v>
          </cell>
          <cell r="CU2599">
            <v>11.192254037369231</v>
          </cell>
          <cell r="CV2599">
            <v>13.67289934744978</v>
          </cell>
          <cell r="CW2599">
            <v>11.062153668663059</v>
          </cell>
          <cell r="CX2599">
            <v>8.6510321273089765</v>
          </cell>
          <cell r="CY2599">
            <v>13.473275210017142</v>
          </cell>
        </row>
        <row r="2600">
          <cell r="A2600">
            <v>43178</v>
          </cell>
          <cell r="CF2600">
            <v>16.240872022028014</v>
          </cell>
          <cell r="CG2600">
            <v>22.085252262534414</v>
          </cell>
          <cell r="CH2600">
            <v>18.555263085067214</v>
          </cell>
          <cell r="CI2600">
            <v>14.926604548033502</v>
          </cell>
          <cell r="CJ2600">
            <v>22.183921622100925</v>
          </cell>
          <cell r="CU2600">
            <v>11.162694440110501</v>
          </cell>
          <cell r="CV2600">
            <v>13.67289934744978</v>
          </cell>
          <cell r="CW2600">
            <v>11.062153668663059</v>
          </cell>
          <cell r="CX2600">
            <v>8.6510321273089765</v>
          </cell>
          <cell r="CY2600">
            <v>13.473275210017142</v>
          </cell>
        </row>
        <row r="2601">
          <cell r="A2601">
            <v>43179</v>
          </cell>
          <cell r="CF2601">
            <v>15.735664312223152</v>
          </cell>
          <cell r="CG2601">
            <v>22.085252262534414</v>
          </cell>
          <cell r="CH2601">
            <v>18.555263085067214</v>
          </cell>
          <cell r="CI2601">
            <v>14.926604548033502</v>
          </cell>
          <cell r="CJ2601">
            <v>22.183921622100925</v>
          </cell>
          <cell r="CU2601">
            <v>10.879029292195264</v>
          </cell>
          <cell r="CV2601">
            <v>13.67289934744978</v>
          </cell>
          <cell r="CW2601">
            <v>11.062153668663059</v>
          </cell>
          <cell r="CX2601">
            <v>8.6510321273089765</v>
          </cell>
          <cell r="CY2601">
            <v>13.473275210017142</v>
          </cell>
        </row>
        <row r="2602">
          <cell r="A2602">
            <v>43180</v>
          </cell>
          <cell r="CF2602">
            <v>15.723691847240515</v>
          </cell>
          <cell r="CG2602">
            <v>22.085252262534414</v>
          </cell>
          <cell r="CH2602">
            <v>18.555263085067214</v>
          </cell>
          <cell r="CI2602">
            <v>14.926604548033502</v>
          </cell>
          <cell r="CJ2602">
            <v>22.183921622100925</v>
          </cell>
          <cell r="CU2602">
            <v>10.879029292195264</v>
          </cell>
          <cell r="CV2602">
            <v>13.67289934744978</v>
          </cell>
          <cell r="CW2602">
            <v>11.062153668663059</v>
          </cell>
          <cell r="CX2602">
            <v>8.6510321273089765</v>
          </cell>
          <cell r="CY2602">
            <v>13.473275210017142</v>
          </cell>
        </row>
        <row r="2603">
          <cell r="A2603">
            <v>43181</v>
          </cell>
          <cell r="CF2603">
            <v>15.785943493355679</v>
          </cell>
          <cell r="CG2603">
            <v>22.085252262534414</v>
          </cell>
          <cell r="CH2603">
            <v>18.555263085067214</v>
          </cell>
          <cell r="CI2603">
            <v>14.926604548033502</v>
          </cell>
          <cell r="CJ2603">
            <v>22.183921622100925</v>
          </cell>
          <cell r="CU2603">
            <v>10.907260158581931</v>
          </cell>
          <cell r="CV2603">
            <v>13.67289934744978</v>
          </cell>
          <cell r="CW2603">
            <v>11.062153668663059</v>
          </cell>
          <cell r="CX2603">
            <v>8.6510321273089765</v>
          </cell>
          <cell r="CY2603">
            <v>13.473275210017142</v>
          </cell>
        </row>
        <row r="2604">
          <cell r="A2604">
            <v>43182</v>
          </cell>
          <cell r="CF2604">
            <v>15.465101640129294</v>
          </cell>
          <cell r="CG2604">
            <v>22.085252262534414</v>
          </cell>
          <cell r="CH2604">
            <v>18.555263085067214</v>
          </cell>
          <cell r="CI2604">
            <v>14.926604548033502</v>
          </cell>
          <cell r="CJ2604">
            <v>22.183921622100925</v>
          </cell>
          <cell r="CU2604">
            <v>10.72711316164078</v>
          </cell>
          <cell r="CV2604">
            <v>13.67289934744978</v>
          </cell>
          <cell r="CW2604">
            <v>11.062153668663059</v>
          </cell>
          <cell r="CX2604">
            <v>8.6510321273089765</v>
          </cell>
          <cell r="CY2604">
            <v>13.473275210017142</v>
          </cell>
        </row>
        <row r="2605">
          <cell r="A2605">
            <v>43185</v>
          </cell>
          <cell r="CF2605">
            <v>15.692564108703458</v>
          </cell>
          <cell r="CG2605">
            <v>22.085252262534414</v>
          </cell>
          <cell r="CH2605">
            <v>18.555263085067214</v>
          </cell>
          <cell r="CI2605">
            <v>14.926604548033502</v>
          </cell>
          <cell r="CJ2605">
            <v>22.183921622100925</v>
          </cell>
          <cell r="CU2605">
            <v>10.854829294116625</v>
          </cell>
          <cell r="CV2605">
            <v>13.67289934744978</v>
          </cell>
          <cell r="CW2605">
            <v>11.062153668663059</v>
          </cell>
          <cell r="CX2605">
            <v>8.6510321273089765</v>
          </cell>
          <cell r="CY2605">
            <v>13.473275210017142</v>
          </cell>
        </row>
        <row r="2606">
          <cell r="A2606">
            <v>43186</v>
          </cell>
          <cell r="CF2606">
            <v>15.582425954746796</v>
          </cell>
          <cell r="CG2606">
            <v>22.085252262534414</v>
          </cell>
          <cell r="CH2606">
            <v>18.555263085067214</v>
          </cell>
          <cell r="CI2606">
            <v>14.926604548033502</v>
          </cell>
          <cell r="CJ2606">
            <v>22.183921622100925</v>
          </cell>
          <cell r="CU2606">
            <v>10.792988678609598</v>
          </cell>
          <cell r="CV2606">
            <v>13.67289934744978</v>
          </cell>
          <cell r="CW2606">
            <v>11.062153668663059</v>
          </cell>
          <cell r="CX2606">
            <v>8.6510321273089765</v>
          </cell>
          <cell r="CY2606">
            <v>13.473275210017142</v>
          </cell>
        </row>
        <row r="2607">
          <cell r="A2607">
            <v>43187</v>
          </cell>
          <cell r="CF2607">
            <v>15.867354243984197</v>
          </cell>
          <cell r="CG2607">
            <v>22.085252262534414</v>
          </cell>
          <cell r="CH2607">
            <v>18.555263085067214</v>
          </cell>
          <cell r="CI2607">
            <v>14.926604548033502</v>
          </cell>
          <cell r="CJ2607">
            <v>22.183921622100925</v>
          </cell>
          <cell r="CU2607">
            <v>10.952970847810821</v>
          </cell>
          <cell r="CV2607">
            <v>13.67289934744978</v>
          </cell>
          <cell r="CW2607">
            <v>11.062153668663059</v>
          </cell>
          <cell r="CX2607">
            <v>8.6510321273089765</v>
          </cell>
          <cell r="CY2607">
            <v>13.473275210017142</v>
          </cell>
        </row>
        <row r="2608">
          <cell r="A2608">
            <v>43188</v>
          </cell>
          <cell r="CF2608">
            <v>16.092423560397464</v>
          </cell>
          <cell r="CG2608">
            <v>22.085252262534414</v>
          </cell>
          <cell r="CH2608">
            <v>18.555263085067214</v>
          </cell>
          <cell r="CI2608">
            <v>14.926604548033502</v>
          </cell>
          <cell r="CJ2608">
            <v>22.183921622100925</v>
          </cell>
          <cell r="CU2608">
            <v>11.079341251314803</v>
          </cell>
          <cell r="CV2608">
            <v>13.67289934744978</v>
          </cell>
          <cell r="CW2608">
            <v>11.062153668663059</v>
          </cell>
          <cell r="CX2608">
            <v>8.6510321273089765</v>
          </cell>
          <cell r="CY2608">
            <v>13.473275210017142</v>
          </cell>
        </row>
        <row r="2609">
          <cell r="A2609">
            <v>43189</v>
          </cell>
          <cell r="CF2609">
            <v>16.092423560397464</v>
          </cell>
          <cell r="CG2609">
            <v>22.085252262534414</v>
          </cell>
          <cell r="CH2609">
            <v>18.555263085067214</v>
          </cell>
          <cell r="CI2609">
            <v>14.926604548033502</v>
          </cell>
          <cell r="CJ2609">
            <v>22.183921622100925</v>
          </cell>
          <cell r="CU2609">
            <v>11.079341251314803</v>
          </cell>
          <cell r="CV2609">
            <v>13.67289934744978</v>
          </cell>
          <cell r="CW2609">
            <v>11.062153668663059</v>
          </cell>
          <cell r="CX2609">
            <v>8.6510321273089765</v>
          </cell>
          <cell r="CY2609">
            <v>13.473275210017142</v>
          </cell>
        </row>
        <row r="2610">
          <cell r="A2610">
            <v>43192</v>
          </cell>
          <cell r="CF2610">
            <v>15.647073373831834</v>
          </cell>
          <cell r="CG2610">
            <v>22.085252262534414</v>
          </cell>
          <cell r="CH2610">
            <v>18.555263085067214</v>
          </cell>
          <cell r="CI2610">
            <v>14.926604548033502</v>
          </cell>
          <cell r="CJ2610">
            <v>22.183921622100925</v>
          </cell>
          <cell r="CU2610">
            <v>10.845253778716947</v>
          </cell>
          <cell r="CV2610">
            <v>13.67289934744978</v>
          </cell>
          <cell r="CW2610">
            <v>11.062153668663059</v>
          </cell>
          <cell r="CX2610">
            <v>8.6510321273089765</v>
          </cell>
          <cell r="CY2610">
            <v>13.473275210017142</v>
          </cell>
        </row>
        <row r="2611">
          <cell r="A2611">
            <v>43193</v>
          </cell>
          <cell r="CF2611">
            <v>15.88518737107109</v>
          </cell>
          <cell r="CG2611">
            <v>22.085252262534414</v>
          </cell>
          <cell r="CH2611">
            <v>18.555263085067214</v>
          </cell>
          <cell r="CI2611">
            <v>14.926604548033502</v>
          </cell>
          <cell r="CJ2611">
            <v>22.183921622100925</v>
          </cell>
          <cell r="CU2611">
            <v>10.95692686631952</v>
          </cell>
          <cell r="CV2611">
            <v>13.67289934744978</v>
          </cell>
          <cell r="CW2611">
            <v>11.062153668663059</v>
          </cell>
          <cell r="CX2611">
            <v>8.6510321273089765</v>
          </cell>
          <cell r="CY2611">
            <v>13.473275210017142</v>
          </cell>
        </row>
        <row r="2612">
          <cell r="A2612">
            <v>43194</v>
          </cell>
          <cell r="CF2612">
            <v>16.278958061068519</v>
          </cell>
          <cell r="CG2612">
            <v>22.085252262534414</v>
          </cell>
          <cell r="CH2612">
            <v>18.555263085067214</v>
          </cell>
          <cell r="CI2612">
            <v>14.926604548033502</v>
          </cell>
          <cell r="CJ2612">
            <v>22.183921622100925</v>
          </cell>
          <cell r="CU2612">
            <v>11.206618933650763</v>
          </cell>
          <cell r="CV2612">
            <v>13.67289934744978</v>
          </cell>
          <cell r="CW2612">
            <v>11.062153668663059</v>
          </cell>
          <cell r="CX2612">
            <v>8.6510321273089765</v>
          </cell>
          <cell r="CY2612">
            <v>13.473275210017142</v>
          </cell>
        </row>
        <row r="2613">
          <cell r="A2613">
            <v>43195</v>
          </cell>
          <cell r="CF2613">
            <v>16.111816914794137</v>
          </cell>
          <cell r="CG2613">
            <v>22.085252262534414</v>
          </cell>
          <cell r="CH2613">
            <v>18.555263085067214</v>
          </cell>
          <cell r="CI2613">
            <v>14.926604548033502</v>
          </cell>
          <cell r="CJ2613">
            <v>22.183921622100925</v>
          </cell>
          <cell r="CU2613">
            <v>11.11424959837553</v>
          </cell>
          <cell r="CV2613">
            <v>13.67289934744978</v>
          </cell>
          <cell r="CW2613">
            <v>11.062153668663059</v>
          </cell>
          <cell r="CX2613">
            <v>8.6510321273089765</v>
          </cell>
          <cell r="CY2613">
            <v>13.473275210017142</v>
          </cell>
        </row>
        <row r="2614">
          <cell r="A2614">
            <v>43196</v>
          </cell>
          <cell r="CF2614">
            <v>15.867257801363856</v>
          </cell>
          <cell r="CG2614">
            <v>22.085252262534414</v>
          </cell>
          <cell r="CH2614">
            <v>18.555263085067214</v>
          </cell>
          <cell r="CI2614">
            <v>14.926604548033502</v>
          </cell>
          <cell r="CJ2614">
            <v>22.183921622100925</v>
          </cell>
          <cell r="CU2614">
            <v>10.975022424515354</v>
          </cell>
          <cell r="CV2614">
            <v>13.67289934744978</v>
          </cell>
          <cell r="CW2614">
            <v>11.062153668663059</v>
          </cell>
          <cell r="CX2614">
            <v>8.6510321273089765</v>
          </cell>
          <cell r="CY2614">
            <v>13.473275210017142</v>
          </cell>
        </row>
        <row r="2615">
          <cell r="A2615">
            <v>43199</v>
          </cell>
          <cell r="CF2615">
            <v>15.888641533345483</v>
          </cell>
          <cell r="CG2615">
            <v>22.085252262534414</v>
          </cell>
          <cell r="CH2615">
            <v>18.555263085067214</v>
          </cell>
          <cell r="CI2615">
            <v>14.926604548033502</v>
          </cell>
          <cell r="CJ2615">
            <v>22.183921622100925</v>
          </cell>
          <cell r="CU2615">
            <v>10.987070424067179</v>
          </cell>
          <cell r="CV2615">
            <v>13.67289934744978</v>
          </cell>
          <cell r="CW2615">
            <v>11.062153668663059</v>
          </cell>
          <cell r="CX2615">
            <v>8.6510321273089765</v>
          </cell>
          <cell r="CY2615">
            <v>13.473275210017142</v>
          </cell>
        </row>
        <row r="2616">
          <cell r="A2616">
            <v>43200</v>
          </cell>
          <cell r="CF2616">
            <v>16.475525978141992</v>
          </cell>
          <cell r="CG2616">
            <v>22.085252262534414</v>
          </cell>
          <cell r="CH2616">
            <v>18.555263085067214</v>
          </cell>
          <cell r="CI2616">
            <v>14.926604548033502</v>
          </cell>
          <cell r="CJ2616">
            <v>22.183921622100925</v>
          </cell>
          <cell r="CU2616">
            <v>11.317755236412388</v>
          </cell>
          <cell r="CV2616">
            <v>13.67289934744978</v>
          </cell>
          <cell r="CW2616">
            <v>11.062153668663059</v>
          </cell>
          <cell r="CX2616">
            <v>8.6510321273089765</v>
          </cell>
          <cell r="CY2616">
            <v>13.473275210017142</v>
          </cell>
        </row>
        <row r="2617">
          <cell r="A2617">
            <v>43201</v>
          </cell>
          <cell r="CF2617">
            <v>16.411375257406995</v>
          </cell>
          <cell r="CG2617">
            <v>22.085252262534414</v>
          </cell>
          <cell r="CH2617">
            <v>18.555263085067214</v>
          </cell>
          <cell r="CI2617">
            <v>14.926604548033502</v>
          </cell>
          <cell r="CJ2617">
            <v>22.183921622100925</v>
          </cell>
          <cell r="CU2617">
            <v>11.283003699832369</v>
          </cell>
          <cell r="CV2617">
            <v>13.67289934744978</v>
          </cell>
          <cell r="CW2617">
            <v>11.062153668663059</v>
          </cell>
          <cell r="CX2617">
            <v>8.6510321273089765</v>
          </cell>
          <cell r="CY2617">
            <v>13.473275210017142</v>
          </cell>
        </row>
        <row r="2618">
          <cell r="A2618">
            <v>43202</v>
          </cell>
          <cell r="CF2618">
            <v>16.565817044196173</v>
          </cell>
          <cell r="CG2618">
            <v>22.085252262534414</v>
          </cell>
          <cell r="CH2618">
            <v>18.555263085067214</v>
          </cell>
          <cell r="CI2618">
            <v>14.926604548033502</v>
          </cell>
          <cell r="CJ2618">
            <v>22.183921622100925</v>
          </cell>
          <cell r="CU2618">
            <v>11.370027900513346</v>
          </cell>
          <cell r="CV2618">
            <v>13.67289934744978</v>
          </cell>
          <cell r="CW2618">
            <v>11.062153668663059</v>
          </cell>
          <cell r="CX2618">
            <v>8.6510321273089765</v>
          </cell>
          <cell r="CY2618">
            <v>13.473275210017142</v>
          </cell>
        </row>
        <row r="2619">
          <cell r="A2619">
            <v>43203</v>
          </cell>
          <cell r="CF2619">
            <v>16.389987961351235</v>
          </cell>
          <cell r="CG2619">
            <v>22.085252262534414</v>
          </cell>
          <cell r="CH2619">
            <v>18.555263085067214</v>
          </cell>
          <cell r="CI2619">
            <v>14.926604548033502</v>
          </cell>
          <cell r="CJ2619">
            <v>22.183921622100925</v>
          </cell>
          <cell r="CU2619">
            <v>11.307704049227938</v>
          </cell>
          <cell r="CV2619">
            <v>13.67289934744978</v>
          </cell>
          <cell r="CW2619">
            <v>11.062153668663059</v>
          </cell>
          <cell r="CX2619">
            <v>8.6510321273089765</v>
          </cell>
          <cell r="CY2619">
            <v>13.473275210017142</v>
          </cell>
        </row>
        <row r="2620">
          <cell r="A2620">
            <v>43206</v>
          </cell>
          <cell r="CF2620">
            <v>16.61809036908134</v>
          </cell>
          <cell r="CG2620">
            <v>22.085252262534414</v>
          </cell>
          <cell r="CH2620">
            <v>18.555263085067214</v>
          </cell>
          <cell r="CI2620">
            <v>14.926604548033502</v>
          </cell>
          <cell r="CJ2620">
            <v>22.183921622100925</v>
          </cell>
          <cell r="CU2620">
            <v>11.43674891049378</v>
          </cell>
          <cell r="CV2620">
            <v>13.67289934744978</v>
          </cell>
          <cell r="CW2620">
            <v>11.062153668663059</v>
          </cell>
          <cell r="CX2620">
            <v>8.6510321273089765</v>
          </cell>
          <cell r="CY2620">
            <v>13.473275210017142</v>
          </cell>
        </row>
        <row r="2621">
          <cell r="A2621">
            <v>43207</v>
          </cell>
          <cell r="CF2621">
            <v>16.874704181848671</v>
          </cell>
          <cell r="CG2621">
            <v>22.085252262534414</v>
          </cell>
          <cell r="CH2621">
            <v>18.555263085067214</v>
          </cell>
          <cell r="CI2621">
            <v>14.926604548033502</v>
          </cell>
          <cell r="CJ2621">
            <v>22.183921622100925</v>
          </cell>
          <cell r="CU2621">
            <v>11.581940405336232</v>
          </cell>
          <cell r="CV2621">
            <v>13.67289934744978</v>
          </cell>
          <cell r="CW2621">
            <v>11.062153668663059</v>
          </cell>
          <cell r="CX2621">
            <v>8.6510321273089765</v>
          </cell>
          <cell r="CY2621">
            <v>13.473275210017142</v>
          </cell>
        </row>
        <row r="2622">
          <cell r="A2622">
            <v>43208</v>
          </cell>
          <cell r="CF2622">
            <v>16.853316885792911</v>
          </cell>
          <cell r="CG2622">
            <v>22.085252262534414</v>
          </cell>
          <cell r="CH2622">
            <v>18.555263085067214</v>
          </cell>
          <cell r="CI2622">
            <v>14.926604548033502</v>
          </cell>
          <cell r="CJ2622">
            <v>22.183921622100925</v>
          </cell>
          <cell r="CU2622">
            <v>11.569840907190098</v>
          </cell>
          <cell r="CV2622">
            <v>13.67289934744978</v>
          </cell>
          <cell r="CW2622">
            <v>11.062153668663059</v>
          </cell>
          <cell r="CX2622">
            <v>8.6510321273089765</v>
          </cell>
          <cell r="CY2622">
            <v>13.473275210017142</v>
          </cell>
        </row>
        <row r="2623">
          <cell r="A2623">
            <v>43209</v>
          </cell>
          <cell r="CF2623">
            <v>16.572944717251776</v>
          </cell>
          <cell r="CG2623">
            <v>22.085252262534414</v>
          </cell>
          <cell r="CH2623">
            <v>18.555263085067214</v>
          </cell>
          <cell r="CI2623">
            <v>14.926604548033502</v>
          </cell>
          <cell r="CJ2623">
            <v>22.183921622100925</v>
          </cell>
          <cell r="CU2623">
            <v>11.411225132449502</v>
          </cell>
          <cell r="CV2623">
            <v>13.67289934744978</v>
          </cell>
          <cell r="CW2623">
            <v>11.062153668663059</v>
          </cell>
          <cell r="CX2623">
            <v>8.6510321273089765</v>
          </cell>
          <cell r="CY2623">
            <v>13.473275210017142</v>
          </cell>
        </row>
      </sheetData>
      <sheetData sheetId="7"/>
      <sheetData sheetId="8">
        <row r="8">
          <cell r="AD8">
            <v>0.99976729318185165</v>
          </cell>
        </row>
      </sheetData>
      <sheetData sheetId="9"/>
      <sheetData sheetId="10"/>
      <sheetData sheetId="11"/>
      <sheetData sheetId="12" refreshError="1"/>
      <sheetData sheetId="13"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GN"/>
      <sheetName val="Fitbit_Tmall_Data"/>
      <sheetName val="XRAY"/>
      <sheetName val="HSIC"/>
      <sheetName val="PDCO"/>
    </sheetNames>
    <sheetDataSet>
      <sheetData sheetId="0" refreshError="1"/>
      <sheetData sheetId="1" refreshError="1"/>
      <sheetData sheetId="2" refreshError="1"/>
      <sheetData sheetId="3">
        <row r="7">
          <cell r="C7" t="str">
            <v>Implied Organic Dental Sales ($mln)</v>
          </cell>
          <cell r="D7" t="str">
            <v>AlphaWise</v>
          </cell>
          <cell r="J7" t="str">
            <v>North America Dental Sales ($mln)</v>
          </cell>
          <cell r="K7" t="str">
            <v>AlphaWise</v>
          </cell>
          <cell r="Q7" t="str">
            <v>Implied Organic Dental Sales ($mln)</v>
          </cell>
          <cell r="R7" t="str">
            <v>AlphaWise</v>
          </cell>
        </row>
        <row r="21">
          <cell r="B21" t="str">
            <v>2Q2010</v>
          </cell>
          <cell r="J21">
            <v>677.6</v>
          </cell>
          <cell r="K21">
            <v>670.23610953832053</v>
          </cell>
        </row>
        <row r="22">
          <cell r="B22" t="str">
            <v>3Q2010</v>
          </cell>
          <cell r="J22">
            <v>665.9</v>
          </cell>
          <cell r="K22">
            <v>661.17777513053306</v>
          </cell>
        </row>
        <row r="23">
          <cell r="B23" t="str">
            <v>4Q2010</v>
          </cell>
          <cell r="J23">
            <v>720.7</v>
          </cell>
          <cell r="K23">
            <v>755.50576446306661</v>
          </cell>
        </row>
        <row r="24">
          <cell r="B24" t="str">
            <v>1Q2011</v>
          </cell>
          <cell r="J24">
            <v>662.8</v>
          </cell>
          <cell r="K24">
            <v>638.07180889760514</v>
          </cell>
        </row>
        <row r="25">
          <cell r="B25" t="str">
            <v>2Q2011</v>
          </cell>
          <cell r="C25">
            <v>1136.65552</v>
          </cell>
          <cell r="D25">
            <v>1136.8404035796307</v>
          </cell>
          <cell r="J25">
            <v>709.3</v>
          </cell>
          <cell r="K25">
            <v>704.72222104297225</v>
          </cell>
        </row>
        <row r="26">
          <cell r="B26" t="str">
            <v>3Q2011</v>
          </cell>
          <cell r="C26">
            <v>838.36371999999994</v>
          </cell>
          <cell r="D26">
            <v>954.58221886450019</v>
          </cell>
          <cell r="J26">
            <v>687.28800000000001</v>
          </cell>
          <cell r="K26">
            <v>688.90904608035248</v>
          </cell>
        </row>
        <row r="27">
          <cell r="B27" t="str">
            <v>4Q2011</v>
          </cell>
          <cell r="C27">
            <v>1261.5239999999999</v>
          </cell>
          <cell r="D27">
            <v>1133.1432407312921</v>
          </cell>
          <cell r="J27">
            <v>813.37800000000004</v>
          </cell>
          <cell r="K27">
            <v>794.48754237374453</v>
          </cell>
        </row>
        <row r="28">
          <cell r="B28" t="str">
            <v>1Q2012</v>
          </cell>
          <cell r="C28">
            <v>1157.1112894293733</v>
          </cell>
          <cell r="D28">
            <v>1102.9048219387462</v>
          </cell>
          <cell r="J28">
            <v>699.46100000000001</v>
          </cell>
          <cell r="K28">
            <v>712.11023866077176</v>
          </cell>
        </row>
        <row r="29">
          <cell r="B29" t="str">
            <v>2Q2012</v>
          </cell>
          <cell r="C29">
            <v>1227.0081909999999</v>
          </cell>
          <cell r="D29">
            <v>1230.084829529862</v>
          </cell>
          <cell r="J29">
            <v>738.34</v>
          </cell>
          <cell r="K29">
            <v>746.36727155668325</v>
          </cell>
        </row>
        <row r="30">
          <cell r="B30" t="str">
            <v>3Q2012</v>
          </cell>
          <cell r="C30">
            <v>1148.8504829999999</v>
          </cell>
          <cell r="D30">
            <v>1146.328769781444</v>
          </cell>
          <cell r="J30">
            <v>714.73099999999999</v>
          </cell>
          <cell r="K30">
            <v>714.89377497338114</v>
          </cell>
        </row>
        <row r="31">
          <cell r="B31" t="str">
            <v>4Q2012</v>
          </cell>
          <cell r="C31">
            <v>1393.7194039999999</v>
          </cell>
          <cell r="D31">
            <v>1370.9409772078509</v>
          </cell>
          <cell r="J31">
            <v>807.59699999999998</v>
          </cell>
          <cell r="K31">
            <v>794.63521216904371</v>
          </cell>
        </row>
        <row r="32">
          <cell r="B32" t="str">
            <v>1Q2013</v>
          </cell>
          <cell r="C32">
            <v>1152.1990019999998</v>
          </cell>
          <cell r="D32">
            <v>1217.6713712839207</v>
          </cell>
          <cell r="J32">
            <v>712.95399999999995</v>
          </cell>
          <cell r="K32">
            <v>736.37458077905478</v>
          </cell>
        </row>
        <row r="33">
          <cell r="B33" t="str">
            <v>2Q2013</v>
          </cell>
          <cell r="C33">
            <v>1221.49657</v>
          </cell>
          <cell r="D33">
            <v>1209.7357789513887</v>
          </cell>
          <cell r="J33">
            <v>768.8</v>
          </cell>
          <cell r="K33">
            <v>768.48153813279419</v>
          </cell>
        </row>
        <row r="34">
          <cell r="B34" t="str">
            <v>3Q2013</v>
          </cell>
          <cell r="C34">
            <v>1153.0129000000002</v>
          </cell>
          <cell r="D34">
            <v>1166.6299534841792</v>
          </cell>
          <cell r="J34">
            <v>745.86599999999999</v>
          </cell>
          <cell r="K34">
            <v>748.06076663682472</v>
          </cell>
        </row>
        <row r="35">
          <cell r="B35" t="str">
            <v>4Q2013</v>
          </cell>
          <cell r="C35">
            <v>1347.6171420000001</v>
          </cell>
          <cell r="D35">
            <v>1320.9196693306051</v>
          </cell>
          <cell r="J35">
            <v>819.88400000000001</v>
          </cell>
          <cell r="K35">
            <v>806.49109184619613</v>
          </cell>
        </row>
        <row r="36">
          <cell r="B36" t="str">
            <v>1Q2014</v>
          </cell>
          <cell r="C36">
            <v>1232.4728250000001</v>
          </cell>
          <cell r="D36">
            <v>1261.1555608578133</v>
          </cell>
          <cell r="J36">
            <v>769.596</v>
          </cell>
          <cell r="K36">
            <v>756.20842534538542</v>
          </cell>
        </row>
        <row r="37">
          <cell r="B37" t="str">
            <v>2Q2014</v>
          </cell>
          <cell r="C37">
            <v>1292.3301059999999</v>
          </cell>
          <cell r="D37">
            <v>1310.4325315254866</v>
          </cell>
          <cell r="J37">
            <v>833.05499999999995</v>
          </cell>
          <cell r="K37">
            <v>833.22688225371314</v>
          </cell>
        </row>
        <row r="38">
          <cell r="B38" t="str">
            <v>3Q2014</v>
          </cell>
          <cell r="C38">
            <v>1239.9946480000001</v>
          </cell>
          <cell r="D38">
            <v>1230.8784058520564</v>
          </cell>
          <cell r="J38">
            <v>811.62800000000004</v>
          </cell>
          <cell r="K38">
            <v>814.9858011940413</v>
          </cell>
          <cell r="Q38">
            <v>1239.9946480000001</v>
          </cell>
          <cell r="R38">
            <v>1229.076047274868</v>
          </cell>
        </row>
        <row r="39">
          <cell r="B39" t="str">
            <v>4Q2014</v>
          </cell>
          <cell r="C39">
            <v>1395.776085</v>
          </cell>
          <cell r="D39">
            <v>1389.9066207623339</v>
          </cell>
          <cell r="J39">
            <v>861.31799999999998</v>
          </cell>
          <cell r="K39">
            <v>872.78009541316385</v>
          </cell>
          <cell r="Q39">
            <v>1395.776085</v>
          </cell>
          <cell r="R39">
            <v>1388.8501800169531</v>
          </cell>
        </row>
        <row r="40">
          <cell r="B40" t="str">
            <v>1Q2015</v>
          </cell>
          <cell r="C40">
            <v>1331.945056</v>
          </cell>
          <cell r="D40">
            <v>1279.6857579512416</v>
          </cell>
          <cell r="J40">
            <v>789.18299999999999</v>
          </cell>
          <cell r="K40">
            <v>787.16608497675577</v>
          </cell>
          <cell r="Q40">
            <v>1331.945056</v>
          </cell>
          <cell r="R40">
            <v>1269.5538134976598</v>
          </cell>
        </row>
        <row r="41">
          <cell r="B41" t="str">
            <v>2Q2015</v>
          </cell>
          <cell r="C41">
            <v>1424.5887209999999</v>
          </cell>
          <cell r="D41">
            <v>1399.9745368112619</v>
          </cell>
          <cell r="J41">
            <v>847.42899999999997</v>
          </cell>
          <cell r="K41">
            <v>828.5027369316615</v>
          </cell>
          <cell r="Q41">
            <v>1424.5887209999999</v>
          </cell>
          <cell r="R41">
            <v>1403.0474814783331</v>
          </cell>
        </row>
        <row r="42">
          <cell r="B42" t="str">
            <v>3Q2015</v>
          </cell>
          <cell r="C42">
            <v>1351.5844320000001</v>
          </cell>
          <cell r="D42">
            <v>1366.0022072880845</v>
          </cell>
          <cell r="J42">
            <v>836.95299999999997</v>
          </cell>
          <cell r="K42">
            <v>851.4764360913581</v>
          </cell>
          <cell r="Q42">
            <v>1351.5844320000001</v>
          </cell>
          <cell r="R42">
            <v>1365.3845033778894</v>
          </cell>
        </row>
        <row r="43">
          <cell r="B43" t="str">
            <v>4Q2015</v>
          </cell>
          <cell r="C43">
            <v>1511.0059639999999</v>
          </cell>
          <cell r="D43">
            <v>1508.7729351749879</v>
          </cell>
          <cell r="J43">
            <v>916.16899999999998</v>
          </cell>
          <cell r="K43">
            <v>935.95394467721133</v>
          </cell>
          <cell r="Q43">
            <v>1511.0059639999999</v>
          </cell>
          <cell r="R43">
            <v>1511.2773367100265</v>
          </cell>
        </row>
        <row r="44">
          <cell r="B44" t="str">
            <v>1Q2016</v>
          </cell>
          <cell r="C44">
            <v>1311.326577</v>
          </cell>
          <cell r="D44">
            <v>1337.1608973636351</v>
          </cell>
          <cell r="J44">
            <v>834.83699999999999</v>
          </cell>
          <cell r="K44">
            <v>811.93551541438978</v>
          </cell>
          <cell r="Q44">
            <v>1311.326577</v>
          </cell>
          <cell r="R44">
            <v>1344.0560618987408</v>
          </cell>
        </row>
        <row r="45">
          <cell r="B45" t="str">
            <v>2Q2016</v>
          </cell>
          <cell r="C45">
            <v>1357.723804</v>
          </cell>
          <cell r="D45">
            <v>1372.6666078167377</v>
          </cell>
          <cell r="J45">
            <v>865.58500000000004</v>
          </cell>
          <cell r="K45">
            <v>865.58500000000015</v>
          </cell>
          <cell r="Q45">
            <v>1357.723804</v>
          </cell>
          <cell r="R45">
            <v>1357.7238039999997</v>
          </cell>
        </row>
        <row r="46">
          <cell r="B46" t="str">
            <v>3Q2016</v>
          </cell>
          <cell r="C46">
            <v>1315.7075189999998</v>
          </cell>
          <cell r="D46">
            <v>1315.7075189999998</v>
          </cell>
          <cell r="J46">
            <v>879.61199999999997</v>
          </cell>
          <cell r="K46">
            <v>846.45388416663104</v>
          </cell>
          <cell r="Q46">
            <v>1315.7075189999998</v>
          </cell>
          <cell r="R46">
            <v>1315.7075189999998</v>
          </cell>
        </row>
        <row r="47">
          <cell r="B47" t="str">
            <v>4Q2016</v>
          </cell>
          <cell r="C47">
            <v>1462.2983200000001</v>
          </cell>
          <cell r="D47">
            <v>1472.8736771429544</v>
          </cell>
          <cell r="J47">
            <v>1000.7859999999999</v>
          </cell>
          <cell r="K47">
            <v>946.77706744365969</v>
          </cell>
          <cell r="Q47">
            <v>1462.2983200000001</v>
          </cell>
          <cell r="R47">
            <v>1462.2983200000001</v>
          </cell>
        </row>
        <row r="48">
          <cell r="B48" t="str">
            <v>1Q2017</v>
          </cell>
          <cell r="C48">
            <v>1339.505895</v>
          </cell>
          <cell r="D48">
            <v>1344.2527646726257</v>
          </cell>
          <cell r="J48">
            <v>850.45600000000002</v>
          </cell>
          <cell r="K48">
            <v>902.83281480480935</v>
          </cell>
          <cell r="Q48">
            <v>1339.505895</v>
          </cell>
          <cell r="R48">
            <v>1341.5217998435512</v>
          </cell>
        </row>
        <row r="49">
          <cell r="B49" t="str">
            <v>2Q2017</v>
          </cell>
          <cell r="C49">
            <v>1415.756828</v>
          </cell>
          <cell r="D49">
            <v>1409.9829110858389</v>
          </cell>
          <cell r="J49">
            <v>912.471</v>
          </cell>
          <cell r="K49">
            <v>896.511752428161</v>
          </cell>
          <cell r="Q49">
            <v>1415.756828</v>
          </cell>
          <cell r="R49">
            <v>1414.8048214797134</v>
          </cell>
        </row>
        <row r="50">
          <cell r="B50" t="str">
            <v>3Q2017</v>
          </cell>
          <cell r="D50">
            <v>1350.6731642647032</v>
          </cell>
        </row>
      </sheetData>
      <sheetData sheetId="4">
        <row r="7">
          <cell r="C7" t="str">
            <v>Implied Organic Dental Sales ($mln)</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2.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5"/>
  <sheetViews>
    <sheetView showGridLines="0" tabSelected="1" workbookViewId="0">
      <selection activeCell="Z1" sqref="Z1"/>
    </sheetView>
  </sheetViews>
  <sheetFormatPr defaultRowHeight="12.75" x14ac:dyDescent="0.2"/>
  <cols>
    <col min="1" max="1" width="25.7109375" style="1427" customWidth="1"/>
    <col min="2" max="5" width="9.140625" style="1427"/>
    <col min="6" max="6" width="18.7109375" style="1427" customWidth="1"/>
    <col min="7" max="256" width="9.140625" style="1427"/>
    <col min="257" max="257" width="100.7109375" style="1427" customWidth="1"/>
    <col min="258" max="512" width="9.140625" style="1427"/>
    <col min="513" max="513" width="100.7109375" style="1427" customWidth="1"/>
    <col min="514" max="768" width="9.140625" style="1427"/>
    <col min="769" max="769" width="100.7109375" style="1427" customWidth="1"/>
    <col min="770" max="1024" width="9.140625" style="1427"/>
    <col min="1025" max="1025" width="100.7109375" style="1427" customWidth="1"/>
    <col min="1026" max="1280" width="9.140625" style="1427"/>
    <col min="1281" max="1281" width="100.7109375" style="1427" customWidth="1"/>
    <col min="1282" max="1536" width="9.140625" style="1427"/>
    <col min="1537" max="1537" width="100.7109375" style="1427" customWidth="1"/>
    <col min="1538" max="1792" width="9.140625" style="1427"/>
    <col min="1793" max="1793" width="100.7109375" style="1427" customWidth="1"/>
    <col min="1794" max="2048" width="9.140625" style="1427"/>
    <col min="2049" max="2049" width="100.7109375" style="1427" customWidth="1"/>
    <col min="2050" max="2304" width="9.140625" style="1427"/>
    <col min="2305" max="2305" width="100.7109375" style="1427" customWidth="1"/>
    <col min="2306" max="2560" width="9.140625" style="1427"/>
    <col min="2561" max="2561" width="100.7109375" style="1427" customWidth="1"/>
    <col min="2562" max="2816" width="9.140625" style="1427"/>
    <col min="2817" max="2817" width="100.7109375" style="1427" customWidth="1"/>
    <col min="2818" max="3072" width="9.140625" style="1427"/>
    <col min="3073" max="3073" width="100.7109375" style="1427" customWidth="1"/>
    <col min="3074" max="3328" width="9.140625" style="1427"/>
    <col min="3329" max="3329" width="100.7109375" style="1427" customWidth="1"/>
    <col min="3330" max="3584" width="9.140625" style="1427"/>
    <col min="3585" max="3585" width="100.7109375" style="1427" customWidth="1"/>
    <col min="3586" max="3840" width="9.140625" style="1427"/>
    <col min="3841" max="3841" width="100.7109375" style="1427" customWidth="1"/>
    <col min="3842" max="4096" width="9.140625" style="1427"/>
    <col min="4097" max="4097" width="100.7109375" style="1427" customWidth="1"/>
    <col min="4098" max="4352" width="9.140625" style="1427"/>
    <col min="4353" max="4353" width="100.7109375" style="1427" customWidth="1"/>
    <col min="4354" max="4608" width="9.140625" style="1427"/>
    <col min="4609" max="4609" width="100.7109375" style="1427" customWidth="1"/>
    <col min="4610" max="4864" width="9.140625" style="1427"/>
    <col min="4865" max="4865" width="100.7109375" style="1427" customWidth="1"/>
    <col min="4866" max="5120" width="9.140625" style="1427"/>
    <col min="5121" max="5121" width="100.7109375" style="1427" customWidth="1"/>
    <col min="5122" max="5376" width="9.140625" style="1427"/>
    <col min="5377" max="5377" width="100.7109375" style="1427" customWidth="1"/>
    <col min="5378" max="5632" width="9.140625" style="1427"/>
    <col min="5633" max="5633" width="100.7109375" style="1427" customWidth="1"/>
    <col min="5634" max="5888" width="9.140625" style="1427"/>
    <col min="5889" max="5889" width="100.7109375" style="1427" customWidth="1"/>
    <col min="5890" max="6144" width="9.140625" style="1427"/>
    <col min="6145" max="6145" width="100.7109375" style="1427" customWidth="1"/>
    <col min="6146" max="6400" width="9.140625" style="1427"/>
    <col min="6401" max="6401" width="100.7109375" style="1427" customWidth="1"/>
    <col min="6402" max="6656" width="9.140625" style="1427"/>
    <col min="6657" max="6657" width="100.7109375" style="1427" customWidth="1"/>
    <col min="6658" max="6912" width="9.140625" style="1427"/>
    <col min="6913" max="6913" width="100.7109375" style="1427" customWidth="1"/>
    <col min="6914" max="7168" width="9.140625" style="1427"/>
    <col min="7169" max="7169" width="100.7109375" style="1427" customWidth="1"/>
    <col min="7170" max="7424" width="9.140625" style="1427"/>
    <col min="7425" max="7425" width="100.7109375" style="1427" customWidth="1"/>
    <col min="7426" max="7680" width="9.140625" style="1427"/>
    <col min="7681" max="7681" width="100.7109375" style="1427" customWidth="1"/>
    <col min="7682" max="7936" width="9.140625" style="1427"/>
    <col min="7937" max="7937" width="100.7109375" style="1427" customWidth="1"/>
    <col min="7938" max="8192" width="9.140625" style="1427"/>
    <col min="8193" max="8193" width="100.7109375" style="1427" customWidth="1"/>
    <col min="8194" max="8448" width="9.140625" style="1427"/>
    <col min="8449" max="8449" width="100.7109375" style="1427" customWidth="1"/>
    <col min="8450" max="8704" width="9.140625" style="1427"/>
    <col min="8705" max="8705" width="100.7109375" style="1427" customWidth="1"/>
    <col min="8706" max="8960" width="9.140625" style="1427"/>
    <col min="8961" max="8961" width="100.7109375" style="1427" customWidth="1"/>
    <col min="8962" max="9216" width="9.140625" style="1427"/>
    <col min="9217" max="9217" width="100.7109375" style="1427" customWidth="1"/>
    <col min="9218" max="9472" width="9.140625" style="1427"/>
    <col min="9473" max="9473" width="100.7109375" style="1427" customWidth="1"/>
    <col min="9474" max="9728" width="9.140625" style="1427"/>
    <col min="9729" max="9729" width="100.7109375" style="1427" customWidth="1"/>
    <col min="9730" max="9984" width="9.140625" style="1427"/>
    <col min="9985" max="9985" width="100.7109375" style="1427" customWidth="1"/>
    <col min="9986" max="10240" width="9.140625" style="1427"/>
    <col min="10241" max="10241" width="100.7109375" style="1427" customWidth="1"/>
    <col min="10242" max="10496" width="9.140625" style="1427"/>
    <col min="10497" max="10497" width="100.7109375" style="1427" customWidth="1"/>
    <col min="10498" max="10752" width="9.140625" style="1427"/>
    <col min="10753" max="10753" width="100.7109375" style="1427" customWidth="1"/>
    <col min="10754" max="11008" width="9.140625" style="1427"/>
    <col min="11009" max="11009" width="100.7109375" style="1427" customWidth="1"/>
    <col min="11010" max="11264" width="9.140625" style="1427"/>
    <col min="11265" max="11265" width="100.7109375" style="1427" customWidth="1"/>
    <col min="11266" max="11520" width="9.140625" style="1427"/>
    <col min="11521" max="11521" width="100.7109375" style="1427" customWidth="1"/>
    <col min="11522" max="11776" width="9.140625" style="1427"/>
    <col min="11777" max="11777" width="100.7109375" style="1427" customWidth="1"/>
    <col min="11778" max="12032" width="9.140625" style="1427"/>
    <col min="12033" max="12033" width="100.7109375" style="1427" customWidth="1"/>
    <col min="12034" max="12288" width="9.140625" style="1427"/>
    <col min="12289" max="12289" width="100.7109375" style="1427" customWidth="1"/>
    <col min="12290" max="12544" width="9.140625" style="1427"/>
    <col min="12545" max="12545" width="100.7109375" style="1427" customWidth="1"/>
    <col min="12546" max="12800" width="9.140625" style="1427"/>
    <col min="12801" max="12801" width="100.7109375" style="1427" customWidth="1"/>
    <col min="12802" max="13056" width="9.140625" style="1427"/>
    <col min="13057" max="13057" width="100.7109375" style="1427" customWidth="1"/>
    <col min="13058" max="13312" width="9.140625" style="1427"/>
    <col min="13313" max="13313" width="100.7109375" style="1427" customWidth="1"/>
    <col min="13314" max="13568" width="9.140625" style="1427"/>
    <col min="13569" max="13569" width="100.7109375" style="1427" customWidth="1"/>
    <col min="13570" max="13824" width="9.140625" style="1427"/>
    <col min="13825" max="13825" width="100.7109375" style="1427" customWidth="1"/>
    <col min="13826" max="14080" width="9.140625" style="1427"/>
    <col min="14081" max="14081" width="100.7109375" style="1427" customWidth="1"/>
    <col min="14082" max="14336" width="9.140625" style="1427"/>
    <col min="14337" max="14337" width="100.7109375" style="1427" customWidth="1"/>
    <col min="14338" max="14592" width="9.140625" style="1427"/>
    <col min="14593" max="14593" width="100.7109375" style="1427" customWidth="1"/>
    <col min="14594" max="14848" width="9.140625" style="1427"/>
    <col min="14849" max="14849" width="100.7109375" style="1427" customWidth="1"/>
    <col min="14850" max="15104" width="9.140625" style="1427"/>
    <col min="15105" max="15105" width="100.7109375" style="1427" customWidth="1"/>
    <col min="15106" max="15360" width="9.140625" style="1427"/>
    <col min="15361" max="15361" width="100.7109375" style="1427" customWidth="1"/>
    <col min="15362" max="15616" width="9.140625" style="1427"/>
    <col min="15617" max="15617" width="100.7109375" style="1427" customWidth="1"/>
    <col min="15618" max="15872" width="9.140625" style="1427"/>
    <col min="15873" max="15873" width="100.7109375" style="1427" customWidth="1"/>
    <col min="15874" max="16128" width="9.140625" style="1427"/>
    <col min="16129" max="16129" width="100.7109375" style="1427" customWidth="1"/>
    <col min="16130" max="16384" width="9.140625" style="1427"/>
  </cols>
  <sheetData>
    <row r="1" spans="1:8" ht="30" customHeight="1" x14ac:dyDescent="0.2">
      <c r="A1" s="1425"/>
      <c r="B1" s="1426"/>
      <c r="C1" s="1426"/>
      <c r="D1" s="1426"/>
      <c r="E1" s="1426"/>
      <c r="F1" s="1426"/>
      <c r="G1" s="1426"/>
      <c r="H1" s="1426"/>
    </row>
    <row r="2" spans="1:8" ht="14.25" x14ac:dyDescent="0.2">
      <c r="A2" s="1428" t="s">
        <v>763</v>
      </c>
      <c r="B2" s="1426"/>
      <c r="C2" s="1426"/>
      <c r="D2" s="1426"/>
      <c r="E2" s="1426"/>
      <c r="F2" s="1426"/>
      <c r="G2" s="1426"/>
      <c r="H2" s="1426"/>
    </row>
    <row r="3" spans="1:8" ht="14.25" x14ac:dyDescent="0.2">
      <c r="A3" s="1428" t="s">
        <v>764</v>
      </c>
      <c r="B3" s="1426"/>
      <c r="C3" s="1426"/>
      <c r="D3" s="1426"/>
      <c r="E3" s="1426"/>
      <c r="F3" s="1426"/>
      <c r="G3" s="1426"/>
      <c r="H3" s="1426"/>
    </row>
    <row r="4" spans="1:8" ht="14.25" x14ac:dyDescent="0.2">
      <c r="A4" s="1428" t="s">
        <v>473</v>
      </c>
      <c r="B4" s="1426"/>
      <c r="C4" s="1426"/>
      <c r="D4" s="1426"/>
      <c r="E4" s="1426"/>
      <c r="F4" s="1426"/>
      <c r="G4" s="1426"/>
      <c r="H4" s="1426"/>
    </row>
    <row r="5" spans="1:8" ht="14.25" x14ac:dyDescent="0.2">
      <c r="A5" s="1428" t="s">
        <v>765</v>
      </c>
      <c r="B5" s="1426"/>
      <c r="C5" s="1426"/>
      <c r="D5" s="1426"/>
      <c r="E5" s="1426"/>
      <c r="F5" s="1426"/>
      <c r="G5" s="1426"/>
      <c r="H5" s="1426"/>
    </row>
    <row r="6" spans="1:8" ht="14.25" x14ac:dyDescent="0.2">
      <c r="A6" s="1428"/>
      <c r="B6" s="1426"/>
      <c r="C6" s="1426"/>
      <c r="D6" s="1426"/>
      <c r="E6" s="1426"/>
      <c r="F6" s="1426"/>
      <c r="G6" s="1426"/>
      <c r="H6" s="1426"/>
    </row>
    <row r="7" spans="1:8" x14ac:dyDescent="0.2">
      <c r="A7" s="1425" t="s">
        <v>766</v>
      </c>
      <c r="B7" s="1426"/>
      <c r="C7" s="1426"/>
      <c r="D7" s="1426"/>
      <c r="E7" s="1426"/>
      <c r="F7" s="1426"/>
      <c r="G7" s="1426"/>
      <c r="H7" s="1426"/>
    </row>
    <row r="8" spans="1:8" x14ac:dyDescent="0.2">
      <c r="A8" s="1425" t="s">
        <v>767</v>
      </c>
      <c r="B8" s="1426"/>
      <c r="C8" s="1426"/>
      <c r="D8" s="1426"/>
      <c r="E8" s="1426"/>
      <c r="F8" s="1426"/>
      <c r="G8" s="1426"/>
      <c r="H8" s="1426"/>
    </row>
    <row r="9" spans="1:8" x14ac:dyDescent="0.2">
      <c r="A9" s="1425"/>
      <c r="B9" s="1426"/>
      <c r="C9" s="1426"/>
      <c r="D9" s="1426"/>
      <c r="E9" s="1426"/>
      <c r="F9" s="1426"/>
      <c r="G9" s="1426"/>
      <c r="H9" s="1426"/>
    </row>
    <row r="10" spans="1:8" x14ac:dyDescent="0.2">
      <c r="A10" s="1429" t="s">
        <v>768</v>
      </c>
      <c r="B10" s="1426"/>
      <c r="C10" s="1426"/>
      <c r="D10" s="1426"/>
      <c r="E10" s="1426"/>
      <c r="F10" s="1426"/>
      <c r="G10" s="1426"/>
      <c r="H10" s="1426"/>
    </row>
    <row r="11" spans="1:8" x14ac:dyDescent="0.2">
      <c r="A11" s="1429" t="s">
        <v>769</v>
      </c>
      <c r="B11" s="1426"/>
      <c r="C11" s="1426"/>
      <c r="D11" s="1426"/>
      <c r="E11" s="1426"/>
      <c r="F11" s="1426"/>
      <c r="G11" s="1426"/>
      <c r="H11" s="1426"/>
    </row>
    <row r="12" spans="1:8" x14ac:dyDescent="0.2">
      <c r="A12" s="1429" t="s">
        <v>770</v>
      </c>
      <c r="B12" s="1426"/>
      <c r="C12" s="1426"/>
      <c r="D12" s="1426"/>
      <c r="E12" s="1426"/>
      <c r="F12" s="1426"/>
      <c r="G12" s="1426"/>
      <c r="H12" s="1426"/>
    </row>
    <row r="13" spans="1:8" x14ac:dyDescent="0.2">
      <c r="A13" s="1429" t="s">
        <v>771</v>
      </c>
      <c r="B13" s="1426"/>
      <c r="C13" s="1426"/>
      <c r="D13" s="1426"/>
      <c r="E13" s="1426"/>
      <c r="F13" s="1426"/>
      <c r="G13" s="1426"/>
      <c r="H13" s="1426"/>
    </row>
    <row r="14" spans="1:8" x14ac:dyDescent="0.2">
      <c r="A14" s="1429" t="s">
        <v>772</v>
      </c>
      <c r="B14" s="1426"/>
      <c r="C14" s="1426"/>
      <c r="D14" s="1426"/>
      <c r="E14" s="1426"/>
      <c r="F14" s="1426"/>
      <c r="G14" s="1426"/>
      <c r="H14" s="1426"/>
    </row>
    <row r="15" spans="1:8" x14ac:dyDescent="0.2">
      <c r="A15" s="1429" t="s">
        <v>773</v>
      </c>
      <c r="B15" s="1426"/>
      <c r="C15" s="1426"/>
      <c r="D15" s="1426"/>
      <c r="E15" s="1426"/>
      <c r="F15" s="1426"/>
      <c r="G15" s="1426"/>
      <c r="H15" s="1426"/>
    </row>
    <row r="16" spans="1:8" x14ac:dyDescent="0.2">
      <c r="A16" s="1429"/>
      <c r="B16" s="1426"/>
      <c r="C16" s="1426"/>
      <c r="D16" s="1426"/>
      <c r="E16" s="1426"/>
      <c r="F16" s="1426"/>
      <c r="G16" s="1426"/>
      <c r="H16" s="1426"/>
    </row>
    <row r="17" spans="1:8" x14ac:dyDescent="0.2">
      <c r="A17" s="1429" t="s">
        <v>760</v>
      </c>
      <c r="B17" s="1426"/>
      <c r="C17" s="1426"/>
      <c r="D17" s="1426"/>
      <c r="E17" s="1426"/>
      <c r="F17" s="1426"/>
      <c r="G17" s="1426"/>
      <c r="H17" s="1426"/>
    </row>
    <row r="18" spans="1:8" x14ac:dyDescent="0.2">
      <c r="A18" s="1429"/>
      <c r="B18" s="1426"/>
      <c r="C18" s="1426"/>
      <c r="D18" s="1426"/>
      <c r="E18" s="1426"/>
      <c r="F18" s="1426"/>
      <c r="G18" s="1426"/>
      <c r="H18" s="1426"/>
    </row>
    <row r="19" spans="1:8" x14ac:dyDescent="0.2">
      <c r="A19" s="1429" t="s">
        <v>761</v>
      </c>
      <c r="B19" s="1426"/>
      <c r="C19" s="1426"/>
      <c r="D19" s="1426"/>
      <c r="E19" s="1426"/>
      <c r="F19" s="1426"/>
      <c r="G19" s="1426"/>
      <c r="H19" s="1426"/>
    </row>
    <row r="20" spans="1:8" x14ac:dyDescent="0.2">
      <c r="A20" s="1425"/>
      <c r="B20" s="1426"/>
      <c r="C20" s="1426"/>
      <c r="D20" s="1426"/>
      <c r="E20" s="1426"/>
      <c r="F20" s="1426"/>
      <c r="G20" s="1426"/>
      <c r="H20" s="1426"/>
    </row>
    <row r="21" spans="1:8" x14ac:dyDescent="0.2">
      <c r="A21" s="1430" t="s">
        <v>762</v>
      </c>
      <c r="B21" s="1426"/>
      <c r="C21" s="1426"/>
      <c r="D21" s="1426"/>
      <c r="E21" s="1426"/>
      <c r="F21" s="1426"/>
      <c r="G21" s="1426"/>
      <c r="H21" s="1426"/>
    </row>
    <row r="22" spans="1:8" x14ac:dyDescent="0.2">
      <c r="A22" s="1431"/>
      <c r="B22" s="1431"/>
      <c r="C22" s="1431"/>
      <c r="D22" s="1431"/>
      <c r="E22" s="1431"/>
      <c r="F22" s="1431"/>
      <c r="G22" s="1431"/>
      <c r="H22" s="1431"/>
    </row>
    <row r="23" spans="1:8" x14ac:dyDescent="0.2">
      <c r="A23" s="1432" t="s">
        <v>1048</v>
      </c>
      <c r="B23" s="1431"/>
      <c r="C23" s="1431"/>
      <c r="D23" s="1431"/>
      <c r="E23" s="1431"/>
      <c r="F23" s="1431"/>
      <c r="G23" s="1431"/>
      <c r="H23" s="1431"/>
    </row>
    <row r="24" spans="1:8" x14ac:dyDescent="0.2">
      <c r="A24" s="1432" t="s">
        <v>1049</v>
      </c>
      <c r="B24" s="1431"/>
      <c r="C24" s="1431"/>
      <c r="D24" s="1431"/>
      <c r="E24" s="1431"/>
      <c r="F24" s="1431"/>
      <c r="G24" s="1431"/>
      <c r="H24" s="1431"/>
    </row>
    <row r="25" spans="1:8" x14ac:dyDescent="0.2">
      <c r="A25" s="1432" t="s">
        <v>1050</v>
      </c>
      <c r="B25" s="1431"/>
      <c r="C25" s="1431"/>
      <c r="D25" s="1431"/>
      <c r="E25" s="1431"/>
      <c r="F25" s="1431"/>
      <c r="G25" s="1431"/>
      <c r="H25" s="1431"/>
    </row>
    <row r="26" spans="1:8" x14ac:dyDescent="0.2">
      <c r="A26" s="1432" t="s">
        <v>1051</v>
      </c>
      <c r="B26" s="1431"/>
      <c r="C26" s="1431"/>
      <c r="D26" s="1431"/>
      <c r="E26" s="1431"/>
      <c r="F26" s="1431"/>
      <c r="G26" s="1431"/>
      <c r="H26" s="1431"/>
    </row>
    <row r="27" spans="1:8" x14ac:dyDescent="0.2">
      <c r="A27" s="1431"/>
      <c r="B27" s="1431"/>
      <c r="C27" s="1431"/>
      <c r="D27" s="1431"/>
      <c r="E27" s="1431"/>
      <c r="F27" s="1431"/>
      <c r="G27" s="1431"/>
      <c r="H27" s="1431"/>
    </row>
    <row r="28" spans="1:8" x14ac:dyDescent="0.2">
      <c r="A28" s="1431"/>
      <c r="B28" s="1431"/>
      <c r="C28" s="1431"/>
      <c r="D28" s="1431"/>
      <c r="E28" s="1431"/>
      <c r="F28" s="1431"/>
      <c r="G28" s="1431"/>
      <c r="H28" s="1431"/>
    </row>
    <row r="29" spans="1:8" x14ac:dyDescent="0.2">
      <c r="A29" s="1432" t="s">
        <v>1043</v>
      </c>
      <c r="B29" s="1431"/>
      <c r="C29" s="1431"/>
      <c r="D29" s="1431"/>
      <c r="E29" s="1431"/>
      <c r="F29" s="1431"/>
      <c r="G29" s="1431"/>
      <c r="H29" s="1431"/>
    </row>
    <row r="30" spans="1:8" x14ac:dyDescent="0.2">
      <c r="A30" s="1432" t="s">
        <v>1044</v>
      </c>
      <c r="B30" s="1431"/>
      <c r="C30" s="1431"/>
      <c r="D30" s="1431"/>
      <c r="E30" s="1431"/>
      <c r="F30" s="1431"/>
      <c r="G30" s="1431"/>
      <c r="H30" s="1431"/>
    </row>
    <row r="31" spans="1:8" x14ac:dyDescent="0.2">
      <c r="A31" s="1432" t="s">
        <v>1045</v>
      </c>
      <c r="B31" s="1431"/>
      <c r="C31" s="1431"/>
      <c r="D31" s="1431"/>
      <c r="E31" s="1431"/>
      <c r="F31" s="1431"/>
      <c r="G31" s="1431"/>
      <c r="H31" s="1431"/>
    </row>
    <row r="32" spans="1:8" x14ac:dyDescent="0.2">
      <c r="A32" s="1432" t="s">
        <v>1046</v>
      </c>
      <c r="B32" s="1431"/>
      <c r="C32" s="1431"/>
      <c r="D32" s="1431"/>
      <c r="E32" s="1431"/>
      <c r="F32" s="1431"/>
      <c r="G32" s="1431"/>
      <c r="H32" s="1431"/>
    </row>
    <row r="33" spans="1:8" x14ac:dyDescent="0.2">
      <c r="A33" s="1432" t="s">
        <v>1047</v>
      </c>
      <c r="B33" s="1431"/>
      <c r="C33" s="1431"/>
      <c r="D33" s="1431"/>
      <c r="E33" s="1431"/>
      <c r="F33" s="1431"/>
      <c r="G33" s="1431"/>
      <c r="H33" s="1431"/>
    </row>
    <row r="34" spans="1:8" x14ac:dyDescent="0.2">
      <c r="A34" s="1431"/>
      <c r="B34" s="1431"/>
      <c r="C34" s="1431"/>
      <c r="D34" s="1431"/>
      <c r="E34" s="1431"/>
      <c r="F34" s="1431"/>
      <c r="G34" s="1431"/>
      <c r="H34" s="1431"/>
    </row>
    <row r="35" spans="1:8" x14ac:dyDescent="0.2">
      <c r="A35" s="1432" t="s">
        <v>1039</v>
      </c>
      <c r="B35" s="1431"/>
      <c r="C35" s="1431"/>
      <c r="D35" s="1431"/>
      <c r="E35" s="1431"/>
      <c r="F35" s="1431"/>
      <c r="G35" s="1431"/>
      <c r="H35" s="1431"/>
    </row>
    <row r="36" spans="1:8" x14ac:dyDescent="0.2">
      <c r="A36" s="1432" t="s">
        <v>1040</v>
      </c>
      <c r="B36" s="1431"/>
      <c r="C36" s="1431"/>
      <c r="D36" s="1431"/>
      <c r="E36" s="1431"/>
      <c r="F36" s="1431"/>
      <c r="G36" s="1431"/>
      <c r="H36" s="1431"/>
    </row>
    <row r="37" spans="1:8" x14ac:dyDescent="0.2">
      <c r="A37" s="1432" t="s">
        <v>1041</v>
      </c>
      <c r="B37" s="1431"/>
      <c r="C37" s="1431"/>
      <c r="D37" s="1431"/>
      <c r="E37" s="1431"/>
      <c r="F37" s="1431"/>
      <c r="G37" s="1431"/>
      <c r="H37" s="1431"/>
    </row>
    <row r="38" spans="1:8" x14ac:dyDescent="0.2">
      <c r="A38" s="1432" t="s">
        <v>1042</v>
      </c>
      <c r="B38" s="1431"/>
      <c r="C38" s="1431"/>
      <c r="D38" s="1431"/>
      <c r="E38" s="1431"/>
      <c r="F38" s="1431"/>
      <c r="G38" s="1431"/>
      <c r="H38" s="1431"/>
    </row>
    <row r="39" spans="1:8" x14ac:dyDescent="0.2">
      <c r="A39" s="1431"/>
      <c r="B39" s="1431"/>
      <c r="C39" s="1431"/>
      <c r="D39" s="1431"/>
      <c r="E39" s="1431"/>
      <c r="F39" s="1431"/>
      <c r="G39" s="1431"/>
      <c r="H39" s="1431"/>
    </row>
    <row r="40" spans="1:8" x14ac:dyDescent="0.2">
      <c r="A40" s="1432" t="s">
        <v>1033</v>
      </c>
      <c r="B40" s="1431"/>
      <c r="C40" s="1431"/>
      <c r="D40" s="1431"/>
      <c r="E40" s="1431"/>
      <c r="F40" s="1431"/>
      <c r="G40" s="1431"/>
      <c r="H40" s="1431"/>
    </row>
    <row r="41" spans="1:8" x14ac:dyDescent="0.2">
      <c r="A41" s="1432" t="s">
        <v>1034</v>
      </c>
      <c r="B41" s="1431"/>
      <c r="C41" s="1431"/>
      <c r="D41" s="1431"/>
      <c r="E41" s="1431"/>
      <c r="F41" s="1431"/>
      <c r="G41" s="1431"/>
      <c r="H41" s="1431"/>
    </row>
    <row r="42" spans="1:8" x14ac:dyDescent="0.2">
      <c r="A42" s="1432" t="s">
        <v>1035</v>
      </c>
      <c r="B42" s="1431"/>
      <c r="C42" s="1431"/>
      <c r="D42" s="1431"/>
      <c r="E42" s="1431"/>
      <c r="F42" s="1431"/>
      <c r="G42" s="1431"/>
      <c r="H42" s="1431"/>
    </row>
    <row r="43" spans="1:8" x14ac:dyDescent="0.2">
      <c r="A43" s="1432" t="s">
        <v>1036</v>
      </c>
      <c r="B43" s="1431"/>
      <c r="C43" s="1431"/>
      <c r="D43" s="1431"/>
      <c r="E43" s="1431"/>
      <c r="F43" s="1431"/>
      <c r="G43" s="1431"/>
      <c r="H43" s="1431"/>
    </row>
    <row r="44" spans="1:8" x14ac:dyDescent="0.2">
      <c r="A44" s="1432" t="s">
        <v>1037</v>
      </c>
      <c r="B44" s="1431"/>
      <c r="C44" s="1431"/>
      <c r="D44" s="1431"/>
      <c r="E44" s="1431"/>
      <c r="F44" s="1431"/>
      <c r="G44" s="1431"/>
      <c r="H44" s="1431"/>
    </row>
    <row r="45" spans="1:8" x14ac:dyDescent="0.2">
      <c r="A45" s="1432" t="s">
        <v>1038</v>
      </c>
      <c r="B45" s="1431"/>
      <c r="C45" s="1431"/>
      <c r="D45" s="1431"/>
      <c r="E45" s="1431"/>
      <c r="F45" s="1431"/>
      <c r="G45" s="1431"/>
      <c r="H45" s="1431"/>
    </row>
    <row r="46" spans="1:8" x14ac:dyDescent="0.2">
      <c r="A46" s="1431"/>
      <c r="B46" s="1431"/>
      <c r="C46" s="1431"/>
      <c r="D46" s="1431"/>
      <c r="E46" s="1431"/>
      <c r="F46" s="1431"/>
      <c r="G46" s="1431"/>
      <c r="H46" s="1431"/>
    </row>
    <row r="47" spans="1:8" ht="15.75" x14ac:dyDescent="0.2">
      <c r="A47" s="1433" t="s">
        <v>774</v>
      </c>
      <c r="B47" s="1431"/>
      <c r="C47" s="1431"/>
      <c r="D47" s="1431"/>
      <c r="E47" s="1431"/>
      <c r="F47" s="1431"/>
      <c r="G47" s="1431"/>
      <c r="H47" s="1431"/>
    </row>
    <row r="48" spans="1:8" x14ac:dyDescent="0.2">
      <c r="A48" s="1431"/>
      <c r="B48" s="1431"/>
      <c r="C48" s="1431"/>
      <c r="D48" s="1431"/>
      <c r="E48" s="1431"/>
      <c r="F48" s="1431"/>
      <c r="G48" s="1431"/>
      <c r="H48" s="1431"/>
    </row>
    <row r="49" spans="1:8" x14ac:dyDescent="0.2">
      <c r="A49" s="1432" t="s">
        <v>1029</v>
      </c>
      <c r="B49" s="1431"/>
      <c r="C49" s="1431"/>
      <c r="D49" s="1431"/>
      <c r="E49" s="1431"/>
      <c r="F49" s="1431"/>
      <c r="G49" s="1431"/>
      <c r="H49" s="1431"/>
    </row>
    <row r="50" spans="1:8" x14ac:dyDescent="0.2">
      <c r="A50" s="1432" t="s">
        <v>1030</v>
      </c>
      <c r="B50" s="1431"/>
      <c r="C50" s="1431"/>
      <c r="D50" s="1431"/>
      <c r="E50" s="1431"/>
      <c r="F50" s="1431"/>
      <c r="G50" s="1431"/>
      <c r="H50" s="1431"/>
    </row>
    <row r="51" spans="1:8" x14ac:dyDescent="0.2">
      <c r="A51" s="1432" t="s">
        <v>1031</v>
      </c>
      <c r="B51" s="1431"/>
      <c r="C51" s="1431"/>
      <c r="D51" s="1431"/>
      <c r="E51" s="1431"/>
      <c r="F51" s="1431"/>
      <c r="G51" s="1431"/>
      <c r="H51" s="1431"/>
    </row>
    <row r="52" spans="1:8" x14ac:dyDescent="0.2">
      <c r="A52" s="1432" t="s">
        <v>1032</v>
      </c>
      <c r="B52" s="1431"/>
      <c r="C52" s="1431"/>
      <c r="D52" s="1431"/>
      <c r="E52" s="1431"/>
      <c r="F52" s="1431"/>
      <c r="G52" s="1431"/>
      <c r="H52" s="1431"/>
    </row>
    <row r="53" spans="1:8" x14ac:dyDescent="0.2">
      <c r="A53" s="1431"/>
      <c r="B53" s="1431"/>
      <c r="C53" s="1431"/>
      <c r="D53" s="1431"/>
      <c r="E53" s="1431"/>
      <c r="F53" s="1431"/>
      <c r="G53" s="1431"/>
      <c r="H53" s="1431"/>
    </row>
    <row r="54" spans="1:8" x14ac:dyDescent="0.2">
      <c r="A54" s="1432" t="s">
        <v>775</v>
      </c>
      <c r="B54" s="1431"/>
      <c r="C54" s="1431"/>
      <c r="D54" s="1431"/>
      <c r="E54" s="1431"/>
      <c r="F54" s="1431"/>
      <c r="G54" s="1431"/>
      <c r="H54" s="1431"/>
    </row>
    <row r="55" spans="1:8" x14ac:dyDescent="0.2">
      <c r="A55" s="1431"/>
      <c r="B55" s="1431"/>
      <c r="C55" s="1431"/>
      <c r="D55" s="1431"/>
      <c r="E55" s="1431"/>
      <c r="F55" s="1431"/>
      <c r="G55" s="1431"/>
      <c r="H55" s="1431"/>
    </row>
    <row r="56" spans="1:8" ht="15.75" x14ac:dyDescent="0.2">
      <c r="A56" s="1433" t="s">
        <v>776</v>
      </c>
      <c r="B56" s="1431"/>
      <c r="C56" s="1431"/>
      <c r="D56" s="1431"/>
      <c r="E56" s="1431"/>
      <c r="F56" s="1431"/>
      <c r="G56" s="1431"/>
      <c r="H56" s="1431"/>
    </row>
    <row r="57" spans="1:8" x14ac:dyDescent="0.2">
      <c r="A57" s="1431"/>
      <c r="B57" s="1431"/>
      <c r="C57" s="1431"/>
      <c r="D57" s="1431"/>
      <c r="E57" s="1431"/>
      <c r="F57" s="1431"/>
      <c r="G57" s="1431"/>
      <c r="H57" s="1431"/>
    </row>
    <row r="58" spans="1:8" x14ac:dyDescent="0.2">
      <c r="A58" s="1432" t="s">
        <v>1027</v>
      </c>
      <c r="B58" s="1431"/>
      <c r="C58" s="1431"/>
      <c r="D58" s="1431"/>
      <c r="E58" s="1431"/>
      <c r="F58" s="1431"/>
      <c r="G58" s="1431"/>
      <c r="H58" s="1431"/>
    </row>
    <row r="59" spans="1:8" x14ac:dyDescent="0.2">
      <c r="A59" s="1432" t="s">
        <v>1028</v>
      </c>
      <c r="B59" s="1431"/>
      <c r="C59" s="1431"/>
      <c r="D59" s="1431"/>
      <c r="E59" s="1431"/>
      <c r="F59" s="1431"/>
      <c r="G59" s="1431"/>
      <c r="H59" s="1431"/>
    </row>
    <row r="60" spans="1:8" x14ac:dyDescent="0.2">
      <c r="A60" s="1431"/>
      <c r="B60" s="1431"/>
      <c r="C60" s="1431"/>
      <c r="D60" s="1431"/>
      <c r="E60" s="1431"/>
      <c r="F60" s="1431"/>
      <c r="G60" s="1431"/>
      <c r="H60" s="1431"/>
    </row>
    <row r="61" spans="1:8" ht="15.75" x14ac:dyDescent="0.2">
      <c r="A61" s="1433" t="s">
        <v>777</v>
      </c>
      <c r="B61" s="1431"/>
      <c r="C61" s="1431"/>
      <c r="D61" s="1431"/>
      <c r="E61" s="1431"/>
      <c r="F61" s="1431"/>
      <c r="G61" s="1431"/>
      <c r="H61" s="1431"/>
    </row>
    <row r="62" spans="1:8" x14ac:dyDescent="0.2">
      <c r="A62" s="1431"/>
      <c r="B62" s="1431"/>
      <c r="C62" s="1431"/>
      <c r="D62" s="1431"/>
      <c r="E62" s="1431"/>
      <c r="F62" s="1431"/>
      <c r="G62" s="1431"/>
      <c r="H62" s="1431"/>
    </row>
    <row r="63" spans="1:8" x14ac:dyDescent="0.2">
      <c r="A63" s="1432" t="s">
        <v>1025</v>
      </c>
      <c r="B63" s="1431"/>
      <c r="C63" s="1431"/>
      <c r="D63" s="1431"/>
      <c r="E63" s="1431"/>
      <c r="F63" s="1431"/>
      <c r="G63" s="1431"/>
      <c r="H63" s="1431"/>
    </row>
    <row r="64" spans="1:8" x14ac:dyDescent="0.2">
      <c r="A64" s="1432" t="s">
        <v>1026</v>
      </c>
      <c r="B64" s="1431"/>
      <c r="C64" s="1431"/>
      <c r="D64" s="1431"/>
      <c r="E64" s="1431"/>
      <c r="F64" s="1431"/>
      <c r="G64" s="1431"/>
      <c r="H64" s="1431"/>
    </row>
    <row r="65" spans="1:8" x14ac:dyDescent="0.2">
      <c r="A65" s="1431"/>
      <c r="B65" s="1431"/>
      <c r="C65" s="1431"/>
      <c r="D65" s="1431"/>
      <c r="E65" s="1431"/>
      <c r="F65" s="1431"/>
      <c r="G65" s="1431"/>
      <c r="H65" s="1431"/>
    </row>
    <row r="66" spans="1:8" x14ac:dyDescent="0.2">
      <c r="A66" s="1432" t="s">
        <v>1023</v>
      </c>
      <c r="B66" s="1431"/>
      <c r="C66" s="1431"/>
      <c r="D66" s="1431"/>
      <c r="E66" s="1431"/>
      <c r="F66" s="1431"/>
      <c r="G66" s="1431"/>
      <c r="H66" s="1431"/>
    </row>
    <row r="67" spans="1:8" x14ac:dyDescent="0.2">
      <c r="A67" s="1432" t="s">
        <v>1024</v>
      </c>
      <c r="B67" s="1431"/>
      <c r="C67" s="1431"/>
      <c r="D67" s="1431"/>
      <c r="E67" s="1431"/>
      <c r="F67" s="1431"/>
      <c r="G67" s="1431"/>
      <c r="H67" s="1431"/>
    </row>
    <row r="68" spans="1:8" x14ac:dyDescent="0.2">
      <c r="A68" s="1431"/>
      <c r="B68" s="1431"/>
      <c r="C68" s="1431"/>
      <c r="D68" s="1431"/>
      <c r="E68" s="1431"/>
      <c r="F68" s="1431"/>
      <c r="G68" s="1431"/>
      <c r="H68" s="1431"/>
    </row>
    <row r="69" spans="1:8" x14ac:dyDescent="0.2">
      <c r="A69" s="1432" t="s">
        <v>1020</v>
      </c>
      <c r="B69" s="1431"/>
      <c r="C69" s="1431"/>
      <c r="D69" s="1431"/>
      <c r="E69" s="1431"/>
      <c r="F69" s="1431"/>
      <c r="G69" s="1431"/>
      <c r="H69" s="1431"/>
    </row>
    <row r="70" spans="1:8" x14ac:dyDescent="0.2">
      <c r="A70" s="1432" t="s">
        <v>1021</v>
      </c>
      <c r="B70" s="1431"/>
      <c r="C70" s="1431"/>
      <c r="D70" s="1431"/>
      <c r="E70" s="1431"/>
      <c r="F70" s="1431"/>
      <c r="G70" s="1431"/>
      <c r="H70" s="1431"/>
    </row>
    <row r="71" spans="1:8" x14ac:dyDescent="0.2">
      <c r="A71" s="1432" t="s">
        <v>1022</v>
      </c>
      <c r="B71" s="1431"/>
      <c r="C71" s="1431"/>
      <c r="D71" s="1431"/>
      <c r="E71" s="1431"/>
      <c r="F71" s="1431"/>
      <c r="G71" s="1431"/>
      <c r="H71" s="1431"/>
    </row>
    <row r="72" spans="1:8" x14ac:dyDescent="0.2">
      <c r="A72" s="1431"/>
      <c r="B72" s="1431"/>
      <c r="C72" s="1431"/>
      <c r="D72" s="1431"/>
      <c r="E72" s="1431"/>
      <c r="F72" s="1431"/>
      <c r="G72" s="1431"/>
      <c r="H72" s="1431"/>
    </row>
    <row r="73" spans="1:8" x14ac:dyDescent="0.2">
      <c r="A73" s="1432" t="s">
        <v>778</v>
      </c>
      <c r="B73" s="1431"/>
      <c r="C73" s="1431"/>
      <c r="D73" s="1431"/>
      <c r="E73" s="1431"/>
      <c r="F73" s="1431"/>
      <c r="G73" s="1431"/>
      <c r="H73" s="1431"/>
    </row>
    <row r="74" spans="1:8" x14ac:dyDescent="0.2">
      <c r="A74" s="1431"/>
      <c r="B74" s="1431"/>
      <c r="C74" s="1431"/>
      <c r="D74" s="1431"/>
      <c r="E74" s="1431"/>
      <c r="F74" s="1431"/>
      <c r="G74" s="1431"/>
      <c r="H74" s="1431"/>
    </row>
    <row r="75" spans="1:8" x14ac:dyDescent="0.2">
      <c r="A75" s="1432" t="s">
        <v>1015</v>
      </c>
      <c r="B75" s="1431"/>
      <c r="C75" s="1431"/>
      <c r="D75" s="1431"/>
      <c r="E75" s="1431"/>
      <c r="F75" s="1431"/>
      <c r="G75" s="1431"/>
      <c r="H75" s="1431"/>
    </row>
    <row r="76" spans="1:8" x14ac:dyDescent="0.2">
      <c r="A76" s="1432" t="s">
        <v>1016</v>
      </c>
      <c r="B76" s="1431"/>
      <c r="C76" s="1431"/>
      <c r="D76" s="1431"/>
      <c r="E76" s="1431"/>
      <c r="F76" s="1431"/>
      <c r="G76" s="1431"/>
      <c r="H76" s="1431"/>
    </row>
    <row r="77" spans="1:8" x14ac:dyDescent="0.2">
      <c r="A77" s="1432" t="s">
        <v>1017</v>
      </c>
      <c r="B77" s="1431"/>
      <c r="C77" s="1431"/>
      <c r="D77" s="1431"/>
      <c r="E77" s="1431"/>
      <c r="F77" s="1431"/>
      <c r="G77" s="1431"/>
      <c r="H77" s="1431"/>
    </row>
    <row r="78" spans="1:8" x14ac:dyDescent="0.2">
      <c r="A78" s="1432" t="s">
        <v>1018</v>
      </c>
      <c r="B78" s="1431"/>
      <c r="C78" s="1431"/>
      <c r="D78" s="1431"/>
      <c r="E78" s="1431"/>
      <c r="F78" s="1431"/>
      <c r="G78" s="1431"/>
      <c r="H78" s="1431"/>
    </row>
    <row r="79" spans="1:8" x14ac:dyDescent="0.2">
      <c r="A79" s="1432" t="s">
        <v>1019</v>
      </c>
      <c r="B79" s="1431"/>
      <c r="C79" s="1431"/>
      <c r="D79" s="1431"/>
      <c r="E79" s="1431"/>
      <c r="F79" s="1431"/>
      <c r="G79" s="1431"/>
      <c r="H79" s="1431"/>
    </row>
    <row r="80" spans="1:8" x14ac:dyDescent="0.2">
      <c r="A80" s="1432" t="s">
        <v>904</v>
      </c>
      <c r="B80" s="1431"/>
      <c r="C80" s="1431"/>
      <c r="D80" s="1431"/>
      <c r="E80" s="1431"/>
      <c r="F80" s="1431"/>
      <c r="G80" s="1431"/>
      <c r="H80" s="1431"/>
    </row>
    <row r="81" spans="1:8" x14ac:dyDescent="0.2">
      <c r="A81" s="1431"/>
      <c r="B81" s="1431"/>
      <c r="C81" s="1431"/>
      <c r="D81" s="1431"/>
      <c r="E81" s="1431"/>
      <c r="F81" s="1431"/>
      <c r="G81" s="1431"/>
      <c r="H81" s="1431"/>
    </row>
    <row r="82" spans="1:8" x14ac:dyDescent="0.2">
      <c r="A82" s="1432" t="s">
        <v>1008</v>
      </c>
      <c r="B82" s="1431"/>
      <c r="C82" s="1431"/>
      <c r="D82" s="1431"/>
      <c r="E82" s="1431"/>
      <c r="F82" s="1431"/>
      <c r="G82" s="1431"/>
      <c r="H82" s="1431"/>
    </row>
    <row r="83" spans="1:8" x14ac:dyDescent="0.2">
      <c r="A83" s="1432" t="s">
        <v>1009</v>
      </c>
      <c r="B83" s="1431"/>
      <c r="C83" s="1431"/>
      <c r="D83" s="1431"/>
      <c r="E83" s="1431"/>
      <c r="F83" s="1431"/>
      <c r="G83" s="1431"/>
      <c r="H83" s="1431"/>
    </row>
    <row r="84" spans="1:8" x14ac:dyDescent="0.2">
      <c r="A84" s="1432" t="s">
        <v>1010</v>
      </c>
      <c r="B84" s="1431"/>
      <c r="C84" s="1431"/>
      <c r="D84" s="1431"/>
      <c r="E84" s="1431"/>
      <c r="F84" s="1431"/>
      <c r="G84" s="1431"/>
      <c r="H84" s="1431"/>
    </row>
    <row r="85" spans="1:8" x14ac:dyDescent="0.2">
      <c r="A85" s="1432" t="s">
        <v>1011</v>
      </c>
      <c r="B85" s="1431"/>
      <c r="C85" s="1431"/>
      <c r="D85" s="1431"/>
      <c r="E85" s="1431"/>
      <c r="F85" s="1431"/>
      <c r="G85" s="1431"/>
      <c r="H85" s="1431"/>
    </row>
    <row r="86" spans="1:8" x14ac:dyDescent="0.2">
      <c r="A86" s="1432" t="s">
        <v>1012</v>
      </c>
      <c r="B86" s="1431"/>
      <c r="C86" s="1431"/>
      <c r="D86" s="1431"/>
      <c r="E86" s="1431"/>
      <c r="F86" s="1431"/>
      <c r="G86" s="1431"/>
      <c r="H86" s="1431"/>
    </row>
    <row r="87" spans="1:8" x14ac:dyDescent="0.2">
      <c r="A87" s="1432" t="s">
        <v>1013</v>
      </c>
      <c r="B87" s="1431"/>
      <c r="C87" s="1431"/>
      <c r="D87" s="1431"/>
      <c r="E87" s="1431"/>
      <c r="F87" s="1431"/>
      <c r="G87" s="1431"/>
      <c r="H87" s="1431"/>
    </row>
    <row r="88" spans="1:8" x14ac:dyDescent="0.2">
      <c r="A88" s="1432" t="s">
        <v>1014</v>
      </c>
      <c r="B88" s="1431"/>
      <c r="C88" s="1431"/>
      <c r="D88" s="1431"/>
      <c r="E88" s="1431"/>
      <c r="F88" s="1431"/>
      <c r="G88" s="1431"/>
      <c r="H88" s="1431"/>
    </row>
    <row r="89" spans="1:8" x14ac:dyDescent="0.2">
      <c r="A89" s="1431"/>
      <c r="B89" s="1431"/>
      <c r="C89" s="1431"/>
      <c r="D89" s="1431"/>
      <c r="E89" s="1431"/>
      <c r="F89" s="1431"/>
      <c r="G89" s="1431"/>
      <c r="H89" s="1431"/>
    </row>
    <row r="90" spans="1:8" x14ac:dyDescent="0.2">
      <c r="A90" s="1432" t="s">
        <v>1006</v>
      </c>
      <c r="B90" s="1431"/>
      <c r="C90" s="1431"/>
      <c r="D90" s="1431"/>
      <c r="E90" s="1431"/>
      <c r="F90" s="1431"/>
      <c r="G90" s="1431"/>
      <c r="H90" s="1431"/>
    </row>
    <row r="91" spans="1:8" x14ac:dyDescent="0.2">
      <c r="A91" s="1432" t="s">
        <v>1007</v>
      </c>
      <c r="B91" s="1431"/>
      <c r="C91" s="1431"/>
      <c r="D91" s="1431"/>
      <c r="E91" s="1431"/>
      <c r="F91" s="1431"/>
      <c r="G91" s="1431"/>
      <c r="H91" s="1431"/>
    </row>
    <row r="92" spans="1:8" x14ac:dyDescent="0.2">
      <c r="A92" s="1431"/>
      <c r="B92" s="1431"/>
      <c r="C92" s="1431"/>
      <c r="D92" s="1431"/>
      <c r="E92" s="1431"/>
      <c r="F92" s="1431"/>
      <c r="G92" s="1431"/>
      <c r="H92" s="1431"/>
    </row>
    <row r="93" spans="1:8" ht="15.75" x14ac:dyDescent="0.2">
      <c r="A93" s="1433" t="s">
        <v>779</v>
      </c>
      <c r="B93" s="1431"/>
      <c r="C93" s="1431"/>
      <c r="D93" s="1431"/>
      <c r="E93" s="1431"/>
      <c r="F93" s="1431"/>
      <c r="G93" s="1431"/>
      <c r="H93" s="1431"/>
    </row>
    <row r="94" spans="1:8" x14ac:dyDescent="0.2">
      <c r="A94" s="1431"/>
      <c r="B94" s="1431"/>
      <c r="C94" s="1431"/>
      <c r="D94" s="1431"/>
      <c r="E94" s="1431"/>
      <c r="F94" s="1431"/>
      <c r="G94" s="1431"/>
      <c r="H94" s="1431"/>
    </row>
    <row r="95" spans="1:8" x14ac:dyDescent="0.2">
      <c r="A95" s="1432" t="s">
        <v>997</v>
      </c>
      <c r="B95" s="1431"/>
      <c r="C95" s="1431"/>
      <c r="D95" s="1431"/>
      <c r="E95" s="1431"/>
      <c r="F95" s="1431"/>
      <c r="G95" s="1431"/>
      <c r="H95" s="1431"/>
    </row>
    <row r="96" spans="1:8" x14ac:dyDescent="0.2">
      <c r="A96" s="1432" t="s">
        <v>998</v>
      </c>
      <c r="B96" s="1431"/>
      <c r="C96" s="1431"/>
      <c r="D96" s="1431"/>
      <c r="E96" s="1431"/>
      <c r="F96" s="1431"/>
      <c r="G96" s="1431"/>
      <c r="H96" s="1431"/>
    </row>
    <row r="97" spans="1:8" x14ac:dyDescent="0.2">
      <c r="A97" s="1432" t="s">
        <v>999</v>
      </c>
      <c r="B97" s="1431"/>
      <c r="C97" s="1431"/>
      <c r="D97" s="1431"/>
      <c r="E97" s="1431"/>
      <c r="F97" s="1431"/>
      <c r="G97" s="1431"/>
      <c r="H97" s="1431"/>
    </row>
    <row r="98" spans="1:8" x14ac:dyDescent="0.2">
      <c r="A98" s="1432" t="s">
        <v>1000</v>
      </c>
      <c r="B98" s="1431"/>
      <c r="C98" s="1431"/>
      <c r="D98" s="1431"/>
      <c r="E98" s="1431"/>
      <c r="F98" s="1431"/>
      <c r="G98" s="1431"/>
      <c r="H98" s="1431"/>
    </row>
    <row r="99" spans="1:8" x14ac:dyDescent="0.2">
      <c r="A99" s="1432" t="s">
        <v>1001</v>
      </c>
      <c r="B99" s="1431"/>
      <c r="C99" s="1431"/>
      <c r="D99" s="1431"/>
      <c r="E99" s="1431"/>
      <c r="F99" s="1431"/>
      <c r="G99" s="1431"/>
      <c r="H99" s="1431"/>
    </row>
    <row r="100" spans="1:8" x14ac:dyDescent="0.2">
      <c r="A100" s="1432" t="s">
        <v>1002</v>
      </c>
      <c r="B100" s="1431"/>
      <c r="C100" s="1431"/>
      <c r="D100" s="1431"/>
      <c r="E100" s="1431"/>
      <c r="F100" s="1431"/>
      <c r="G100" s="1431"/>
      <c r="H100" s="1431"/>
    </row>
    <row r="101" spans="1:8" x14ac:dyDescent="0.2">
      <c r="A101" s="1432" t="s">
        <v>1003</v>
      </c>
      <c r="B101" s="1431"/>
      <c r="C101" s="1431"/>
      <c r="D101" s="1431"/>
      <c r="E101" s="1431"/>
      <c r="F101" s="1431"/>
      <c r="G101" s="1431"/>
      <c r="H101" s="1431"/>
    </row>
    <row r="102" spans="1:8" x14ac:dyDescent="0.2">
      <c r="A102" s="1432" t="s">
        <v>1004</v>
      </c>
      <c r="B102" s="1431"/>
      <c r="C102" s="1431"/>
      <c r="D102" s="1431"/>
      <c r="E102" s="1431"/>
      <c r="F102" s="1431"/>
      <c r="G102" s="1431"/>
      <c r="H102" s="1431"/>
    </row>
    <row r="103" spans="1:8" x14ac:dyDescent="0.2">
      <c r="A103" s="1432" t="s">
        <v>1005</v>
      </c>
      <c r="B103" s="1431"/>
      <c r="C103" s="1431"/>
      <c r="D103" s="1431"/>
      <c r="E103" s="1431"/>
      <c r="F103" s="1431"/>
      <c r="G103" s="1431"/>
      <c r="H103" s="1431"/>
    </row>
    <row r="104" spans="1:8" x14ac:dyDescent="0.2">
      <c r="A104" s="1431"/>
      <c r="B104" s="1431"/>
      <c r="C104" s="1431"/>
      <c r="D104" s="1431"/>
      <c r="E104" s="1431"/>
      <c r="F104" s="1431"/>
      <c r="G104" s="1431"/>
      <c r="H104" s="1431"/>
    </row>
    <row r="105" spans="1:8" ht="15.75" x14ac:dyDescent="0.2">
      <c r="A105" s="1434" t="s">
        <v>780</v>
      </c>
      <c r="B105" s="1434"/>
      <c r="C105" s="1434"/>
      <c r="D105" s="1434"/>
      <c r="E105" s="1434"/>
      <c r="F105" s="1434"/>
      <c r="G105" s="1434"/>
      <c r="H105" s="1434"/>
    </row>
    <row r="106" spans="1:8" x14ac:dyDescent="0.2">
      <c r="A106" s="1435" t="s">
        <v>781</v>
      </c>
      <c r="B106" s="1435"/>
      <c r="C106" s="1435"/>
      <c r="D106" s="1435"/>
      <c r="E106" s="1435"/>
      <c r="F106" s="1435"/>
      <c r="G106" s="1435"/>
      <c r="H106" s="1435"/>
    </row>
    <row r="107" spans="1:8" x14ac:dyDescent="0.2">
      <c r="A107" s="1436"/>
      <c r="B107" s="1436"/>
      <c r="C107" s="1436"/>
      <c r="D107" s="1436"/>
      <c r="E107" s="1436"/>
      <c r="F107" s="1436"/>
      <c r="G107" s="1436"/>
      <c r="H107" s="1436"/>
    </row>
    <row r="108" spans="1:8" x14ac:dyDescent="0.2">
      <c r="A108" s="1435" t="s">
        <v>995</v>
      </c>
      <c r="B108" s="1435"/>
      <c r="C108" s="1435"/>
      <c r="D108" s="1435"/>
      <c r="E108" s="1435"/>
      <c r="F108" s="1435"/>
      <c r="G108" s="1435"/>
      <c r="H108" s="1435"/>
    </row>
    <row r="109" spans="1:8" x14ac:dyDescent="0.2">
      <c r="A109" s="1432" t="s">
        <v>996</v>
      </c>
      <c r="B109" s="1432"/>
      <c r="C109" s="1432"/>
      <c r="D109" s="1432"/>
      <c r="E109" s="1432"/>
      <c r="F109" s="1432"/>
      <c r="G109" s="1432"/>
      <c r="H109" s="1432"/>
    </row>
    <row r="110" spans="1:8" x14ac:dyDescent="0.2">
      <c r="A110" s="1436"/>
      <c r="B110" s="1436"/>
      <c r="C110" s="1436"/>
      <c r="D110" s="1436"/>
      <c r="E110" s="1436"/>
      <c r="F110" s="1436"/>
      <c r="G110" s="1436"/>
      <c r="H110" s="1436"/>
    </row>
    <row r="111" spans="1:8" x14ac:dyDescent="0.2">
      <c r="A111" s="1435" t="s">
        <v>988</v>
      </c>
      <c r="B111" s="1435"/>
      <c r="C111" s="1435"/>
      <c r="D111" s="1435"/>
      <c r="E111" s="1435"/>
      <c r="F111" s="1435"/>
      <c r="G111" s="1435"/>
      <c r="H111" s="1435"/>
    </row>
    <row r="112" spans="1:8" x14ac:dyDescent="0.2">
      <c r="A112" s="1432" t="s">
        <v>989</v>
      </c>
      <c r="B112" s="1432"/>
      <c r="C112" s="1432"/>
      <c r="D112" s="1432"/>
      <c r="E112" s="1432"/>
      <c r="F112" s="1432"/>
      <c r="G112" s="1432"/>
      <c r="H112" s="1432"/>
    </row>
    <row r="113" spans="1:8" x14ac:dyDescent="0.2">
      <c r="A113" s="1432" t="s">
        <v>990</v>
      </c>
      <c r="B113" s="1432"/>
      <c r="C113" s="1432"/>
      <c r="D113" s="1432"/>
      <c r="E113" s="1432"/>
      <c r="F113" s="1432"/>
      <c r="G113" s="1432"/>
      <c r="H113" s="1432"/>
    </row>
    <row r="114" spans="1:8" x14ac:dyDescent="0.2">
      <c r="A114" s="1432" t="s">
        <v>991</v>
      </c>
      <c r="B114" s="1432"/>
      <c r="C114" s="1432"/>
      <c r="D114" s="1432"/>
      <c r="E114" s="1432"/>
      <c r="F114" s="1432"/>
      <c r="G114" s="1432"/>
      <c r="H114" s="1432"/>
    </row>
    <row r="115" spans="1:8" x14ac:dyDescent="0.2">
      <c r="A115" s="1432" t="s">
        <v>992</v>
      </c>
      <c r="B115" s="1432"/>
      <c r="C115" s="1432"/>
      <c r="D115" s="1432"/>
      <c r="E115" s="1432"/>
      <c r="F115" s="1432"/>
      <c r="G115" s="1432"/>
      <c r="H115" s="1432"/>
    </row>
    <row r="116" spans="1:8" x14ac:dyDescent="0.2">
      <c r="A116" s="1432" t="s">
        <v>993</v>
      </c>
      <c r="B116" s="1432"/>
      <c r="C116" s="1432"/>
      <c r="D116" s="1432"/>
      <c r="E116" s="1432"/>
      <c r="F116" s="1432"/>
      <c r="G116" s="1432"/>
      <c r="H116" s="1432"/>
    </row>
    <row r="117" spans="1:8" x14ac:dyDescent="0.2">
      <c r="A117" s="1432" t="s">
        <v>994</v>
      </c>
      <c r="B117" s="1432"/>
      <c r="C117" s="1432"/>
      <c r="D117" s="1432"/>
      <c r="E117" s="1432"/>
      <c r="F117" s="1432"/>
      <c r="G117" s="1432"/>
      <c r="H117" s="1432"/>
    </row>
    <row r="118" spans="1:8" x14ac:dyDescent="0.2">
      <c r="A118" s="1437"/>
      <c r="B118" s="1437"/>
      <c r="C118" s="1437"/>
      <c r="D118" s="1437"/>
      <c r="E118" s="1437"/>
      <c r="F118" s="1437"/>
      <c r="G118" s="1437"/>
      <c r="H118" s="1437"/>
    </row>
    <row r="119" spans="1:8" x14ac:dyDescent="0.2">
      <c r="A119" s="1438"/>
      <c r="B119" s="1439" t="s">
        <v>782</v>
      </c>
      <c r="C119" s="1440"/>
      <c r="D119" s="1439" t="s">
        <v>783</v>
      </c>
      <c r="E119" s="1441"/>
      <c r="F119" s="1440"/>
      <c r="G119" s="1439" t="s">
        <v>784</v>
      </c>
      <c r="H119" s="1440"/>
    </row>
    <row r="120" spans="1:8" x14ac:dyDescent="0.2">
      <c r="A120" s="1438" t="s">
        <v>785</v>
      </c>
      <c r="B120" s="1438" t="s">
        <v>364</v>
      </c>
      <c r="C120" s="1438" t="s">
        <v>786</v>
      </c>
      <c r="D120" s="1438" t="s">
        <v>364</v>
      </c>
      <c r="E120" s="1438" t="s">
        <v>787</v>
      </c>
      <c r="F120" s="1438" t="s">
        <v>788</v>
      </c>
      <c r="G120" s="1438" t="s">
        <v>364</v>
      </c>
      <c r="H120" s="1438" t="s">
        <v>789</v>
      </c>
    </row>
    <row r="121" spans="1:8" x14ac:dyDescent="0.2">
      <c r="A121" s="1438" t="s">
        <v>790</v>
      </c>
      <c r="B121" s="1438">
        <v>1189</v>
      </c>
      <c r="C121" s="1442">
        <v>0.38</v>
      </c>
      <c r="D121" s="1438">
        <v>315</v>
      </c>
      <c r="E121" s="1442">
        <v>0.41</v>
      </c>
      <c r="F121" s="1442">
        <v>0.26</v>
      </c>
      <c r="G121" s="1438">
        <v>555</v>
      </c>
      <c r="H121" s="1442">
        <v>0.39</v>
      </c>
    </row>
    <row r="122" spans="1:8" x14ac:dyDescent="0.2">
      <c r="A122" s="1438" t="s">
        <v>791</v>
      </c>
      <c r="B122" s="1438">
        <v>1355</v>
      </c>
      <c r="C122" s="1442">
        <v>0.43</v>
      </c>
      <c r="D122" s="1438">
        <v>364</v>
      </c>
      <c r="E122" s="1442">
        <v>0.47</v>
      </c>
      <c r="F122" s="1442">
        <v>0.27</v>
      </c>
      <c r="G122" s="1438">
        <v>644</v>
      </c>
      <c r="H122" s="1442">
        <v>0.45</v>
      </c>
    </row>
    <row r="123" spans="1:8" x14ac:dyDescent="0.2">
      <c r="A123" s="1438" t="s">
        <v>792</v>
      </c>
      <c r="B123" s="1438">
        <v>53</v>
      </c>
      <c r="C123" s="1442">
        <v>0.02</v>
      </c>
      <c r="D123" s="1438">
        <v>4</v>
      </c>
      <c r="E123" s="1442">
        <v>0.01</v>
      </c>
      <c r="F123" s="1442">
        <v>0.08</v>
      </c>
      <c r="G123" s="1438">
        <v>7</v>
      </c>
      <c r="H123" s="1442">
        <v>0</v>
      </c>
    </row>
    <row r="124" spans="1:8" x14ac:dyDescent="0.2">
      <c r="A124" s="1438" t="s">
        <v>793</v>
      </c>
      <c r="B124" s="1438">
        <v>545</v>
      </c>
      <c r="C124" s="1442">
        <v>0.17</v>
      </c>
      <c r="D124" s="1438">
        <v>84</v>
      </c>
      <c r="E124" s="1442">
        <v>0.11</v>
      </c>
      <c r="F124" s="1442">
        <v>0.15</v>
      </c>
      <c r="G124" s="1438">
        <v>214</v>
      </c>
      <c r="H124" s="1442">
        <v>0.15</v>
      </c>
    </row>
    <row r="125" spans="1:8" x14ac:dyDescent="0.2">
      <c r="A125" s="1438" t="s">
        <v>324</v>
      </c>
      <c r="B125" s="1443">
        <v>3142</v>
      </c>
      <c r="C125" s="1438"/>
      <c r="D125" s="1438">
        <v>767</v>
      </c>
      <c r="E125" s="1438"/>
      <c r="F125" s="1438"/>
      <c r="G125" s="1438">
        <v>1420</v>
      </c>
      <c r="H125" s="1438"/>
    </row>
    <row r="126" spans="1:8" x14ac:dyDescent="0.2">
      <c r="A126" s="1444"/>
      <c r="B126" s="1444"/>
      <c r="C126" s="1444"/>
      <c r="D126" s="1444"/>
      <c r="E126" s="1444"/>
      <c r="F126" s="1444"/>
      <c r="G126" s="1444"/>
      <c r="H126" s="1444"/>
    </row>
    <row r="127" spans="1:8" x14ac:dyDescent="0.2">
      <c r="A127" s="1435" t="s">
        <v>984</v>
      </c>
      <c r="B127" s="1435"/>
      <c r="C127" s="1435"/>
      <c r="D127" s="1435"/>
      <c r="E127" s="1435"/>
      <c r="F127" s="1435"/>
      <c r="G127" s="1435"/>
      <c r="H127" s="1435"/>
    </row>
    <row r="128" spans="1:8" x14ac:dyDescent="0.2">
      <c r="A128" s="1432" t="s">
        <v>985</v>
      </c>
      <c r="B128" s="1432"/>
      <c r="C128" s="1432"/>
      <c r="D128" s="1432"/>
      <c r="E128" s="1432"/>
      <c r="F128" s="1432"/>
      <c r="G128" s="1432"/>
      <c r="H128" s="1432"/>
    </row>
    <row r="129" spans="1:8" x14ac:dyDescent="0.2">
      <c r="A129" s="1432" t="s">
        <v>986</v>
      </c>
      <c r="B129" s="1432"/>
      <c r="C129" s="1432"/>
      <c r="D129" s="1432"/>
      <c r="E129" s="1432"/>
      <c r="F129" s="1432"/>
      <c r="G129" s="1432"/>
      <c r="H129" s="1432"/>
    </row>
    <row r="130" spans="1:8" x14ac:dyDescent="0.2">
      <c r="A130" s="1432" t="s">
        <v>987</v>
      </c>
      <c r="B130" s="1432"/>
      <c r="C130" s="1432"/>
      <c r="D130" s="1432"/>
      <c r="E130" s="1432"/>
      <c r="F130" s="1432"/>
      <c r="G130" s="1432"/>
      <c r="H130" s="1432"/>
    </row>
    <row r="131" spans="1:8" x14ac:dyDescent="0.2">
      <c r="A131" s="1431"/>
      <c r="B131" s="1431"/>
      <c r="C131" s="1431"/>
      <c r="D131" s="1431"/>
      <c r="E131" s="1431"/>
      <c r="F131" s="1431"/>
      <c r="G131" s="1431"/>
      <c r="H131" s="1431"/>
    </row>
    <row r="132" spans="1:8" ht="15.75" x14ac:dyDescent="0.2">
      <c r="A132" s="1433" t="s">
        <v>794</v>
      </c>
      <c r="B132" s="1431"/>
      <c r="C132" s="1431"/>
      <c r="D132" s="1431"/>
      <c r="E132" s="1431"/>
      <c r="F132" s="1431"/>
      <c r="G132" s="1431"/>
      <c r="H132" s="1431"/>
    </row>
    <row r="133" spans="1:8" x14ac:dyDescent="0.2">
      <c r="A133" s="1431"/>
      <c r="B133" s="1431"/>
      <c r="C133" s="1431"/>
      <c r="D133" s="1431"/>
      <c r="E133" s="1431"/>
      <c r="F133" s="1431"/>
      <c r="G133" s="1431"/>
      <c r="H133" s="1431"/>
    </row>
    <row r="134" spans="1:8" x14ac:dyDescent="0.2">
      <c r="A134" s="1432" t="s">
        <v>982</v>
      </c>
      <c r="B134" s="1431"/>
      <c r="C134" s="1431"/>
      <c r="D134" s="1431"/>
      <c r="E134" s="1431"/>
      <c r="F134" s="1431"/>
      <c r="G134" s="1431"/>
      <c r="H134" s="1431"/>
    </row>
    <row r="135" spans="1:8" x14ac:dyDescent="0.2">
      <c r="A135" s="1432" t="s">
        <v>983</v>
      </c>
      <c r="B135" s="1431"/>
      <c r="C135" s="1431"/>
      <c r="D135" s="1431"/>
      <c r="E135" s="1431"/>
      <c r="F135" s="1431"/>
      <c r="G135" s="1431"/>
      <c r="H135" s="1431"/>
    </row>
    <row r="136" spans="1:8" x14ac:dyDescent="0.2">
      <c r="A136" s="1431"/>
      <c r="B136" s="1431"/>
      <c r="C136" s="1431"/>
      <c r="D136" s="1431"/>
      <c r="E136" s="1431"/>
      <c r="F136" s="1431"/>
      <c r="G136" s="1431"/>
      <c r="H136" s="1431"/>
    </row>
    <row r="137" spans="1:8" x14ac:dyDescent="0.2">
      <c r="A137" s="1432" t="s">
        <v>979</v>
      </c>
      <c r="B137" s="1431"/>
      <c r="C137" s="1431"/>
      <c r="D137" s="1431"/>
      <c r="E137" s="1431"/>
      <c r="F137" s="1431"/>
      <c r="G137" s="1431"/>
      <c r="H137" s="1431"/>
    </row>
    <row r="138" spans="1:8" x14ac:dyDescent="0.2">
      <c r="A138" s="1432" t="s">
        <v>980</v>
      </c>
      <c r="B138" s="1431"/>
      <c r="C138" s="1431"/>
      <c r="D138" s="1431"/>
      <c r="E138" s="1431"/>
      <c r="F138" s="1431"/>
      <c r="G138" s="1431"/>
      <c r="H138" s="1431"/>
    </row>
    <row r="139" spans="1:8" x14ac:dyDescent="0.2">
      <c r="A139" s="1432" t="s">
        <v>981</v>
      </c>
      <c r="B139" s="1431"/>
      <c r="C139" s="1431"/>
      <c r="D139" s="1431"/>
      <c r="E139" s="1431"/>
      <c r="F139" s="1431"/>
      <c r="G139" s="1431"/>
      <c r="H139" s="1431"/>
    </row>
    <row r="140" spans="1:8" x14ac:dyDescent="0.2">
      <c r="A140" s="1431"/>
      <c r="B140" s="1431"/>
      <c r="C140" s="1431"/>
      <c r="D140" s="1431"/>
      <c r="E140" s="1431"/>
      <c r="F140" s="1431"/>
      <c r="G140" s="1431"/>
      <c r="H140" s="1431"/>
    </row>
    <row r="141" spans="1:8" x14ac:dyDescent="0.2">
      <c r="A141" s="1432" t="s">
        <v>976</v>
      </c>
      <c r="B141" s="1431"/>
      <c r="C141" s="1431"/>
      <c r="D141" s="1431"/>
      <c r="E141" s="1431"/>
      <c r="F141" s="1431"/>
      <c r="G141" s="1431"/>
      <c r="H141" s="1431"/>
    </row>
    <row r="142" spans="1:8" x14ac:dyDescent="0.2">
      <c r="A142" s="1432" t="s">
        <v>977</v>
      </c>
      <c r="B142" s="1431"/>
      <c r="C142" s="1431"/>
      <c r="D142" s="1431"/>
      <c r="E142" s="1431"/>
      <c r="F142" s="1431"/>
      <c r="G142" s="1431"/>
      <c r="H142" s="1431"/>
    </row>
    <row r="143" spans="1:8" x14ac:dyDescent="0.2">
      <c r="A143" s="1432" t="s">
        <v>978</v>
      </c>
      <c r="B143" s="1431"/>
      <c r="C143" s="1431"/>
      <c r="D143" s="1431"/>
      <c r="E143" s="1431"/>
      <c r="F143" s="1431"/>
      <c r="G143" s="1431"/>
      <c r="H143" s="1431"/>
    </row>
    <row r="144" spans="1:8" x14ac:dyDescent="0.2">
      <c r="A144" s="1431"/>
      <c r="B144" s="1431"/>
      <c r="C144" s="1431"/>
      <c r="D144" s="1431"/>
      <c r="E144" s="1431"/>
      <c r="F144" s="1431"/>
      <c r="G144" s="1431"/>
      <c r="H144" s="1431"/>
    </row>
    <row r="145" spans="1:8" x14ac:dyDescent="0.2">
      <c r="A145" s="1432" t="s">
        <v>973</v>
      </c>
      <c r="B145" s="1431"/>
      <c r="C145" s="1431"/>
      <c r="D145" s="1431"/>
      <c r="E145" s="1431"/>
      <c r="F145" s="1431"/>
      <c r="G145" s="1431"/>
      <c r="H145" s="1431"/>
    </row>
    <row r="146" spans="1:8" x14ac:dyDescent="0.2">
      <c r="A146" s="1432" t="s">
        <v>974</v>
      </c>
      <c r="B146" s="1431"/>
      <c r="C146" s="1431"/>
      <c r="D146" s="1431"/>
      <c r="E146" s="1431"/>
      <c r="F146" s="1431"/>
      <c r="G146" s="1431"/>
      <c r="H146" s="1431"/>
    </row>
    <row r="147" spans="1:8" x14ac:dyDescent="0.2">
      <c r="A147" s="1432" t="s">
        <v>975</v>
      </c>
      <c r="B147" s="1431"/>
      <c r="C147" s="1431"/>
      <c r="D147" s="1431"/>
      <c r="E147" s="1431"/>
      <c r="F147" s="1431"/>
      <c r="G147" s="1431"/>
      <c r="H147" s="1431"/>
    </row>
    <row r="148" spans="1:8" x14ac:dyDescent="0.2">
      <c r="A148" s="1431"/>
      <c r="B148" s="1431"/>
      <c r="C148" s="1431"/>
      <c r="D148" s="1431"/>
      <c r="E148" s="1431"/>
      <c r="F148" s="1431"/>
      <c r="G148" s="1431"/>
      <c r="H148" s="1431"/>
    </row>
    <row r="149" spans="1:8" x14ac:dyDescent="0.2">
      <c r="A149" s="1432" t="s">
        <v>971</v>
      </c>
      <c r="B149" s="1431"/>
      <c r="C149" s="1431"/>
      <c r="D149" s="1431"/>
      <c r="E149" s="1431"/>
      <c r="F149" s="1431"/>
      <c r="G149" s="1431"/>
      <c r="H149" s="1431"/>
    </row>
    <row r="150" spans="1:8" x14ac:dyDescent="0.2">
      <c r="A150" s="1432" t="s">
        <v>972</v>
      </c>
      <c r="B150" s="1431"/>
      <c r="C150" s="1431"/>
      <c r="D150" s="1431"/>
      <c r="E150" s="1431"/>
      <c r="F150" s="1431"/>
      <c r="G150" s="1431"/>
      <c r="H150" s="1431"/>
    </row>
    <row r="151" spans="1:8" x14ac:dyDescent="0.2">
      <c r="A151" s="1431"/>
      <c r="B151" s="1431"/>
      <c r="C151" s="1431"/>
      <c r="D151" s="1431"/>
      <c r="E151" s="1431"/>
      <c r="F151" s="1431"/>
      <c r="G151" s="1431"/>
      <c r="H151" s="1431"/>
    </row>
    <row r="152" spans="1:8" ht="15.75" x14ac:dyDescent="0.2">
      <c r="A152" s="1433" t="s">
        <v>795</v>
      </c>
      <c r="B152" s="1431"/>
      <c r="C152" s="1431"/>
      <c r="D152" s="1431"/>
      <c r="E152" s="1431"/>
      <c r="F152" s="1431"/>
      <c r="G152" s="1431"/>
      <c r="H152" s="1431"/>
    </row>
    <row r="153" spans="1:8" x14ac:dyDescent="0.2">
      <c r="A153" s="1431"/>
      <c r="B153" s="1431"/>
      <c r="C153" s="1431"/>
      <c r="D153" s="1431"/>
      <c r="E153" s="1431"/>
      <c r="F153" s="1431"/>
      <c r="G153" s="1431"/>
      <c r="H153" s="1431"/>
    </row>
    <row r="154" spans="1:8" x14ac:dyDescent="0.2">
      <c r="A154" s="1432" t="s">
        <v>969</v>
      </c>
      <c r="B154" s="1431"/>
      <c r="C154" s="1431"/>
      <c r="D154" s="1431"/>
      <c r="E154" s="1431"/>
      <c r="F154" s="1431"/>
      <c r="G154" s="1431"/>
      <c r="H154" s="1431"/>
    </row>
    <row r="155" spans="1:8" x14ac:dyDescent="0.2">
      <c r="A155" s="1432" t="s">
        <v>970</v>
      </c>
      <c r="B155" s="1431"/>
      <c r="C155" s="1431"/>
      <c r="D155" s="1431"/>
      <c r="E155" s="1431"/>
      <c r="F155" s="1431"/>
      <c r="G155" s="1431"/>
      <c r="H155" s="1431"/>
    </row>
    <row r="156" spans="1:8" x14ac:dyDescent="0.2">
      <c r="A156" s="1431"/>
      <c r="B156" s="1431"/>
      <c r="C156" s="1431"/>
      <c r="D156" s="1431"/>
      <c r="E156" s="1431"/>
      <c r="F156" s="1431"/>
      <c r="G156" s="1431"/>
      <c r="H156" s="1431"/>
    </row>
    <row r="157" spans="1:8" x14ac:dyDescent="0.2">
      <c r="A157" s="1432" t="s">
        <v>967</v>
      </c>
      <c r="B157" s="1431"/>
      <c r="C157" s="1431"/>
      <c r="D157" s="1431"/>
      <c r="E157" s="1431"/>
      <c r="F157" s="1431"/>
      <c r="G157" s="1431"/>
      <c r="H157" s="1431"/>
    </row>
    <row r="158" spans="1:8" x14ac:dyDescent="0.2">
      <c r="A158" s="1432" t="s">
        <v>968</v>
      </c>
      <c r="B158" s="1431"/>
      <c r="C158" s="1431"/>
      <c r="D158" s="1431"/>
      <c r="E158" s="1431"/>
      <c r="F158" s="1431"/>
      <c r="G158" s="1431"/>
      <c r="H158" s="1431"/>
    </row>
    <row r="159" spans="1:8" x14ac:dyDescent="0.2">
      <c r="A159" s="1431"/>
      <c r="B159" s="1431"/>
      <c r="C159" s="1431"/>
      <c r="D159" s="1431"/>
      <c r="E159" s="1431"/>
      <c r="F159" s="1431"/>
      <c r="G159" s="1431"/>
      <c r="H159" s="1431"/>
    </row>
    <row r="160" spans="1:8" x14ac:dyDescent="0.2">
      <c r="A160" s="1432" t="s">
        <v>965</v>
      </c>
      <c r="B160" s="1431"/>
      <c r="C160" s="1431"/>
      <c r="D160" s="1431"/>
      <c r="E160" s="1431"/>
      <c r="F160" s="1431"/>
      <c r="G160" s="1431"/>
      <c r="H160" s="1431"/>
    </row>
    <row r="161" spans="1:8" x14ac:dyDescent="0.2">
      <c r="A161" s="1432" t="s">
        <v>966</v>
      </c>
      <c r="B161" s="1431"/>
      <c r="C161" s="1431"/>
      <c r="D161" s="1431"/>
      <c r="E161" s="1431"/>
      <c r="F161" s="1431"/>
      <c r="G161" s="1431"/>
      <c r="H161" s="1431"/>
    </row>
    <row r="162" spans="1:8" x14ac:dyDescent="0.2">
      <c r="A162" s="1431"/>
      <c r="B162" s="1431"/>
      <c r="C162" s="1431"/>
      <c r="D162" s="1431"/>
      <c r="E162" s="1431"/>
      <c r="F162" s="1431"/>
      <c r="G162" s="1431"/>
      <c r="H162" s="1431"/>
    </row>
    <row r="163" spans="1:8" x14ac:dyDescent="0.2">
      <c r="A163" s="1432" t="s">
        <v>962</v>
      </c>
      <c r="B163" s="1431"/>
      <c r="C163" s="1431"/>
      <c r="D163" s="1431"/>
      <c r="E163" s="1431"/>
      <c r="F163" s="1431"/>
      <c r="G163" s="1431"/>
      <c r="H163" s="1431"/>
    </row>
    <row r="164" spans="1:8" x14ac:dyDescent="0.2">
      <c r="A164" s="1432" t="s">
        <v>963</v>
      </c>
      <c r="B164" s="1431"/>
      <c r="C164" s="1431"/>
      <c r="D164" s="1431"/>
      <c r="E164" s="1431"/>
      <c r="F164" s="1431"/>
      <c r="G164" s="1431"/>
      <c r="H164" s="1431"/>
    </row>
    <row r="165" spans="1:8" x14ac:dyDescent="0.2">
      <c r="A165" s="1432" t="s">
        <v>964</v>
      </c>
      <c r="B165" s="1431"/>
      <c r="C165" s="1431"/>
      <c r="D165" s="1431"/>
      <c r="E165" s="1431"/>
      <c r="F165" s="1431"/>
      <c r="G165" s="1431"/>
      <c r="H165" s="1431"/>
    </row>
    <row r="166" spans="1:8" x14ac:dyDescent="0.2">
      <c r="A166" s="1431"/>
      <c r="B166" s="1431"/>
      <c r="C166" s="1431"/>
      <c r="D166" s="1431"/>
      <c r="E166" s="1431"/>
      <c r="F166" s="1431"/>
      <c r="G166" s="1431"/>
      <c r="H166" s="1431"/>
    </row>
    <row r="167" spans="1:8" x14ac:dyDescent="0.2">
      <c r="A167" s="1431"/>
      <c r="B167" s="1431"/>
      <c r="C167" s="1431"/>
      <c r="D167" s="1431"/>
      <c r="E167" s="1431"/>
      <c r="F167" s="1431"/>
      <c r="G167" s="1431"/>
      <c r="H167" s="1431"/>
    </row>
    <row r="168" spans="1:8" x14ac:dyDescent="0.2">
      <c r="A168" s="1432" t="s">
        <v>796</v>
      </c>
      <c r="B168" s="1431"/>
      <c r="C168" s="1431"/>
      <c r="D168" s="1431"/>
      <c r="E168" s="1431"/>
      <c r="F168" s="1431"/>
      <c r="G168" s="1431"/>
      <c r="H168" s="1431"/>
    </row>
    <row r="169" spans="1:8" x14ac:dyDescent="0.2">
      <c r="A169" s="1431"/>
      <c r="B169" s="1431"/>
      <c r="C169" s="1431"/>
      <c r="D169" s="1431"/>
      <c r="E169" s="1431"/>
      <c r="F169" s="1431"/>
      <c r="G169" s="1431"/>
      <c r="H169" s="1431"/>
    </row>
    <row r="170" spans="1:8" ht="15.75" x14ac:dyDescent="0.2">
      <c r="A170" s="1433" t="s">
        <v>797</v>
      </c>
      <c r="B170" s="1431"/>
      <c r="C170" s="1431"/>
      <c r="D170" s="1431"/>
      <c r="E170" s="1431"/>
      <c r="F170" s="1431"/>
      <c r="G170" s="1431"/>
      <c r="H170" s="1431"/>
    </row>
    <row r="171" spans="1:8" x14ac:dyDescent="0.2">
      <c r="A171" s="1431"/>
      <c r="B171" s="1431"/>
      <c r="C171" s="1431"/>
      <c r="D171" s="1431"/>
      <c r="E171" s="1431"/>
      <c r="F171" s="1431"/>
      <c r="G171" s="1431"/>
      <c r="H171" s="1431"/>
    </row>
    <row r="172" spans="1:8" x14ac:dyDescent="0.2">
      <c r="A172" s="1431"/>
      <c r="B172" s="1431"/>
      <c r="C172" s="1431"/>
      <c r="D172" s="1431"/>
      <c r="E172" s="1431"/>
      <c r="F172" s="1431"/>
      <c r="G172" s="1431"/>
      <c r="H172" s="1431"/>
    </row>
    <row r="173" spans="1:8" x14ac:dyDescent="0.2">
      <c r="A173" s="1431"/>
      <c r="B173" s="1431"/>
      <c r="C173" s="1431"/>
      <c r="D173" s="1431"/>
      <c r="E173" s="1431"/>
      <c r="F173" s="1431"/>
      <c r="G173" s="1431"/>
      <c r="H173" s="1431"/>
    </row>
    <row r="174" spans="1:8" x14ac:dyDescent="0.2">
      <c r="A174" s="1431"/>
      <c r="B174" s="1431"/>
      <c r="C174" s="1431"/>
      <c r="D174" s="1431"/>
      <c r="E174" s="1431"/>
      <c r="F174" s="1431"/>
      <c r="G174" s="1431"/>
      <c r="H174" s="1431"/>
    </row>
    <row r="175" spans="1:8" x14ac:dyDescent="0.2">
      <c r="A175" s="1431"/>
      <c r="B175" s="1431"/>
      <c r="C175" s="1431"/>
      <c r="D175" s="1431"/>
      <c r="E175" s="1431"/>
      <c r="F175" s="1431"/>
      <c r="G175" s="1431"/>
      <c r="H175" s="1431"/>
    </row>
    <row r="176" spans="1:8" x14ac:dyDescent="0.2">
      <c r="A176" s="1431"/>
      <c r="B176" s="1431"/>
      <c r="C176" s="1431"/>
      <c r="D176" s="1431"/>
      <c r="E176" s="1431"/>
      <c r="F176" s="1431"/>
      <c r="G176" s="1431"/>
      <c r="H176" s="1431"/>
    </row>
    <row r="177" spans="1:8" x14ac:dyDescent="0.2">
      <c r="A177" s="1431"/>
      <c r="B177" s="1431"/>
      <c r="C177" s="1431"/>
      <c r="D177" s="1431"/>
      <c r="E177" s="1431"/>
      <c r="F177" s="1431"/>
      <c r="G177" s="1431"/>
      <c r="H177" s="1431"/>
    </row>
    <row r="178" spans="1:8" x14ac:dyDescent="0.2">
      <c r="A178" s="1431"/>
      <c r="B178" s="1431"/>
      <c r="C178" s="1431"/>
      <c r="D178" s="1431"/>
      <c r="E178" s="1431"/>
      <c r="F178" s="1431"/>
      <c r="G178" s="1431"/>
      <c r="H178" s="1431"/>
    </row>
    <row r="179" spans="1:8" x14ac:dyDescent="0.2">
      <c r="A179" s="1431"/>
      <c r="B179" s="1431"/>
      <c r="C179" s="1431"/>
      <c r="D179" s="1431"/>
      <c r="E179" s="1431"/>
      <c r="F179" s="1431"/>
      <c r="G179" s="1431"/>
      <c r="H179" s="1431"/>
    </row>
    <row r="180" spans="1:8" x14ac:dyDescent="0.2">
      <c r="A180" s="1431"/>
      <c r="B180" s="1431"/>
      <c r="C180" s="1431"/>
      <c r="D180" s="1431"/>
      <c r="E180" s="1431"/>
      <c r="F180" s="1431"/>
      <c r="G180" s="1431"/>
      <c r="H180" s="1431"/>
    </row>
    <row r="181" spans="1:8" x14ac:dyDescent="0.2">
      <c r="A181" s="1431"/>
      <c r="B181" s="1431"/>
      <c r="C181" s="1431"/>
      <c r="D181" s="1431"/>
      <c r="E181" s="1431"/>
      <c r="F181" s="1431"/>
      <c r="G181" s="1431"/>
      <c r="H181" s="1431"/>
    </row>
    <row r="182" spans="1:8" x14ac:dyDescent="0.2">
      <c r="A182" s="1431"/>
      <c r="B182" s="1431"/>
      <c r="C182" s="1431"/>
      <c r="D182" s="1431"/>
      <c r="E182" s="1431"/>
      <c r="F182" s="1431"/>
      <c r="G182" s="1431"/>
      <c r="H182" s="1431"/>
    </row>
    <row r="183" spans="1:8" x14ac:dyDescent="0.2">
      <c r="A183" s="1431"/>
      <c r="B183" s="1431"/>
      <c r="C183" s="1431"/>
      <c r="D183" s="1431"/>
      <c r="E183" s="1431"/>
      <c r="F183" s="1431"/>
      <c r="G183" s="1431"/>
      <c r="H183" s="1431"/>
    </row>
    <row r="184" spans="1:8" x14ac:dyDescent="0.2">
      <c r="A184" s="1431"/>
      <c r="B184" s="1431"/>
      <c r="C184" s="1431"/>
      <c r="D184" s="1431"/>
      <c r="E184" s="1431"/>
      <c r="F184" s="1431"/>
      <c r="G184" s="1431"/>
      <c r="H184" s="1431"/>
    </row>
    <row r="185" spans="1:8" x14ac:dyDescent="0.2">
      <c r="A185" s="1431"/>
      <c r="B185" s="1431"/>
      <c r="C185" s="1431"/>
      <c r="D185" s="1431"/>
      <c r="E185" s="1431"/>
      <c r="F185" s="1431"/>
      <c r="G185" s="1431"/>
      <c r="H185" s="1431"/>
    </row>
    <row r="186" spans="1:8" x14ac:dyDescent="0.2">
      <c r="A186" s="1431"/>
      <c r="B186" s="1431"/>
      <c r="C186" s="1431"/>
      <c r="D186" s="1431"/>
      <c r="E186" s="1431"/>
      <c r="F186" s="1431"/>
      <c r="G186" s="1431"/>
      <c r="H186" s="1431"/>
    </row>
    <row r="187" spans="1:8" x14ac:dyDescent="0.2">
      <c r="A187" s="1431"/>
      <c r="B187" s="1431"/>
      <c r="C187" s="1431"/>
      <c r="D187" s="1431"/>
      <c r="E187" s="1431"/>
      <c r="F187" s="1431"/>
      <c r="G187" s="1431"/>
      <c r="H187" s="1431"/>
    </row>
    <row r="188" spans="1:8" x14ac:dyDescent="0.2">
      <c r="A188" s="1431"/>
      <c r="B188" s="1431"/>
      <c r="C188" s="1431"/>
      <c r="D188" s="1431"/>
      <c r="E188" s="1431"/>
      <c r="F188" s="1431"/>
      <c r="G188" s="1431"/>
      <c r="H188" s="1431"/>
    </row>
    <row r="189" spans="1:8" x14ac:dyDescent="0.2">
      <c r="A189" s="1431"/>
      <c r="B189" s="1431"/>
      <c r="C189" s="1431"/>
      <c r="D189" s="1431"/>
      <c r="E189" s="1431"/>
      <c r="F189" s="1431"/>
      <c r="G189" s="1431"/>
      <c r="H189" s="1431"/>
    </row>
    <row r="190" spans="1:8" x14ac:dyDescent="0.2">
      <c r="A190" s="1431"/>
      <c r="B190" s="1431"/>
      <c r="C190" s="1431"/>
      <c r="D190" s="1431"/>
      <c r="E190" s="1431"/>
      <c r="F190" s="1431"/>
      <c r="G190" s="1431"/>
      <c r="H190" s="1431"/>
    </row>
    <row r="191" spans="1:8" x14ac:dyDescent="0.2">
      <c r="A191" s="1431"/>
      <c r="B191" s="1431"/>
      <c r="C191" s="1431"/>
      <c r="D191" s="1431"/>
      <c r="E191" s="1431"/>
      <c r="F191" s="1431"/>
      <c r="G191" s="1431"/>
      <c r="H191" s="1431"/>
    </row>
    <row r="192" spans="1:8" x14ac:dyDescent="0.2">
      <c r="A192" s="1431"/>
      <c r="B192" s="1431"/>
      <c r="C192" s="1431"/>
      <c r="D192" s="1431"/>
      <c r="E192" s="1431"/>
      <c r="F192" s="1431"/>
      <c r="G192" s="1431"/>
      <c r="H192" s="1431"/>
    </row>
    <row r="193" spans="1:8" x14ac:dyDescent="0.2">
      <c r="A193" s="1431"/>
      <c r="B193" s="1431"/>
      <c r="C193" s="1431"/>
      <c r="D193" s="1431"/>
      <c r="E193" s="1431"/>
      <c r="F193" s="1431"/>
      <c r="G193" s="1431"/>
      <c r="H193" s="1431"/>
    </row>
    <row r="194" spans="1:8" x14ac:dyDescent="0.2">
      <c r="A194" s="1431"/>
      <c r="B194" s="1431"/>
      <c r="C194" s="1431"/>
      <c r="D194" s="1431"/>
      <c r="E194" s="1431"/>
      <c r="F194" s="1431"/>
      <c r="G194" s="1431"/>
      <c r="H194" s="1431"/>
    </row>
    <row r="195" spans="1:8" x14ac:dyDescent="0.2">
      <c r="A195" s="1431"/>
      <c r="B195" s="1431"/>
      <c r="C195" s="1431"/>
      <c r="D195" s="1431"/>
      <c r="E195" s="1431"/>
      <c r="F195" s="1431"/>
      <c r="G195" s="1431"/>
      <c r="H195" s="1431"/>
    </row>
    <row r="196" spans="1:8" x14ac:dyDescent="0.2">
      <c r="A196" s="1431"/>
      <c r="B196" s="1431"/>
      <c r="C196" s="1431"/>
      <c r="D196" s="1431"/>
      <c r="E196" s="1431"/>
      <c r="F196" s="1431"/>
      <c r="G196" s="1431"/>
      <c r="H196" s="1431"/>
    </row>
    <row r="197" spans="1:8" ht="15.75" x14ac:dyDescent="0.2">
      <c r="A197" s="1433" t="s">
        <v>798</v>
      </c>
      <c r="B197" s="1431"/>
      <c r="C197" s="1431"/>
      <c r="D197" s="1431"/>
      <c r="E197" s="1431"/>
      <c r="F197" s="1431"/>
      <c r="G197" s="1431"/>
      <c r="H197" s="1431"/>
    </row>
    <row r="198" spans="1:8" x14ac:dyDescent="0.2">
      <c r="A198" s="1431"/>
      <c r="B198" s="1431"/>
      <c r="C198" s="1431"/>
      <c r="D198" s="1431"/>
      <c r="E198" s="1431"/>
      <c r="F198" s="1431"/>
      <c r="G198" s="1431"/>
      <c r="H198" s="1431"/>
    </row>
    <row r="199" spans="1:8" x14ac:dyDescent="0.2">
      <c r="A199" s="1432" t="s">
        <v>957</v>
      </c>
      <c r="B199" s="1431"/>
      <c r="C199" s="1431"/>
      <c r="D199" s="1431"/>
      <c r="E199" s="1431"/>
      <c r="F199" s="1431"/>
      <c r="G199" s="1431"/>
      <c r="H199" s="1431"/>
    </row>
    <row r="200" spans="1:8" x14ac:dyDescent="0.2">
      <c r="A200" s="1432" t="s">
        <v>958</v>
      </c>
      <c r="B200" s="1431"/>
      <c r="C200" s="1431"/>
      <c r="D200" s="1431"/>
      <c r="E200" s="1431"/>
      <c r="F200" s="1431"/>
      <c r="G200" s="1431"/>
      <c r="H200" s="1431"/>
    </row>
    <row r="201" spans="1:8" x14ac:dyDescent="0.2">
      <c r="A201" s="1432" t="s">
        <v>959</v>
      </c>
      <c r="B201" s="1431"/>
      <c r="C201" s="1431"/>
      <c r="D201" s="1431"/>
      <c r="E201" s="1431"/>
      <c r="F201" s="1431"/>
      <c r="G201" s="1431"/>
      <c r="H201" s="1431"/>
    </row>
    <row r="202" spans="1:8" x14ac:dyDescent="0.2">
      <c r="A202" s="1432" t="s">
        <v>960</v>
      </c>
      <c r="B202" s="1431"/>
      <c r="C202" s="1431"/>
      <c r="D202" s="1431"/>
      <c r="E202" s="1431"/>
      <c r="F202" s="1431"/>
      <c r="G202" s="1431"/>
      <c r="H202" s="1431"/>
    </row>
    <row r="203" spans="1:8" x14ac:dyDescent="0.2">
      <c r="A203" s="1432" t="s">
        <v>961</v>
      </c>
      <c r="B203" s="1431"/>
      <c r="C203" s="1431"/>
      <c r="D203" s="1431"/>
      <c r="E203" s="1431"/>
      <c r="F203" s="1431"/>
      <c r="G203" s="1431"/>
      <c r="H203" s="1431"/>
    </row>
    <row r="204" spans="1:8" x14ac:dyDescent="0.2">
      <c r="A204" s="1431"/>
      <c r="B204" s="1431"/>
      <c r="C204" s="1431"/>
      <c r="D204" s="1431"/>
      <c r="E204" s="1431"/>
      <c r="F204" s="1431"/>
      <c r="G204" s="1431"/>
      <c r="H204" s="1431"/>
    </row>
    <row r="205" spans="1:8" x14ac:dyDescent="0.2">
      <c r="A205" s="1432" t="s">
        <v>954</v>
      </c>
      <c r="B205" s="1431"/>
      <c r="C205" s="1431"/>
      <c r="D205" s="1431"/>
      <c r="E205" s="1431"/>
      <c r="F205" s="1431"/>
      <c r="G205" s="1431"/>
      <c r="H205" s="1431"/>
    </row>
    <row r="206" spans="1:8" x14ac:dyDescent="0.2">
      <c r="A206" s="1432" t="s">
        <v>955</v>
      </c>
      <c r="B206" s="1431"/>
      <c r="C206" s="1431"/>
      <c r="D206" s="1431"/>
      <c r="E206" s="1431"/>
      <c r="F206" s="1431"/>
      <c r="G206" s="1431"/>
      <c r="H206" s="1431"/>
    </row>
    <row r="207" spans="1:8" x14ac:dyDescent="0.2">
      <c r="A207" s="1432" t="s">
        <v>956</v>
      </c>
      <c r="B207" s="1431"/>
      <c r="C207" s="1431"/>
      <c r="D207" s="1431"/>
      <c r="E207" s="1431"/>
      <c r="F207" s="1431"/>
      <c r="G207" s="1431"/>
      <c r="H207" s="1431"/>
    </row>
    <row r="208" spans="1:8" ht="15.75" x14ac:dyDescent="0.2">
      <c r="A208" s="1433" t="s">
        <v>799</v>
      </c>
      <c r="B208" s="1431"/>
      <c r="C208" s="1431"/>
      <c r="D208" s="1431"/>
      <c r="E208" s="1431"/>
      <c r="F208" s="1431"/>
      <c r="G208" s="1431"/>
      <c r="H208" s="1431"/>
    </row>
    <row r="209" spans="1:8" x14ac:dyDescent="0.2">
      <c r="A209" s="1431"/>
      <c r="B209" s="1431"/>
      <c r="C209" s="1431"/>
      <c r="D209" s="1431"/>
      <c r="E209" s="1431"/>
      <c r="F209" s="1431"/>
      <c r="G209" s="1431"/>
      <c r="H209" s="1431"/>
    </row>
    <row r="210" spans="1:8" x14ac:dyDescent="0.2">
      <c r="A210" s="1432" t="s">
        <v>947</v>
      </c>
      <c r="B210" s="1431"/>
      <c r="C210" s="1431"/>
      <c r="D210" s="1431"/>
      <c r="E210" s="1431"/>
      <c r="F210" s="1431"/>
      <c r="G210" s="1431"/>
      <c r="H210" s="1431"/>
    </row>
    <row r="211" spans="1:8" x14ac:dyDescent="0.2">
      <c r="A211" s="1432" t="s">
        <v>948</v>
      </c>
      <c r="B211" s="1431"/>
      <c r="C211" s="1431"/>
      <c r="D211" s="1431"/>
      <c r="E211" s="1431"/>
      <c r="F211" s="1431"/>
      <c r="G211" s="1431"/>
      <c r="H211" s="1431"/>
    </row>
    <row r="212" spans="1:8" x14ac:dyDescent="0.2">
      <c r="A212" s="1432" t="s">
        <v>949</v>
      </c>
      <c r="B212" s="1431"/>
      <c r="C212" s="1431"/>
      <c r="D212" s="1431"/>
      <c r="E212" s="1431"/>
      <c r="F212" s="1431"/>
      <c r="G212" s="1431"/>
      <c r="H212" s="1431"/>
    </row>
    <row r="213" spans="1:8" x14ac:dyDescent="0.2">
      <c r="A213" s="1432" t="s">
        <v>950</v>
      </c>
      <c r="B213" s="1431"/>
      <c r="C213" s="1431"/>
      <c r="D213" s="1431"/>
      <c r="E213" s="1431"/>
      <c r="F213" s="1431"/>
      <c r="G213" s="1431"/>
      <c r="H213" s="1431"/>
    </row>
    <row r="214" spans="1:8" x14ac:dyDescent="0.2">
      <c r="A214" s="1432" t="s">
        <v>951</v>
      </c>
      <c r="B214" s="1431"/>
      <c r="C214" s="1431"/>
      <c r="D214" s="1431"/>
      <c r="E214" s="1431"/>
      <c r="F214" s="1431"/>
      <c r="G214" s="1431"/>
      <c r="H214" s="1431"/>
    </row>
    <row r="215" spans="1:8" x14ac:dyDescent="0.2">
      <c r="A215" s="1432" t="s">
        <v>952</v>
      </c>
      <c r="B215" s="1431"/>
      <c r="C215" s="1431"/>
      <c r="D215" s="1431"/>
      <c r="E215" s="1431"/>
      <c r="F215" s="1431"/>
      <c r="G215" s="1431"/>
      <c r="H215" s="1431"/>
    </row>
    <row r="216" spans="1:8" x14ac:dyDescent="0.2">
      <c r="A216" s="1432" t="s">
        <v>953</v>
      </c>
      <c r="B216" s="1431"/>
      <c r="C216" s="1431"/>
      <c r="D216" s="1431"/>
      <c r="E216" s="1431"/>
      <c r="F216" s="1431"/>
      <c r="G216" s="1431"/>
      <c r="H216" s="1431"/>
    </row>
    <row r="217" spans="1:8" x14ac:dyDescent="0.2">
      <c r="A217" s="1431"/>
      <c r="B217" s="1431"/>
      <c r="C217" s="1431"/>
      <c r="D217" s="1431"/>
      <c r="E217" s="1431"/>
      <c r="F217" s="1431"/>
      <c r="G217" s="1431"/>
      <c r="H217" s="1431"/>
    </row>
    <row r="218" spans="1:8" x14ac:dyDescent="0.2">
      <c r="A218" s="1432" t="s">
        <v>944</v>
      </c>
      <c r="B218" s="1431"/>
      <c r="C218" s="1431"/>
      <c r="D218" s="1431"/>
      <c r="E218" s="1431"/>
      <c r="F218" s="1431"/>
      <c r="G218" s="1431"/>
      <c r="H218" s="1431"/>
    </row>
    <row r="219" spans="1:8" x14ac:dyDescent="0.2">
      <c r="A219" s="1432" t="s">
        <v>945</v>
      </c>
      <c r="B219" s="1431"/>
      <c r="C219" s="1431"/>
      <c r="D219" s="1431"/>
      <c r="E219" s="1431"/>
      <c r="F219" s="1431"/>
      <c r="G219" s="1431"/>
      <c r="H219" s="1431"/>
    </row>
    <row r="220" spans="1:8" x14ac:dyDescent="0.2">
      <c r="A220" s="1432" t="s">
        <v>946</v>
      </c>
      <c r="B220" s="1431"/>
      <c r="C220" s="1431"/>
      <c r="D220" s="1431"/>
      <c r="E220" s="1431"/>
      <c r="F220" s="1431"/>
      <c r="G220" s="1431"/>
      <c r="H220" s="1431"/>
    </row>
    <row r="221" spans="1:8" x14ac:dyDescent="0.2">
      <c r="A221" s="1431"/>
      <c r="B221" s="1431"/>
      <c r="C221" s="1431"/>
      <c r="D221" s="1431"/>
      <c r="E221" s="1431"/>
      <c r="F221" s="1431"/>
      <c r="G221" s="1431"/>
      <c r="H221" s="1431"/>
    </row>
    <row r="222" spans="1:8" x14ac:dyDescent="0.2">
      <c r="A222" s="1432" t="s">
        <v>939</v>
      </c>
      <c r="B222" s="1431"/>
      <c r="C222" s="1431"/>
      <c r="D222" s="1431"/>
      <c r="E222" s="1431"/>
      <c r="F222" s="1431"/>
      <c r="G222" s="1431"/>
      <c r="H222" s="1431"/>
    </row>
    <row r="223" spans="1:8" x14ac:dyDescent="0.2">
      <c r="A223" s="1432" t="s">
        <v>940</v>
      </c>
      <c r="B223" s="1431"/>
      <c r="C223" s="1431"/>
      <c r="D223" s="1431"/>
      <c r="E223" s="1431"/>
      <c r="F223" s="1431"/>
      <c r="G223" s="1431"/>
      <c r="H223" s="1431"/>
    </row>
    <row r="224" spans="1:8" x14ac:dyDescent="0.2">
      <c r="A224" s="1432" t="s">
        <v>941</v>
      </c>
      <c r="B224" s="1431"/>
      <c r="C224" s="1431"/>
      <c r="D224" s="1431"/>
      <c r="E224" s="1431"/>
      <c r="F224" s="1431"/>
      <c r="G224" s="1431"/>
      <c r="H224" s="1431"/>
    </row>
    <row r="225" spans="1:8" x14ac:dyDescent="0.2">
      <c r="A225" s="1432" t="s">
        <v>942</v>
      </c>
      <c r="B225" s="1431"/>
      <c r="C225" s="1431"/>
      <c r="D225" s="1431"/>
      <c r="E225" s="1431"/>
      <c r="F225" s="1431"/>
      <c r="G225" s="1431"/>
      <c r="H225" s="1431"/>
    </row>
    <row r="226" spans="1:8" x14ac:dyDescent="0.2">
      <c r="A226" s="1432" t="s">
        <v>943</v>
      </c>
      <c r="B226" s="1431"/>
      <c r="C226" s="1431"/>
      <c r="D226" s="1431"/>
      <c r="E226" s="1431"/>
      <c r="F226" s="1431"/>
      <c r="G226" s="1431"/>
      <c r="H226" s="1431"/>
    </row>
    <row r="227" spans="1:8" x14ac:dyDescent="0.2">
      <c r="A227" s="1431"/>
      <c r="B227" s="1431"/>
      <c r="C227" s="1431"/>
      <c r="D227" s="1431"/>
      <c r="E227" s="1431"/>
      <c r="F227" s="1431"/>
      <c r="G227" s="1431"/>
      <c r="H227" s="1431"/>
    </row>
    <row r="228" spans="1:8" x14ac:dyDescent="0.2">
      <c r="A228" s="1432" t="s">
        <v>933</v>
      </c>
      <c r="B228" s="1431"/>
      <c r="C228" s="1431"/>
      <c r="D228" s="1431"/>
      <c r="E228" s="1431"/>
      <c r="F228" s="1431"/>
      <c r="G228" s="1431"/>
      <c r="H228" s="1431"/>
    </row>
    <row r="229" spans="1:8" x14ac:dyDescent="0.2">
      <c r="A229" s="1432" t="s">
        <v>934</v>
      </c>
      <c r="B229" s="1431"/>
      <c r="C229" s="1431"/>
      <c r="D229" s="1431"/>
      <c r="E229" s="1431"/>
      <c r="F229" s="1431"/>
      <c r="G229" s="1431"/>
      <c r="H229" s="1431"/>
    </row>
    <row r="230" spans="1:8" x14ac:dyDescent="0.2">
      <c r="A230" s="1432" t="s">
        <v>935</v>
      </c>
      <c r="B230" s="1431"/>
      <c r="C230" s="1431"/>
      <c r="D230" s="1431"/>
      <c r="E230" s="1431"/>
      <c r="F230" s="1431"/>
      <c r="G230" s="1431"/>
      <c r="H230" s="1431"/>
    </row>
    <row r="231" spans="1:8" x14ac:dyDescent="0.2">
      <c r="A231" s="1432" t="s">
        <v>936</v>
      </c>
      <c r="B231" s="1431"/>
      <c r="C231" s="1431"/>
      <c r="D231" s="1431"/>
      <c r="E231" s="1431"/>
      <c r="F231" s="1431"/>
      <c r="G231" s="1431"/>
      <c r="H231" s="1431"/>
    </row>
    <row r="232" spans="1:8" x14ac:dyDescent="0.2">
      <c r="A232" s="1432" t="s">
        <v>937</v>
      </c>
      <c r="B232" s="1431"/>
      <c r="C232" s="1431"/>
      <c r="D232" s="1431"/>
      <c r="E232" s="1431"/>
      <c r="F232" s="1431"/>
      <c r="G232" s="1431"/>
      <c r="H232" s="1431"/>
    </row>
    <row r="233" spans="1:8" x14ac:dyDescent="0.2">
      <c r="A233" s="1432" t="s">
        <v>938</v>
      </c>
      <c r="B233" s="1431"/>
      <c r="C233" s="1431"/>
      <c r="D233" s="1431"/>
      <c r="E233" s="1431"/>
      <c r="F233" s="1431"/>
      <c r="G233" s="1431"/>
      <c r="H233" s="1431"/>
    </row>
    <row r="234" spans="1:8" x14ac:dyDescent="0.2">
      <c r="A234" s="1431"/>
      <c r="B234" s="1431"/>
      <c r="C234" s="1431"/>
      <c r="D234" s="1431"/>
      <c r="E234" s="1431"/>
      <c r="F234" s="1431"/>
      <c r="G234" s="1431"/>
      <c r="H234" s="1431"/>
    </row>
    <row r="235" spans="1:8" x14ac:dyDescent="0.2">
      <c r="A235" s="1432" t="s">
        <v>923</v>
      </c>
      <c r="B235" s="1431"/>
      <c r="C235" s="1431"/>
      <c r="D235" s="1431"/>
      <c r="E235" s="1431"/>
      <c r="F235" s="1431"/>
      <c r="G235" s="1431"/>
      <c r="H235" s="1431"/>
    </row>
    <row r="236" spans="1:8" x14ac:dyDescent="0.2">
      <c r="A236" s="1432" t="s">
        <v>924</v>
      </c>
      <c r="B236" s="1431"/>
      <c r="C236" s="1431"/>
      <c r="D236" s="1431"/>
      <c r="E236" s="1431"/>
      <c r="F236" s="1431"/>
      <c r="G236" s="1431"/>
      <c r="H236" s="1431"/>
    </row>
    <row r="237" spans="1:8" x14ac:dyDescent="0.2">
      <c r="A237" s="1432" t="s">
        <v>925</v>
      </c>
      <c r="B237" s="1431"/>
      <c r="C237" s="1431"/>
      <c r="D237" s="1431"/>
      <c r="E237" s="1431"/>
      <c r="F237" s="1431"/>
      <c r="G237" s="1431"/>
      <c r="H237" s="1431"/>
    </row>
    <row r="238" spans="1:8" x14ac:dyDescent="0.2">
      <c r="A238" s="1432" t="s">
        <v>926</v>
      </c>
      <c r="B238" s="1431"/>
      <c r="C238" s="1431"/>
      <c r="D238" s="1431"/>
      <c r="E238" s="1431"/>
      <c r="F238" s="1431"/>
      <c r="G238" s="1431"/>
      <c r="H238" s="1431"/>
    </row>
    <row r="239" spans="1:8" x14ac:dyDescent="0.2">
      <c r="A239" s="1432" t="s">
        <v>927</v>
      </c>
      <c r="B239" s="1431"/>
      <c r="C239" s="1431"/>
      <c r="D239" s="1431"/>
      <c r="E239" s="1431"/>
      <c r="F239" s="1431"/>
      <c r="G239" s="1431"/>
      <c r="H239" s="1431"/>
    </row>
    <row r="240" spans="1:8" x14ac:dyDescent="0.2">
      <c r="A240" s="1432" t="s">
        <v>928</v>
      </c>
      <c r="B240" s="1431"/>
      <c r="C240" s="1431"/>
      <c r="D240" s="1431"/>
      <c r="E240" s="1431"/>
      <c r="F240" s="1431"/>
      <c r="G240" s="1431"/>
      <c r="H240" s="1431"/>
    </row>
    <row r="241" spans="1:8" x14ac:dyDescent="0.2">
      <c r="A241" s="1432" t="s">
        <v>929</v>
      </c>
      <c r="B241" s="1431"/>
      <c r="C241" s="1431"/>
      <c r="D241" s="1431"/>
      <c r="E241" s="1431"/>
      <c r="F241" s="1431"/>
      <c r="G241" s="1431"/>
      <c r="H241" s="1431"/>
    </row>
    <row r="242" spans="1:8" x14ac:dyDescent="0.2">
      <c r="A242" s="1432" t="s">
        <v>930</v>
      </c>
      <c r="B242" s="1431"/>
      <c r="C242" s="1431"/>
      <c r="D242" s="1431"/>
      <c r="E242" s="1431"/>
      <c r="F242" s="1431"/>
      <c r="G242" s="1431"/>
      <c r="H242" s="1431"/>
    </row>
    <row r="243" spans="1:8" x14ac:dyDescent="0.2">
      <c r="A243" s="1432" t="s">
        <v>931</v>
      </c>
      <c r="B243" s="1431"/>
      <c r="C243" s="1431"/>
      <c r="D243" s="1431"/>
      <c r="E243" s="1431"/>
      <c r="F243" s="1431"/>
      <c r="G243" s="1431"/>
      <c r="H243" s="1431"/>
    </row>
    <row r="244" spans="1:8" x14ac:dyDescent="0.2">
      <c r="A244" s="1432" t="s">
        <v>932</v>
      </c>
      <c r="B244" s="1431"/>
      <c r="C244" s="1431"/>
      <c r="D244" s="1431"/>
      <c r="E244" s="1431"/>
      <c r="F244" s="1431"/>
      <c r="G244" s="1431"/>
      <c r="H244" s="1431"/>
    </row>
    <row r="245" spans="1:8" x14ac:dyDescent="0.2">
      <c r="A245" s="1431"/>
      <c r="B245" s="1431"/>
      <c r="C245" s="1431"/>
      <c r="D245" s="1431"/>
      <c r="E245" s="1431"/>
      <c r="F245" s="1431"/>
      <c r="G245" s="1431"/>
      <c r="H245" s="1431"/>
    </row>
    <row r="246" spans="1:8" x14ac:dyDescent="0.2">
      <c r="A246" s="1432" t="s">
        <v>921</v>
      </c>
      <c r="B246" s="1431"/>
      <c r="C246" s="1431"/>
      <c r="D246" s="1431"/>
      <c r="E246" s="1431"/>
      <c r="F246" s="1431"/>
      <c r="G246" s="1431"/>
      <c r="H246" s="1431"/>
    </row>
    <row r="247" spans="1:8" x14ac:dyDescent="0.2">
      <c r="A247" s="1432" t="s">
        <v>922</v>
      </c>
      <c r="B247" s="1431"/>
      <c r="C247" s="1431"/>
      <c r="D247" s="1431"/>
      <c r="E247" s="1431"/>
      <c r="F247" s="1431"/>
      <c r="G247" s="1431"/>
      <c r="H247" s="1431"/>
    </row>
    <row r="248" spans="1:8" x14ac:dyDescent="0.2">
      <c r="A248" s="1431"/>
      <c r="B248" s="1431"/>
      <c r="C248" s="1431"/>
      <c r="D248" s="1431"/>
      <c r="E248" s="1431"/>
      <c r="F248" s="1431"/>
      <c r="G248" s="1431"/>
      <c r="H248" s="1431"/>
    </row>
    <row r="249" spans="1:8" x14ac:dyDescent="0.2">
      <c r="A249" s="1432" t="s">
        <v>905</v>
      </c>
      <c r="B249" s="1431"/>
      <c r="C249" s="1431"/>
      <c r="D249" s="1431"/>
      <c r="E249" s="1431"/>
      <c r="F249" s="1431"/>
      <c r="G249" s="1431"/>
      <c r="H249" s="1431"/>
    </row>
    <row r="250" spans="1:8" x14ac:dyDescent="0.2">
      <c r="A250" s="1432" t="s">
        <v>906</v>
      </c>
      <c r="B250" s="1431"/>
      <c r="C250" s="1431"/>
      <c r="D250" s="1431"/>
      <c r="E250" s="1431"/>
      <c r="F250" s="1431"/>
      <c r="G250" s="1431"/>
      <c r="H250" s="1431"/>
    </row>
    <row r="251" spans="1:8" x14ac:dyDescent="0.2">
      <c r="A251" s="1432" t="s">
        <v>907</v>
      </c>
      <c r="B251" s="1431"/>
      <c r="C251" s="1431"/>
      <c r="D251" s="1431"/>
      <c r="E251" s="1431"/>
      <c r="F251" s="1431"/>
      <c r="G251" s="1431"/>
      <c r="H251" s="1431"/>
    </row>
    <row r="252" spans="1:8" x14ac:dyDescent="0.2">
      <c r="A252" s="1432" t="s">
        <v>908</v>
      </c>
      <c r="B252" s="1431"/>
      <c r="C252" s="1431"/>
      <c r="D252" s="1431"/>
      <c r="E252" s="1431"/>
      <c r="F252" s="1431"/>
      <c r="G252" s="1431"/>
      <c r="H252" s="1431"/>
    </row>
    <row r="253" spans="1:8" x14ac:dyDescent="0.2">
      <c r="A253" s="1432" t="s">
        <v>909</v>
      </c>
      <c r="B253" s="1431"/>
      <c r="C253" s="1431"/>
      <c r="D253" s="1431"/>
      <c r="E253" s="1431"/>
      <c r="F253" s="1431"/>
      <c r="G253" s="1431"/>
      <c r="H253" s="1431"/>
    </row>
    <row r="254" spans="1:8" x14ac:dyDescent="0.2">
      <c r="A254" s="1432" t="s">
        <v>910</v>
      </c>
      <c r="B254" s="1431"/>
      <c r="C254" s="1431"/>
      <c r="D254" s="1431"/>
      <c r="E254" s="1431"/>
      <c r="F254" s="1431"/>
      <c r="G254" s="1431"/>
      <c r="H254" s="1431"/>
    </row>
    <row r="255" spans="1:8" x14ac:dyDescent="0.2">
      <c r="A255" s="1432" t="s">
        <v>911</v>
      </c>
      <c r="B255" s="1431"/>
      <c r="C255" s="1431"/>
      <c r="D255" s="1431"/>
      <c r="E255" s="1431"/>
      <c r="F255" s="1431"/>
      <c r="G255" s="1431"/>
      <c r="H255" s="1431"/>
    </row>
    <row r="256" spans="1:8" x14ac:dyDescent="0.2">
      <c r="A256" s="1432" t="s">
        <v>912</v>
      </c>
      <c r="B256" s="1431"/>
      <c r="C256" s="1431"/>
      <c r="D256" s="1431"/>
      <c r="E256" s="1431"/>
      <c r="F256" s="1431"/>
      <c r="G256" s="1431"/>
      <c r="H256" s="1431"/>
    </row>
    <row r="257" spans="1:8" x14ac:dyDescent="0.2">
      <c r="A257" s="1432" t="s">
        <v>913</v>
      </c>
      <c r="B257" s="1431"/>
      <c r="C257" s="1431"/>
      <c r="D257" s="1431"/>
      <c r="E257" s="1431"/>
      <c r="F257" s="1431"/>
      <c r="G257" s="1431"/>
      <c r="H257" s="1431"/>
    </row>
    <row r="258" spans="1:8" x14ac:dyDescent="0.2">
      <c r="A258" s="1432" t="s">
        <v>914</v>
      </c>
      <c r="B258" s="1431"/>
      <c r="C258" s="1431"/>
      <c r="D258" s="1431"/>
      <c r="E258" s="1431"/>
      <c r="F258" s="1431"/>
      <c r="G258" s="1431"/>
      <c r="H258" s="1431"/>
    </row>
    <row r="259" spans="1:8" x14ac:dyDescent="0.2">
      <c r="A259" s="1432" t="s">
        <v>915</v>
      </c>
      <c r="B259" s="1431"/>
      <c r="C259" s="1431"/>
      <c r="D259" s="1431"/>
      <c r="E259" s="1431"/>
      <c r="F259" s="1431"/>
      <c r="G259" s="1431"/>
      <c r="H259" s="1431"/>
    </row>
    <row r="260" spans="1:8" x14ac:dyDescent="0.2">
      <c r="A260" s="1432" t="s">
        <v>916</v>
      </c>
      <c r="B260" s="1431"/>
      <c r="C260" s="1431"/>
      <c r="D260" s="1431"/>
      <c r="E260" s="1431"/>
      <c r="F260" s="1431"/>
      <c r="G260" s="1431"/>
      <c r="H260" s="1431"/>
    </row>
    <row r="261" spans="1:8" x14ac:dyDescent="0.2">
      <c r="A261" s="1432" t="s">
        <v>917</v>
      </c>
      <c r="B261" s="1431"/>
      <c r="C261" s="1431"/>
      <c r="D261" s="1431"/>
      <c r="E261" s="1431"/>
      <c r="F261" s="1431"/>
      <c r="G261" s="1431"/>
      <c r="H261" s="1431"/>
    </row>
    <row r="262" spans="1:8" x14ac:dyDescent="0.2">
      <c r="A262" s="1432" t="s">
        <v>918</v>
      </c>
      <c r="B262" s="1431"/>
      <c r="C262" s="1431"/>
      <c r="D262" s="1431"/>
      <c r="E262" s="1431"/>
      <c r="F262" s="1431"/>
      <c r="G262" s="1431"/>
      <c r="H262" s="1431"/>
    </row>
    <row r="263" spans="1:8" x14ac:dyDescent="0.2">
      <c r="A263" s="1432" t="s">
        <v>919</v>
      </c>
      <c r="B263" s="1431"/>
      <c r="C263" s="1431"/>
      <c r="D263" s="1431"/>
      <c r="E263" s="1431"/>
      <c r="F263" s="1431"/>
      <c r="G263" s="1431"/>
      <c r="H263" s="1431"/>
    </row>
    <row r="264" spans="1:8" x14ac:dyDescent="0.2">
      <c r="A264" s="1432" t="s">
        <v>920</v>
      </c>
      <c r="B264" s="1431"/>
      <c r="C264" s="1431"/>
      <c r="D264" s="1431"/>
      <c r="E264" s="1431"/>
      <c r="F264" s="1431"/>
      <c r="G264" s="1431"/>
      <c r="H264" s="1431"/>
    </row>
    <row r="265" spans="1:8" x14ac:dyDescent="0.2">
      <c r="A265" s="1431"/>
      <c r="B265" s="1431"/>
      <c r="C265" s="1431"/>
      <c r="D265" s="1431"/>
      <c r="E265" s="1431"/>
      <c r="F265" s="1431"/>
      <c r="G265" s="1431"/>
      <c r="H265" s="1431"/>
    </row>
    <row r="266" spans="1:8" x14ac:dyDescent="0.2">
      <c r="A266" s="1432" t="s">
        <v>898</v>
      </c>
      <c r="B266" s="1431"/>
      <c r="C266" s="1431"/>
      <c r="D266" s="1431"/>
      <c r="E266" s="1431"/>
      <c r="F266" s="1431"/>
      <c r="G266" s="1431"/>
      <c r="H266" s="1431"/>
    </row>
    <row r="267" spans="1:8" x14ac:dyDescent="0.2">
      <c r="A267" s="1432" t="s">
        <v>899</v>
      </c>
      <c r="B267" s="1431"/>
      <c r="C267" s="1431"/>
      <c r="D267" s="1431"/>
      <c r="E267" s="1431"/>
      <c r="F267" s="1431"/>
      <c r="G267" s="1431"/>
      <c r="H267" s="1431"/>
    </row>
    <row r="268" spans="1:8" x14ac:dyDescent="0.2">
      <c r="A268" s="1432" t="s">
        <v>900</v>
      </c>
      <c r="B268" s="1431"/>
      <c r="C268" s="1431"/>
      <c r="D268" s="1431"/>
      <c r="E268" s="1431"/>
      <c r="F268" s="1431"/>
      <c r="G268" s="1431"/>
      <c r="H268" s="1431"/>
    </row>
    <row r="269" spans="1:8" x14ac:dyDescent="0.2">
      <c r="A269" s="1432" t="s">
        <v>901</v>
      </c>
      <c r="B269" s="1431"/>
      <c r="C269" s="1431"/>
      <c r="D269" s="1431"/>
      <c r="E269" s="1431"/>
      <c r="F269" s="1431"/>
      <c r="G269" s="1431"/>
      <c r="H269" s="1431"/>
    </row>
    <row r="270" spans="1:8" x14ac:dyDescent="0.2">
      <c r="A270" s="1432" t="s">
        <v>902</v>
      </c>
      <c r="B270" s="1431"/>
      <c r="C270" s="1431"/>
      <c r="D270" s="1431"/>
      <c r="E270" s="1431"/>
      <c r="F270" s="1431"/>
      <c r="G270" s="1431"/>
      <c r="H270" s="1431"/>
    </row>
    <row r="271" spans="1:8" x14ac:dyDescent="0.2">
      <c r="A271" s="1432" t="s">
        <v>903</v>
      </c>
      <c r="B271" s="1431"/>
      <c r="C271" s="1431"/>
      <c r="D271" s="1431"/>
      <c r="E271" s="1431"/>
      <c r="F271" s="1431"/>
      <c r="G271" s="1431"/>
      <c r="H271" s="1431"/>
    </row>
    <row r="272" spans="1:8" x14ac:dyDescent="0.2">
      <c r="A272" s="1432" t="s">
        <v>904</v>
      </c>
      <c r="B272" s="1431"/>
      <c r="C272" s="1431"/>
      <c r="D272" s="1431"/>
      <c r="E272" s="1431"/>
      <c r="F272" s="1431"/>
      <c r="G272" s="1431"/>
      <c r="H272" s="1431"/>
    </row>
    <row r="273" spans="1:8" x14ac:dyDescent="0.2">
      <c r="A273" s="1431"/>
      <c r="B273" s="1431"/>
      <c r="C273" s="1431"/>
      <c r="D273" s="1431"/>
      <c r="E273" s="1431"/>
      <c r="F273" s="1431"/>
      <c r="G273" s="1431"/>
      <c r="H273" s="1431"/>
    </row>
    <row r="274" spans="1:8" x14ac:dyDescent="0.2">
      <c r="A274" s="1432" t="s">
        <v>889</v>
      </c>
      <c r="B274" s="1431"/>
      <c r="C274" s="1431"/>
      <c r="D274" s="1431"/>
      <c r="E274" s="1431"/>
      <c r="F274" s="1431"/>
      <c r="G274" s="1431"/>
      <c r="H274" s="1431"/>
    </row>
    <row r="275" spans="1:8" x14ac:dyDescent="0.2">
      <c r="A275" s="1432" t="s">
        <v>890</v>
      </c>
      <c r="B275" s="1431"/>
      <c r="C275" s="1431"/>
      <c r="D275" s="1431"/>
      <c r="E275" s="1431"/>
      <c r="F275" s="1431"/>
      <c r="G275" s="1431"/>
      <c r="H275" s="1431"/>
    </row>
    <row r="276" spans="1:8" x14ac:dyDescent="0.2">
      <c r="A276" s="1432" t="s">
        <v>891</v>
      </c>
      <c r="B276" s="1431"/>
      <c r="C276" s="1431"/>
      <c r="D276" s="1431"/>
      <c r="E276" s="1431"/>
      <c r="F276" s="1431"/>
      <c r="G276" s="1431"/>
      <c r="H276" s="1431"/>
    </row>
    <row r="277" spans="1:8" x14ac:dyDescent="0.2">
      <c r="A277" s="1432" t="s">
        <v>892</v>
      </c>
      <c r="B277" s="1431"/>
      <c r="C277" s="1431"/>
      <c r="D277" s="1431"/>
      <c r="E277" s="1431"/>
      <c r="F277" s="1431"/>
      <c r="G277" s="1431"/>
      <c r="H277" s="1431"/>
    </row>
    <row r="278" spans="1:8" x14ac:dyDescent="0.2">
      <c r="A278" s="1432" t="s">
        <v>893</v>
      </c>
      <c r="B278" s="1431"/>
      <c r="C278" s="1431"/>
      <c r="D278" s="1431"/>
      <c r="E278" s="1431"/>
      <c r="F278" s="1431"/>
      <c r="G278" s="1431"/>
      <c r="H278" s="1431"/>
    </row>
    <row r="279" spans="1:8" x14ac:dyDescent="0.2">
      <c r="A279" s="1432" t="s">
        <v>894</v>
      </c>
      <c r="B279" s="1431"/>
      <c r="C279" s="1431"/>
      <c r="D279" s="1431"/>
      <c r="E279" s="1431"/>
      <c r="F279" s="1431"/>
      <c r="G279" s="1431"/>
      <c r="H279" s="1431"/>
    </row>
    <row r="280" spans="1:8" x14ac:dyDescent="0.2">
      <c r="A280" s="1432" t="s">
        <v>895</v>
      </c>
      <c r="B280" s="1431"/>
      <c r="C280" s="1431"/>
      <c r="D280" s="1431"/>
      <c r="E280" s="1431"/>
      <c r="F280" s="1431"/>
      <c r="G280" s="1431"/>
      <c r="H280" s="1431"/>
    </row>
    <row r="281" spans="1:8" x14ac:dyDescent="0.2">
      <c r="A281" s="1432" t="s">
        <v>896</v>
      </c>
      <c r="B281" s="1431"/>
      <c r="C281" s="1431"/>
      <c r="D281" s="1431"/>
      <c r="E281" s="1431"/>
      <c r="F281" s="1431"/>
      <c r="G281" s="1431"/>
      <c r="H281" s="1431"/>
    </row>
    <row r="282" spans="1:8" x14ac:dyDescent="0.2">
      <c r="A282" s="1432" t="s">
        <v>897</v>
      </c>
      <c r="B282" s="1431"/>
      <c r="C282" s="1431"/>
      <c r="D282" s="1431"/>
      <c r="E282" s="1431"/>
      <c r="F282" s="1431"/>
      <c r="G282" s="1431"/>
      <c r="H282" s="1431"/>
    </row>
    <row r="283" spans="1:8" x14ac:dyDescent="0.2">
      <c r="A283" s="1431"/>
      <c r="B283" s="1431"/>
      <c r="C283" s="1431"/>
      <c r="D283" s="1431"/>
      <c r="E283" s="1431"/>
      <c r="F283" s="1431"/>
      <c r="G283" s="1431"/>
      <c r="H283" s="1431"/>
    </row>
    <row r="284" spans="1:8" x14ac:dyDescent="0.2">
      <c r="A284" s="1432" t="s">
        <v>882</v>
      </c>
      <c r="B284" s="1431"/>
      <c r="C284" s="1431"/>
      <c r="D284" s="1431"/>
      <c r="E284" s="1431"/>
      <c r="F284" s="1431"/>
      <c r="G284" s="1431"/>
      <c r="H284" s="1431"/>
    </row>
    <row r="285" spans="1:8" x14ac:dyDescent="0.2">
      <c r="A285" s="1432" t="s">
        <v>883</v>
      </c>
      <c r="B285" s="1431"/>
      <c r="C285" s="1431"/>
      <c r="D285" s="1431"/>
      <c r="E285" s="1431"/>
      <c r="F285" s="1431"/>
      <c r="G285" s="1431"/>
      <c r="H285" s="1431"/>
    </row>
    <row r="286" spans="1:8" x14ac:dyDescent="0.2">
      <c r="A286" s="1432" t="s">
        <v>884</v>
      </c>
      <c r="B286" s="1431"/>
      <c r="C286" s="1431"/>
      <c r="D286" s="1431"/>
      <c r="E286" s="1431"/>
      <c r="F286" s="1431"/>
      <c r="G286" s="1431"/>
      <c r="H286" s="1431"/>
    </row>
    <row r="287" spans="1:8" x14ac:dyDescent="0.2">
      <c r="A287" s="1432" t="s">
        <v>885</v>
      </c>
      <c r="B287" s="1431"/>
      <c r="C287" s="1431"/>
      <c r="D287" s="1431"/>
      <c r="E287" s="1431"/>
      <c r="F287" s="1431"/>
      <c r="G287" s="1431"/>
      <c r="H287" s="1431"/>
    </row>
    <row r="288" spans="1:8" x14ac:dyDescent="0.2">
      <c r="A288" s="1432" t="s">
        <v>886</v>
      </c>
      <c r="B288" s="1431"/>
      <c r="C288" s="1431"/>
      <c r="D288" s="1431"/>
      <c r="E288" s="1431"/>
      <c r="F288" s="1431"/>
      <c r="G288" s="1431"/>
      <c r="H288" s="1431"/>
    </row>
    <row r="289" spans="1:8" x14ac:dyDescent="0.2">
      <c r="A289" s="1432" t="s">
        <v>887</v>
      </c>
      <c r="B289" s="1431"/>
      <c r="C289" s="1431"/>
      <c r="D289" s="1431"/>
      <c r="E289" s="1431"/>
      <c r="F289" s="1431"/>
      <c r="G289" s="1431"/>
      <c r="H289" s="1431"/>
    </row>
    <row r="290" spans="1:8" x14ac:dyDescent="0.2">
      <c r="A290" s="1432" t="s">
        <v>888</v>
      </c>
      <c r="B290" s="1431"/>
      <c r="C290" s="1431"/>
      <c r="D290" s="1431"/>
      <c r="E290" s="1431"/>
      <c r="F290" s="1431"/>
      <c r="G290" s="1431"/>
      <c r="H290" s="1431"/>
    </row>
    <row r="291" spans="1:8" x14ac:dyDescent="0.2">
      <c r="A291" s="1431"/>
      <c r="B291" s="1431"/>
      <c r="C291" s="1431"/>
      <c r="D291" s="1431"/>
      <c r="E291" s="1431"/>
      <c r="F291" s="1431"/>
      <c r="G291" s="1431"/>
      <c r="H291" s="1431"/>
    </row>
    <row r="292" spans="1:8" x14ac:dyDescent="0.2">
      <c r="A292" s="1432" t="s">
        <v>879</v>
      </c>
      <c r="B292" s="1431"/>
      <c r="C292" s="1431"/>
      <c r="D292" s="1431"/>
      <c r="E292" s="1431"/>
      <c r="F292" s="1431"/>
      <c r="G292" s="1431"/>
      <c r="H292" s="1431"/>
    </row>
    <row r="293" spans="1:8" x14ac:dyDescent="0.2">
      <c r="A293" s="1432" t="s">
        <v>880</v>
      </c>
      <c r="B293" s="1431"/>
      <c r="C293" s="1431"/>
      <c r="D293" s="1431"/>
      <c r="E293" s="1431"/>
      <c r="F293" s="1431"/>
      <c r="G293" s="1431"/>
      <c r="H293" s="1431"/>
    </row>
    <row r="294" spans="1:8" x14ac:dyDescent="0.2">
      <c r="A294" s="1432" t="s">
        <v>881</v>
      </c>
      <c r="B294" s="1431"/>
      <c r="C294" s="1431"/>
      <c r="D294" s="1431"/>
      <c r="E294" s="1431"/>
      <c r="F294" s="1431"/>
      <c r="G294" s="1431"/>
      <c r="H294" s="1431"/>
    </row>
    <row r="295" spans="1:8" x14ac:dyDescent="0.2">
      <c r="A295" s="1431"/>
      <c r="B295" s="1431"/>
      <c r="C295" s="1431"/>
      <c r="D295" s="1431"/>
      <c r="E295" s="1431"/>
      <c r="F295" s="1431"/>
      <c r="G295" s="1431"/>
      <c r="H295" s="1431"/>
    </row>
    <row r="296" spans="1:8" x14ac:dyDescent="0.2">
      <c r="A296" s="1432" t="s">
        <v>877</v>
      </c>
      <c r="B296" s="1431"/>
      <c r="C296" s="1431"/>
      <c r="D296" s="1431"/>
      <c r="E296" s="1431"/>
      <c r="F296" s="1431"/>
      <c r="G296" s="1431"/>
      <c r="H296" s="1431"/>
    </row>
    <row r="297" spans="1:8" x14ac:dyDescent="0.2">
      <c r="A297" s="1432" t="s">
        <v>878</v>
      </c>
      <c r="B297" s="1431"/>
      <c r="C297" s="1431"/>
      <c r="D297" s="1431"/>
      <c r="E297" s="1431"/>
      <c r="F297" s="1431"/>
      <c r="G297" s="1431"/>
      <c r="H297" s="1431"/>
    </row>
    <row r="298" spans="1:8" x14ac:dyDescent="0.2">
      <c r="A298" s="1431"/>
      <c r="B298" s="1431"/>
      <c r="C298" s="1431"/>
      <c r="D298" s="1431"/>
      <c r="E298" s="1431"/>
      <c r="F298" s="1431"/>
      <c r="G298" s="1431"/>
      <c r="H298" s="1431"/>
    </row>
    <row r="299" spans="1:8" x14ac:dyDescent="0.2">
      <c r="A299" s="1432" t="s">
        <v>864</v>
      </c>
      <c r="B299" s="1431"/>
      <c r="C299" s="1431"/>
      <c r="D299" s="1431"/>
      <c r="E299" s="1431"/>
      <c r="F299" s="1431"/>
      <c r="G299" s="1431"/>
      <c r="H299" s="1431"/>
    </row>
    <row r="300" spans="1:8" x14ac:dyDescent="0.2">
      <c r="A300" s="1432" t="s">
        <v>865</v>
      </c>
      <c r="B300" s="1431"/>
      <c r="C300" s="1431"/>
      <c r="D300" s="1431"/>
      <c r="E300" s="1431"/>
      <c r="F300" s="1431"/>
      <c r="G300" s="1431"/>
      <c r="H300" s="1431"/>
    </row>
    <row r="301" spans="1:8" x14ac:dyDescent="0.2">
      <c r="A301" s="1432" t="s">
        <v>866</v>
      </c>
      <c r="B301" s="1431"/>
      <c r="C301" s="1431"/>
      <c r="D301" s="1431"/>
      <c r="E301" s="1431"/>
      <c r="F301" s="1431"/>
      <c r="G301" s="1431"/>
      <c r="H301" s="1431"/>
    </row>
    <row r="302" spans="1:8" x14ac:dyDescent="0.2">
      <c r="A302" s="1432" t="s">
        <v>867</v>
      </c>
      <c r="B302" s="1431"/>
      <c r="C302" s="1431"/>
      <c r="D302" s="1431"/>
      <c r="E302" s="1431"/>
      <c r="F302" s="1431"/>
      <c r="G302" s="1431"/>
      <c r="H302" s="1431"/>
    </row>
    <row r="303" spans="1:8" x14ac:dyDescent="0.2">
      <c r="A303" s="1432" t="s">
        <v>868</v>
      </c>
      <c r="B303" s="1431"/>
      <c r="C303" s="1431"/>
      <c r="D303" s="1431"/>
      <c r="E303" s="1431"/>
      <c r="F303" s="1431"/>
      <c r="G303" s="1431"/>
      <c r="H303" s="1431"/>
    </row>
    <row r="304" spans="1:8" x14ac:dyDescent="0.2">
      <c r="A304" s="1432" t="s">
        <v>869</v>
      </c>
      <c r="B304" s="1431"/>
      <c r="C304" s="1431"/>
      <c r="D304" s="1431"/>
      <c r="E304" s="1431"/>
      <c r="F304" s="1431"/>
      <c r="G304" s="1431"/>
      <c r="H304" s="1431"/>
    </row>
    <row r="305" spans="1:8" x14ac:dyDescent="0.2">
      <c r="A305" s="1432" t="s">
        <v>870</v>
      </c>
      <c r="B305" s="1431"/>
      <c r="C305" s="1431"/>
      <c r="D305" s="1431"/>
      <c r="E305" s="1431"/>
      <c r="F305" s="1431"/>
      <c r="G305" s="1431"/>
      <c r="H305" s="1431"/>
    </row>
    <row r="306" spans="1:8" x14ac:dyDescent="0.2">
      <c r="A306" s="1432" t="s">
        <v>871</v>
      </c>
      <c r="B306" s="1431"/>
      <c r="C306" s="1431"/>
      <c r="D306" s="1431"/>
      <c r="E306" s="1431"/>
      <c r="F306" s="1431"/>
      <c r="G306" s="1431"/>
      <c r="H306" s="1431"/>
    </row>
    <row r="307" spans="1:8" x14ac:dyDescent="0.2">
      <c r="A307" s="1432" t="s">
        <v>872</v>
      </c>
      <c r="B307" s="1431"/>
      <c r="C307" s="1431"/>
      <c r="D307" s="1431"/>
      <c r="E307" s="1431"/>
      <c r="F307" s="1431"/>
      <c r="G307" s="1431"/>
      <c r="H307" s="1431"/>
    </row>
    <row r="308" spans="1:8" x14ac:dyDescent="0.2">
      <c r="A308" s="1432" t="s">
        <v>873</v>
      </c>
      <c r="B308" s="1431"/>
      <c r="C308" s="1431"/>
      <c r="D308" s="1431"/>
      <c r="E308" s="1431"/>
      <c r="F308" s="1431"/>
      <c r="G308" s="1431"/>
      <c r="H308" s="1431"/>
    </row>
    <row r="309" spans="1:8" x14ac:dyDescent="0.2">
      <c r="A309" s="1432" t="s">
        <v>874</v>
      </c>
      <c r="B309" s="1431"/>
      <c r="C309" s="1431"/>
      <c r="D309" s="1431"/>
      <c r="E309" s="1431"/>
      <c r="F309" s="1431"/>
      <c r="G309" s="1431"/>
      <c r="H309" s="1431"/>
    </row>
    <row r="310" spans="1:8" x14ac:dyDescent="0.2">
      <c r="A310" s="1432" t="s">
        <v>875</v>
      </c>
      <c r="B310" s="1431"/>
      <c r="C310" s="1431"/>
      <c r="D310" s="1431"/>
      <c r="E310" s="1431"/>
      <c r="F310" s="1431"/>
      <c r="G310" s="1431"/>
      <c r="H310" s="1431"/>
    </row>
    <row r="311" spans="1:8" x14ac:dyDescent="0.2">
      <c r="A311" s="1432" t="s">
        <v>876</v>
      </c>
      <c r="B311" s="1431"/>
      <c r="C311" s="1431"/>
      <c r="D311" s="1431"/>
      <c r="E311" s="1431"/>
      <c r="F311" s="1431"/>
      <c r="G311" s="1431"/>
      <c r="H311" s="1431"/>
    </row>
    <row r="312" spans="1:8" x14ac:dyDescent="0.2">
      <c r="A312" s="1431"/>
      <c r="B312" s="1431"/>
      <c r="C312" s="1431"/>
      <c r="D312" s="1431"/>
      <c r="E312" s="1431"/>
      <c r="F312" s="1431"/>
      <c r="G312" s="1431"/>
      <c r="H312" s="1431"/>
    </row>
    <row r="313" spans="1:8" x14ac:dyDescent="0.2">
      <c r="A313" s="1432" t="s">
        <v>856</v>
      </c>
      <c r="B313" s="1431"/>
      <c r="C313" s="1431"/>
      <c r="D313" s="1431"/>
      <c r="E313" s="1431"/>
      <c r="F313" s="1431"/>
      <c r="G313" s="1431"/>
      <c r="H313" s="1431"/>
    </row>
    <row r="314" spans="1:8" x14ac:dyDescent="0.2">
      <c r="A314" s="1432" t="s">
        <v>857</v>
      </c>
      <c r="B314" s="1431"/>
      <c r="C314" s="1431"/>
      <c r="D314" s="1431"/>
      <c r="E314" s="1431"/>
      <c r="F314" s="1431"/>
      <c r="G314" s="1431"/>
      <c r="H314" s="1431"/>
    </row>
    <row r="315" spans="1:8" x14ac:dyDescent="0.2">
      <c r="A315" s="1432" t="s">
        <v>858</v>
      </c>
      <c r="B315" s="1431"/>
      <c r="C315" s="1431"/>
      <c r="D315" s="1431"/>
      <c r="E315" s="1431"/>
      <c r="F315" s="1431"/>
      <c r="G315" s="1431"/>
      <c r="H315" s="1431"/>
    </row>
    <row r="316" spans="1:8" x14ac:dyDescent="0.2">
      <c r="A316" s="1432" t="s">
        <v>859</v>
      </c>
      <c r="B316" s="1431"/>
      <c r="C316" s="1431"/>
      <c r="D316" s="1431"/>
      <c r="E316" s="1431"/>
      <c r="F316" s="1431"/>
      <c r="G316" s="1431"/>
      <c r="H316" s="1431"/>
    </row>
    <row r="317" spans="1:8" x14ac:dyDescent="0.2">
      <c r="A317" s="1432" t="s">
        <v>860</v>
      </c>
      <c r="B317" s="1431"/>
      <c r="C317" s="1431"/>
      <c r="D317" s="1431"/>
      <c r="E317" s="1431"/>
      <c r="F317" s="1431"/>
      <c r="G317" s="1431"/>
      <c r="H317" s="1431"/>
    </row>
    <row r="318" spans="1:8" x14ac:dyDescent="0.2">
      <c r="A318" s="1432" t="s">
        <v>861</v>
      </c>
      <c r="B318" s="1431"/>
      <c r="C318" s="1431"/>
      <c r="D318" s="1431"/>
      <c r="E318" s="1431"/>
      <c r="F318" s="1431"/>
      <c r="G318" s="1431"/>
      <c r="H318" s="1431"/>
    </row>
    <row r="319" spans="1:8" x14ac:dyDescent="0.2">
      <c r="A319" s="1432" t="s">
        <v>862</v>
      </c>
      <c r="B319" s="1431"/>
      <c r="C319" s="1431"/>
      <c r="D319" s="1431"/>
      <c r="E319" s="1431"/>
      <c r="F319" s="1431"/>
      <c r="G319" s="1431"/>
      <c r="H319" s="1431"/>
    </row>
    <row r="320" spans="1:8" x14ac:dyDescent="0.2">
      <c r="A320" s="1432" t="s">
        <v>863</v>
      </c>
      <c r="B320" s="1431"/>
      <c r="C320" s="1431"/>
      <c r="D320" s="1431"/>
      <c r="E320" s="1431"/>
      <c r="F320" s="1431"/>
      <c r="G320" s="1431"/>
      <c r="H320" s="1431"/>
    </row>
    <row r="321" spans="1:8" x14ac:dyDescent="0.2">
      <c r="A321" s="1431"/>
      <c r="B321" s="1431"/>
      <c r="C321" s="1431"/>
      <c r="D321" s="1431"/>
      <c r="E321" s="1431"/>
      <c r="F321" s="1431"/>
      <c r="G321" s="1431"/>
      <c r="H321" s="1431"/>
    </row>
    <row r="322" spans="1:8" x14ac:dyDescent="0.2">
      <c r="A322" s="1432" t="s">
        <v>821</v>
      </c>
      <c r="B322" s="1431"/>
      <c r="C322" s="1431"/>
      <c r="D322" s="1431"/>
      <c r="E322" s="1431"/>
      <c r="F322" s="1431"/>
      <c r="G322" s="1431"/>
      <c r="H322" s="1431"/>
    </row>
    <row r="323" spans="1:8" x14ac:dyDescent="0.2">
      <c r="A323" s="1432" t="s">
        <v>822</v>
      </c>
      <c r="B323" s="1431"/>
      <c r="C323" s="1431"/>
      <c r="D323" s="1431"/>
      <c r="E323" s="1431"/>
      <c r="F323" s="1431"/>
      <c r="G323" s="1431"/>
      <c r="H323" s="1431"/>
    </row>
    <row r="324" spans="1:8" x14ac:dyDescent="0.2">
      <c r="A324" s="1432" t="s">
        <v>823</v>
      </c>
      <c r="B324" s="1431"/>
      <c r="C324" s="1431"/>
      <c r="D324" s="1431"/>
      <c r="E324" s="1431"/>
      <c r="F324" s="1431"/>
      <c r="G324" s="1431"/>
      <c r="H324" s="1431"/>
    </row>
    <row r="325" spans="1:8" x14ac:dyDescent="0.2">
      <c r="A325" s="1432" t="s">
        <v>824</v>
      </c>
      <c r="B325" s="1431"/>
      <c r="C325" s="1431"/>
      <c r="D325" s="1431"/>
      <c r="E325" s="1431"/>
      <c r="F325" s="1431"/>
      <c r="G325" s="1431"/>
      <c r="H325" s="1431"/>
    </row>
    <row r="326" spans="1:8" x14ac:dyDescent="0.2">
      <c r="A326" s="1432" t="s">
        <v>825</v>
      </c>
      <c r="B326" s="1431"/>
      <c r="C326" s="1431"/>
      <c r="D326" s="1431"/>
      <c r="E326" s="1431"/>
      <c r="F326" s="1431"/>
      <c r="G326" s="1431"/>
      <c r="H326" s="1431"/>
    </row>
    <row r="327" spans="1:8" x14ac:dyDescent="0.2">
      <c r="A327" s="1432" t="s">
        <v>826</v>
      </c>
      <c r="B327" s="1431"/>
      <c r="C327" s="1431"/>
      <c r="D327" s="1431"/>
      <c r="E327" s="1431"/>
      <c r="F327" s="1431"/>
      <c r="G327" s="1431"/>
      <c r="H327" s="1431"/>
    </row>
    <row r="328" spans="1:8" x14ac:dyDescent="0.2">
      <c r="A328" s="1432" t="s">
        <v>827</v>
      </c>
      <c r="B328" s="1431"/>
      <c r="C328" s="1431"/>
      <c r="D328" s="1431"/>
      <c r="E328" s="1431"/>
      <c r="F328" s="1431"/>
      <c r="G328" s="1431"/>
      <c r="H328" s="1431"/>
    </row>
    <row r="329" spans="1:8" x14ac:dyDescent="0.2">
      <c r="A329" s="1432" t="s">
        <v>828</v>
      </c>
      <c r="B329" s="1431"/>
      <c r="C329" s="1431"/>
      <c r="D329" s="1431"/>
      <c r="E329" s="1431"/>
      <c r="F329" s="1431"/>
      <c r="G329" s="1431"/>
      <c r="H329" s="1431"/>
    </row>
    <row r="330" spans="1:8" x14ac:dyDescent="0.2">
      <c r="A330" s="1432" t="s">
        <v>829</v>
      </c>
      <c r="B330" s="1431"/>
      <c r="C330" s="1431"/>
      <c r="D330" s="1431"/>
      <c r="E330" s="1431"/>
      <c r="F330" s="1431"/>
      <c r="G330" s="1431"/>
      <c r="H330" s="1431"/>
    </row>
    <row r="331" spans="1:8" x14ac:dyDescent="0.2">
      <c r="A331" s="1432" t="s">
        <v>830</v>
      </c>
      <c r="B331" s="1431"/>
      <c r="C331" s="1431"/>
      <c r="D331" s="1431"/>
      <c r="E331" s="1431"/>
      <c r="F331" s="1431"/>
      <c r="G331" s="1431"/>
      <c r="H331" s="1431"/>
    </row>
    <row r="332" spans="1:8" x14ac:dyDescent="0.2">
      <c r="A332" s="1432" t="s">
        <v>831</v>
      </c>
      <c r="B332" s="1431"/>
      <c r="C332" s="1431"/>
      <c r="D332" s="1431"/>
      <c r="E332" s="1431"/>
      <c r="F332" s="1431"/>
      <c r="G332" s="1431"/>
      <c r="H332" s="1431"/>
    </row>
    <row r="333" spans="1:8" x14ac:dyDescent="0.2">
      <c r="A333" s="1432" t="s">
        <v>832</v>
      </c>
      <c r="B333" s="1431"/>
      <c r="C333" s="1431"/>
      <c r="D333" s="1431"/>
      <c r="E333" s="1431"/>
      <c r="F333" s="1431"/>
      <c r="G333" s="1431"/>
      <c r="H333" s="1431"/>
    </row>
    <row r="334" spans="1:8" x14ac:dyDescent="0.2">
      <c r="A334" s="1432" t="s">
        <v>833</v>
      </c>
      <c r="B334" s="1431"/>
      <c r="C334" s="1431"/>
      <c r="D334" s="1431"/>
      <c r="E334" s="1431"/>
      <c r="F334" s="1431"/>
      <c r="G334" s="1431"/>
      <c r="H334" s="1431"/>
    </row>
    <row r="335" spans="1:8" x14ac:dyDescent="0.2">
      <c r="A335" s="1432" t="s">
        <v>834</v>
      </c>
      <c r="B335" s="1431"/>
      <c r="C335" s="1431"/>
      <c r="D335" s="1431"/>
      <c r="E335" s="1431"/>
      <c r="F335" s="1431"/>
      <c r="G335" s="1431"/>
      <c r="H335" s="1431"/>
    </row>
    <row r="336" spans="1:8" x14ac:dyDescent="0.2">
      <c r="A336" s="1432" t="s">
        <v>835</v>
      </c>
      <c r="B336" s="1431"/>
      <c r="C336" s="1431"/>
      <c r="D336" s="1431"/>
      <c r="E336" s="1431"/>
      <c r="F336" s="1431"/>
      <c r="G336" s="1431"/>
      <c r="H336" s="1431"/>
    </row>
    <row r="337" spans="1:8" x14ac:dyDescent="0.2">
      <c r="A337" s="1432" t="s">
        <v>836</v>
      </c>
      <c r="B337" s="1431"/>
      <c r="C337" s="1431"/>
      <c r="D337" s="1431"/>
      <c r="E337" s="1431"/>
      <c r="F337" s="1431"/>
      <c r="G337" s="1431"/>
      <c r="H337" s="1431"/>
    </row>
    <row r="338" spans="1:8" x14ac:dyDescent="0.2">
      <c r="A338" s="1432" t="s">
        <v>837</v>
      </c>
      <c r="B338" s="1431"/>
      <c r="C338" s="1431"/>
      <c r="D338" s="1431"/>
      <c r="E338" s="1431"/>
      <c r="F338" s="1431"/>
      <c r="G338" s="1431"/>
      <c r="H338" s="1431"/>
    </row>
    <row r="339" spans="1:8" x14ac:dyDescent="0.2">
      <c r="A339" s="1432" t="s">
        <v>838</v>
      </c>
      <c r="B339" s="1431"/>
      <c r="C339" s="1431"/>
      <c r="D339" s="1431"/>
      <c r="E339" s="1431"/>
      <c r="F339" s="1431"/>
      <c r="G339" s="1431"/>
      <c r="H339" s="1431"/>
    </row>
    <row r="340" spans="1:8" x14ac:dyDescent="0.2">
      <c r="A340" s="1432" t="s">
        <v>839</v>
      </c>
      <c r="B340" s="1431"/>
      <c r="C340" s="1431"/>
      <c r="D340" s="1431"/>
      <c r="E340" s="1431"/>
      <c r="F340" s="1431"/>
      <c r="G340" s="1431"/>
      <c r="H340" s="1431"/>
    </row>
    <row r="341" spans="1:8" x14ac:dyDescent="0.2">
      <c r="A341" s="1432" t="s">
        <v>840</v>
      </c>
      <c r="B341" s="1431"/>
      <c r="C341" s="1431"/>
      <c r="D341" s="1431"/>
      <c r="E341" s="1431"/>
      <c r="F341" s="1431"/>
      <c r="G341" s="1431"/>
      <c r="H341" s="1431"/>
    </row>
    <row r="342" spans="1:8" x14ac:dyDescent="0.2">
      <c r="A342" s="1432" t="s">
        <v>841</v>
      </c>
      <c r="B342" s="1431"/>
      <c r="C342" s="1431"/>
      <c r="D342" s="1431"/>
      <c r="E342" s="1431"/>
      <c r="F342" s="1431"/>
      <c r="G342" s="1431"/>
      <c r="H342" s="1431"/>
    </row>
    <row r="343" spans="1:8" x14ac:dyDescent="0.2">
      <c r="A343" s="1432" t="s">
        <v>842</v>
      </c>
      <c r="B343" s="1431"/>
      <c r="C343" s="1431"/>
      <c r="D343" s="1431"/>
      <c r="E343" s="1431"/>
      <c r="F343" s="1431"/>
      <c r="G343" s="1431"/>
      <c r="H343" s="1431"/>
    </row>
    <row r="344" spans="1:8" x14ac:dyDescent="0.2">
      <c r="A344" s="1432" t="s">
        <v>843</v>
      </c>
      <c r="B344" s="1431"/>
      <c r="C344" s="1431"/>
      <c r="D344" s="1431"/>
      <c r="E344" s="1431"/>
      <c r="F344" s="1431"/>
      <c r="G344" s="1431"/>
      <c r="H344" s="1431"/>
    </row>
    <row r="345" spans="1:8" x14ac:dyDescent="0.2">
      <c r="A345" s="1432" t="s">
        <v>844</v>
      </c>
      <c r="B345" s="1431"/>
      <c r="C345" s="1431"/>
      <c r="D345" s="1431"/>
      <c r="E345" s="1431"/>
      <c r="F345" s="1431"/>
      <c r="G345" s="1431"/>
      <c r="H345" s="1431"/>
    </row>
    <row r="346" spans="1:8" x14ac:dyDescent="0.2">
      <c r="A346" s="1432" t="s">
        <v>845</v>
      </c>
      <c r="B346" s="1431"/>
      <c r="C346" s="1431"/>
      <c r="D346" s="1431"/>
      <c r="E346" s="1431"/>
      <c r="F346" s="1431"/>
      <c r="G346" s="1431"/>
      <c r="H346" s="1431"/>
    </row>
    <row r="347" spans="1:8" x14ac:dyDescent="0.2">
      <c r="A347" s="1432" t="s">
        <v>846</v>
      </c>
      <c r="B347" s="1431"/>
      <c r="C347" s="1431"/>
      <c r="D347" s="1431"/>
      <c r="E347" s="1431"/>
      <c r="F347" s="1431"/>
      <c r="G347" s="1431"/>
      <c r="H347" s="1431"/>
    </row>
    <row r="348" spans="1:8" x14ac:dyDescent="0.2">
      <c r="A348" s="1432" t="s">
        <v>847</v>
      </c>
      <c r="B348" s="1431"/>
      <c r="C348" s="1431"/>
      <c r="D348" s="1431"/>
      <c r="E348" s="1431"/>
      <c r="F348" s="1431"/>
      <c r="G348" s="1431"/>
      <c r="H348" s="1431"/>
    </row>
    <row r="349" spans="1:8" x14ac:dyDescent="0.2">
      <c r="A349" s="1432" t="s">
        <v>848</v>
      </c>
      <c r="B349" s="1431"/>
      <c r="C349" s="1431"/>
      <c r="D349" s="1431"/>
      <c r="E349" s="1431"/>
      <c r="F349" s="1431"/>
      <c r="G349" s="1431"/>
      <c r="H349" s="1431"/>
    </row>
    <row r="350" spans="1:8" x14ac:dyDescent="0.2">
      <c r="A350" s="1432" t="s">
        <v>849</v>
      </c>
      <c r="B350" s="1431"/>
      <c r="C350" s="1431"/>
      <c r="D350" s="1431"/>
      <c r="E350" s="1431"/>
      <c r="F350" s="1431"/>
      <c r="G350" s="1431"/>
      <c r="H350" s="1431"/>
    </row>
    <row r="351" spans="1:8" x14ac:dyDescent="0.2">
      <c r="A351" s="1432" t="s">
        <v>850</v>
      </c>
      <c r="B351" s="1431"/>
      <c r="C351" s="1431"/>
      <c r="D351" s="1431"/>
      <c r="E351" s="1431"/>
      <c r="F351" s="1431"/>
      <c r="G351" s="1431"/>
      <c r="H351" s="1431"/>
    </row>
    <row r="352" spans="1:8" x14ac:dyDescent="0.2">
      <c r="A352" s="1432" t="s">
        <v>851</v>
      </c>
      <c r="B352" s="1431"/>
      <c r="C352" s="1431"/>
      <c r="D352" s="1431"/>
      <c r="E352" s="1431"/>
      <c r="F352" s="1431"/>
      <c r="G352" s="1431"/>
      <c r="H352" s="1431"/>
    </row>
    <row r="353" spans="1:8" x14ac:dyDescent="0.2">
      <c r="A353" s="1432" t="s">
        <v>852</v>
      </c>
      <c r="B353" s="1431"/>
      <c r="C353" s="1431"/>
      <c r="D353" s="1431"/>
      <c r="E353" s="1431"/>
      <c r="F353" s="1431"/>
      <c r="G353" s="1431"/>
      <c r="H353" s="1431"/>
    </row>
    <row r="354" spans="1:8" x14ac:dyDescent="0.2">
      <c r="A354" s="1432" t="s">
        <v>853</v>
      </c>
      <c r="B354" s="1431"/>
      <c r="C354" s="1431"/>
      <c r="D354" s="1431"/>
      <c r="E354" s="1431"/>
      <c r="F354" s="1431"/>
      <c r="G354" s="1431"/>
      <c r="H354" s="1431"/>
    </row>
    <row r="355" spans="1:8" x14ac:dyDescent="0.2">
      <c r="A355" s="1432" t="s">
        <v>854</v>
      </c>
      <c r="B355" s="1431"/>
      <c r="C355" s="1431"/>
      <c r="D355" s="1431"/>
      <c r="E355" s="1431"/>
      <c r="F355" s="1431"/>
      <c r="G355" s="1431"/>
      <c r="H355" s="1431"/>
    </row>
    <row r="356" spans="1:8" x14ac:dyDescent="0.2">
      <c r="A356" s="1432" t="s">
        <v>855</v>
      </c>
      <c r="B356" s="1431"/>
      <c r="C356" s="1431"/>
      <c r="D356" s="1431"/>
      <c r="E356" s="1431"/>
      <c r="F356" s="1431"/>
      <c r="G356" s="1431"/>
      <c r="H356" s="1431"/>
    </row>
    <row r="357" spans="1:8" x14ac:dyDescent="0.2">
      <c r="A357" s="1431"/>
      <c r="B357" s="1431"/>
      <c r="C357" s="1431"/>
      <c r="D357" s="1431"/>
      <c r="E357" s="1431"/>
      <c r="F357" s="1431"/>
      <c r="G357" s="1431"/>
      <c r="H357" s="1431"/>
    </row>
    <row r="358" spans="1:8" x14ac:dyDescent="0.2">
      <c r="A358" s="1432" t="s">
        <v>813</v>
      </c>
      <c r="B358" s="1431"/>
      <c r="C358" s="1431"/>
      <c r="D358" s="1431"/>
      <c r="E358" s="1431"/>
      <c r="F358" s="1431"/>
      <c r="G358" s="1431"/>
      <c r="H358" s="1431"/>
    </row>
    <row r="359" spans="1:8" x14ac:dyDescent="0.2">
      <c r="A359" s="1432" t="s">
        <v>817</v>
      </c>
      <c r="B359" s="1431"/>
      <c r="C359" s="1431"/>
      <c r="D359" s="1431"/>
      <c r="E359" s="1431"/>
      <c r="F359" s="1431"/>
      <c r="G359" s="1431"/>
      <c r="H359" s="1431"/>
    </row>
    <row r="360" spans="1:8" x14ac:dyDescent="0.2">
      <c r="A360" s="1432" t="s">
        <v>818</v>
      </c>
      <c r="B360" s="1431"/>
      <c r="C360" s="1431"/>
      <c r="D360" s="1431"/>
      <c r="E360" s="1431"/>
      <c r="F360" s="1431"/>
      <c r="G360" s="1431"/>
      <c r="H360" s="1431"/>
    </row>
    <row r="361" spans="1:8" x14ac:dyDescent="0.2">
      <c r="A361" s="1432" t="s">
        <v>819</v>
      </c>
      <c r="B361" s="1431"/>
      <c r="C361" s="1431"/>
      <c r="D361" s="1431"/>
      <c r="E361" s="1431"/>
      <c r="F361" s="1431"/>
      <c r="G361" s="1431"/>
      <c r="H361" s="1431"/>
    </row>
    <row r="362" spans="1:8" x14ac:dyDescent="0.2">
      <c r="A362" s="1432" t="s">
        <v>820</v>
      </c>
      <c r="B362" s="1431"/>
      <c r="C362" s="1431"/>
      <c r="D362" s="1431"/>
      <c r="E362" s="1431"/>
      <c r="F362" s="1431"/>
      <c r="G362" s="1431"/>
      <c r="H362" s="1431"/>
    </row>
    <row r="363" spans="1:8" x14ac:dyDescent="0.2">
      <c r="A363" s="1431"/>
      <c r="B363" s="1431"/>
      <c r="C363" s="1431"/>
      <c r="D363" s="1431"/>
      <c r="E363" s="1431"/>
      <c r="F363" s="1431"/>
      <c r="G363" s="1431"/>
      <c r="H363" s="1431"/>
    </row>
    <row r="364" spans="1:8" x14ac:dyDescent="0.2">
      <c r="A364" s="1432" t="s">
        <v>813</v>
      </c>
      <c r="B364" s="1431"/>
      <c r="C364" s="1431"/>
      <c r="D364" s="1431"/>
      <c r="E364" s="1431"/>
      <c r="F364" s="1431"/>
      <c r="G364" s="1431"/>
      <c r="H364" s="1431"/>
    </row>
    <row r="365" spans="1:8" x14ac:dyDescent="0.2">
      <c r="A365" s="1432" t="s">
        <v>814</v>
      </c>
      <c r="B365" s="1431"/>
      <c r="C365" s="1431"/>
      <c r="D365" s="1431"/>
      <c r="E365" s="1431"/>
      <c r="F365" s="1431"/>
      <c r="G365" s="1431"/>
      <c r="H365" s="1431"/>
    </row>
    <row r="366" spans="1:8" x14ac:dyDescent="0.2">
      <c r="A366" s="1432" t="s">
        <v>815</v>
      </c>
      <c r="B366" s="1431"/>
      <c r="C366" s="1431"/>
      <c r="D366" s="1431"/>
      <c r="E366" s="1431"/>
      <c r="F366" s="1431"/>
      <c r="G366" s="1431"/>
      <c r="H366" s="1431"/>
    </row>
    <row r="367" spans="1:8" x14ac:dyDescent="0.2">
      <c r="A367" s="1432" t="s">
        <v>816</v>
      </c>
      <c r="B367" s="1431"/>
      <c r="C367" s="1431"/>
      <c r="D367" s="1431"/>
      <c r="E367" s="1431"/>
      <c r="F367" s="1431"/>
      <c r="G367" s="1431"/>
      <c r="H367" s="1431"/>
    </row>
    <row r="368" spans="1:8" x14ac:dyDescent="0.2">
      <c r="A368" s="1431"/>
      <c r="B368" s="1431"/>
      <c r="C368" s="1431"/>
      <c r="D368" s="1431"/>
      <c r="E368" s="1431"/>
      <c r="F368" s="1431"/>
      <c r="G368" s="1431"/>
      <c r="H368" s="1431"/>
    </row>
    <row r="369" spans="1:8" x14ac:dyDescent="0.2">
      <c r="A369" s="1432" t="s">
        <v>807</v>
      </c>
      <c r="B369" s="1431"/>
      <c r="C369" s="1431"/>
      <c r="D369" s="1431"/>
      <c r="E369" s="1431"/>
      <c r="F369" s="1431"/>
      <c r="G369" s="1431"/>
      <c r="H369" s="1431"/>
    </row>
    <row r="370" spans="1:8" x14ac:dyDescent="0.2">
      <c r="A370" s="1432" t="s">
        <v>808</v>
      </c>
      <c r="B370" s="1431"/>
      <c r="C370" s="1431"/>
      <c r="D370" s="1431"/>
      <c r="E370" s="1431"/>
      <c r="F370" s="1431"/>
      <c r="G370" s="1431"/>
      <c r="H370" s="1431"/>
    </row>
    <row r="371" spans="1:8" x14ac:dyDescent="0.2">
      <c r="A371" s="1432" t="s">
        <v>809</v>
      </c>
      <c r="B371" s="1431"/>
      <c r="C371" s="1431"/>
      <c r="D371" s="1431"/>
      <c r="E371" s="1431"/>
      <c r="F371" s="1431"/>
      <c r="G371" s="1431"/>
      <c r="H371" s="1431"/>
    </row>
    <row r="372" spans="1:8" x14ac:dyDescent="0.2">
      <c r="A372" s="1432" t="s">
        <v>810</v>
      </c>
      <c r="B372" s="1431"/>
      <c r="C372" s="1431"/>
      <c r="D372" s="1431"/>
      <c r="E372" s="1431"/>
      <c r="F372" s="1431"/>
      <c r="G372" s="1431"/>
      <c r="H372" s="1431"/>
    </row>
    <row r="373" spans="1:8" x14ac:dyDescent="0.2">
      <c r="A373" s="1432" t="s">
        <v>811</v>
      </c>
      <c r="B373" s="1431"/>
      <c r="C373" s="1431"/>
      <c r="D373" s="1431"/>
      <c r="E373" s="1431"/>
      <c r="F373" s="1431"/>
      <c r="G373" s="1431"/>
      <c r="H373" s="1431"/>
    </row>
    <row r="374" spans="1:8" x14ac:dyDescent="0.2">
      <c r="A374" s="1432" t="s">
        <v>812</v>
      </c>
      <c r="B374" s="1431"/>
      <c r="C374" s="1431"/>
      <c r="D374" s="1431"/>
      <c r="E374" s="1431"/>
      <c r="F374" s="1431"/>
      <c r="G374" s="1431"/>
      <c r="H374" s="1431"/>
    </row>
    <row r="375" spans="1:8" x14ac:dyDescent="0.2">
      <c r="A375" s="1431"/>
      <c r="B375" s="1431"/>
      <c r="C375" s="1431"/>
      <c r="D375" s="1431"/>
      <c r="E375" s="1431"/>
      <c r="F375" s="1431"/>
      <c r="G375" s="1431"/>
      <c r="H375" s="1431"/>
    </row>
    <row r="376" spans="1:8" x14ac:dyDescent="0.2">
      <c r="A376" s="1432" t="s">
        <v>802</v>
      </c>
      <c r="B376" s="1431"/>
      <c r="C376" s="1431"/>
      <c r="D376" s="1431"/>
      <c r="E376" s="1431"/>
      <c r="F376" s="1431"/>
      <c r="G376" s="1431"/>
      <c r="H376" s="1431"/>
    </row>
    <row r="377" spans="1:8" x14ac:dyDescent="0.2">
      <c r="A377" s="1432" t="s">
        <v>803</v>
      </c>
      <c r="B377" s="1431"/>
      <c r="C377" s="1431"/>
      <c r="D377" s="1431"/>
      <c r="E377" s="1431"/>
      <c r="F377" s="1431"/>
      <c r="G377" s="1431"/>
      <c r="H377" s="1431"/>
    </row>
    <row r="378" spans="1:8" x14ac:dyDescent="0.2">
      <c r="A378" s="1432" t="s">
        <v>804</v>
      </c>
      <c r="B378" s="1431"/>
      <c r="C378" s="1431"/>
      <c r="D378" s="1431"/>
      <c r="E378" s="1431"/>
      <c r="F378" s="1431"/>
      <c r="G378" s="1431"/>
      <c r="H378" s="1431"/>
    </row>
    <row r="379" spans="1:8" x14ac:dyDescent="0.2">
      <c r="A379" s="1432" t="s">
        <v>805</v>
      </c>
      <c r="B379" s="1431"/>
      <c r="C379" s="1431"/>
      <c r="D379" s="1431"/>
      <c r="E379" s="1431"/>
      <c r="F379" s="1431"/>
      <c r="G379" s="1431"/>
      <c r="H379" s="1431"/>
    </row>
    <row r="380" spans="1:8" x14ac:dyDescent="0.2">
      <c r="A380" s="1432" t="s">
        <v>806</v>
      </c>
      <c r="B380" s="1431"/>
      <c r="C380" s="1431"/>
      <c r="D380" s="1431"/>
      <c r="E380" s="1431"/>
      <c r="F380" s="1431"/>
      <c r="G380" s="1431"/>
      <c r="H380" s="1431"/>
    </row>
    <row r="381" spans="1:8" x14ac:dyDescent="0.2">
      <c r="A381" s="1431"/>
      <c r="B381" s="1431"/>
      <c r="C381" s="1431"/>
      <c r="D381" s="1431"/>
      <c r="E381" s="1431"/>
      <c r="F381" s="1431"/>
      <c r="G381" s="1431"/>
      <c r="H381" s="1431"/>
    </row>
    <row r="382" spans="1:8" x14ac:dyDescent="0.2">
      <c r="A382" s="1432" t="s">
        <v>800</v>
      </c>
      <c r="B382" s="1431"/>
      <c r="C382" s="1431"/>
      <c r="D382" s="1431"/>
      <c r="E382" s="1431"/>
      <c r="F382" s="1431"/>
      <c r="G382" s="1431"/>
      <c r="H382" s="1431"/>
    </row>
    <row r="383" spans="1:8" x14ac:dyDescent="0.2">
      <c r="A383" s="1432" t="s">
        <v>801</v>
      </c>
      <c r="B383" s="1431"/>
      <c r="C383" s="1431"/>
      <c r="D383" s="1431"/>
      <c r="E383" s="1431"/>
      <c r="F383" s="1431"/>
      <c r="G383" s="1431"/>
      <c r="H383" s="1431"/>
    </row>
    <row r="385" spans="1:1" x14ac:dyDescent="0.2">
      <c r="A385" s="1427" t="s">
        <v>1052</v>
      </c>
    </row>
  </sheetData>
  <mergeCells count="12">
    <mergeCell ref="A126:H126"/>
    <mergeCell ref="A127:H127"/>
    <mergeCell ref="B119:C119"/>
    <mergeCell ref="D119:F119"/>
    <mergeCell ref="G119:H119"/>
    <mergeCell ref="A105:H105"/>
    <mergeCell ref="A106:H106"/>
    <mergeCell ref="A107:H107"/>
    <mergeCell ref="A108:H108"/>
    <mergeCell ref="A110:H110"/>
    <mergeCell ref="A111:H111"/>
    <mergeCell ref="A118:H118"/>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XFD207"/>
  <sheetViews>
    <sheetView showGridLines="0" zoomScaleNormal="100" zoomScaleSheetLayoutView="115" workbookViewId="0">
      <pane xSplit="2" ySplit="6" topLeftCell="C7" activePane="bottomRight" state="frozen"/>
      <selection activeCell="S21" sqref="S21"/>
      <selection pane="topRight" activeCell="S21" sqref="S21"/>
      <selection pane="bottomLeft" activeCell="S21" sqref="S21"/>
      <selection pane="bottomRight" sqref="A1:XFD1048576"/>
    </sheetView>
  </sheetViews>
  <sheetFormatPr defaultRowHeight="12.75" outlineLevelRow="1" outlineLevelCol="1" x14ac:dyDescent="0.2"/>
  <cols>
    <col min="1" max="1" width="1.7109375" style="9" customWidth="1"/>
    <col min="2" max="2" width="22.85546875" style="9" customWidth="1"/>
    <col min="3" max="7" width="7.28515625" style="9" hidden="1" customWidth="1" outlineLevel="1"/>
    <col min="8" max="8" width="0.85546875" style="7" hidden="1" customWidth="1" outlineLevel="1"/>
    <col min="9" max="13" width="7.28515625" style="9" hidden="1" customWidth="1" outlineLevel="1"/>
    <col min="14" max="14" width="0.85546875" style="7" hidden="1" customWidth="1" outlineLevel="1"/>
    <col min="15" max="19" width="7.28515625" style="9" hidden="1" customWidth="1" outlineLevel="1"/>
    <col min="20" max="20" width="0.85546875" style="7" hidden="1" customWidth="1" outlineLevel="1"/>
    <col min="21" max="25" width="7.28515625" style="9" hidden="1" customWidth="1" outlineLevel="1"/>
    <col min="26" max="26" width="0.85546875" style="7" hidden="1" customWidth="1" outlineLevel="1"/>
    <col min="27" max="31" width="7.28515625" style="9" hidden="1" customWidth="1" outlineLevel="1"/>
    <col min="32" max="32" width="0.85546875" style="7" hidden="1" customWidth="1" outlineLevel="1"/>
    <col min="33" max="36" width="7.28515625" style="9" hidden="1" customWidth="1" outlineLevel="1"/>
    <col min="37" max="37" width="7.28515625" style="9" customWidth="1" collapsed="1"/>
    <col min="38" max="38" width="0.85546875" style="7" customWidth="1"/>
    <col min="39" max="42" width="7.28515625" style="9" hidden="1" customWidth="1" outlineLevel="1"/>
    <col min="43" max="43" width="7.28515625" style="9" customWidth="1" collapsed="1"/>
    <col min="44" max="44" width="0.85546875" style="7" customWidth="1"/>
    <col min="45" max="48" width="7.28515625" style="9" hidden="1" customWidth="1" outlineLevel="1"/>
    <col min="49" max="49" width="7.28515625" style="9" customWidth="1" collapsed="1"/>
    <col min="50" max="50" width="0.85546875" style="7" customWidth="1"/>
    <col min="51" max="54" width="7.28515625" style="9" hidden="1" customWidth="1" outlineLevel="1"/>
    <col min="55" max="55" width="7.28515625" style="9" customWidth="1" collapsed="1"/>
    <col min="56" max="56" width="0.85546875" style="7" customWidth="1"/>
    <col min="57" max="60" width="7.28515625" style="9" hidden="1" customWidth="1" outlineLevel="1"/>
    <col min="61" max="61" width="7.28515625" style="9" customWidth="1" collapsed="1"/>
    <col min="62" max="62" width="0.85546875" style="7" customWidth="1"/>
    <col min="63" max="66" width="7.28515625" style="9" hidden="1" customWidth="1" outlineLevel="1"/>
    <col min="67" max="67" width="7.28515625" style="9" customWidth="1" collapsed="1"/>
    <col min="68" max="68" width="0.85546875" style="7" customWidth="1"/>
    <col min="69" max="72" width="7.28515625" style="9" customWidth="1" outlineLevel="1"/>
    <col min="73" max="73" width="7.28515625" style="9" customWidth="1"/>
    <col min="74" max="74" width="0.85546875" style="7" customWidth="1"/>
    <col min="75" max="78" width="7.28515625" style="9" customWidth="1" outlineLevel="1"/>
    <col min="79" max="79" width="7.28515625" style="9" customWidth="1"/>
    <col min="80" max="80" width="0.85546875" style="7" customWidth="1"/>
    <col min="81" max="84" width="7.28515625" style="9" hidden="1" customWidth="1" outlineLevel="1"/>
    <col min="85" max="85" width="7.28515625" style="9" customWidth="1" collapsed="1"/>
    <col min="86" max="87" width="7.28515625" style="9" customWidth="1"/>
    <col min="88" max="92" width="7.28515625" style="15" customWidth="1"/>
    <col min="93" max="93" width="26.5703125" hidden="1" customWidth="1" outlineLevel="1"/>
    <col min="94" max="98" width="8.7109375" hidden="1" customWidth="1" outlineLevel="1"/>
    <col min="99" max="99" width="9.140625" style="9" collapsed="1"/>
    <col min="100" max="16384" width="9.140625" style="9"/>
  </cols>
  <sheetData>
    <row r="1" spans="1:98" x14ac:dyDescent="0.2">
      <c r="B1" s="164" t="s">
        <v>263</v>
      </c>
      <c r="C1" s="34"/>
      <c r="D1" s="34"/>
      <c r="E1" s="34"/>
      <c r="F1" s="34"/>
      <c r="G1" s="34"/>
      <c r="H1" s="17"/>
      <c r="I1" s="34"/>
      <c r="J1" s="34"/>
      <c r="K1" s="34"/>
      <c r="L1" s="34"/>
      <c r="M1" s="34"/>
      <c r="N1" s="17"/>
      <c r="O1" s="34"/>
      <c r="P1" s="34"/>
      <c r="Q1" s="34"/>
      <c r="R1" s="34"/>
      <c r="S1" s="34"/>
      <c r="T1" s="17"/>
      <c r="U1" s="34"/>
      <c r="V1" s="34"/>
      <c r="W1" s="34"/>
      <c r="X1" s="34"/>
      <c r="Y1" s="35"/>
      <c r="Z1" s="17"/>
      <c r="AA1" s="34"/>
      <c r="AB1" s="34"/>
      <c r="AC1" s="34"/>
      <c r="AD1" s="34"/>
      <c r="AE1" s="34"/>
      <c r="AF1" s="17"/>
      <c r="AG1" s="34"/>
      <c r="AH1" s="34"/>
      <c r="AI1" s="34"/>
      <c r="AJ1" s="34"/>
      <c r="AK1" s="34"/>
      <c r="AL1" s="17"/>
      <c r="AM1" s="34"/>
      <c r="AN1" s="34"/>
      <c r="AO1" s="73"/>
      <c r="AP1" s="34"/>
      <c r="AQ1" s="34"/>
      <c r="AR1" s="17"/>
      <c r="AS1" s="34"/>
      <c r="AX1" s="17"/>
      <c r="BD1" s="17"/>
      <c r="BE1" s="34"/>
      <c r="BF1" s="34"/>
      <c r="BG1" s="34"/>
      <c r="BH1" s="34"/>
      <c r="BJ1" s="17"/>
      <c r="BK1" s="34"/>
      <c r="BL1" s="34"/>
      <c r="BM1" s="34"/>
      <c r="BN1" s="34"/>
      <c r="BO1" s="165"/>
      <c r="BP1" s="17"/>
      <c r="BQ1" s="17"/>
      <c r="BR1" s="34"/>
      <c r="BS1" s="34"/>
      <c r="BT1" s="34"/>
      <c r="BU1" s="34"/>
      <c r="BV1" s="17"/>
      <c r="BW1" s="34"/>
      <c r="BX1" s="34"/>
      <c r="BY1" s="34"/>
      <c r="BZ1" s="34"/>
      <c r="CA1" s="34"/>
      <c r="CB1" s="17"/>
      <c r="CC1" s="34"/>
      <c r="CD1" s="34"/>
      <c r="CE1" s="34"/>
      <c r="CF1" s="34"/>
      <c r="CG1" s="34"/>
      <c r="CH1" s="34"/>
      <c r="CI1" s="34"/>
      <c r="CJ1" s="74"/>
      <c r="CK1" s="74"/>
      <c r="CL1" s="74"/>
      <c r="CM1" s="11"/>
      <c r="CN1" s="11"/>
    </row>
    <row r="2" spans="1:98" x14ac:dyDescent="0.2">
      <c r="B2" s="166" t="s">
        <v>137</v>
      </c>
      <c r="C2" s="34"/>
      <c r="D2" s="34"/>
      <c r="E2" s="34"/>
      <c r="F2" s="34"/>
      <c r="G2" s="34"/>
      <c r="H2" s="17"/>
      <c r="I2" s="34"/>
      <c r="J2" s="34"/>
      <c r="K2" s="34"/>
      <c r="L2" s="34"/>
      <c r="M2" s="34"/>
      <c r="N2" s="17"/>
      <c r="O2" s="34"/>
      <c r="P2" s="34"/>
      <c r="Q2" s="34"/>
      <c r="R2" s="34"/>
      <c r="S2" s="34"/>
      <c r="T2" s="17"/>
      <c r="U2" s="34"/>
      <c r="V2" s="34"/>
      <c r="W2" s="34"/>
      <c r="X2" s="34"/>
      <c r="Y2" s="158"/>
      <c r="Z2" s="17"/>
      <c r="AA2" s="34"/>
      <c r="AB2" s="34"/>
      <c r="AC2" s="34"/>
      <c r="AD2" s="73"/>
      <c r="AE2" s="34"/>
      <c r="AF2" s="17"/>
      <c r="AG2" s="34"/>
      <c r="AH2" s="34"/>
      <c r="AI2" s="34"/>
      <c r="AJ2" s="34"/>
      <c r="AK2" s="34"/>
      <c r="AL2" s="17"/>
      <c r="AM2" s="34"/>
      <c r="AN2" s="34"/>
      <c r="AO2" s="34"/>
      <c r="AP2" s="34"/>
      <c r="AQ2" s="34"/>
      <c r="AR2" s="17"/>
      <c r="AS2" s="55"/>
      <c r="AT2" s="55"/>
      <c r="AU2" s="55"/>
      <c r="AV2" s="55"/>
      <c r="AX2" s="17"/>
      <c r="BD2" s="17"/>
      <c r="BE2" s="34"/>
      <c r="BF2" s="34"/>
      <c r="BG2" s="34"/>
      <c r="BH2" s="34"/>
      <c r="BJ2" s="17"/>
      <c r="BK2" s="34"/>
      <c r="BL2" s="34"/>
      <c r="BM2" s="34"/>
      <c r="BN2" s="34"/>
      <c r="BO2" s="167"/>
      <c r="BP2" s="17"/>
      <c r="BQ2" s="17"/>
      <c r="BR2" s="34"/>
      <c r="BS2" s="34"/>
      <c r="BT2" s="34"/>
      <c r="BU2" s="168"/>
      <c r="BV2" s="17"/>
      <c r="BW2" s="34"/>
      <c r="BX2" s="34"/>
      <c r="BY2" s="34"/>
      <c r="BZ2" s="34"/>
      <c r="CA2" s="168"/>
      <c r="CB2" s="17"/>
      <c r="CC2" s="34"/>
      <c r="CD2" s="34"/>
      <c r="CE2" s="34"/>
      <c r="CF2" s="34"/>
      <c r="CG2" s="168"/>
      <c r="CH2" s="34"/>
      <c r="CI2" s="34"/>
      <c r="CJ2" s="74"/>
      <c r="CK2" s="74"/>
      <c r="CL2" s="74"/>
      <c r="CM2" s="11"/>
      <c r="CN2" s="11"/>
    </row>
    <row r="3" spans="1:98" x14ac:dyDescent="0.2">
      <c r="B3" s="5" t="s">
        <v>214</v>
      </c>
      <c r="C3" s="34"/>
      <c r="D3" s="34"/>
      <c r="E3" s="34"/>
      <c r="F3" s="34"/>
      <c r="G3" s="34"/>
      <c r="H3" s="168"/>
      <c r="I3" s="34"/>
      <c r="J3" s="34"/>
      <c r="K3" s="34"/>
      <c r="L3" s="34"/>
      <c r="M3" s="34"/>
      <c r="N3" s="168"/>
      <c r="O3" s="34"/>
      <c r="P3" s="34"/>
      <c r="Q3" s="169"/>
      <c r="R3" s="169"/>
      <c r="S3" s="34"/>
      <c r="T3" s="168"/>
      <c r="U3" s="34"/>
      <c r="V3" s="34"/>
      <c r="W3" s="34"/>
      <c r="X3" s="34"/>
      <c r="Y3" s="158"/>
      <c r="Z3" s="168"/>
      <c r="AA3" s="34"/>
      <c r="AB3" s="34"/>
      <c r="AC3" s="34"/>
      <c r="AD3" s="73"/>
      <c r="AE3" s="34"/>
      <c r="AF3" s="168"/>
      <c r="AG3" s="34"/>
      <c r="AH3" s="34"/>
      <c r="AI3" s="34"/>
      <c r="AJ3" s="34"/>
      <c r="AK3" s="34"/>
      <c r="AL3" s="168"/>
      <c r="AM3" s="170"/>
      <c r="AN3" s="170"/>
      <c r="AO3" s="170"/>
      <c r="AP3" s="170"/>
      <c r="AQ3" s="34"/>
      <c r="AR3" s="168"/>
      <c r="AS3" s="170"/>
      <c r="AX3" s="168"/>
      <c r="BD3" s="168"/>
      <c r="BE3" s="168"/>
      <c r="BF3" s="168"/>
      <c r="BG3" s="168"/>
      <c r="BH3" s="168"/>
      <c r="BJ3" s="168"/>
      <c r="BK3" s="168"/>
      <c r="BL3" s="168"/>
      <c r="BM3" s="168"/>
      <c r="BN3" s="168"/>
      <c r="BO3" s="51"/>
      <c r="BP3" s="168"/>
      <c r="BQ3" s="167"/>
      <c r="BR3" s="168"/>
      <c r="BS3" s="168"/>
      <c r="BT3" s="168"/>
      <c r="BU3" s="168"/>
      <c r="BV3" s="168"/>
      <c r="BW3" s="168"/>
      <c r="BX3" s="168"/>
      <c r="BY3" s="168"/>
      <c r="BZ3" s="168"/>
      <c r="CA3" s="168"/>
      <c r="CB3" s="168"/>
      <c r="CC3" s="168"/>
      <c r="CD3" s="168"/>
      <c r="CE3" s="168"/>
      <c r="CF3" s="168"/>
      <c r="CG3" s="168"/>
      <c r="CH3" s="34"/>
      <c r="CI3" s="34"/>
      <c r="CJ3" s="74"/>
      <c r="CK3" s="74"/>
      <c r="CL3" s="74"/>
      <c r="CM3" s="11"/>
      <c r="CN3" s="11"/>
    </row>
    <row r="4" spans="1:98" x14ac:dyDescent="0.2">
      <c r="B4" s="6" t="s">
        <v>213</v>
      </c>
      <c r="C4" s="74"/>
      <c r="D4" s="74"/>
      <c r="E4" s="74"/>
      <c r="F4" s="74"/>
      <c r="G4" s="74"/>
      <c r="H4" s="17"/>
      <c r="I4" s="74"/>
      <c r="J4" s="74"/>
      <c r="K4" s="74"/>
      <c r="L4" s="74"/>
      <c r="M4" s="74"/>
      <c r="N4" s="17"/>
      <c r="O4" s="74"/>
      <c r="P4" s="74"/>
      <c r="Q4" s="74"/>
      <c r="R4" s="74"/>
      <c r="S4" s="74"/>
      <c r="T4" s="17"/>
      <c r="U4" s="74"/>
      <c r="V4" s="74"/>
      <c r="W4" s="74"/>
      <c r="X4" s="74"/>
      <c r="Y4" s="27"/>
      <c r="Z4" s="17"/>
      <c r="AA4" s="74"/>
      <c r="AB4" s="171"/>
      <c r="AC4" s="74"/>
      <c r="AD4" s="172"/>
      <c r="AE4" s="74"/>
      <c r="AF4" s="17"/>
      <c r="AG4" s="74"/>
      <c r="AH4" s="74"/>
      <c r="AI4" s="74"/>
      <c r="AJ4" s="74"/>
      <c r="AK4" s="74"/>
      <c r="AL4" s="17"/>
      <c r="AM4" s="74"/>
      <c r="AN4" s="74"/>
      <c r="AO4" s="74"/>
      <c r="AP4" s="74"/>
      <c r="AQ4" s="74"/>
      <c r="AR4" s="17"/>
      <c r="AS4" s="74"/>
      <c r="AX4" s="17"/>
      <c r="AZ4" s="173"/>
      <c r="BC4" s="174"/>
      <c r="BD4" s="17"/>
      <c r="BE4" s="74"/>
      <c r="BF4" s="74"/>
      <c r="BG4" s="74"/>
      <c r="BH4" s="74"/>
      <c r="BJ4" s="17"/>
      <c r="BK4" s="74"/>
      <c r="BL4" s="74"/>
      <c r="BM4" s="74"/>
      <c r="BN4" s="74"/>
      <c r="BP4" s="17"/>
      <c r="BQ4" s="74"/>
      <c r="BR4" s="74"/>
      <c r="BS4" s="74"/>
      <c r="BT4" s="74"/>
      <c r="BU4" s="175"/>
      <c r="BV4" s="17"/>
      <c r="BW4" s="74"/>
      <c r="BX4" s="74"/>
      <c r="BY4" s="74"/>
      <c r="BZ4" s="74"/>
      <c r="CA4" s="175"/>
      <c r="CB4" s="17"/>
      <c r="CC4" s="74"/>
      <c r="CD4" s="74"/>
      <c r="CE4" s="74"/>
      <c r="CF4" s="74"/>
      <c r="CG4" s="175"/>
      <c r="CH4" s="74"/>
      <c r="CI4" s="74"/>
      <c r="CJ4" s="74"/>
      <c r="CK4" s="74"/>
      <c r="CL4" s="74"/>
      <c r="CM4" s="11"/>
      <c r="CN4" s="11"/>
    </row>
    <row r="5" spans="1:98" s="87" customFormat="1" x14ac:dyDescent="0.2">
      <c r="C5" s="1422" t="s">
        <v>32</v>
      </c>
      <c r="D5" s="1423"/>
      <c r="E5" s="1423"/>
      <c r="F5" s="1424"/>
      <c r="G5" s="389" t="str">
        <f>C5</f>
        <v>2007A</v>
      </c>
      <c r="H5" s="85"/>
      <c r="I5" s="1422" t="s">
        <v>33</v>
      </c>
      <c r="J5" s="1423"/>
      <c r="K5" s="1423"/>
      <c r="L5" s="1424"/>
      <c r="M5" s="389" t="str">
        <f>I5</f>
        <v>2008A</v>
      </c>
      <c r="N5" s="85"/>
      <c r="O5" s="1422" t="s">
        <v>34</v>
      </c>
      <c r="P5" s="1423"/>
      <c r="Q5" s="1423"/>
      <c r="R5" s="1424"/>
      <c r="S5" s="389" t="str">
        <f>O5</f>
        <v>2009A</v>
      </c>
      <c r="T5" s="85"/>
      <c r="U5" s="1422" t="s">
        <v>100</v>
      </c>
      <c r="V5" s="1423"/>
      <c r="W5" s="1423"/>
      <c r="X5" s="1423"/>
      <c r="Y5" s="389" t="str">
        <f>U5</f>
        <v>2010A</v>
      </c>
      <c r="Z5" s="85"/>
      <c r="AA5" s="1422" t="s">
        <v>130</v>
      </c>
      <c r="AB5" s="1423"/>
      <c r="AC5" s="1423"/>
      <c r="AD5" s="1423"/>
      <c r="AE5" s="389" t="str">
        <f>AA5</f>
        <v>2011A</v>
      </c>
      <c r="AF5" s="85"/>
      <c r="AG5" s="1422" t="s">
        <v>131</v>
      </c>
      <c r="AH5" s="1423"/>
      <c r="AI5" s="1423"/>
      <c r="AJ5" s="1423"/>
      <c r="AK5" s="389" t="str">
        <f>AG5</f>
        <v>2012A</v>
      </c>
      <c r="AL5" s="85"/>
      <c r="AM5" s="1422" t="s">
        <v>132</v>
      </c>
      <c r="AN5" s="1423"/>
      <c r="AO5" s="1423"/>
      <c r="AP5" s="1423"/>
      <c r="AQ5" s="389" t="str">
        <f>AM5</f>
        <v>2013A</v>
      </c>
      <c r="AR5" s="85"/>
      <c r="AS5" s="1422" t="s">
        <v>238</v>
      </c>
      <c r="AT5" s="1423"/>
      <c r="AU5" s="1423"/>
      <c r="AV5" s="1423"/>
      <c r="AW5" s="389" t="str">
        <f>AS5</f>
        <v>2014A</v>
      </c>
      <c r="AX5" s="85"/>
      <c r="AY5" s="1422" t="s">
        <v>251</v>
      </c>
      <c r="AZ5" s="1423"/>
      <c r="BA5" s="1423"/>
      <c r="BB5" s="1423"/>
      <c r="BC5" s="389" t="str">
        <f>AY5</f>
        <v>2015A</v>
      </c>
      <c r="BD5" s="85"/>
      <c r="BE5" s="1422" t="s">
        <v>449</v>
      </c>
      <c r="BF5" s="1423"/>
      <c r="BG5" s="1423"/>
      <c r="BH5" s="1423"/>
      <c r="BI5" s="389" t="str">
        <f>BE5</f>
        <v>2016A</v>
      </c>
      <c r="BJ5" s="85"/>
      <c r="BK5" s="1422" t="s">
        <v>678</v>
      </c>
      <c r="BL5" s="1423"/>
      <c r="BM5" s="1423"/>
      <c r="BN5" s="1423"/>
      <c r="BO5" s="389" t="str">
        <f>BK5</f>
        <v>2017A</v>
      </c>
      <c r="BP5" s="85"/>
      <c r="BQ5" s="1422" t="s">
        <v>244</v>
      </c>
      <c r="BR5" s="1423"/>
      <c r="BS5" s="1423"/>
      <c r="BT5" s="1423"/>
      <c r="BU5" s="389" t="str">
        <f>BQ5</f>
        <v>2018E</v>
      </c>
      <c r="BV5" s="85"/>
      <c r="BW5" s="1422" t="s">
        <v>245</v>
      </c>
      <c r="BX5" s="1423"/>
      <c r="BY5" s="1423"/>
      <c r="BZ5" s="1423"/>
      <c r="CA5" s="389" t="str">
        <f>BW5</f>
        <v>2019E</v>
      </c>
      <c r="CB5" s="85"/>
      <c r="CC5" s="1422" t="s">
        <v>457</v>
      </c>
      <c r="CD5" s="1423"/>
      <c r="CE5" s="1423"/>
      <c r="CF5" s="1423"/>
      <c r="CG5" s="389" t="str">
        <f>CC5</f>
        <v>2020E</v>
      </c>
      <c r="CH5" s="8"/>
      <c r="CI5" s="8"/>
      <c r="CJ5" s="8"/>
      <c r="CK5" s="8"/>
      <c r="CL5" s="8"/>
      <c r="CM5" s="8"/>
      <c r="CN5" s="8"/>
      <c r="CO5"/>
      <c r="CP5"/>
      <c r="CQ5"/>
      <c r="CR5"/>
      <c r="CS5"/>
      <c r="CT5"/>
    </row>
    <row r="6" spans="1:98" x14ac:dyDescent="0.2">
      <c r="C6" s="395">
        <v>39172</v>
      </c>
      <c r="D6" s="2">
        <v>39263</v>
      </c>
      <c r="E6" s="2">
        <v>39355</v>
      </c>
      <c r="F6" s="390">
        <v>39447</v>
      </c>
      <c r="G6" s="382" t="str">
        <f>+C5</f>
        <v>2007A</v>
      </c>
      <c r="H6" s="71"/>
      <c r="I6" s="395">
        <v>39538</v>
      </c>
      <c r="J6" s="2">
        <v>39629</v>
      </c>
      <c r="K6" s="2">
        <v>39721</v>
      </c>
      <c r="L6" s="390">
        <v>39813</v>
      </c>
      <c r="M6" s="382" t="str">
        <f>+I5</f>
        <v>2008A</v>
      </c>
      <c r="N6" s="71"/>
      <c r="O6" s="397">
        <v>39903</v>
      </c>
      <c r="P6" s="72">
        <v>39994</v>
      </c>
      <c r="Q6" s="72">
        <v>40086</v>
      </c>
      <c r="R6" s="398">
        <v>40178</v>
      </c>
      <c r="S6" s="382" t="str">
        <f>+O5</f>
        <v>2009A</v>
      </c>
      <c r="T6" s="71"/>
      <c r="U6" s="399">
        <v>40268</v>
      </c>
      <c r="V6" s="72">
        <v>40359</v>
      </c>
      <c r="W6" s="72">
        <v>40451</v>
      </c>
      <c r="X6" s="72">
        <v>40543</v>
      </c>
      <c r="Y6" s="403" t="str">
        <f>+U5</f>
        <v>2010A</v>
      </c>
      <c r="Z6" s="71"/>
      <c r="AA6" s="72">
        <v>40633</v>
      </c>
      <c r="AB6" s="72">
        <v>40724</v>
      </c>
      <c r="AC6" s="72">
        <v>40816</v>
      </c>
      <c r="AD6" s="72">
        <v>40908</v>
      </c>
      <c r="AE6" s="404" t="str">
        <f>+AA5</f>
        <v>2011A</v>
      </c>
      <c r="AF6" s="71"/>
      <c r="AG6" s="72">
        <v>40999</v>
      </c>
      <c r="AH6" s="72">
        <v>41090</v>
      </c>
      <c r="AI6" s="72">
        <v>41182</v>
      </c>
      <c r="AJ6" s="72">
        <v>41274</v>
      </c>
      <c r="AK6" s="404" t="str">
        <f>+AG5</f>
        <v>2012A</v>
      </c>
      <c r="AL6" s="71"/>
      <c r="AM6" s="72">
        <v>41364</v>
      </c>
      <c r="AN6" s="72">
        <v>41455</v>
      </c>
      <c r="AO6" s="72">
        <v>41547</v>
      </c>
      <c r="AP6" s="72">
        <v>41639</v>
      </c>
      <c r="AQ6" s="404" t="str">
        <f>+AM5</f>
        <v>2013A</v>
      </c>
      <c r="AR6" s="71"/>
      <c r="AS6" s="397">
        <v>41729</v>
      </c>
      <c r="AT6" s="72">
        <v>41820</v>
      </c>
      <c r="AU6" s="72">
        <v>41912</v>
      </c>
      <c r="AV6" s="72">
        <v>42004</v>
      </c>
      <c r="AW6" s="404" t="str">
        <f>+AS5</f>
        <v>2014A</v>
      </c>
      <c r="AX6" s="71"/>
      <c r="AY6" s="397">
        <v>42094</v>
      </c>
      <c r="AZ6" s="72">
        <v>42185</v>
      </c>
      <c r="BA6" s="72">
        <v>42277</v>
      </c>
      <c r="BB6" s="72">
        <v>42369</v>
      </c>
      <c r="BC6" s="404" t="str">
        <f>+AY5</f>
        <v>2015A</v>
      </c>
      <c r="BD6" s="71"/>
      <c r="BE6" s="397">
        <v>42460</v>
      </c>
      <c r="BF6" s="72">
        <v>42551</v>
      </c>
      <c r="BG6" s="72">
        <v>42643</v>
      </c>
      <c r="BH6" s="72">
        <v>42735</v>
      </c>
      <c r="BI6" s="404" t="str">
        <f>+BE5</f>
        <v>2016A</v>
      </c>
      <c r="BJ6" s="71"/>
      <c r="BK6" s="397">
        <v>42825</v>
      </c>
      <c r="BL6" s="72">
        <f>BK6+FLOOR(365/4,1)</f>
        <v>42916</v>
      </c>
      <c r="BM6" s="72">
        <f>BL6+FLOOR(365/4,1)+1</f>
        <v>43008</v>
      </c>
      <c r="BN6" s="72">
        <f>BM6+FLOOR(365/4,1)+1</f>
        <v>43100</v>
      </c>
      <c r="BO6" s="404"/>
      <c r="BP6" s="71"/>
      <c r="BQ6" s="401">
        <f>BK6+365</f>
        <v>43190</v>
      </c>
      <c r="BR6" s="70">
        <f>BQ6+FLOOR(365/4,1)</f>
        <v>43281</v>
      </c>
      <c r="BS6" s="70">
        <f>BR6+FLOOR(365/4,1)+1</f>
        <v>43373</v>
      </c>
      <c r="BT6" s="70">
        <f>BS6+FLOOR(365/4,1)+1</f>
        <v>43465</v>
      </c>
      <c r="BU6" s="404"/>
      <c r="BV6" s="71"/>
      <c r="BW6" s="401">
        <f>BQ6+365</f>
        <v>43555</v>
      </c>
      <c r="BX6" s="70">
        <f>BW6+FLOOR(365/4,1)</f>
        <v>43646</v>
      </c>
      <c r="BY6" s="70">
        <f>BX6+FLOOR(365/4,1)+1</f>
        <v>43738</v>
      </c>
      <c r="BZ6" s="70">
        <f>BY6+FLOOR(365/4,1)+1</f>
        <v>43830</v>
      </c>
      <c r="CA6" s="404"/>
      <c r="CB6" s="71"/>
      <c r="CC6" s="401">
        <f>BW6+365</f>
        <v>43920</v>
      </c>
      <c r="CD6" s="70">
        <f>CC6+FLOOR(365/4,1)</f>
        <v>44011</v>
      </c>
      <c r="CE6" s="70">
        <f>CD6+FLOOR(365/4,1)+1</f>
        <v>44103</v>
      </c>
      <c r="CF6" s="70">
        <f>CE6+FLOOR(365/4,1)+1</f>
        <v>44195</v>
      </c>
      <c r="CG6" s="404"/>
      <c r="CH6" s="28"/>
      <c r="CI6" s="28"/>
      <c r="CJ6" s="223"/>
      <c r="CK6" s="223"/>
      <c r="CL6" s="223"/>
      <c r="CM6" s="224"/>
      <c r="CN6" s="224"/>
    </row>
    <row r="7" spans="1:98" s="7" customFormat="1" ht="11.25" customHeight="1" outlineLevel="1" x14ac:dyDescent="0.2">
      <c r="B7" s="414" t="s">
        <v>101</v>
      </c>
      <c r="C7" s="396">
        <v>92</v>
      </c>
      <c r="D7" s="225">
        <f>+D6-C6</f>
        <v>91</v>
      </c>
      <c r="E7" s="225">
        <f>+E6-D6</f>
        <v>92</v>
      </c>
      <c r="F7" s="381">
        <f>+F6-E6</f>
        <v>92</v>
      </c>
      <c r="G7" s="383">
        <f>+SUM(C7:F7)</f>
        <v>367</v>
      </c>
      <c r="H7" s="77"/>
      <c r="I7" s="396">
        <f>+I6-F6</f>
        <v>91</v>
      </c>
      <c r="J7" s="225">
        <f>+J6-I6</f>
        <v>91</v>
      </c>
      <c r="K7" s="225">
        <f>+K6-J6</f>
        <v>92</v>
      </c>
      <c r="L7" s="381">
        <f>+L6-K6</f>
        <v>92</v>
      </c>
      <c r="M7" s="383">
        <f>+SUM(I7:L7)</f>
        <v>366</v>
      </c>
      <c r="N7" s="77"/>
      <c r="O7" s="396">
        <f>+O6-L6</f>
        <v>90</v>
      </c>
      <c r="P7" s="225">
        <f>+P6-O6</f>
        <v>91</v>
      </c>
      <c r="Q7" s="225">
        <f>+Q6-P6</f>
        <v>92</v>
      </c>
      <c r="R7" s="381">
        <f>+R6-Q6</f>
        <v>92</v>
      </c>
      <c r="S7" s="383">
        <f>+SUM(O7:R7)</f>
        <v>365</v>
      </c>
      <c r="T7" s="77"/>
      <c r="U7" s="396">
        <f>+U6-R6</f>
        <v>90</v>
      </c>
      <c r="V7" s="210">
        <f>+V6-U6</f>
        <v>91</v>
      </c>
      <c r="W7" s="210">
        <f>+W6-V6</f>
        <v>92</v>
      </c>
      <c r="X7" s="210">
        <f>+X6-W6</f>
        <v>92</v>
      </c>
      <c r="Y7" s="383">
        <f>+SUM(U7:X7)</f>
        <v>365</v>
      </c>
      <c r="Z7" s="77"/>
      <c r="AA7" s="400">
        <f>+AA6-X6</f>
        <v>90</v>
      </c>
      <c r="AB7" s="210">
        <f>+AB6-AA6</f>
        <v>91</v>
      </c>
      <c r="AC7" s="210">
        <f>+AC6-AB6</f>
        <v>92</v>
      </c>
      <c r="AD7" s="210">
        <f>+AD6-AC6</f>
        <v>92</v>
      </c>
      <c r="AE7" s="383">
        <f>+SUM(AA7:AD7)</f>
        <v>365</v>
      </c>
      <c r="AF7" s="77"/>
      <c r="AG7" s="400">
        <f>+AG6-AD6</f>
        <v>91</v>
      </c>
      <c r="AH7" s="210">
        <f>+AH6-AG6</f>
        <v>91</v>
      </c>
      <c r="AI7" s="210">
        <f>+AI6-AH6</f>
        <v>92</v>
      </c>
      <c r="AJ7" s="210">
        <f>+AJ6-AI6</f>
        <v>92</v>
      </c>
      <c r="AK7" s="383">
        <f>+SUM(AG7:AJ7)</f>
        <v>366</v>
      </c>
      <c r="AL7" s="77"/>
      <c r="AM7" s="400">
        <f>+AM6-AJ6</f>
        <v>90</v>
      </c>
      <c r="AN7" s="210">
        <f>+AN6-AM6</f>
        <v>91</v>
      </c>
      <c r="AO7" s="210">
        <f>+AO6-AN6</f>
        <v>92</v>
      </c>
      <c r="AP7" s="210">
        <f>+AP6-AO6</f>
        <v>92</v>
      </c>
      <c r="AQ7" s="383">
        <f>+SUM(AM7:AP7)</f>
        <v>365</v>
      </c>
      <c r="AR7" s="77"/>
      <c r="AS7" s="400">
        <f>+AS6-AP6</f>
        <v>90</v>
      </c>
      <c r="AT7" s="210">
        <f>+AT6-AS6</f>
        <v>91</v>
      </c>
      <c r="AU7" s="210">
        <f>+AU6-AT6</f>
        <v>92</v>
      </c>
      <c r="AV7" s="210">
        <f>+AV6-AU6</f>
        <v>92</v>
      </c>
      <c r="AW7" s="383">
        <f>+SUM(AS7:AV7)</f>
        <v>365</v>
      </c>
      <c r="AX7" s="77"/>
      <c r="AY7" s="402">
        <f>+AY6-AV6</f>
        <v>90</v>
      </c>
      <c r="AZ7" s="225">
        <f>+AZ6-AY6</f>
        <v>91</v>
      </c>
      <c r="BA7" s="225">
        <f>+BA6-AZ6</f>
        <v>92</v>
      </c>
      <c r="BB7" s="225">
        <f>+BB6-BA6</f>
        <v>92</v>
      </c>
      <c r="BC7" s="383">
        <f>+SUM(AY7:BB7)</f>
        <v>365</v>
      </c>
      <c r="BD7" s="77"/>
      <c r="BE7" s="402">
        <f>+BE6-BB6</f>
        <v>91</v>
      </c>
      <c r="BF7" s="225">
        <f>+BF6-BE6</f>
        <v>91</v>
      </c>
      <c r="BG7" s="225">
        <f>+BG6-BF6</f>
        <v>92</v>
      </c>
      <c r="BH7" s="225">
        <f>+BH6-BG6</f>
        <v>92</v>
      </c>
      <c r="BI7" s="383">
        <f>+SUM(BE7:BH7)</f>
        <v>366</v>
      </c>
      <c r="BJ7" s="77"/>
      <c r="BK7" s="402">
        <f>+BK6-BH6</f>
        <v>90</v>
      </c>
      <c r="BL7" s="225">
        <f>+BL6-BK6</f>
        <v>91</v>
      </c>
      <c r="BM7" s="225">
        <f>+BM6-BL6</f>
        <v>92</v>
      </c>
      <c r="BN7" s="225">
        <f>+BN6-BM6</f>
        <v>92</v>
      </c>
      <c r="BO7" s="383">
        <f>+SUM(BK7:BN7)</f>
        <v>365</v>
      </c>
      <c r="BP7" s="77"/>
      <c r="BQ7" s="402">
        <f>+BQ6-BN6</f>
        <v>90</v>
      </c>
      <c r="BR7" s="225">
        <f>+BR6-BQ6</f>
        <v>91</v>
      </c>
      <c r="BS7" s="225">
        <f>+BS6-BR6</f>
        <v>92</v>
      </c>
      <c r="BT7" s="225">
        <f>+BT6-BS6</f>
        <v>92</v>
      </c>
      <c r="BU7" s="383">
        <f>+SUM(BQ7:BT7)</f>
        <v>365</v>
      </c>
      <c r="BV7" s="77"/>
      <c r="BW7" s="402">
        <f>+BW6-BT6</f>
        <v>90</v>
      </c>
      <c r="BX7" s="225">
        <f>+BX6-BW6</f>
        <v>91</v>
      </c>
      <c r="BY7" s="225">
        <f>+BY6-BX6</f>
        <v>92</v>
      </c>
      <c r="BZ7" s="225">
        <f>+BZ6-BY6</f>
        <v>92</v>
      </c>
      <c r="CA7" s="383">
        <f>+SUM(BW7:BZ7)</f>
        <v>365</v>
      </c>
      <c r="CB7" s="77"/>
      <c r="CC7" s="402">
        <f>+CC6-BZ6</f>
        <v>90</v>
      </c>
      <c r="CD7" s="225">
        <f>+CD6-CC6</f>
        <v>91</v>
      </c>
      <c r="CE7" s="225">
        <f>+CE6-CD6</f>
        <v>92</v>
      </c>
      <c r="CF7" s="225">
        <f>+CF6-CE6</f>
        <v>92</v>
      </c>
      <c r="CG7" s="383">
        <f>+SUM(CC7:CF7)</f>
        <v>365</v>
      </c>
      <c r="CH7" s="210"/>
      <c r="CI7" s="210"/>
      <c r="CJ7" s="225"/>
      <c r="CK7" s="225"/>
      <c r="CL7" s="225"/>
      <c r="CM7" s="11"/>
      <c r="CN7" s="11"/>
      <c r="CO7"/>
      <c r="CP7"/>
      <c r="CQ7"/>
      <c r="CR7"/>
      <c r="CS7"/>
      <c r="CT7"/>
    </row>
    <row r="8" spans="1:98" s="7" customFormat="1" ht="11.25" customHeight="1" x14ac:dyDescent="0.2">
      <c r="A8" s="53"/>
      <c r="B8" s="415" t="s">
        <v>96</v>
      </c>
      <c r="C8" s="441">
        <v>1310.1279999999999</v>
      </c>
      <c r="D8" s="442">
        <v>1387.0170000000001</v>
      </c>
      <c r="E8" s="442">
        <v>1505.575</v>
      </c>
      <c r="F8" s="443">
        <f>5904.416-SUM(C8:E8)</f>
        <v>1701.6959999999999</v>
      </c>
      <c r="G8" s="444">
        <f>+SUM(C8:F8)</f>
        <v>5904.4160000000002</v>
      </c>
      <c r="H8" s="362"/>
      <c r="I8" s="441">
        <v>1521.777</v>
      </c>
      <c r="J8" s="442">
        <v>1640.8510000000001</v>
      </c>
      <c r="K8" s="442">
        <v>1644.2090000000001</v>
      </c>
      <c r="L8" s="443">
        <f>6380.413-SUM(I8:K8)</f>
        <v>1573.5759999999991</v>
      </c>
      <c r="M8" s="444">
        <f>+SUM(I8:L8)</f>
        <v>6380.4129999999996</v>
      </c>
      <c r="N8" s="362"/>
      <c r="O8" s="441">
        <v>1485.3879999999999</v>
      </c>
      <c r="P8" s="442">
        <v>1607.434</v>
      </c>
      <c r="Q8" s="442">
        <v>1659.433</v>
      </c>
      <c r="R8" s="443">
        <f>6538.336-SUM(O8:Q8)</f>
        <v>1786.0810000000001</v>
      </c>
      <c r="S8" s="444">
        <f>+SUM(O8:R8)</f>
        <v>6538.3360000000002</v>
      </c>
      <c r="T8" s="362"/>
      <c r="U8" s="441">
        <v>1760.31</v>
      </c>
      <c r="V8" s="442">
        <v>1849.4010000000001</v>
      </c>
      <c r="W8" s="442">
        <v>1893.511</v>
      </c>
      <c r="X8" s="442">
        <f>7526.79-SUM(U8:W8)</f>
        <v>2023.5680000000002</v>
      </c>
      <c r="Y8" s="444">
        <f>+SUM(U8:X8)</f>
        <v>7526.79</v>
      </c>
      <c r="Z8" s="362"/>
      <c r="AA8" s="445">
        <v>1947.761</v>
      </c>
      <c r="AB8" s="442">
        <v>2130.64</v>
      </c>
      <c r="AC8" s="442">
        <v>2111.6930000000002</v>
      </c>
      <c r="AD8" s="442">
        <f>8530.242-SUM(AA8:AC8)</f>
        <v>2340.1480000000001</v>
      </c>
      <c r="AE8" s="444">
        <f>+SUM(AA8:AD8)</f>
        <v>8530.2420000000002</v>
      </c>
      <c r="AF8" s="362"/>
      <c r="AG8" s="445">
        <v>2099.0189999999998</v>
      </c>
      <c r="AH8" s="442">
        <v>2201.4520000000002</v>
      </c>
      <c r="AI8" s="442">
        <v>2231.058</v>
      </c>
      <c r="AJ8" s="442">
        <f>8939.967-SUM(AG8:AI8)</f>
        <v>2408.438000000001</v>
      </c>
      <c r="AK8" s="444">
        <f>+SUM(AG8:AJ8)</f>
        <v>8939.9670000000006</v>
      </c>
      <c r="AL8" s="362"/>
      <c r="AM8" s="445">
        <v>2293.511</v>
      </c>
      <c r="AN8" s="442">
        <v>2391.81</v>
      </c>
      <c r="AO8" s="442">
        <v>2348.9560000000001</v>
      </c>
      <c r="AP8" s="442">
        <f>9560.647-SUM(AM8:AO8)</f>
        <v>2526.3700000000008</v>
      </c>
      <c r="AQ8" s="444">
        <f>+SUM(AM8:AP8)</f>
        <v>9560.6470000000008</v>
      </c>
      <c r="AR8" s="362"/>
      <c r="AS8" s="445">
        <v>2430.1590000000001</v>
      </c>
      <c r="AT8" s="442">
        <v>2615.4059999999999</v>
      </c>
      <c r="AU8" s="442">
        <v>2623.7289999999998</v>
      </c>
      <c r="AV8" s="442">
        <f>10371.39-SUM(AS8:AU8)</f>
        <v>2702.0959999999995</v>
      </c>
      <c r="AW8" s="444">
        <f>+SUM(AS8:AV8)</f>
        <v>10371.39</v>
      </c>
      <c r="AX8" s="362"/>
      <c r="AY8" s="445">
        <v>2463.6460000000002</v>
      </c>
      <c r="AZ8" s="442">
        <v>2629.32</v>
      </c>
      <c r="BA8" s="442">
        <v>2685.835</v>
      </c>
      <c r="BB8" s="442">
        <f>10629.719-SUM(AY8:BA8)</f>
        <v>2850.9179999999988</v>
      </c>
      <c r="BC8" s="444">
        <f>+SUM(AY8:BB8)</f>
        <v>10629.718999999999</v>
      </c>
      <c r="BD8" s="362"/>
      <c r="BE8" s="445">
        <v>2712.9560000000001</v>
      </c>
      <c r="BF8" s="442">
        <v>2872.63</v>
      </c>
      <c r="BG8" s="442">
        <v>2865.1480000000001</v>
      </c>
      <c r="BH8" s="442">
        <v>3120.9340000000002</v>
      </c>
      <c r="BI8" s="444">
        <f>+SUM(BE8:BH8)</f>
        <v>11571.668000000001</v>
      </c>
      <c r="BJ8" s="362"/>
      <c r="BK8" s="445">
        <v>2922.9479999999999</v>
      </c>
      <c r="BL8" s="442">
        <v>3059.4580000000001</v>
      </c>
      <c r="BM8" s="442">
        <v>3161.0830000000001</v>
      </c>
      <c r="BN8" s="442">
        <v>3318.0540000000001</v>
      </c>
      <c r="BO8" s="444">
        <f>+SUM(BK8:BN8)</f>
        <v>12461.543</v>
      </c>
      <c r="BP8" s="362"/>
      <c r="BQ8" s="446">
        <f>+RevBuild!BQ174</f>
        <v>3072.1614140000001</v>
      </c>
      <c r="BR8" s="362">
        <f>+RevBuild!BR174</f>
        <v>3269.8201400000003</v>
      </c>
      <c r="BS8" s="362">
        <f>+RevBuild!BS174</f>
        <v>3340.2211599999996</v>
      </c>
      <c r="BT8" s="362">
        <f>+RevBuild!BT174</f>
        <v>3463.4065399999999</v>
      </c>
      <c r="BU8" s="444">
        <f>+SUM(BQ8:BT8)</f>
        <v>13145.609253999999</v>
      </c>
      <c r="BV8" s="362"/>
      <c r="BW8" s="446">
        <f>+RevBuild!BW174</f>
        <v>3229.45109069</v>
      </c>
      <c r="BX8" s="362">
        <f>+RevBuild!BX174</f>
        <v>3411.0425015499995</v>
      </c>
      <c r="BY8" s="362">
        <f>+RevBuild!BY174</f>
        <v>3484.8114650500002</v>
      </c>
      <c r="BZ8" s="362">
        <f>+RevBuild!BZ174</f>
        <v>3610.6675447000002</v>
      </c>
      <c r="CA8" s="444">
        <f>+SUM(BW8:BZ8)</f>
        <v>13735.972601989999</v>
      </c>
      <c r="CB8" s="362"/>
      <c r="CC8" s="446">
        <f>+RevBuild!CC174</f>
        <v>3357.1791090189504</v>
      </c>
      <c r="CD8" s="362">
        <f>+RevBuild!CD174</f>
        <v>3546.9621311562501</v>
      </c>
      <c r="CE8" s="362">
        <f>+RevBuild!CE174</f>
        <v>3623.5099933157489</v>
      </c>
      <c r="CF8" s="362">
        <f>+RevBuild!CF174</f>
        <v>3752.8663800914992</v>
      </c>
      <c r="CG8" s="444">
        <f>+SUM(CC8:CF8)</f>
        <v>14280.517613582448</v>
      </c>
      <c r="CH8" s="50"/>
      <c r="CI8" s="50"/>
      <c r="CJ8" s="50"/>
      <c r="CK8" s="50"/>
      <c r="CL8" s="50"/>
      <c r="CM8" s="75"/>
      <c r="CN8" s="75"/>
      <c r="CO8"/>
      <c r="CP8"/>
      <c r="CQ8"/>
      <c r="CR8"/>
      <c r="CS8"/>
      <c r="CT8"/>
    </row>
    <row r="9" spans="1:98" s="7" customFormat="1" ht="11.25" customHeight="1" x14ac:dyDescent="0.2">
      <c r="A9" s="53"/>
      <c r="B9" s="416" t="s">
        <v>123</v>
      </c>
      <c r="C9" s="376">
        <v>919.08199999999999</v>
      </c>
      <c r="D9" s="218">
        <v>973.24</v>
      </c>
      <c r="E9" s="218">
        <v>1076.2449999999999</v>
      </c>
      <c r="F9" s="391">
        <f>4187.842-SUM(C9:E9)</f>
        <v>1219.2749999999996</v>
      </c>
      <c r="G9" s="384">
        <f>+SUM(C9:F9)</f>
        <v>4187.8419999999996</v>
      </c>
      <c r="H9" s="153"/>
      <c r="I9" s="376">
        <v>1071.146</v>
      </c>
      <c r="J9" s="218">
        <v>1152.741</v>
      </c>
      <c r="K9" s="218">
        <v>1168.615</v>
      </c>
      <c r="L9" s="391">
        <f>4506.118-SUM(I9:K9)</f>
        <v>1113.6160000000009</v>
      </c>
      <c r="M9" s="384">
        <f>+SUM(I9:L9)</f>
        <v>4506.1180000000004</v>
      </c>
      <c r="N9" s="153"/>
      <c r="O9" s="376">
        <v>1047.0250000000001</v>
      </c>
      <c r="P9" s="218">
        <v>1131.5160000000001</v>
      </c>
      <c r="Q9" s="218">
        <v>1183.1659999999999</v>
      </c>
      <c r="R9" s="391">
        <f>4621.516-SUM(O9:Q9)</f>
        <v>1259.8089999999993</v>
      </c>
      <c r="S9" s="384">
        <f>+SUM(O9:R9)</f>
        <v>4621.5159999999996</v>
      </c>
      <c r="T9" s="153"/>
      <c r="U9" s="376">
        <v>1247.277</v>
      </c>
      <c r="V9" s="218">
        <v>1303.7570000000001</v>
      </c>
      <c r="W9" s="218">
        <v>1356.0550000000001</v>
      </c>
      <c r="X9" s="218">
        <f>5355.914-SUM(U9:W9)</f>
        <v>1448.8249999999998</v>
      </c>
      <c r="Y9" s="384">
        <f>+SUM(U9:X9)</f>
        <v>5355.9139999999998</v>
      </c>
      <c r="Z9" s="153"/>
      <c r="AA9" s="222">
        <v>1381.9390000000001</v>
      </c>
      <c r="AB9" s="218">
        <v>1518.4159999999999</v>
      </c>
      <c r="AC9" s="218">
        <v>1524.2729999999999</v>
      </c>
      <c r="AD9" s="218">
        <f>6112.187-SUM(AA9:AC9)</f>
        <v>1687.5590000000002</v>
      </c>
      <c r="AE9" s="384">
        <f>+SUM(AA9:AD9)</f>
        <v>6112.1869999999999</v>
      </c>
      <c r="AF9" s="153"/>
      <c r="AG9" s="222">
        <v>1488.44</v>
      </c>
      <c r="AH9" s="218">
        <v>1577.057</v>
      </c>
      <c r="AI9" s="218">
        <v>1622.0139999999999</v>
      </c>
      <c r="AJ9" s="218">
        <f>6432.454-SUM(AG9:AI9)</f>
        <v>1744.9429999999993</v>
      </c>
      <c r="AK9" s="384">
        <f>+SUM(AG9:AJ9)</f>
        <v>6432.4539999999997</v>
      </c>
      <c r="AL9" s="153"/>
      <c r="AM9" s="222">
        <v>1646.52</v>
      </c>
      <c r="AN9" s="218">
        <v>1721.954</v>
      </c>
      <c r="AO9" s="218">
        <v>1709.309</v>
      </c>
      <c r="AP9" s="218">
        <f>6904.633-SUM(AM9:AO9)</f>
        <v>1826.8499999999995</v>
      </c>
      <c r="AQ9" s="384">
        <f>+SUM(AM9:AP9)</f>
        <v>6904.6329999999998</v>
      </c>
      <c r="AR9" s="153"/>
      <c r="AS9" s="222">
        <v>1733.4459999999999</v>
      </c>
      <c r="AT9" s="218">
        <v>1886.934</v>
      </c>
      <c r="AU9" s="218">
        <v>1902.0630000000001</v>
      </c>
      <c r="AV9" s="218">
        <f>7460.075-SUM(AS9:AU9)</f>
        <v>1937.6319999999996</v>
      </c>
      <c r="AW9" s="384">
        <f>+SUM(AS9:AV9)</f>
        <v>7460.0749999999998</v>
      </c>
      <c r="AX9" s="153"/>
      <c r="AY9" s="222">
        <v>1750.251</v>
      </c>
      <c r="AZ9" s="218">
        <v>1878.6420000000001</v>
      </c>
      <c r="BA9" s="218">
        <v>1936.9269999999999</v>
      </c>
      <c r="BB9" s="218">
        <f>7617.46-SUM(AY9:BA9)</f>
        <v>2051.6400000000003</v>
      </c>
      <c r="BC9" s="384">
        <f>+SUM(AY9:BB9)</f>
        <v>7617.46</v>
      </c>
      <c r="BD9" s="153"/>
      <c r="BE9" s="222">
        <v>1933.6510000000001</v>
      </c>
      <c r="BF9" s="218">
        <v>2069.3139999999999</v>
      </c>
      <c r="BG9" s="218">
        <v>2075.6570000000002</v>
      </c>
      <c r="BH9" s="218">
        <v>2259.0770000000002</v>
      </c>
      <c r="BI9" s="384">
        <f>SUM(BE9:BH9)</f>
        <v>8337.6990000000005</v>
      </c>
      <c r="BJ9" s="153"/>
      <c r="BK9" s="222">
        <v>2100.0279999999998</v>
      </c>
      <c r="BL9" s="218">
        <v>2220.2849999999999</v>
      </c>
      <c r="BM9" s="218">
        <v>2325.029</v>
      </c>
      <c r="BN9" s="218">
        <v>2417.098</v>
      </c>
      <c r="BO9" s="384">
        <f>SUM(BK9:BN9)</f>
        <v>9062.44</v>
      </c>
      <c r="BP9" s="153"/>
      <c r="BQ9" s="155">
        <f>BQ8-BQ10</f>
        <v>2218.6457186032662</v>
      </c>
      <c r="BR9" s="32">
        <f>BR8-BR10</f>
        <v>2371.559423468078</v>
      </c>
      <c r="BS9" s="32">
        <f>BS8-BS10</f>
        <v>2450.8350154485183</v>
      </c>
      <c r="BT9" s="32">
        <f>BT8-BT10</f>
        <v>2518.1824334789153</v>
      </c>
      <c r="BU9" s="384">
        <f>SUM(BQ9:BT9)</f>
        <v>9559.2225909987792</v>
      </c>
      <c r="BV9" s="153"/>
      <c r="BW9" s="155">
        <f>BW8-BW10</f>
        <v>2337.2104001038124</v>
      </c>
      <c r="BX9" s="32">
        <f>BX8-BX10</f>
        <v>2489.6026980807951</v>
      </c>
      <c r="BY9" s="32">
        <f>BY8-BY10</f>
        <v>2572.8952195488109</v>
      </c>
      <c r="BZ9" s="32">
        <f>BZ8-BZ10</f>
        <v>2641.7587297848531</v>
      </c>
      <c r="CA9" s="384">
        <f>SUM(BW9:BZ9)</f>
        <v>10041.467047518272</v>
      </c>
      <c r="CB9" s="153"/>
      <c r="CC9" s="155">
        <f>CC8-CC10</f>
        <v>2444.7446844940068</v>
      </c>
      <c r="CD9" s="32">
        <f>CD8-CD10</f>
        <v>2604.8006787441</v>
      </c>
      <c r="CE9" s="32">
        <f>CE8-CE10</f>
        <v>2691.6468141374398</v>
      </c>
      <c r="CF9" s="32">
        <f>CF8-CF10</f>
        <v>2762.7116698087366</v>
      </c>
      <c r="CG9" s="384">
        <f>SUM(CC9:CF9)</f>
        <v>10503.903847184283</v>
      </c>
      <c r="CH9" s="32"/>
      <c r="CI9" s="32"/>
      <c r="CJ9" s="32"/>
      <c r="CK9" s="32"/>
      <c r="CL9" s="32"/>
      <c r="CM9" s="75"/>
      <c r="CN9" s="75"/>
      <c r="CO9"/>
      <c r="CP9"/>
      <c r="CQ9"/>
      <c r="CR9"/>
      <c r="CS9"/>
      <c r="CT9"/>
    </row>
    <row r="10" spans="1:98" s="7" customFormat="1" ht="11.25" customHeight="1" x14ac:dyDescent="0.2">
      <c r="A10" s="53"/>
      <c r="B10" s="417" t="s">
        <v>126</v>
      </c>
      <c r="C10" s="377">
        <f>+C8-C9</f>
        <v>391.04599999999994</v>
      </c>
      <c r="D10" s="50">
        <f>+D8-D9</f>
        <v>413.77700000000004</v>
      </c>
      <c r="E10" s="50">
        <f>+E8-E9</f>
        <v>429.33000000000015</v>
      </c>
      <c r="F10" s="392">
        <f>+F8-F9</f>
        <v>482.42100000000028</v>
      </c>
      <c r="G10" s="385">
        <f>+G8-G9</f>
        <v>1716.5740000000005</v>
      </c>
      <c r="H10" s="26"/>
      <c r="I10" s="377">
        <f>+I8-I9</f>
        <v>450.63100000000009</v>
      </c>
      <c r="J10" s="50">
        <f>+J8-J9</f>
        <v>488.11000000000013</v>
      </c>
      <c r="K10" s="50">
        <f>+K8-K9</f>
        <v>475.59400000000005</v>
      </c>
      <c r="L10" s="392">
        <f>+L8-L9</f>
        <v>459.95999999999822</v>
      </c>
      <c r="M10" s="385">
        <f>+M8-M9</f>
        <v>1874.2949999999992</v>
      </c>
      <c r="N10" s="26"/>
      <c r="O10" s="377">
        <f>+O8-O9</f>
        <v>438.36299999999983</v>
      </c>
      <c r="P10" s="50">
        <f>+P8-P9</f>
        <v>475.91799999999989</v>
      </c>
      <c r="Q10" s="50">
        <f>+Q8-Q9</f>
        <v>476.26700000000005</v>
      </c>
      <c r="R10" s="392">
        <f>+R8-R9</f>
        <v>526.27200000000084</v>
      </c>
      <c r="S10" s="385">
        <f>+S8-S9</f>
        <v>1916.8200000000006</v>
      </c>
      <c r="T10" s="26"/>
      <c r="U10" s="83">
        <f>+U8-U9</f>
        <v>513.0329999999999</v>
      </c>
      <c r="V10" s="50">
        <f>+V8-V9</f>
        <v>545.64400000000001</v>
      </c>
      <c r="W10" s="50">
        <f>+W8-W9</f>
        <v>537.4559999999999</v>
      </c>
      <c r="X10" s="50">
        <f>+X8-X9</f>
        <v>574.74300000000039</v>
      </c>
      <c r="Y10" s="385">
        <f>+Y8-Y9</f>
        <v>2170.8760000000002</v>
      </c>
      <c r="Z10" s="26"/>
      <c r="AA10" s="83">
        <f>+AA8-AA9</f>
        <v>565.82199999999989</v>
      </c>
      <c r="AB10" s="50">
        <f>+AB8-AB9</f>
        <v>612.22399999999993</v>
      </c>
      <c r="AC10" s="50">
        <f>+AC8-AC9</f>
        <v>587.4200000000003</v>
      </c>
      <c r="AD10" s="50">
        <f>+AD8-AD9</f>
        <v>652.58899999999994</v>
      </c>
      <c r="AE10" s="385">
        <f>+AE8-AE9</f>
        <v>2418.0550000000003</v>
      </c>
      <c r="AF10" s="26"/>
      <c r="AG10" s="83">
        <f>+AG8-AG9</f>
        <v>610.57899999999972</v>
      </c>
      <c r="AH10" s="50">
        <f>+AH8-AH9</f>
        <v>624.39500000000021</v>
      </c>
      <c r="AI10" s="50">
        <f>+AI8-AI9</f>
        <v>609.0440000000001</v>
      </c>
      <c r="AJ10" s="50">
        <f>+AJ8-AJ9</f>
        <v>663.49500000000171</v>
      </c>
      <c r="AK10" s="385">
        <f>+AK8-AK9</f>
        <v>2507.5130000000008</v>
      </c>
      <c r="AL10" s="26"/>
      <c r="AM10" s="83">
        <f>+AM8-AM9</f>
        <v>646.99099999999999</v>
      </c>
      <c r="AN10" s="50">
        <f>+AN8-AN9</f>
        <v>669.85599999999999</v>
      </c>
      <c r="AO10" s="50">
        <f>+AO8-AO9</f>
        <v>639.64700000000016</v>
      </c>
      <c r="AP10" s="50">
        <f>+AP8-AP9</f>
        <v>699.52000000000135</v>
      </c>
      <c r="AQ10" s="385">
        <f>+AQ8-AQ9</f>
        <v>2656.014000000001</v>
      </c>
      <c r="AR10" s="26"/>
      <c r="AS10" s="83">
        <f>+AS8-AS9</f>
        <v>696.71300000000019</v>
      </c>
      <c r="AT10" s="50">
        <f>+AT8-AT9</f>
        <v>728.47199999999998</v>
      </c>
      <c r="AU10" s="50">
        <f>+AU8-AU9</f>
        <v>721.66599999999971</v>
      </c>
      <c r="AV10" s="50">
        <f>+AV8-AV9</f>
        <v>764.46399999999994</v>
      </c>
      <c r="AW10" s="385">
        <f>+AW8-AW9</f>
        <v>2911.3149999999996</v>
      </c>
      <c r="AX10" s="26"/>
      <c r="AY10" s="83">
        <f>+AY8-AY9</f>
        <v>713.39500000000021</v>
      </c>
      <c r="AZ10" s="50">
        <f>+AZ8-AZ9</f>
        <v>750.67800000000011</v>
      </c>
      <c r="BA10" s="50">
        <f>+BA8-BA9</f>
        <v>748.90800000000013</v>
      </c>
      <c r="BB10" s="50">
        <f>+BB8-BB9</f>
        <v>799.27799999999843</v>
      </c>
      <c r="BC10" s="385">
        <f>+BC8-BC9</f>
        <v>3012.2589999999991</v>
      </c>
      <c r="BD10" s="26"/>
      <c r="BE10" s="83">
        <f>+BE8-BE9</f>
        <v>779.30500000000006</v>
      </c>
      <c r="BF10" s="50">
        <f>+BF8-BF9</f>
        <v>803.31600000000026</v>
      </c>
      <c r="BG10" s="50">
        <f>+BG8-BG9</f>
        <v>789.49099999999999</v>
      </c>
      <c r="BH10" s="50">
        <f>+BH8-BH9</f>
        <v>861.85699999999997</v>
      </c>
      <c r="BI10" s="385">
        <f>+SUM(BE10:BH10)</f>
        <v>3233.9690000000001</v>
      </c>
      <c r="BJ10" s="26"/>
      <c r="BK10" s="83">
        <f>+BK8-BK9</f>
        <v>822.92000000000007</v>
      </c>
      <c r="BL10" s="50">
        <f>+BL8-BL9</f>
        <v>839.17300000000023</v>
      </c>
      <c r="BM10" s="50">
        <f>+BM8-BM9</f>
        <v>836.05400000000009</v>
      </c>
      <c r="BN10" s="50">
        <f>+BN8-BN9</f>
        <v>900.95600000000013</v>
      </c>
      <c r="BO10" s="385">
        <f>+SUM(BK10:BN10)</f>
        <v>3399.1030000000005</v>
      </c>
      <c r="BP10" s="26"/>
      <c r="BQ10" s="233">
        <f>+'P&amp;L'!BQ102</f>
        <v>853.51569539673403</v>
      </c>
      <c r="BR10" s="220">
        <f>+'P&amp;L'!BR102</f>
        <v>898.26071653192218</v>
      </c>
      <c r="BS10" s="220">
        <f>+'P&amp;L'!BS102</f>
        <v>889.38614455148127</v>
      </c>
      <c r="BT10" s="220">
        <f>+'P&amp;L'!BT102</f>
        <v>945.22410652108488</v>
      </c>
      <c r="BU10" s="385">
        <f>+SUM(BQ10:BT10)</f>
        <v>3586.3866630012226</v>
      </c>
      <c r="BV10" s="26"/>
      <c r="BW10" s="233">
        <f>+'P&amp;L'!BW102</f>
        <v>892.2406905861875</v>
      </c>
      <c r="BX10" s="220">
        <f>+'P&amp;L'!BX102</f>
        <v>921.43980346920455</v>
      </c>
      <c r="BY10" s="220">
        <f>+'P&amp;L'!BY102</f>
        <v>911.916245501189</v>
      </c>
      <c r="BZ10" s="220">
        <f>+'P&amp;L'!BZ102</f>
        <v>968.9088149151471</v>
      </c>
      <c r="CA10" s="385">
        <f>+SUM(BW10:BZ10)</f>
        <v>3694.5055544717284</v>
      </c>
      <c r="CB10" s="26"/>
      <c r="CC10" s="233">
        <f>+'P&amp;L'!CC102</f>
        <v>912.43442452494367</v>
      </c>
      <c r="CD10" s="220">
        <f>+'P&amp;L'!CD102</f>
        <v>942.16145241214997</v>
      </c>
      <c r="CE10" s="220">
        <f>+'P&amp;L'!CE102</f>
        <v>931.86317917830911</v>
      </c>
      <c r="CF10" s="220">
        <f>+'P&amp;L'!CF102</f>
        <v>990.15471028276238</v>
      </c>
      <c r="CG10" s="385">
        <f>+SUM(CC10:CF10)</f>
        <v>3776.6137663981654</v>
      </c>
      <c r="CH10" s="50"/>
      <c r="CI10" s="50"/>
      <c r="CJ10" s="50"/>
      <c r="CK10" s="50"/>
      <c r="CL10" s="50"/>
      <c r="CM10" s="75"/>
      <c r="CN10" s="75"/>
      <c r="CO10"/>
      <c r="CP10"/>
      <c r="CQ10"/>
      <c r="CR10"/>
      <c r="CS10"/>
      <c r="CT10"/>
    </row>
    <row r="11" spans="1:98" s="7" customFormat="1" ht="11.25" customHeight="1" x14ac:dyDescent="0.2">
      <c r="A11" s="136"/>
      <c r="B11" s="416" t="s">
        <v>124</v>
      </c>
      <c r="C11" s="376">
        <v>317.32499999999999</v>
      </c>
      <c r="D11" s="218">
        <v>322.92500000000001</v>
      </c>
      <c r="E11" s="218">
        <v>332.63</v>
      </c>
      <c r="F11" s="391">
        <f>1328.635-SUM(C11:E11)</f>
        <v>355.755</v>
      </c>
      <c r="G11" s="384">
        <f>+SUM(C11:F11)</f>
        <v>1328.635</v>
      </c>
      <c r="H11" s="13"/>
      <c r="I11" s="376">
        <v>365.35599999999999</v>
      </c>
      <c r="J11" s="218">
        <v>374.11799999999999</v>
      </c>
      <c r="K11" s="218">
        <v>360.18</v>
      </c>
      <c r="L11" s="391">
        <f>1431.769-SUM(I11:K11)</f>
        <v>332.11500000000001</v>
      </c>
      <c r="M11" s="384">
        <f>+SUM(I11:L11)</f>
        <v>1431.769</v>
      </c>
      <c r="N11" s="13"/>
      <c r="O11" s="376">
        <v>343.73200000000003</v>
      </c>
      <c r="P11" s="218">
        <v>353.94799999999998</v>
      </c>
      <c r="Q11" s="218">
        <v>362.38200000000001</v>
      </c>
      <c r="R11" s="391">
        <f>1449.715-SUM(O11:Q11)</f>
        <v>389.65299999999979</v>
      </c>
      <c r="S11" s="384">
        <f>+SUM(O11:R11)</f>
        <v>1449.7149999999999</v>
      </c>
      <c r="T11" s="13"/>
      <c r="U11" s="222">
        <v>396.98899999999998</v>
      </c>
      <c r="V11" s="218">
        <v>407.63799999999998</v>
      </c>
      <c r="W11" s="218">
        <v>400.08800000000002</v>
      </c>
      <c r="X11" s="218">
        <f>1637.46-SUM(U11:W11)</f>
        <v>432.74500000000012</v>
      </c>
      <c r="Y11" s="384">
        <f>+SUM(U11:X11)</f>
        <v>1637.46</v>
      </c>
      <c r="Z11" s="13"/>
      <c r="AA11" s="222">
        <v>441.52199999999999</v>
      </c>
      <c r="AB11" s="218">
        <v>461.00900000000001</v>
      </c>
      <c r="AC11" s="218">
        <v>444.15899999999999</v>
      </c>
      <c r="AD11" s="218">
        <f>1835.906-SUM(AA11:AC11)</f>
        <v>489.21599999999989</v>
      </c>
      <c r="AE11" s="384">
        <f>+SUM(AA11:AD11)</f>
        <v>1835.9059999999999</v>
      </c>
      <c r="AF11" s="13"/>
      <c r="AG11" s="222">
        <v>465.452</v>
      </c>
      <c r="AH11" s="218">
        <v>466.33300000000003</v>
      </c>
      <c r="AI11" s="218">
        <v>459.42200000000003</v>
      </c>
      <c r="AJ11" s="218">
        <f>1873.36-SUM(AG11:AI11)</f>
        <v>482.15299999999979</v>
      </c>
      <c r="AK11" s="384">
        <f>+SUM(AG11:AJ11)</f>
        <v>1873.36</v>
      </c>
      <c r="AL11" s="13"/>
      <c r="AM11" s="222">
        <v>493.36200000000002</v>
      </c>
      <c r="AN11" s="218">
        <v>493.791</v>
      </c>
      <c r="AO11" s="218">
        <v>479.17</v>
      </c>
      <c r="AP11" s="218">
        <f>1978.96-SUM(AM11:AO11)</f>
        <v>512.63699999999994</v>
      </c>
      <c r="AQ11" s="384">
        <f>+SUM(AM11:AP11)</f>
        <v>1978.96</v>
      </c>
      <c r="AR11" s="13"/>
      <c r="AS11" s="222">
        <v>539.44500000000005</v>
      </c>
      <c r="AT11" s="218">
        <v>547.62800000000004</v>
      </c>
      <c r="AU11" s="218">
        <v>547.57799999999997</v>
      </c>
      <c r="AV11" s="218">
        <f>2196.173-SUM(AS11:AU11)</f>
        <v>561.52199999999971</v>
      </c>
      <c r="AW11" s="384">
        <f>+SUM(AS11:AV11)</f>
        <v>2196.1729999999998</v>
      </c>
      <c r="AX11" s="13"/>
      <c r="AY11" s="222">
        <v>545.16600000000005</v>
      </c>
      <c r="AZ11" s="218">
        <v>560.42600000000004</v>
      </c>
      <c r="BA11" s="218">
        <v>551.58799999999997</v>
      </c>
      <c r="BB11" s="218">
        <f>2243.356-SUM(AY11:BA11)</f>
        <v>586.17600000000016</v>
      </c>
      <c r="BC11" s="384">
        <f>+SUM(AY11:BB11)</f>
        <v>2243.3560000000002</v>
      </c>
      <c r="BD11" s="13"/>
      <c r="BE11" s="222">
        <v>599.053</v>
      </c>
      <c r="BF11" s="218">
        <v>602.25599999999997</v>
      </c>
      <c r="BG11" s="218">
        <v>583.4</v>
      </c>
      <c r="BH11" s="218">
        <v>631.79499999999996</v>
      </c>
      <c r="BI11" s="384">
        <f>SUM(BE11:BH11)</f>
        <v>2416.5039999999999</v>
      </c>
      <c r="BJ11" s="13"/>
      <c r="BK11" s="222">
        <v>628.952</v>
      </c>
      <c r="BL11" s="218">
        <v>628.51099999999997</v>
      </c>
      <c r="BM11" s="218">
        <v>622.50599999999997</v>
      </c>
      <c r="BN11" s="218">
        <v>659.76499999999999</v>
      </c>
      <c r="BO11" s="384">
        <f>SUM(BK11:BN11)</f>
        <v>2539.7339999999999</v>
      </c>
      <c r="BP11" s="13"/>
      <c r="BQ11" s="234">
        <f>+'P&amp;L'!BQ145</f>
        <v>646.38899850690905</v>
      </c>
      <c r="BR11" s="221">
        <f>+'P&amp;L'!BR145</f>
        <v>664.38622465973924</v>
      </c>
      <c r="BS11" s="221">
        <f>+'P&amp;L'!BS145</f>
        <v>653.72653012897786</v>
      </c>
      <c r="BT11" s="221">
        <f>+'P&amp;L'!BT145</f>
        <v>684.66581014845769</v>
      </c>
      <c r="BU11" s="384">
        <f>SUM(BQ11:BT11)</f>
        <v>2649.1675634440835</v>
      </c>
      <c r="BV11" s="13"/>
      <c r="BW11" s="234">
        <f>+'P&amp;L'!BW145</f>
        <v>680.13985690160655</v>
      </c>
      <c r="BX11" s="221">
        <f>+'P&amp;L'!BX145</f>
        <v>689.84935850318743</v>
      </c>
      <c r="BY11" s="221">
        <f>+'P&amp;L'!BY145</f>
        <v>678.74501538045035</v>
      </c>
      <c r="BZ11" s="221">
        <f>+'P&amp;L'!BZ145</f>
        <v>710.4098332012951</v>
      </c>
      <c r="CA11" s="384">
        <f>SUM(BW11:BZ11)</f>
        <v>2759.1440639865391</v>
      </c>
      <c r="CB11" s="13"/>
      <c r="CC11" s="234">
        <f>+'P&amp;L'!CC145</f>
        <v>703.94874500258607</v>
      </c>
      <c r="CD11" s="221">
        <f>+'P&amp;L'!CD145</f>
        <v>714.05713294319128</v>
      </c>
      <c r="CE11" s="221">
        <f>+'P&amp;L'!CE145</f>
        <v>702.43918026340475</v>
      </c>
      <c r="CF11" s="221">
        <f>+'P&amp;L'!CF145</f>
        <v>734.97604304019069</v>
      </c>
      <c r="CG11" s="384">
        <f>SUM(CC11:CF11)</f>
        <v>2855.4211012493729</v>
      </c>
      <c r="CH11" s="63"/>
      <c r="CI11" s="63"/>
      <c r="CJ11" s="63"/>
      <c r="CK11" s="63"/>
      <c r="CL11" s="63"/>
      <c r="CM11" s="48"/>
      <c r="CN11" s="48"/>
      <c r="CO11"/>
      <c r="CP11"/>
      <c r="CQ11"/>
      <c r="CR11"/>
      <c r="CS11"/>
      <c r="CT11"/>
    </row>
    <row r="12" spans="1:98" s="7" customFormat="1" ht="11.25" customHeight="1" outlineLevel="1" x14ac:dyDescent="0.2">
      <c r="A12" s="136"/>
      <c r="B12" s="416" t="s">
        <v>13</v>
      </c>
      <c r="C12" s="376">
        <v>0</v>
      </c>
      <c r="D12" s="218">
        <v>0</v>
      </c>
      <c r="E12" s="218">
        <v>0</v>
      </c>
      <c r="F12" s="391">
        <f>0-SUM(C12:E12)</f>
        <v>0</v>
      </c>
      <c r="G12" s="384">
        <f>+SUM(C12:F12)</f>
        <v>0</v>
      </c>
      <c r="H12" s="39"/>
      <c r="I12" s="376">
        <v>0</v>
      </c>
      <c r="J12" s="218">
        <v>0</v>
      </c>
      <c r="K12" s="218">
        <v>0</v>
      </c>
      <c r="L12" s="391">
        <f>23.24-SUM(I12:K12)-SUM(I62:L62)</f>
        <v>0</v>
      </c>
      <c r="M12" s="384">
        <f>+SUM(I12:L12)</f>
        <v>0</v>
      </c>
      <c r="N12" s="39"/>
      <c r="O12" s="376">
        <f>4.043-O62</f>
        <v>0</v>
      </c>
      <c r="P12" s="218">
        <v>0</v>
      </c>
      <c r="Q12" s="218">
        <v>0</v>
      </c>
      <c r="R12" s="391">
        <f>3.02-SUM(O12:Q12)-SUM(O62:R62)</f>
        <v>0</v>
      </c>
      <c r="S12" s="384">
        <f>+SUM(O12:R12)</f>
        <v>0</v>
      </c>
      <c r="T12" s="39"/>
      <c r="U12" s="222">
        <f>12.285-U62</f>
        <v>0</v>
      </c>
      <c r="V12" s="218">
        <f>0-V62</f>
        <v>0</v>
      </c>
      <c r="W12" s="218">
        <f>0-W62</f>
        <v>0</v>
      </c>
      <c r="X12" s="218">
        <f>12.285-SUM(U12:W12)-SUM(U62:X62)</f>
        <v>0</v>
      </c>
      <c r="Y12" s="384">
        <f>+SUM(U12:X12)</f>
        <v>0</v>
      </c>
      <c r="Z12" s="39"/>
      <c r="AA12" s="222">
        <f>0-AA62</f>
        <v>0</v>
      </c>
      <c r="AB12" s="218">
        <f>0-AB62</f>
        <v>0</v>
      </c>
      <c r="AC12" s="218">
        <f>0-AC62</f>
        <v>0</v>
      </c>
      <c r="AD12" s="218">
        <f>0-SUM(AA12:AC12)-SUM(AA62:AD62)</f>
        <v>0</v>
      </c>
      <c r="AE12" s="384">
        <f>+SUM(AA12:AD12)</f>
        <v>0</v>
      </c>
      <c r="AF12" s="39"/>
      <c r="AG12" s="222">
        <f>11.832-AG62</f>
        <v>0</v>
      </c>
      <c r="AH12" s="218">
        <f>3.36-AH62</f>
        <v>0</v>
      </c>
      <c r="AI12" s="218">
        <f>0-AI62</f>
        <v>0</v>
      </c>
      <c r="AJ12" s="218">
        <f>15.192-SUM(AG12:AI12)-SUM(AG62:AJ62)</f>
        <v>0</v>
      </c>
      <c r="AK12" s="384">
        <f>+SUM(AG12:AJ12)</f>
        <v>0</v>
      </c>
      <c r="AL12" s="39"/>
      <c r="AM12" s="222">
        <f>0-AM62</f>
        <v>0</v>
      </c>
      <c r="AN12" s="218">
        <f>0-AN62</f>
        <v>0</v>
      </c>
      <c r="AO12" s="218">
        <f>0-AO62</f>
        <v>0</v>
      </c>
      <c r="AP12" s="218">
        <f>0-SUM(AM12:AO12)-SUM(AM62:AP62)</f>
        <v>0</v>
      </c>
      <c r="AQ12" s="384">
        <f>+SUM(AM12:AP12)</f>
        <v>0</v>
      </c>
      <c r="AR12" s="39"/>
      <c r="AS12" s="222">
        <f>0-AS62</f>
        <v>0</v>
      </c>
      <c r="AT12" s="218">
        <f>0-AT62</f>
        <v>0</v>
      </c>
      <c r="AU12" s="218">
        <f>0-AU62</f>
        <v>0</v>
      </c>
      <c r="AV12" s="218">
        <v>0</v>
      </c>
      <c r="AW12" s="384">
        <f>+SUM(AS12:AV12)</f>
        <v>0</v>
      </c>
      <c r="AX12" s="39"/>
      <c r="AY12" s="222">
        <f>6.862-AY62</f>
        <v>0</v>
      </c>
      <c r="AZ12" s="218">
        <f>7.222-AZ62</f>
        <v>0</v>
      </c>
      <c r="BA12" s="218">
        <f>8.438-BA62</f>
        <v>0</v>
      </c>
      <c r="BB12" s="218">
        <f>34.931-SUM(AY12:BA12)-SUM(AY62:BB62)</f>
        <v>0</v>
      </c>
      <c r="BC12" s="384">
        <f>+SUM(AY12:BB12)</f>
        <v>0</v>
      </c>
      <c r="BD12" s="39"/>
      <c r="BE12" s="222">
        <f>4.058-BE62</f>
        <v>0</v>
      </c>
      <c r="BF12" s="218">
        <f>20.383-BF62</f>
        <v>0</v>
      </c>
      <c r="BG12" s="218">
        <f>5.37-BG62</f>
        <v>0</v>
      </c>
      <c r="BH12" s="218">
        <v>0</v>
      </c>
      <c r="BI12" s="384">
        <f>SUM(BE12:BH12)</f>
        <v>0</v>
      </c>
      <c r="BJ12" s="39"/>
      <c r="BK12" s="222">
        <v>0</v>
      </c>
      <c r="BL12" s="218">
        <v>0</v>
      </c>
      <c r="BM12" s="218">
        <v>0</v>
      </c>
      <c r="BN12" s="218">
        <v>0</v>
      </c>
      <c r="BO12" s="384">
        <f>SUM(BK12:BN12)</f>
        <v>0</v>
      </c>
      <c r="BP12" s="39"/>
      <c r="BQ12" s="155">
        <f>+BN12</f>
        <v>0</v>
      </c>
      <c r="BR12" s="32">
        <f>+BQ12</f>
        <v>0</v>
      </c>
      <c r="BS12" s="32">
        <f>+BR12</f>
        <v>0</v>
      </c>
      <c r="BT12" s="32">
        <f>+BS12</f>
        <v>0</v>
      </c>
      <c r="BU12" s="384">
        <f>SUM(BQ12:BT12)</f>
        <v>0</v>
      </c>
      <c r="BV12" s="39"/>
      <c r="BW12" s="155">
        <f>+BT12</f>
        <v>0</v>
      </c>
      <c r="BX12" s="32">
        <f>+BW12</f>
        <v>0</v>
      </c>
      <c r="BY12" s="32">
        <f>+BX12</f>
        <v>0</v>
      </c>
      <c r="BZ12" s="32">
        <f>+BY12</f>
        <v>0</v>
      </c>
      <c r="CA12" s="384">
        <f>SUM(BW12:BZ12)</f>
        <v>0</v>
      </c>
      <c r="CB12" s="39"/>
      <c r="CC12" s="155">
        <f>+BZ12</f>
        <v>0</v>
      </c>
      <c r="CD12" s="32">
        <f>+CC12</f>
        <v>0</v>
      </c>
      <c r="CE12" s="32">
        <f>+CD12</f>
        <v>0</v>
      </c>
      <c r="CF12" s="32">
        <f>+CE12</f>
        <v>0</v>
      </c>
      <c r="CG12" s="384">
        <f>SUM(CC12:CF12)</f>
        <v>0</v>
      </c>
      <c r="CH12" s="32"/>
      <c r="CI12" s="32"/>
      <c r="CJ12" s="32"/>
      <c r="CK12" s="32"/>
      <c r="CL12" s="32"/>
      <c r="CM12" s="48"/>
      <c r="CN12" s="48"/>
      <c r="CO12"/>
      <c r="CP12"/>
      <c r="CQ12"/>
      <c r="CR12"/>
      <c r="CS12"/>
      <c r="CT12"/>
    </row>
    <row r="13" spans="1:98" s="7" customFormat="1" ht="11.25" customHeight="1" x14ac:dyDescent="0.2">
      <c r="A13" s="136"/>
      <c r="B13" s="416" t="s">
        <v>239</v>
      </c>
      <c r="C13" s="378">
        <f>+C14+'Cash Flow'!C10</f>
        <v>91.277999999999949</v>
      </c>
      <c r="D13" s="32">
        <f>+D14+'Cash Flow'!D10</f>
        <v>108.52200000000003</v>
      </c>
      <c r="E13" s="32">
        <f>+E14+'Cash Flow'!E10</f>
        <v>114.49400000000016</v>
      </c>
      <c r="F13" s="393">
        <f>+F14+'Cash Flow'!F10</f>
        <v>147.5810000000003</v>
      </c>
      <c r="G13" s="384">
        <f>+G14+'Cash Flow'!G10</f>
        <v>461.87500000000057</v>
      </c>
      <c r="H13" s="39"/>
      <c r="I13" s="378">
        <f>+I14+'Cash Flow'!I10</f>
        <v>104.71300000000009</v>
      </c>
      <c r="J13" s="32">
        <f>+J14+'Cash Flow'!J10</f>
        <v>134.26200000000014</v>
      </c>
      <c r="K13" s="32">
        <f>+K14+'Cash Flow'!K10</f>
        <v>134.88900000000004</v>
      </c>
      <c r="L13" s="393">
        <f>+L14+'Cash Flow'!L10</f>
        <v>146.78899999999823</v>
      </c>
      <c r="M13" s="384">
        <f>+M14+'Cash Flow'!M10</f>
        <v>520.65299999999911</v>
      </c>
      <c r="N13" s="39"/>
      <c r="O13" s="378">
        <f>+O14+'Cash Flow'!O10</f>
        <v>114.55199999999979</v>
      </c>
      <c r="P13" s="32">
        <f>+P14+'Cash Flow'!P10</f>
        <v>142.7829999999999</v>
      </c>
      <c r="Q13" s="32">
        <f>+Q14+'Cash Flow'!Q10</f>
        <v>134.08100000000005</v>
      </c>
      <c r="R13" s="393">
        <f>+R14+'Cash Flow'!R10</f>
        <v>157.18200000000104</v>
      </c>
      <c r="S13" s="384">
        <f>+S14+'Cash Flow'!S10</f>
        <v>548.59800000000064</v>
      </c>
      <c r="T13" s="39"/>
      <c r="U13" s="155">
        <f>+U14+'Cash Flow'!U10</f>
        <v>140.61599999999993</v>
      </c>
      <c r="V13" s="32">
        <f>+V14+'Cash Flow'!V10</f>
        <v>163.77800000000002</v>
      </c>
      <c r="W13" s="32">
        <f>+W14+'Cash Flow'!W10</f>
        <v>162.53399999999988</v>
      </c>
      <c r="X13" s="32">
        <f>+X14+'Cash Flow'!X10</f>
        <v>167.70200000000028</v>
      </c>
      <c r="Y13" s="384">
        <f>+Y14+'Cash Flow'!Y10</f>
        <v>634.63000000000011</v>
      </c>
      <c r="Z13" s="39"/>
      <c r="AA13" s="155">
        <f>+AA14+'Cash Flow'!AA10</f>
        <v>152.64799999999991</v>
      </c>
      <c r="AB13" s="32">
        <f>+AB14+'Cash Flow'!AB10</f>
        <v>180.33599999999993</v>
      </c>
      <c r="AC13" s="32">
        <f>+AC14+'Cash Flow'!AC10</f>
        <v>171.83200000000031</v>
      </c>
      <c r="AD13" s="32">
        <f>+AD14+'Cash Flow'!AD10</f>
        <v>193.22900000000004</v>
      </c>
      <c r="AE13" s="384">
        <f>+AE14+'Cash Flow'!AE10</f>
        <v>698.0450000000003</v>
      </c>
      <c r="AF13" s="39"/>
      <c r="AG13" s="155">
        <f>+AG14+'Cash Flow'!AG10</f>
        <v>175.54699999999974</v>
      </c>
      <c r="AH13" s="32">
        <f>+AH14+'Cash Flow'!AH10</f>
        <v>189.03100000000018</v>
      </c>
      <c r="AI13" s="32">
        <f>+AI14+'Cash Flow'!AI10</f>
        <v>180.22200000000007</v>
      </c>
      <c r="AJ13" s="32">
        <f>+AJ14+'Cash Flow'!AJ10</f>
        <v>214.67500000000192</v>
      </c>
      <c r="AK13" s="384">
        <f>+AK14+'Cash Flow'!AK10</f>
        <v>759.47500000000093</v>
      </c>
      <c r="AL13" s="39"/>
      <c r="AM13" s="155">
        <f>+AM14+'Cash Flow'!AM10</f>
        <v>186.02199999999996</v>
      </c>
      <c r="AN13" s="32">
        <f>+AN14+'Cash Flow'!AN10</f>
        <v>207.90800000000002</v>
      </c>
      <c r="AO13" s="32">
        <f>+AO14+'Cash Flow'!AO10</f>
        <v>192.32200000000014</v>
      </c>
      <c r="AP13" s="32">
        <f>+AP14+'Cash Flow'!AP10</f>
        <v>218.83700000000141</v>
      </c>
      <c r="AQ13" s="384">
        <f>+AQ14+'Cash Flow'!AQ10</f>
        <v>805.08900000000096</v>
      </c>
      <c r="AR13" s="39"/>
      <c r="AS13" s="155">
        <f>+AS14+'Cash Flow'!AS10</f>
        <v>193.40400000000014</v>
      </c>
      <c r="AT13" s="32">
        <f>+AT14+'Cash Flow'!AT10</f>
        <v>218.19699999999995</v>
      </c>
      <c r="AU13" s="32">
        <f>+AU14+'Cash Flow'!AU10</f>
        <v>213.26699999999974</v>
      </c>
      <c r="AV13" s="32">
        <f>+AV14+'Cash Flow'!AV10</f>
        <v>242.51200000000023</v>
      </c>
      <c r="AW13" s="384">
        <f>+AW14+'Cash Flow'!AW10</f>
        <v>867.37999999999988</v>
      </c>
      <c r="AX13" s="39"/>
      <c r="AY13" s="155">
        <f>+AY14+'Cash Flow'!AY10</f>
        <v>205.37800000000016</v>
      </c>
      <c r="AZ13" s="32">
        <f>+AZ14+'Cash Flow'!AZ10</f>
        <v>229.27800000000008</v>
      </c>
      <c r="BA13" s="32">
        <f>+BA14+'Cash Flow'!BA10</f>
        <v>240.03600000000017</v>
      </c>
      <c r="BB13" s="32">
        <f>+BB14+'Cash Flow'!BB10</f>
        <v>253.33799999999826</v>
      </c>
      <c r="BC13" s="384">
        <f>+BC14+'Cash Flow'!BC10</f>
        <v>928.02999999999884</v>
      </c>
      <c r="BD13" s="39"/>
      <c r="BE13" s="155">
        <f>+BE14+'Cash Flow'!BE10</f>
        <v>221.21900000000005</v>
      </c>
      <c r="BF13" s="32">
        <f>+BF14+'Cash Flow'!BF10</f>
        <v>243.49100000000027</v>
      </c>
      <c r="BG13" s="32">
        <f>+BG14+'Cash Flow'!BG10</f>
        <v>248.52199999999999</v>
      </c>
      <c r="BH13" s="32">
        <f>+BH14+'Cash Flow'!BH10</f>
        <v>274.01300000000003</v>
      </c>
      <c r="BI13" s="384">
        <f>+BI14+'Cash Flow'!BI10</f>
        <v>987.24500000000012</v>
      </c>
      <c r="BJ13" s="39"/>
      <c r="BK13" s="155">
        <f>+BK14+'Cash Flow'!BK10</f>
        <v>238.71700000000007</v>
      </c>
      <c r="BL13" s="32">
        <f>+BL14+'Cash Flow'!BL10</f>
        <v>258.45100000000025</v>
      </c>
      <c r="BM13" s="32">
        <f>+BM14+'Cash Flow'!BM10</f>
        <v>262.28800000000012</v>
      </c>
      <c r="BN13" s="32">
        <f>+BN14+'Cash Flow'!BN10</f>
        <v>292.98500000000013</v>
      </c>
      <c r="BO13" s="384">
        <f>+BO14+'Cash Flow'!BO10</f>
        <v>1052.4410000000007</v>
      </c>
      <c r="BP13" s="39"/>
      <c r="BQ13" s="155">
        <f>+BQ14+'Cash Flow'!BQ10</f>
        <v>260.78486938982496</v>
      </c>
      <c r="BR13" s="32">
        <f>+BR14+'Cash Flow'!BR10</f>
        <v>286.68738818226046</v>
      </c>
      <c r="BS13" s="32">
        <f>+BS14+'Cash Flow'!BS10</f>
        <v>287.72111634198092</v>
      </c>
      <c r="BT13" s="32">
        <f>+BT14+'Cash Flow'!BT10</f>
        <v>311.93838316057906</v>
      </c>
      <c r="BU13" s="384">
        <f>+BU14+'Cash Flow'!BU10</f>
        <v>1147.131757074646</v>
      </c>
      <c r="BV13" s="39"/>
      <c r="BW13" s="155">
        <f>+BW14+'Cash Flow'!BW10</f>
        <v>265.66063972066473</v>
      </c>
      <c r="BX13" s="32">
        <f>+BX14+'Cash Flow'!BX10</f>
        <v>284.29464619604778</v>
      </c>
      <c r="BY13" s="32">
        <f>+BY14+'Cash Flow'!BY10</f>
        <v>285.11964116926572</v>
      </c>
      <c r="BZ13" s="32">
        <f>+BZ14+'Cash Flow'!BZ10</f>
        <v>309.77001047092665</v>
      </c>
      <c r="CA13" s="384">
        <f>+CA14+'Cash Flow'!CA10</f>
        <v>1144.8449375569055</v>
      </c>
      <c r="CB13" s="39"/>
      <c r="CC13" s="155">
        <f>+CC14+'Cash Flow'!CC10</f>
        <v>261.43148778761565</v>
      </c>
      <c r="CD13" s="32">
        <f>+CD14+'Cash Flow'!CD10</f>
        <v>280.23587578309764</v>
      </c>
      <c r="CE13" s="32">
        <f>+CE14+'Cash Flow'!CE10</f>
        <v>280.84833576914417</v>
      </c>
      <c r="CF13" s="32">
        <f>+CF14+'Cash Flow'!CF10</f>
        <v>305.97984032427763</v>
      </c>
      <c r="CG13" s="384">
        <f>+CG14+'Cash Flow'!CG10</f>
        <v>1128.4955396641353</v>
      </c>
      <c r="CH13" s="32"/>
      <c r="CI13" s="32"/>
      <c r="CJ13" s="32"/>
      <c r="CK13" s="32"/>
      <c r="CL13" s="32"/>
      <c r="CM13" s="32"/>
      <c r="CN13" s="48"/>
      <c r="CO13"/>
      <c r="CP13"/>
      <c r="CQ13"/>
      <c r="CR13"/>
      <c r="CS13"/>
      <c r="CT13"/>
    </row>
    <row r="14" spans="1:98" s="7" customFormat="1" ht="11.25" customHeight="1" x14ac:dyDescent="0.2">
      <c r="A14" s="75"/>
      <c r="B14" s="419" t="s">
        <v>167</v>
      </c>
      <c r="C14" s="377">
        <f>C10-C11-C12</f>
        <v>73.720999999999947</v>
      </c>
      <c r="D14" s="50">
        <f>D10-D11-D12</f>
        <v>90.852000000000032</v>
      </c>
      <c r="E14" s="50">
        <f>E10-E11-E12</f>
        <v>96.700000000000159</v>
      </c>
      <c r="F14" s="392">
        <f>F10-F11-F12</f>
        <v>126.66600000000028</v>
      </c>
      <c r="G14" s="385">
        <f>G10-G11-G12</f>
        <v>387.93900000000053</v>
      </c>
      <c r="H14" s="40"/>
      <c r="I14" s="377">
        <f>I10-I11-I12</f>
        <v>85.275000000000091</v>
      </c>
      <c r="J14" s="50">
        <f>J10-J11-J12</f>
        <v>113.99200000000013</v>
      </c>
      <c r="K14" s="50">
        <f>K10-K11-K12</f>
        <v>115.41400000000004</v>
      </c>
      <c r="L14" s="392">
        <f>L10-L11-L12</f>
        <v>127.84499999999821</v>
      </c>
      <c r="M14" s="385">
        <f>M10-M11-M12</f>
        <v>442.52599999999916</v>
      </c>
      <c r="N14" s="40"/>
      <c r="O14" s="377">
        <f>O10-O11-O12</f>
        <v>94.630999999999801</v>
      </c>
      <c r="P14" s="50">
        <f>P10-P11-P12</f>
        <v>121.96999999999991</v>
      </c>
      <c r="Q14" s="50">
        <f>Q10-Q11-Q12</f>
        <v>113.88500000000005</v>
      </c>
      <c r="R14" s="392">
        <f>R10-R11-R12</f>
        <v>136.61900000000105</v>
      </c>
      <c r="S14" s="385">
        <f>S10-S11-S12</f>
        <v>467.1050000000007</v>
      </c>
      <c r="T14" s="40"/>
      <c r="U14" s="83">
        <f>U10-U11-U12</f>
        <v>116.04399999999993</v>
      </c>
      <c r="V14" s="50">
        <f>V10-V11-V12</f>
        <v>138.00600000000003</v>
      </c>
      <c r="W14" s="50">
        <f>W10-W11-W12</f>
        <v>137.36799999999988</v>
      </c>
      <c r="X14" s="50">
        <f>X10-X11-X12</f>
        <v>141.99800000000027</v>
      </c>
      <c r="Y14" s="385">
        <f>Y10-Y11-Y12</f>
        <v>533.41600000000017</v>
      </c>
      <c r="Z14" s="40"/>
      <c r="AA14" s="83">
        <f>AA10-AA11-AA12</f>
        <v>124.2999999999999</v>
      </c>
      <c r="AB14" s="50">
        <f>AB10-AB11-AB12</f>
        <v>151.21499999999992</v>
      </c>
      <c r="AC14" s="50">
        <f>AC10-AC11-AC12</f>
        <v>143.26100000000031</v>
      </c>
      <c r="AD14" s="50">
        <f>AD10-AD11-AD12</f>
        <v>163.37300000000005</v>
      </c>
      <c r="AE14" s="385">
        <f>AE10-AE11-AE12</f>
        <v>582.14900000000034</v>
      </c>
      <c r="AF14" s="40"/>
      <c r="AG14" s="83">
        <f>AG10-AG11-AG12</f>
        <v>145.12699999999973</v>
      </c>
      <c r="AH14" s="50">
        <f>AH10-AH11-AH12</f>
        <v>158.06200000000018</v>
      </c>
      <c r="AI14" s="50">
        <f>AI10-AI11-AI12</f>
        <v>149.62200000000007</v>
      </c>
      <c r="AJ14" s="50">
        <f>AJ10-AJ11-AJ12</f>
        <v>181.34200000000192</v>
      </c>
      <c r="AK14" s="385">
        <f>AK10-AK11-AK12</f>
        <v>634.15300000000093</v>
      </c>
      <c r="AL14" s="40"/>
      <c r="AM14" s="83">
        <f>AM10-AM11-AM12</f>
        <v>153.62899999999996</v>
      </c>
      <c r="AN14" s="50">
        <f>AN10-AN11-AN12</f>
        <v>176.065</v>
      </c>
      <c r="AO14" s="50">
        <f>AO10-AO11-AO12</f>
        <v>160.47700000000015</v>
      </c>
      <c r="AP14" s="50">
        <f>AP10-AP11-AP12</f>
        <v>186.8830000000014</v>
      </c>
      <c r="AQ14" s="385">
        <f>AQ10-AQ11-AQ12</f>
        <v>677.054000000001</v>
      </c>
      <c r="AR14" s="40"/>
      <c r="AS14" s="83">
        <f>AS10-AS11-AS12</f>
        <v>157.26800000000014</v>
      </c>
      <c r="AT14" s="50">
        <f>AT10-AT11-AT12</f>
        <v>180.84399999999994</v>
      </c>
      <c r="AU14" s="50">
        <f>AU10-AU11-AU12</f>
        <v>174.08799999999974</v>
      </c>
      <c r="AV14" s="50">
        <f>AV10-AV11-AV12</f>
        <v>202.94200000000023</v>
      </c>
      <c r="AW14" s="385">
        <f>AW10-AW11-AW12</f>
        <v>715.14199999999983</v>
      </c>
      <c r="AX14" s="40"/>
      <c r="AY14" s="83">
        <f>AY10-AY11-AY12</f>
        <v>168.22900000000016</v>
      </c>
      <c r="AZ14" s="50">
        <f>AZ10-AZ11-AZ12</f>
        <v>190.25200000000007</v>
      </c>
      <c r="BA14" s="50">
        <f>BA10-BA11-BA12</f>
        <v>197.32000000000016</v>
      </c>
      <c r="BB14" s="50">
        <f>BB10-BB11-BB12</f>
        <v>213.10199999999827</v>
      </c>
      <c r="BC14" s="385">
        <f>BC10-BC11-BC12</f>
        <v>768.90299999999888</v>
      </c>
      <c r="BD14" s="40"/>
      <c r="BE14" s="83">
        <f>BE10-BE11-BE12</f>
        <v>180.25200000000007</v>
      </c>
      <c r="BF14" s="50">
        <f>BF10-BF11-BF12</f>
        <v>201.06000000000029</v>
      </c>
      <c r="BG14" s="50">
        <f>BG10-BG11-BG12</f>
        <v>206.09100000000001</v>
      </c>
      <c r="BH14" s="50">
        <f>BH10-BH11-BH12</f>
        <v>230.06200000000001</v>
      </c>
      <c r="BI14" s="385">
        <f>BI10-BI11-BI12</f>
        <v>817.46500000000015</v>
      </c>
      <c r="BJ14" s="40"/>
      <c r="BK14" s="83">
        <f>BK10-BK11-BK12</f>
        <v>193.96800000000007</v>
      </c>
      <c r="BL14" s="50">
        <f>BL10-BL11-BL12</f>
        <v>210.66200000000026</v>
      </c>
      <c r="BM14" s="50">
        <f>BM10-BM11-BM12</f>
        <v>213.54800000000012</v>
      </c>
      <c r="BN14" s="50">
        <f>BN10-BN11-BN12</f>
        <v>241.19100000000014</v>
      </c>
      <c r="BO14" s="385">
        <f>BO10-BO11-BO12</f>
        <v>859.3690000000006</v>
      </c>
      <c r="BP14" s="40"/>
      <c r="BQ14" s="83">
        <f>BQ10-BQ11-BQ12</f>
        <v>207.12669688982498</v>
      </c>
      <c r="BR14" s="50">
        <f>BR10-BR11-BR12</f>
        <v>233.87449187218294</v>
      </c>
      <c r="BS14" s="50">
        <f>BS10-BS11-BS12</f>
        <v>235.65961442250341</v>
      </c>
      <c r="BT14" s="50">
        <f>BT10-BT11-BT12</f>
        <v>260.55829637262718</v>
      </c>
      <c r="BU14" s="385">
        <f>BU10-BU11-BU12</f>
        <v>937.21909955713909</v>
      </c>
      <c r="BV14" s="40"/>
      <c r="BW14" s="83">
        <f>BW10-BW11-BW12</f>
        <v>212.10083368458095</v>
      </c>
      <c r="BX14" s="50">
        <f>BX10-BX11-BX12</f>
        <v>231.59044496601712</v>
      </c>
      <c r="BY14" s="50">
        <f>BY10-BY11-BY12</f>
        <v>233.17123012073864</v>
      </c>
      <c r="BZ14" s="50">
        <f>BZ10-BZ11-BZ12</f>
        <v>258.498981713852</v>
      </c>
      <c r="CA14" s="385">
        <f>CA10-CA11-CA12</f>
        <v>935.36149048518928</v>
      </c>
      <c r="CB14" s="40"/>
      <c r="CC14" s="83">
        <f>CC10-CC11-CC12</f>
        <v>208.4856795223576</v>
      </c>
      <c r="CD14" s="50">
        <f>CD10-CD11-CD12</f>
        <v>228.10431946895869</v>
      </c>
      <c r="CE14" s="50">
        <f>CE10-CE11-CE12</f>
        <v>229.42399891490436</v>
      </c>
      <c r="CF14" s="50">
        <f>CF10-CF11-CF12</f>
        <v>255.17866724257169</v>
      </c>
      <c r="CG14" s="385">
        <f>CG10-CG11-CG12</f>
        <v>921.19266514879246</v>
      </c>
      <c r="CH14" s="159"/>
      <c r="CI14" s="159"/>
      <c r="CJ14" s="159"/>
      <c r="CK14" s="159"/>
      <c r="CL14" s="159"/>
      <c r="CM14" s="75"/>
      <c r="CN14" s="75"/>
      <c r="CO14"/>
      <c r="CP14"/>
      <c r="CQ14"/>
      <c r="CR14"/>
      <c r="CS14"/>
      <c r="CT14"/>
    </row>
    <row r="15" spans="1:98" s="7" customFormat="1" ht="11.25" customHeight="1" x14ac:dyDescent="0.2">
      <c r="A15" s="75"/>
      <c r="B15" s="419"/>
      <c r="C15" s="377"/>
      <c r="D15" s="50"/>
      <c r="E15" s="50"/>
      <c r="F15" s="392"/>
      <c r="G15" s="385"/>
      <c r="H15" s="40"/>
      <c r="I15" s="377"/>
      <c r="J15" s="50"/>
      <c r="K15" s="50"/>
      <c r="L15" s="392"/>
      <c r="M15" s="385"/>
      <c r="N15" s="40"/>
      <c r="O15" s="377"/>
      <c r="P15" s="50"/>
      <c r="Q15" s="50"/>
      <c r="R15" s="392"/>
      <c r="S15" s="385"/>
      <c r="T15" s="40"/>
      <c r="U15" s="83"/>
      <c r="V15" s="50"/>
      <c r="W15" s="50"/>
      <c r="X15" s="50"/>
      <c r="Y15" s="385"/>
      <c r="Z15" s="40"/>
      <c r="AA15" s="83"/>
      <c r="AB15" s="50"/>
      <c r="AC15" s="50"/>
      <c r="AD15" s="50"/>
      <c r="AE15" s="385"/>
      <c r="AF15" s="40"/>
      <c r="AG15" s="83"/>
      <c r="AH15" s="50"/>
      <c r="AI15" s="50"/>
      <c r="AJ15" s="50"/>
      <c r="AK15" s="385"/>
      <c r="AL15" s="40"/>
      <c r="AM15" s="83"/>
      <c r="AN15" s="50"/>
      <c r="AO15" s="50"/>
      <c r="AP15" s="50"/>
      <c r="AQ15" s="385"/>
      <c r="AR15" s="40"/>
      <c r="AS15" s="83"/>
      <c r="AT15" s="50"/>
      <c r="AU15" s="50"/>
      <c r="AV15" s="50"/>
      <c r="AW15" s="385"/>
      <c r="AX15" s="40"/>
      <c r="AY15" s="83"/>
      <c r="AZ15" s="50"/>
      <c r="BA15" s="50"/>
      <c r="BB15" s="50"/>
      <c r="BC15" s="385"/>
      <c r="BD15" s="40"/>
      <c r="BE15" s="83"/>
      <c r="BF15" s="50"/>
      <c r="BG15" s="50"/>
      <c r="BH15" s="50"/>
      <c r="BI15" s="385"/>
      <c r="BJ15" s="40"/>
      <c r="BK15" s="83"/>
      <c r="BL15" s="50"/>
      <c r="BM15" s="50"/>
      <c r="BN15" s="50"/>
      <c r="BO15" s="385"/>
      <c r="BP15" s="40"/>
      <c r="BQ15" s="83"/>
      <c r="BR15" s="50"/>
      <c r="BS15" s="50"/>
      <c r="BT15" s="50"/>
      <c r="BU15" s="385"/>
      <c r="BV15" s="40"/>
      <c r="BW15" s="83"/>
      <c r="BX15" s="50"/>
      <c r="BY15" s="50"/>
      <c r="BZ15" s="50"/>
      <c r="CA15" s="385"/>
      <c r="CB15" s="40"/>
      <c r="CC15" s="83"/>
      <c r="CD15" s="50"/>
      <c r="CE15" s="50"/>
      <c r="CF15" s="50"/>
      <c r="CG15" s="385"/>
      <c r="CH15" s="50"/>
      <c r="CI15" s="50"/>
      <c r="CJ15" s="50"/>
      <c r="CK15" s="50"/>
      <c r="CL15" s="50"/>
      <c r="CM15" s="75"/>
      <c r="CN15" s="75"/>
      <c r="CO15"/>
      <c r="CP15"/>
      <c r="CQ15"/>
      <c r="CR15"/>
      <c r="CS15"/>
      <c r="CT15"/>
    </row>
    <row r="16" spans="1:98" s="7" customFormat="1" ht="11.25" customHeight="1" x14ac:dyDescent="0.2">
      <c r="A16" s="136"/>
      <c r="B16" s="420" t="s">
        <v>192</v>
      </c>
      <c r="C16" s="378">
        <f>+C17+C18+C19</f>
        <v>-1.9450000000000003</v>
      </c>
      <c r="D16" s="32">
        <f>+D17+D18+D19</f>
        <v>-1.4069999999999996</v>
      </c>
      <c r="E16" s="32">
        <f>+E17+E18+E19</f>
        <v>2.0789999999999997</v>
      </c>
      <c r="F16" s="393">
        <f>+F17+F18+F19</f>
        <v>-2.4019999999999992</v>
      </c>
      <c r="G16" s="384">
        <f>+G17+G18+G19</f>
        <v>-3.6749999999999998</v>
      </c>
      <c r="H16" s="39"/>
      <c r="I16" s="378">
        <f>+I17+I18+I19</f>
        <v>-4.5669999999999993</v>
      </c>
      <c r="J16" s="32">
        <f>+J17+J18+J19</f>
        <v>-5.91</v>
      </c>
      <c r="K16" s="32">
        <f>+K17+K18+K19</f>
        <v>-6.7980000000000009</v>
      </c>
      <c r="L16" s="393">
        <f>+L17+L18+L19</f>
        <v>-3.5169999999999964</v>
      </c>
      <c r="M16" s="384">
        <f>+M17+M18+M19</f>
        <v>-20.791999999999994</v>
      </c>
      <c r="N16" s="39"/>
      <c r="O16" s="378">
        <f>+O17+O18+O19</f>
        <v>-3.9209999999999998</v>
      </c>
      <c r="P16" s="32">
        <f>+P17+P18+P19</f>
        <v>-4.2929999999999993</v>
      </c>
      <c r="Q16" s="32">
        <f>+Q17+Q18+Q19</f>
        <v>-2.2120000000000006</v>
      </c>
      <c r="R16" s="393">
        <f>+R17+R18+R19</f>
        <v>-2.3050000000000024</v>
      </c>
      <c r="S16" s="384">
        <f>+S17+S18+S19</f>
        <v>-12.731000000000002</v>
      </c>
      <c r="T16" s="39"/>
      <c r="U16" s="155">
        <f>+U17+U18+U19</f>
        <v>-5.8140000000000001</v>
      </c>
      <c r="V16" s="32">
        <f>+V17+V18+V19</f>
        <v>-5.2030000000000003</v>
      </c>
      <c r="W16" s="32">
        <f>+W17+W18+W19</f>
        <v>-4.3729999999999993</v>
      </c>
      <c r="X16" s="32">
        <f>+X17+X18+X19</f>
        <v>-3.7060000000000004</v>
      </c>
      <c r="Y16" s="384">
        <f>+Y17+Y18+Y19</f>
        <v>-19.096</v>
      </c>
      <c r="Z16" s="39"/>
      <c r="AA16" s="155">
        <f>+AA17+AA18+AA19</f>
        <v>-3.8290000000000011</v>
      </c>
      <c r="AB16" s="32">
        <f>+AB17+AB18+AB19</f>
        <v>-2.952</v>
      </c>
      <c r="AC16" s="32">
        <f>+AC17+AC18+AC19</f>
        <v>-2.7509999999999994</v>
      </c>
      <c r="AD16" s="32">
        <f>+AD17+AD18+AD19</f>
        <v>-3.3099999999999983</v>
      </c>
      <c r="AE16" s="384">
        <f>+AE17+AE18+AE19</f>
        <v>-12.841999999999999</v>
      </c>
      <c r="AF16" s="39"/>
      <c r="AG16" s="155">
        <f>+AG17+AG18+AG19</f>
        <v>-3.7849999999999997</v>
      </c>
      <c r="AH16" s="32">
        <f>+AH17+AH18+AH19</f>
        <v>-3.2720000000000002</v>
      </c>
      <c r="AI16" s="32">
        <f>+AI17+AI18+AI19</f>
        <v>-3.0370000000000004</v>
      </c>
      <c r="AJ16" s="32">
        <f>+AJ17+AJ18+AJ19</f>
        <v>-4.679000000000002</v>
      </c>
      <c r="AK16" s="384">
        <f>+AK17+AK18+AK19</f>
        <v>-14.773000000000003</v>
      </c>
      <c r="AL16" s="39"/>
      <c r="AM16" s="155">
        <f>+AM17+AM18+AM19</f>
        <v>-3.6920000000000002</v>
      </c>
      <c r="AN16" s="32">
        <f>+AN17+AN18+AN19</f>
        <v>-1.6209999999999998</v>
      </c>
      <c r="AO16" s="32">
        <f>+AO17+AO18+AO19</f>
        <v>-0.55200000000000005</v>
      </c>
      <c r="AP16" s="32">
        <f>+AP17+AP18+AP19</f>
        <v>-0.29499999999999993</v>
      </c>
      <c r="AQ16" s="384">
        <f>+AQ17+AQ18+AQ19</f>
        <v>-6.160000000000001</v>
      </c>
      <c r="AR16" s="39"/>
      <c r="AS16" s="155">
        <f>+AS17+AS18+AS19</f>
        <v>1.7770000000000001</v>
      </c>
      <c r="AT16" s="32">
        <f>+AT17+AT18+AT19</f>
        <v>-1.222</v>
      </c>
      <c r="AU16" s="32">
        <f>+AU17+AU18+AU19</f>
        <v>-3.3120000000000003</v>
      </c>
      <c r="AV16" s="32">
        <f>+AV17+AV18+AV19</f>
        <v>-3.0729999999999977</v>
      </c>
      <c r="AW16" s="384">
        <f>+AW17+AW18+AW19</f>
        <v>-5.8299999999999992</v>
      </c>
      <c r="AX16" s="39"/>
      <c r="AY16" s="155">
        <f>+AY17+AY18+AY19</f>
        <v>-2.6879999999999997</v>
      </c>
      <c r="AZ16" s="32">
        <f>+AZ17+AZ18+AZ19</f>
        <v>-3.21</v>
      </c>
      <c r="BA16" s="32">
        <f>+BA17+BA18+BA19</f>
        <v>-3.4449999999999998</v>
      </c>
      <c r="BB16" s="32">
        <f>+BB17+BB18+BB19</f>
        <v>-3.8709999999999964</v>
      </c>
      <c r="BC16" s="384">
        <f>+BC17+BC18+BC19</f>
        <v>-13.213999999999999</v>
      </c>
      <c r="BD16" s="39"/>
      <c r="BE16" s="155">
        <f>+BE17+BE18+BE19</f>
        <v>-0.6419999999999999</v>
      </c>
      <c r="BF16" s="32">
        <f>+BF17+BF18+BF19</f>
        <v>-3.5430000000000001</v>
      </c>
      <c r="BG16" s="32">
        <f>+BG17+BG18+BG19</f>
        <v>-4.5460000000000003</v>
      </c>
      <c r="BH16" s="32">
        <f>+BH17+BH18+BH19</f>
        <v>-7.0079999999999991</v>
      </c>
      <c r="BI16" s="384">
        <f>SUM(BI17:BI19)</f>
        <v>-15.739000000000001</v>
      </c>
      <c r="BJ16" s="39"/>
      <c r="BK16" s="155">
        <f>+BK17+BK18+BK19</f>
        <v>-7.1709999999999994</v>
      </c>
      <c r="BL16" s="32">
        <f>+BL17+BL18+BL19</f>
        <v>-7.3630000000000013</v>
      </c>
      <c r="BM16" s="32">
        <f>+BM17+BM18+BM19</f>
        <v>-8.8290000000000024</v>
      </c>
      <c r="BN16" s="32">
        <f>+BN17+BN18+BN19</f>
        <v>-30.793999999999997</v>
      </c>
      <c r="BO16" s="384">
        <f>SUM(BO17:BO19)</f>
        <v>-54.156999999999996</v>
      </c>
      <c r="BP16" s="39"/>
      <c r="BQ16" s="155">
        <f>SUM(BQ17:BQ19)</f>
        <v>-14.155149987500002</v>
      </c>
      <c r="BR16" s="32">
        <f>SUM(BR17:BR19)</f>
        <v>-14.20092993607402</v>
      </c>
      <c r="BS16" s="32">
        <f>SUM(BS17:BS19)</f>
        <v>-14.340037228959867</v>
      </c>
      <c r="BT16" s="32">
        <f>SUM(BT17:BT19)</f>
        <v>-14.066686077031058</v>
      </c>
      <c r="BU16" s="384">
        <f>SUM(BU17:BU19)</f>
        <v>-56.762803229564945</v>
      </c>
      <c r="BV16" s="39"/>
      <c r="BW16" s="155">
        <f>SUM(BW17:BW19)</f>
        <v>-13.752669929121469</v>
      </c>
      <c r="BX16" s="32">
        <f>SUM(BX17:BX19)</f>
        <v>-13.575732478683765</v>
      </c>
      <c r="BY16" s="32">
        <f>SUM(BY17:BY19)</f>
        <v>-13.768646698108755</v>
      </c>
      <c r="BZ16" s="32">
        <f>SUM(BZ17:BZ19)</f>
        <v>-13.539000534760264</v>
      </c>
      <c r="CA16" s="384">
        <f>SUM(CA17:CA19)</f>
        <v>-54.636049640674251</v>
      </c>
      <c r="CB16" s="39"/>
      <c r="CC16" s="155">
        <f>SUM(CC17:CC19)</f>
        <v>-4.1348111259916678</v>
      </c>
      <c r="CD16" s="32">
        <f>SUM(CD17:CD19)</f>
        <v>-2.6601299838035857</v>
      </c>
      <c r="CE16" s="32">
        <f>SUM(CE17:CE19)</f>
        <v>-3.9928741628951983</v>
      </c>
      <c r="CF16" s="32">
        <f>SUM(CF17:CF19)</f>
        <v>-4.7338909044369561</v>
      </c>
      <c r="CG16" s="384">
        <f>SUM(CG17:CG19)</f>
        <v>-15.521706177127413</v>
      </c>
      <c r="CH16" s="32"/>
      <c r="CI16" s="32"/>
      <c r="CJ16" s="32"/>
      <c r="CK16" s="32"/>
      <c r="CL16" s="32"/>
      <c r="CM16" s="48"/>
      <c r="CN16" s="48"/>
      <c r="CO16"/>
      <c r="CP16"/>
      <c r="CQ16"/>
      <c r="CR16"/>
      <c r="CS16"/>
      <c r="CT16"/>
    </row>
    <row r="17" spans="1:98" s="7" customFormat="1" ht="11.25" customHeight="1" x14ac:dyDescent="0.2">
      <c r="A17" s="136"/>
      <c r="B17" s="416" t="s">
        <v>97</v>
      </c>
      <c r="C17" s="376">
        <v>4.1189999999999998</v>
      </c>
      <c r="D17" s="218">
        <v>4.2690000000000001</v>
      </c>
      <c r="E17" s="218">
        <v>4.3780000000000001</v>
      </c>
      <c r="F17" s="391">
        <f>16.531-SUM(C17:E17)</f>
        <v>3.7649999999999988</v>
      </c>
      <c r="G17" s="384">
        <f>+SUM(C17:F17)</f>
        <v>16.530999999999999</v>
      </c>
      <c r="H17" s="62"/>
      <c r="I17" s="376">
        <v>3.9830000000000001</v>
      </c>
      <c r="J17" s="218">
        <v>3.9740000000000002</v>
      </c>
      <c r="K17" s="218">
        <v>4.26</v>
      </c>
      <c r="L17" s="391">
        <f>16.355-SUM(I17:K17)</f>
        <v>4.1379999999999999</v>
      </c>
      <c r="M17" s="384">
        <f>+SUM(I17:L17)</f>
        <v>16.355</v>
      </c>
      <c r="N17" s="62"/>
      <c r="O17" s="376">
        <v>2.8010000000000002</v>
      </c>
      <c r="P17" s="218">
        <v>2.4860000000000002</v>
      </c>
      <c r="Q17" s="218">
        <v>2.387</v>
      </c>
      <c r="R17" s="391">
        <f>9.979-SUM(O17:Q17)</f>
        <v>2.3049999999999979</v>
      </c>
      <c r="S17" s="384">
        <f>+SUM(O17:R17)</f>
        <v>9.9789999999999992</v>
      </c>
      <c r="T17" s="62"/>
      <c r="U17" s="222">
        <v>3.3879999999999999</v>
      </c>
      <c r="V17" s="218">
        <v>3.508</v>
      </c>
      <c r="W17" s="218">
        <v>3.4220000000000002</v>
      </c>
      <c r="X17" s="218">
        <f>14.098-SUM(U17:W17)</f>
        <v>3.7800000000000011</v>
      </c>
      <c r="Y17" s="384">
        <f>+SUM(U17:X17)</f>
        <v>14.098000000000001</v>
      </c>
      <c r="Z17" s="62"/>
      <c r="AA17" s="222">
        <v>3.9329999999999998</v>
      </c>
      <c r="AB17" s="218">
        <v>4.1920000000000002</v>
      </c>
      <c r="AC17" s="218">
        <v>3.83</v>
      </c>
      <c r="AD17" s="218">
        <f>15.593-SUM(AA17:AC17)</f>
        <v>3.6379999999999999</v>
      </c>
      <c r="AE17" s="384">
        <f>+SUM(AA17:AD17)</f>
        <v>15.593</v>
      </c>
      <c r="AF17" s="62"/>
      <c r="AG17" s="222">
        <v>3.33</v>
      </c>
      <c r="AH17" s="218">
        <v>3.609</v>
      </c>
      <c r="AI17" s="218">
        <v>3.2829999999999999</v>
      </c>
      <c r="AJ17" s="218">
        <f>13.394-SUM(AG17:AI17)</f>
        <v>3.1720000000000006</v>
      </c>
      <c r="AK17" s="384">
        <f>+SUM(AG17:AJ17)</f>
        <v>13.394</v>
      </c>
      <c r="AL17" s="62"/>
      <c r="AM17" s="222">
        <v>3.2050000000000001</v>
      </c>
      <c r="AN17" s="218">
        <v>3.3029999999999999</v>
      </c>
      <c r="AO17" s="218">
        <v>3.2360000000000002</v>
      </c>
      <c r="AP17" s="218">
        <f>12.853-SUM(AM17:AO17)</f>
        <v>3.109</v>
      </c>
      <c r="AQ17" s="384">
        <f>+SUM(AM17:AP17)</f>
        <v>12.853</v>
      </c>
      <c r="AR17" s="62"/>
      <c r="AS17" s="222">
        <v>3.4550000000000001</v>
      </c>
      <c r="AT17" s="218">
        <v>3.4159999999999999</v>
      </c>
      <c r="AU17" s="218">
        <v>3.452</v>
      </c>
      <c r="AV17" s="218">
        <f>13.655-SUM(AS17:AU17)</f>
        <v>3.331999999999999</v>
      </c>
      <c r="AW17" s="384">
        <f>+SUM(AS17:AV17)</f>
        <v>13.654999999999999</v>
      </c>
      <c r="AX17" s="62"/>
      <c r="AY17" s="222">
        <v>3.4550000000000001</v>
      </c>
      <c r="AZ17" s="218">
        <v>3.2570000000000001</v>
      </c>
      <c r="BA17" s="218">
        <v>3.129</v>
      </c>
      <c r="BB17" s="218">
        <f>12.935-SUM(AY17:BA17)</f>
        <v>3.0940000000000012</v>
      </c>
      <c r="BC17" s="384">
        <f>+SUM(AY17:BB17)</f>
        <v>12.935</v>
      </c>
      <c r="BD17" s="62"/>
      <c r="BE17" s="222">
        <v>3.3479999999999999</v>
      </c>
      <c r="BF17" s="218">
        <v>3.556</v>
      </c>
      <c r="BG17" s="218">
        <v>3.141</v>
      </c>
      <c r="BH17" s="218">
        <v>3.23</v>
      </c>
      <c r="BI17" s="384">
        <f>SUM(BE17:BH17)</f>
        <v>13.275</v>
      </c>
      <c r="BJ17" s="62"/>
      <c r="BK17" s="222">
        <v>4.3040000000000003</v>
      </c>
      <c r="BL17" s="218">
        <v>4.1070000000000002</v>
      </c>
      <c r="BM17" s="218">
        <v>4.7930000000000001</v>
      </c>
      <c r="BN17" s="218">
        <v>4.3490000000000002</v>
      </c>
      <c r="BO17" s="384">
        <f>SUM(BK17:BN17)</f>
        <v>17.553000000000001</v>
      </c>
      <c r="BP17" s="62"/>
      <c r="BQ17" s="234">
        <f>+'BalSht '!BQ151</f>
        <v>0.65496749999999992</v>
      </c>
      <c r="BR17" s="221">
        <f>+'BalSht '!BR151</f>
        <v>0.60918755142598124</v>
      </c>
      <c r="BS17" s="221">
        <f>+'BalSht '!BS151</f>
        <v>0.47008025854013491</v>
      </c>
      <c r="BT17" s="221">
        <f>+'BalSht '!BT151</f>
        <v>0.74343141046894368</v>
      </c>
      <c r="BU17" s="384">
        <f>SUM(BQ17:BT17)</f>
        <v>2.4776667204350598</v>
      </c>
      <c r="BV17" s="62"/>
      <c r="BW17" s="234">
        <f>+'BalSht '!BW151</f>
        <v>1.0574475583785321</v>
      </c>
      <c r="BX17" s="221">
        <f>+'BalSht '!BX151</f>
        <v>1.2343850088162358</v>
      </c>
      <c r="BY17" s="221">
        <f>+'BalSht '!BY151</f>
        <v>1.0414707893912465</v>
      </c>
      <c r="BZ17" s="221">
        <f>+'BalSht '!BZ151</f>
        <v>1.2711169527397375</v>
      </c>
      <c r="CA17" s="384">
        <f>SUM(BW17:BZ17)</f>
        <v>4.6044203093257519</v>
      </c>
      <c r="CB17" s="62"/>
      <c r="CC17" s="234">
        <f>+'BalSht '!CC151</f>
        <v>10.675306361508333</v>
      </c>
      <c r="CD17" s="221">
        <f>+'BalSht '!CD151</f>
        <v>12.149987503696416</v>
      </c>
      <c r="CE17" s="221">
        <f>+'BalSht '!CE151</f>
        <v>10.343493324604804</v>
      </c>
      <c r="CF17" s="221">
        <f>+'BalSht '!CF151</f>
        <v>9.1287265830630435</v>
      </c>
      <c r="CG17" s="384">
        <f>SUM(CC17:CF17)</f>
        <v>42.297513772872591</v>
      </c>
      <c r="CH17" s="32"/>
      <c r="CI17" s="32"/>
      <c r="CJ17" s="1301"/>
      <c r="CK17" s="32"/>
      <c r="CL17" s="32"/>
      <c r="CM17" s="48"/>
      <c r="CN17" s="48"/>
      <c r="CO17"/>
      <c r="CP17"/>
      <c r="CQ17"/>
      <c r="CR17"/>
      <c r="CS17"/>
      <c r="CT17"/>
    </row>
    <row r="18" spans="1:98" s="7" customFormat="1" ht="11.25" customHeight="1" x14ac:dyDescent="0.2">
      <c r="A18" s="136"/>
      <c r="B18" s="416" t="s">
        <v>98</v>
      </c>
      <c r="C18" s="376">
        <v>-5.9420000000000002</v>
      </c>
      <c r="D18" s="218">
        <v>-6.2229999999999999</v>
      </c>
      <c r="E18" s="218">
        <v>-6.2160000000000002</v>
      </c>
      <c r="F18" s="391">
        <f>-24.836-SUM(C18:E18)</f>
        <v>-6.4549999999999983</v>
      </c>
      <c r="G18" s="384">
        <f>+SUM(C18:F18)</f>
        <v>-24.835999999999999</v>
      </c>
      <c r="H18" s="62"/>
      <c r="I18" s="376">
        <v>-8.1669999999999998</v>
      </c>
      <c r="J18" s="218">
        <v>-9.593</v>
      </c>
      <c r="K18" s="218">
        <v>-9.24</v>
      </c>
      <c r="L18" s="391">
        <f>-34.605-SUM(I18:K18)</f>
        <v>-7.6049999999999969</v>
      </c>
      <c r="M18" s="384">
        <f>+SUM(I18:L18)</f>
        <v>-34.604999999999997</v>
      </c>
      <c r="N18" s="62"/>
      <c r="O18" s="376">
        <v>-6.7519999999999998</v>
      </c>
      <c r="P18" s="218">
        <v>-6.4059999999999997</v>
      </c>
      <c r="Q18" s="218">
        <v>-5.1710000000000003</v>
      </c>
      <c r="R18" s="391">
        <f>-23.37-SUM(O18:Q18)</f>
        <v>-5.0410000000000004</v>
      </c>
      <c r="S18" s="384">
        <f>+SUM(O18:R18)</f>
        <v>-23.37</v>
      </c>
      <c r="T18" s="62"/>
      <c r="U18" s="222">
        <v>-9.0869999999999997</v>
      </c>
      <c r="V18" s="218">
        <v>-9.1850000000000005</v>
      </c>
      <c r="W18" s="218">
        <v>-7.8239999999999998</v>
      </c>
      <c r="X18" s="218">
        <f>-33.641-SUM(U18:W18)</f>
        <v>-7.5450000000000017</v>
      </c>
      <c r="Y18" s="384">
        <f>+SUM(U18:X18)</f>
        <v>-33.640999999999998</v>
      </c>
      <c r="Z18" s="62"/>
      <c r="AA18" s="222">
        <v>-8.0850000000000009</v>
      </c>
      <c r="AB18" s="218">
        <v>-7.9020000000000001</v>
      </c>
      <c r="AC18" s="218">
        <v>-6.8129999999999997</v>
      </c>
      <c r="AD18" s="218">
        <f>-30.377-SUM(AA18:AC18)</f>
        <v>-7.5769999999999982</v>
      </c>
      <c r="AE18" s="384">
        <f>+SUM(AA18:AD18)</f>
        <v>-30.376999999999999</v>
      </c>
      <c r="AF18" s="62"/>
      <c r="AG18" s="222">
        <v>-7.64</v>
      </c>
      <c r="AH18" s="218">
        <v>-7.7110000000000003</v>
      </c>
      <c r="AI18" s="218">
        <v>-7.3079999999999998</v>
      </c>
      <c r="AJ18" s="218">
        <f>-30.902-SUM(AG18:AI18)</f>
        <v>-8.2430000000000021</v>
      </c>
      <c r="AK18" s="384">
        <f>+SUM(AG18:AJ18)</f>
        <v>-30.902000000000001</v>
      </c>
      <c r="AL18" s="62"/>
      <c r="AM18" s="222">
        <f>-12.727+AM63</f>
        <v>-6.5270000000000001</v>
      </c>
      <c r="AN18" s="218">
        <v>-4.8899999999999997</v>
      </c>
      <c r="AO18" s="218">
        <v>-5.0510000000000002</v>
      </c>
      <c r="AP18" s="218">
        <f>-27.538-SUM(AM18:AO18)+6.2</f>
        <v>-4.87</v>
      </c>
      <c r="AQ18" s="384">
        <f>+SUM(AM18:AP18)</f>
        <v>-21.338000000000001</v>
      </c>
      <c r="AR18" s="62"/>
      <c r="AS18" s="222">
        <v>-5.258</v>
      </c>
      <c r="AT18" s="218">
        <v>-5.67</v>
      </c>
      <c r="AU18" s="218">
        <v>-6.28</v>
      </c>
      <c r="AV18" s="218">
        <f>-24.057-SUM(AS18:AU18)</f>
        <v>-6.8489999999999966</v>
      </c>
      <c r="AW18" s="384">
        <f>+SUM(AS18:AV18)</f>
        <v>-24.056999999999999</v>
      </c>
      <c r="AX18" s="62"/>
      <c r="AY18" s="222">
        <v>-6.2629999999999999</v>
      </c>
      <c r="AZ18" s="218">
        <v>-6.29</v>
      </c>
      <c r="BA18" s="218">
        <v>-6.2969999999999997</v>
      </c>
      <c r="BB18" s="218">
        <f>-26.008-SUM(AY18:BA18)</f>
        <v>-7.1579999999999977</v>
      </c>
      <c r="BC18" s="384">
        <f>+SUM(AY18:BB18)</f>
        <v>-26.007999999999999</v>
      </c>
      <c r="BD18" s="62"/>
      <c r="BE18" s="222">
        <v>-7.1269999999999998</v>
      </c>
      <c r="BF18" s="218">
        <v>-7.367</v>
      </c>
      <c r="BG18" s="218">
        <v>-7.4880000000000004</v>
      </c>
      <c r="BH18" s="218">
        <v>-9.9109999999999996</v>
      </c>
      <c r="BI18" s="384">
        <f>SUM(BE18:BH18)</f>
        <v>-31.893000000000001</v>
      </c>
      <c r="BJ18" s="62"/>
      <c r="BK18" s="222">
        <v>-11.43</v>
      </c>
      <c r="BL18" s="218">
        <v>-12.198</v>
      </c>
      <c r="BM18" s="218">
        <v>-13.428000000000001</v>
      </c>
      <c r="BN18" s="218">
        <v>-16.597999999999999</v>
      </c>
      <c r="BO18" s="384">
        <f>SUM(BK18:BN18)</f>
        <v>-53.653999999999996</v>
      </c>
      <c r="BP18" s="62"/>
      <c r="BQ18" s="234">
        <f>-Debt!BQ122</f>
        <v>-14.810117487500001</v>
      </c>
      <c r="BR18" s="221">
        <f>-Debt!BR122</f>
        <v>-14.810117487500001</v>
      </c>
      <c r="BS18" s="221">
        <f>-Debt!BS122</f>
        <v>-14.810117487500001</v>
      </c>
      <c r="BT18" s="221">
        <f>-Debt!BT122</f>
        <v>-14.810117487500001</v>
      </c>
      <c r="BU18" s="384">
        <f>SUM(BQ18:BT18)</f>
        <v>-59.240469950000005</v>
      </c>
      <c r="BV18" s="62"/>
      <c r="BW18" s="234">
        <f>-Debt!BW122</f>
        <v>-14.810117487500001</v>
      </c>
      <c r="BX18" s="221">
        <f>-Debt!BX122</f>
        <v>-14.810117487500001</v>
      </c>
      <c r="BY18" s="221">
        <f>-Debt!BY122</f>
        <v>-14.810117487500001</v>
      </c>
      <c r="BZ18" s="221">
        <f>-Debt!BZ122</f>
        <v>-14.810117487500001</v>
      </c>
      <c r="CA18" s="384">
        <f>SUM(BW18:BZ18)</f>
        <v>-59.240469950000005</v>
      </c>
      <c r="CB18" s="62"/>
      <c r="CC18" s="234">
        <f>-Debt!CC122</f>
        <v>-14.810117487500001</v>
      </c>
      <c r="CD18" s="221">
        <f>-Debt!CD122</f>
        <v>-14.810117487500001</v>
      </c>
      <c r="CE18" s="221">
        <f>-Debt!CE122</f>
        <v>-14.336367487500002</v>
      </c>
      <c r="CF18" s="221">
        <f>-Debt!CF122</f>
        <v>-13.8626174875</v>
      </c>
      <c r="CG18" s="384">
        <f>SUM(CC18:CF18)</f>
        <v>-57.819219950000004</v>
      </c>
      <c r="CH18" s="32"/>
      <c r="CI18" s="32"/>
      <c r="CJ18" s="1301"/>
      <c r="CK18" s="32"/>
      <c r="CL18" s="32"/>
      <c r="CM18" s="48"/>
      <c r="CN18" s="48"/>
      <c r="CO18"/>
      <c r="CP18"/>
      <c r="CQ18"/>
      <c r="CR18"/>
      <c r="CS18"/>
      <c r="CT18"/>
    </row>
    <row r="19" spans="1:98" s="7" customFormat="1" ht="11.25" customHeight="1" x14ac:dyDescent="0.2">
      <c r="A19" s="136"/>
      <c r="B19" s="416" t="s">
        <v>193</v>
      </c>
      <c r="C19" s="376">
        <v>-0.122</v>
      </c>
      <c r="D19" s="218">
        <v>0.54700000000000004</v>
      </c>
      <c r="E19" s="218">
        <v>3.9169999999999998</v>
      </c>
      <c r="F19" s="391">
        <f>4.63-SUM(C19:E19)</f>
        <v>0.28800000000000026</v>
      </c>
      <c r="G19" s="384">
        <f>+SUM(C19:F19)</f>
        <v>4.63</v>
      </c>
      <c r="H19" s="62"/>
      <c r="I19" s="376">
        <v>-0.38300000000000001</v>
      </c>
      <c r="J19" s="218">
        <v>-0.29099999999999998</v>
      </c>
      <c r="K19" s="218">
        <f>-4.863+K63</f>
        <v>-1.8180000000000005</v>
      </c>
      <c r="L19" s="391">
        <f>-5.587-SUM(I19:K19)+SUM(I63:L63)</f>
        <v>-4.9999999999999378E-2</v>
      </c>
      <c r="M19" s="384">
        <f>+SUM(I19:L19)</f>
        <v>-2.5419999999999998</v>
      </c>
      <c r="N19" s="62"/>
      <c r="O19" s="376">
        <v>0.03</v>
      </c>
      <c r="P19" s="218">
        <v>-0.373</v>
      </c>
      <c r="Q19" s="218">
        <f>1.938+Q63</f>
        <v>0.57199999999999984</v>
      </c>
      <c r="R19" s="391">
        <f>2.026-SUM(O19:Q19)+SUM(O63:R63)</f>
        <v>0.43099999999999983</v>
      </c>
      <c r="S19" s="384">
        <f>+SUM(O19:R19)</f>
        <v>0.6599999999999997</v>
      </c>
      <c r="T19" s="62"/>
      <c r="U19" s="222">
        <v>-0.115</v>
      </c>
      <c r="V19" s="218">
        <v>0.47399999999999998</v>
      </c>
      <c r="W19" s="218">
        <v>2.9000000000000001E-2</v>
      </c>
      <c r="X19" s="218">
        <f>0.447-SUM(U19:W19)+SUM(U63:X63)</f>
        <v>5.8999999999999997E-2</v>
      </c>
      <c r="Y19" s="384">
        <f>+SUM(U19:X19)</f>
        <v>0.44700000000000001</v>
      </c>
      <c r="Z19" s="62"/>
      <c r="AA19" s="222">
        <v>0.32300000000000001</v>
      </c>
      <c r="AB19" s="218">
        <v>0.75800000000000001</v>
      </c>
      <c r="AC19" s="218">
        <v>0.23200000000000001</v>
      </c>
      <c r="AD19" s="218">
        <f>1.942-SUM(AA19:AC19)+SUM(AA63:AD63)</f>
        <v>0.629</v>
      </c>
      <c r="AE19" s="384">
        <f>+SUM(AA19:AD19)</f>
        <v>1.9419999999999999</v>
      </c>
      <c r="AF19" s="62"/>
      <c r="AG19" s="222">
        <v>0.52500000000000002</v>
      </c>
      <c r="AH19" s="218">
        <v>0.83</v>
      </c>
      <c r="AI19" s="218">
        <v>0.98799999999999999</v>
      </c>
      <c r="AJ19" s="218">
        <f>2.735-SUM(AG19:AI19)+SUM(AG63:AJ63)</f>
        <v>0.3919999999999999</v>
      </c>
      <c r="AK19" s="384">
        <f>+SUM(AG19:AJ19)</f>
        <v>2.7349999999999999</v>
      </c>
      <c r="AL19" s="62"/>
      <c r="AM19" s="222">
        <v>-0.37</v>
      </c>
      <c r="AN19" s="218">
        <v>-3.4000000000000002E-2</v>
      </c>
      <c r="AO19" s="218">
        <v>1.2629999999999999</v>
      </c>
      <c r="AP19" s="218">
        <f>2.325-SUM(AM19:AO19)</f>
        <v>1.4660000000000002</v>
      </c>
      <c r="AQ19" s="384">
        <f>+SUM(AM19:AP19)</f>
        <v>2.3250000000000002</v>
      </c>
      <c r="AR19" s="62"/>
      <c r="AS19" s="222">
        <v>3.58</v>
      </c>
      <c r="AT19" s="218">
        <v>1.032</v>
      </c>
      <c r="AU19" s="218">
        <v>-0.48399999999999999</v>
      </c>
      <c r="AV19" s="218">
        <f>4.572-SUM(AS19:AU19)+SUM(AS63:AV63)</f>
        <v>0.44399999999999995</v>
      </c>
      <c r="AW19" s="384">
        <f>+SUM(AS19:AV19)</f>
        <v>4.5720000000000001</v>
      </c>
      <c r="AX19" s="62"/>
      <c r="AY19" s="222">
        <v>0.12</v>
      </c>
      <c r="AZ19" s="218">
        <v>-0.17699999999999999</v>
      </c>
      <c r="BA19" s="218">
        <v>-0.27700000000000002</v>
      </c>
      <c r="BB19" s="218">
        <f>-0.141-SUM(AY19:BA19)+SUM(AY63:BB63)</f>
        <v>0.19300000000000003</v>
      </c>
      <c r="BC19" s="384">
        <f>+SUM(AY19:BB19)</f>
        <v>-0.14099999999999999</v>
      </c>
      <c r="BD19" s="62"/>
      <c r="BE19" s="222">
        <v>3.137</v>
      </c>
      <c r="BF19" s="218">
        <v>0.26800000000000002</v>
      </c>
      <c r="BG19" s="218">
        <v>-0.19900000000000001</v>
      </c>
      <c r="BH19" s="218">
        <v>-0.32700000000000001</v>
      </c>
      <c r="BI19" s="384">
        <f>SUM(BE19:BH19)</f>
        <v>2.8790000000000004</v>
      </c>
      <c r="BJ19" s="62"/>
      <c r="BK19" s="222">
        <v>-4.4999999999999998E-2</v>
      </c>
      <c r="BL19" s="218">
        <v>0.72799999999999998</v>
      </c>
      <c r="BM19" s="218">
        <v>-0.19400000000000001</v>
      </c>
      <c r="BN19" s="218">
        <f>-0.909-17.636</f>
        <v>-18.544999999999998</v>
      </c>
      <c r="BO19" s="384">
        <f>SUM(BK19:BN19)</f>
        <v>-18.055999999999997</v>
      </c>
      <c r="BP19" s="62"/>
      <c r="BQ19" s="107">
        <v>0</v>
      </c>
      <c r="BR19" s="106">
        <v>0</v>
      </c>
      <c r="BS19" s="106">
        <v>0</v>
      </c>
      <c r="BT19" s="106">
        <v>0</v>
      </c>
      <c r="BU19" s="384">
        <f>SUM(BQ19:BT19)</f>
        <v>0</v>
      </c>
      <c r="BV19" s="62"/>
      <c r="BW19" s="107">
        <v>0</v>
      </c>
      <c r="BX19" s="106">
        <v>0</v>
      </c>
      <c r="BY19" s="106">
        <v>0</v>
      </c>
      <c r="BZ19" s="106">
        <v>0</v>
      </c>
      <c r="CA19" s="384">
        <f>SUM(BW19:BZ19)</f>
        <v>0</v>
      </c>
      <c r="CB19" s="62"/>
      <c r="CC19" s="107">
        <v>0</v>
      </c>
      <c r="CD19" s="106">
        <v>0</v>
      </c>
      <c r="CE19" s="106">
        <v>0</v>
      </c>
      <c r="CF19" s="106">
        <v>0</v>
      </c>
      <c r="CG19" s="384">
        <f>SUM(CC19:CF19)</f>
        <v>0</v>
      </c>
      <c r="CH19" s="32"/>
      <c r="CI19" s="32"/>
      <c r="CJ19" s="32"/>
      <c r="CK19" s="32"/>
      <c r="CL19" s="32"/>
      <c r="CM19" s="48"/>
      <c r="CN19" s="48"/>
      <c r="CO19"/>
      <c r="CP19"/>
      <c r="CQ19"/>
      <c r="CR19"/>
      <c r="CS19"/>
      <c r="CT19"/>
    </row>
    <row r="20" spans="1:98" s="7" customFormat="1" ht="11.25" customHeight="1" x14ac:dyDescent="0.2">
      <c r="A20" s="75"/>
      <c r="B20" s="419" t="s">
        <v>168</v>
      </c>
      <c r="C20" s="377">
        <f>+C14+C16</f>
        <v>71.775999999999954</v>
      </c>
      <c r="D20" s="50">
        <f>+D14+D16</f>
        <v>89.445000000000036</v>
      </c>
      <c r="E20" s="50">
        <f>+E14+E16</f>
        <v>98.779000000000153</v>
      </c>
      <c r="F20" s="392">
        <f>+F14+F16</f>
        <v>124.26400000000028</v>
      </c>
      <c r="G20" s="385">
        <f>+G14+G16</f>
        <v>384.26400000000052</v>
      </c>
      <c r="H20" s="40"/>
      <c r="I20" s="377">
        <f>+I14+I16</f>
        <v>80.708000000000098</v>
      </c>
      <c r="J20" s="50">
        <f>+J14+J16</f>
        <v>108.08200000000014</v>
      </c>
      <c r="K20" s="50">
        <f>+K14+K16</f>
        <v>108.61600000000004</v>
      </c>
      <c r="L20" s="392">
        <f>+L14+L16</f>
        <v>124.32799999999821</v>
      </c>
      <c r="M20" s="385">
        <f>+M14+M16</f>
        <v>421.73399999999918</v>
      </c>
      <c r="N20" s="40"/>
      <c r="O20" s="377">
        <f>+O14+O16</f>
        <v>90.709999999999795</v>
      </c>
      <c r="P20" s="50">
        <f>+P14+P16</f>
        <v>117.67699999999991</v>
      </c>
      <c r="Q20" s="50">
        <f>+Q14+Q16</f>
        <v>111.67300000000004</v>
      </c>
      <c r="R20" s="392">
        <f>+R14+R16</f>
        <v>134.31400000000104</v>
      </c>
      <c r="S20" s="385">
        <f>+S14+S16</f>
        <v>454.37400000000071</v>
      </c>
      <c r="T20" s="40"/>
      <c r="U20" s="83">
        <f>+U14+U16</f>
        <v>110.22999999999993</v>
      </c>
      <c r="V20" s="50">
        <f>+V14+V16</f>
        <v>132.80300000000003</v>
      </c>
      <c r="W20" s="50">
        <f>+W14+W16</f>
        <v>132.99499999999989</v>
      </c>
      <c r="X20" s="50">
        <f>+X14+X16</f>
        <v>138.29200000000029</v>
      </c>
      <c r="Y20" s="385">
        <f>+Y14+Y16</f>
        <v>514.32000000000016</v>
      </c>
      <c r="Z20" s="40"/>
      <c r="AA20" s="83">
        <f>+AA14+AA16</f>
        <v>120.47099999999989</v>
      </c>
      <c r="AB20" s="50">
        <f>+AB14+AB16</f>
        <v>148.26299999999992</v>
      </c>
      <c r="AC20" s="50">
        <f>+AC14+AC16</f>
        <v>140.5100000000003</v>
      </c>
      <c r="AD20" s="50">
        <f>+AD14+AD16</f>
        <v>160.06300000000005</v>
      </c>
      <c r="AE20" s="385">
        <f>+AE14+AE16</f>
        <v>569.30700000000036</v>
      </c>
      <c r="AF20" s="40"/>
      <c r="AG20" s="83">
        <f>+AG14+AG16</f>
        <v>141.34199999999973</v>
      </c>
      <c r="AH20" s="50">
        <f>+AH14+AH16</f>
        <v>154.79000000000019</v>
      </c>
      <c r="AI20" s="50">
        <f>+AI14+AI16</f>
        <v>146.58500000000006</v>
      </c>
      <c r="AJ20" s="50">
        <f>+AJ14+AJ16</f>
        <v>176.66300000000192</v>
      </c>
      <c r="AK20" s="385">
        <f>+AK14+AK16</f>
        <v>619.3800000000009</v>
      </c>
      <c r="AL20" s="40"/>
      <c r="AM20" s="83">
        <f>+AM14+AM16</f>
        <v>149.93699999999995</v>
      </c>
      <c r="AN20" s="50">
        <f>+AN14+AN16</f>
        <v>174.44399999999999</v>
      </c>
      <c r="AO20" s="50">
        <f>+AO14+AO16</f>
        <v>159.92500000000015</v>
      </c>
      <c r="AP20" s="50">
        <f>+AP14+AP16</f>
        <v>186.58800000000141</v>
      </c>
      <c r="AQ20" s="385">
        <f>+AQ14+AQ16</f>
        <v>670.89400000000103</v>
      </c>
      <c r="AR20" s="40"/>
      <c r="AS20" s="83">
        <f>+AS14+AS16</f>
        <v>159.04500000000013</v>
      </c>
      <c r="AT20" s="50">
        <f>+AT14+AT16</f>
        <v>179.62199999999993</v>
      </c>
      <c r="AU20" s="50">
        <f>+AU14+AU16</f>
        <v>170.77599999999973</v>
      </c>
      <c r="AV20" s="50">
        <f>+AV14+AV16</f>
        <v>199.86900000000023</v>
      </c>
      <c r="AW20" s="385">
        <f>+AW14+AW16</f>
        <v>709.31199999999978</v>
      </c>
      <c r="AX20" s="40"/>
      <c r="AY20" s="83">
        <f>+AY14+AY16</f>
        <v>165.54100000000017</v>
      </c>
      <c r="AZ20" s="50">
        <f>+AZ14+AZ16</f>
        <v>187.04200000000006</v>
      </c>
      <c r="BA20" s="50">
        <f>+BA14+BA16</f>
        <v>193.87500000000017</v>
      </c>
      <c r="BB20" s="50">
        <f>+BB14+BB16</f>
        <v>209.23099999999826</v>
      </c>
      <c r="BC20" s="385">
        <f>+BC14+BC16</f>
        <v>755.68899999999894</v>
      </c>
      <c r="BD20" s="40"/>
      <c r="BE20" s="83">
        <f>+BE14+BE16</f>
        <v>179.61000000000007</v>
      </c>
      <c r="BF20" s="50">
        <f>+BF14+BF16</f>
        <v>197.51700000000028</v>
      </c>
      <c r="BG20" s="50">
        <f>+BG14+BG16</f>
        <v>201.54500000000002</v>
      </c>
      <c r="BH20" s="50">
        <f>+BH14+BH16</f>
        <v>223.054</v>
      </c>
      <c r="BI20" s="385">
        <f>+BI14+BI16</f>
        <v>801.72600000000011</v>
      </c>
      <c r="BJ20" s="40"/>
      <c r="BK20" s="83">
        <f>+BK14+BK16</f>
        <v>186.79700000000008</v>
      </c>
      <c r="BL20" s="50">
        <f>+BL14+BL16</f>
        <v>203.29900000000026</v>
      </c>
      <c r="BM20" s="50">
        <f>+BM14+BM16</f>
        <v>204.71900000000011</v>
      </c>
      <c r="BN20" s="50">
        <f>+BN14+BN16</f>
        <v>210.39700000000016</v>
      </c>
      <c r="BO20" s="385">
        <f>+BO14+BO16</f>
        <v>805.21200000000056</v>
      </c>
      <c r="BP20" s="40"/>
      <c r="BQ20" s="83">
        <f>+BQ14+BQ16</f>
        <v>192.97154690232497</v>
      </c>
      <c r="BR20" s="50">
        <f>+BR14+BR16</f>
        <v>219.67356193610891</v>
      </c>
      <c r="BS20" s="50">
        <f>+BS14+BS16</f>
        <v>221.31957719354355</v>
      </c>
      <c r="BT20" s="50">
        <f>+BT14+BT16</f>
        <v>246.49161029559613</v>
      </c>
      <c r="BU20" s="385">
        <f>+BU14+BU16</f>
        <v>880.45629632757414</v>
      </c>
      <c r="BV20" s="40"/>
      <c r="BW20" s="83">
        <f>+BW14+BW16</f>
        <v>198.34816375545947</v>
      </c>
      <c r="BX20" s="50">
        <f>+BX14+BX16</f>
        <v>218.01471248733336</v>
      </c>
      <c r="BY20" s="50">
        <f>+BY14+BY16</f>
        <v>219.40258342262987</v>
      </c>
      <c r="BZ20" s="50">
        <f>+BZ14+BZ16</f>
        <v>244.95998117909173</v>
      </c>
      <c r="CA20" s="385">
        <f>+CA14+CA16</f>
        <v>880.72544084451499</v>
      </c>
      <c r="CB20" s="40"/>
      <c r="CC20" s="83">
        <f>+CC14+CC16</f>
        <v>204.35086839636594</v>
      </c>
      <c r="CD20" s="50">
        <f>+CD14+CD16</f>
        <v>225.44418948515511</v>
      </c>
      <c r="CE20" s="50">
        <f>+CE14+CE16</f>
        <v>225.43112475200917</v>
      </c>
      <c r="CF20" s="50">
        <f>+CF14+CF16</f>
        <v>250.44477633813474</v>
      </c>
      <c r="CG20" s="385">
        <f>+CG14+CG16</f>
        <v>905.67095897166507</v>
      </c>
      <c r="CH20" s="50"/>
      <c r="CI20" s="50"/>
      <c r="CJ20" s="50"/>
      <c r="CK20" s="50"/>
      <c r="CL20" s="50"/>
      <c r="CM20" s="75"/>
      <c r="CN20" s="75"/>
      <c r="CO20"/>
      <c r="CP20"/>
      <c r="CQ20"/>
      <c r="CR20"/>
      <c r="CS20"/>
      <c r="CT20"/>
    </row>
    <row r="21" spans="1:98" s="7" customFormat="1" ht="11.25" customHeight="1" x14ac:dyDescent="0.2">
      <c r="A21" s="59"/>
      <c r="B21" s="421" t="s">
        <v>142</v>
      </c>
      <c r="C21" s="379">
        <f>-C22/C20</f>
        <v>0.35485399019170777</v>
      </c>
      <c r="D21" s="43">
        <f>-D22/D20</f>
        <v>0.3425121583095756</v>
      </c>
      <c r="E21" s="43">
        <f>-E22/E20</f>
        <v>0.3409834074044073</v>
      </c>
      <c r="F21" s="394">
        <f>-F22/F20</f>
        <v>0.32845393677975859</v>
      </c>
      <c r="G21" s="386">
        <f>-G22/G20</f>
        <v>0.33987831282659792</v>
      </c>
      <c r="H21" s="228"/>
      <c r="I21" s="379">
        <f>-I22/I20</f>
        <v>0.34006542102393778</v>
      </c>
      <c r="J21" s="43">
        <f>-J22/J20</f>
        <v>0.34116689180437038</v>
      </c>
      <c r="K21" s="43">
        <f>-K22/K20</f>
        <v>0.31629778301539352</v>
      </c>
      <c r="L21" s="394">
        <f>-L22/L20</f>
        <v>0.31999227848916229</v>
      </c>
      <c r="M21" s="386">
        <f>-M22/M20</f>
        <v>0.32830883922093135</v>
      </c>
      <c r="N21" s="228"/>
      <c r="O21" s="379">
        <f>-O22/O20</f>
        <v>0.33191489361702203</v>
      </c>
      <c r="P21" s="43">
        <f>-P22/P20</f>
        <v>0.32877282731544849</v>
      </c>
      <c r="Q21" s="43">
        <f>-Q22/Q20</f>
        <v>0.3190475764061142</v>
      </c>
      <c r="R21" s="394">
        <f>-R22/R20</f>
        <v>0.32626531858182811</v>
      </c>
      <c r="S21" s="386">
        <f>-S22/S20</f>
        <v>0.32626866854177344</v>
      </c>
      <c r="T21" s="228"/>
      <c r="U21" s="235">
        <f>-U22/U20</f>
        <v>0.32893949015694479</v>
      </c>
      <c r="V21" s="43">
        <f>-V22/V20</f>
        <v>0.31200349389697518</v>
      </c>
      <c r="W21" s="43">
        <f>-W22/W20</f>
        <v>0.31750065791947091</v>
      </c>
      <c r="X21" s="43">
        <f>-X22/X20</f>
        <v>0.31949787406357483</v>
      </c>
      <c r="Y21" s="386">
        <f>-Y22/Y20</f>
        <v>0.31906983978845843</v>
      </c>
      <c r="Z21" s="228"/>
      <c r="AA21" s="235">
        <f>-AA22/AA20</f>
        <v>0.32499937744353441</v>
      </c>
      <c r="AB21" s="43">
        <f>-AB22/AB20</f>
        <v>0.3192974646405376</v>
      </c>
      <c r="AC21" s="43">
        <f>-AC22/AC20</f>
        <v>0.31500249092591209</v>
      </c>
      <c r="AD21" s="43">
        <f>-AD22/AD20</f>
        <v>0.30899083485877427</v>
      </c>
      <c r="AE21" s="386">
        <f>-AE22/AE20</f>
        <v>0.31654625711610762</v>
      </c>
      <c r="AF21" s="228"/>
      <c r="AG21" s="235">
        <f>-AG22/AG20</f>
        <v>0.32100154235825223</v>
      </c>
      <c r="AH21" s="43">
        <f>-AH22/AH20</f>
        <v>0.31219717035984201</v>
      </c>
      <c r="AI21" s="43">
        <f>-AI22/AI20</f>
        <v>0.30500392263874193</v>
      </c>
      <c r="AJ21" s="43">
        <f>-AJ22/AJ20</f>
        <v>0.30627805482754972</v>
      </c>
      <c r="AK21" s="386">
        <f>-AK22/AK20</f>
        <v>0.31081565436404102</v>
      </c>
      <c r="AL21" s="228"/>
      <c r="AM21" s="235">
        <f>-AM22/AM20</f>
        <v>0.32929163582037796</v>
      </c>
      <c r="AN21" s="43">
        <f>-AN22/AN20</f>
        <v>0.31399761528054848</v>
      </c>
      <c r="AO21" s="43">
        <f>-AO22/AO20</f>
        <v>0.30050336095044516</v>
      </c>
      <c r="AP21" s="43">
        <f>-AP22/AP20</f>
        <v>0.29800415889553228</v>
      </c>
      <c r="AQ21" s="386">
        <f>-AQ22/AQ20</f>
        <v>0.30975086973500982</v>
      </c>
      <c r="AR21" s="228"/>
      <c r="AS21" s="235">
        <f>-AS22/AS20</f>
        <v>0.31200603602753912</v>
      </c>
      <c r="AT21" s="43">
        <f>-AT22/AT20</f>
        <v>0.30799122601908469</v>
      </c>
      <c r="AU21" s="43">
        <f>-AU22/AU20</f>
        <v>0.30040520916288049</v>
      </c>
      <c r="AV21" s="43">
        <f>-AV22/AV20</f>
        <v>0.29700954124951823</v>
      </c>
      <c r="AW21" s="386">
        <f>-AW22/AW20</f>
        <v>0.30397060813859073</v>
      </c>
      <c r="AX21" s="228"/>
      <c r="AY21" s="235">
        <f>-AY22/AY20</f>
        <v>0.30800224717743613</v>
      </c>
      <c r="AZ21" s="43">
        <f>-AZ22/AZ20</f>
        <v>0.29799189486853211</v>
      </c>
      <c r="BA21" s="43">
        <f>-BA22/BA20</f>
        <v>0.28292456479690498</v>
      </c>
      <c r="BB21" s="43">
        <f>-BB22/BB20</f>
        <v>0.29799599485736106</v>
      </c>
      <c r="BC21" s="386">
        <f>-BC22/BC20</f>
        <v>0.29632031166260236</v>
      </c>
      <c r="BD21" s="228"/>
      <c r="BE21" s="235">
        <f>-BE22/BE20</f>
        <v>0.30369689883636758</v>
      </c>
      <c r="BF21" s="43">
        <f>-BF22/BF20</f>
        <v>0.27370302303092864</v>
      </c>
      <c r="BG21" s="43">
        <f>-BG22/BG20</f>
        <v>0.28749906968667044</v>
      </c>
      <c r="BH21" s="43">
        <f>-BH22/BH20</f>
        <v>0.28190034700117461</v>
      </c>
      <c r="BI21" s="386">
        <f>-BI22/BI20</f>
        <v>0.28617133534399536</v>
      </c>
      <c r="BJ21" s="228"/>
      <c r="BK21" s="235">
        <f>-BK22/BK20</f>
        <v>0.20680203643527459</v>
      </c>
      <c r="BL21" s="43">
        <f>-BL22/BL20</f>
        <v>0.27108347802989646</v>
      </c>
      <c r="BM21" s="43">
        <f>-BM22/BM20</f>
        <v>0.28986073593559941</v>
      </c>
      <c r="BN21" s="43">
        <f>-BN22/BN20</f>
        <v>0.21693275094226611</v>
      </c>
      <c r="BO21" s="386">
        <f>-BO22/BO20</f>
        <v>0.246795874875188</v>
      </c>
      <c r="BP21" s="228"/>
      <c r="BQ21" s="236">
        <v>0.21</v>
      </c>
      <c r="BR21" s="229">
        <v>0.25</v>
      </c>
      <c r="BS21" s="229">
        <v>0.25</v>
      </c>
      <c r="BT21" s="229">
        <v>0.25</v>
      </c>
      <c r="BU21" s="386">
        <f>-BU22/BU20</f>
        <v>0.2412331118440644</v>
      </c>
      <c r="BV21" s="228"/>
      <c r="BW21" s="236">
        <v>0.24</v>
      </c>
      <c r="BX21" s="229">
        <f>+BW21</f>
        <v>0.24</v>
      </c>
      <c r="BY21" s="229">
        <f>+BX21</f>
        <v>0.24</v>
      </c>
      <c r="BZ21" s="229">
        <f>+BY21</f>
        <v>0.24</v>
      </c>
      <c r="CA21" s="386">
        <f>-CA22/CA20</f>
        <v>0.2399999999999998</v>
      </c>
      <c r="CB21" s="228"/>
      <c r="CC21" s="236">
        <f>+BZ21</f>
        <v>0.24</v>
      </c>
      <c r="CD21" s="229">
        <f>+CC21</f>
        <v>0.24</v>
      </c>
      <c r="CE21" s="229">
        <f>+CD21</f>
        <v>0.24</v>
      </c>
      <c r="CF21" s="229">
        <f>+CE21</f>
        <v>0.24</v>
      </c>
      <c r="CG21" s="386">
        <f>-CG22/CG20</f>
        <v>0.23999999999999996</v>
      </c>
      <c r="CH21" s="211"/>
      <c r="CI21" s="211"/>
      <c r="CJ21" s="211"/>
      <c r="CK21" s="211"/>
      <c r="CL21" s="211"/>
      <c r="CM21" s="226"/>
      <c r="CN21" s="226"/>
      <c r="CO21"/>
      <c r="CP21"/>
      <c r="CQ21"/>
      <c r="CR21"/>
      <c r="CS21"/>
      <c r="CT21"/>
    </row>
    <row r="22" spans="1:98" s="7" customFormat="1" ht="11.25" customHeight="1" x14ac:dyDescent="0.2">
      <c r="A22" s="53"/>
      <c r="B22" s="416" t="s">
        <v>150</v>
      </c>
      <c r="C22" s="376">
        <v>-25.47</v>
      </c>
      <c r="D22" s="218">
        <v>-30.635999999999999</v>
      </c>
      <c r="E22" s="218">
        <v>-33.682000000000002</v>
      </c>
      <c r="F22" s="391">
        <f>-130.603-SUM(C22:E22)</f>
        <v>-40.815000000000012</v>
      </c>
      <c r="G22" s="384">
        <f>+SUM(C22:F22)</f>
        <v>-130.60300000000001</v>
      </c>
      <c r="H22" s="62"/>
      <c r="I22" s="376">
        <v>-27.446000000000002</v>
      </c>
      <c r="J22" s="218">
        <v>-36.874000000000002</v>
      </c>
      <c r="K22" s="218">
        <v>-34.354999999999997</v>
      </c>
      <c r="L22" s="391">
        <f>-131.21-SUM(I22:K22)+SUM(I65:L65)</f>
        <v>-39.783999999999999</v>
      </c>
      <c r="M22" s="384">
        <f>+SUM(I22:L22)</f>
        <v>-138.459</v>
      </c>
      <c r="N22" s="62"/>
      <c r="O22" s="376">
        <f>-28.849+O65</f>
        <v>-30.108000000000001</v>
      </c>
      <c r="P22" s="218">
        <f>-38.689</f>
        <v>-38.689</v>
      </c>
      <c r="Q22" s="218">
        <f>-15.864+Q64</f>
        <v>-35.629000000000005</v>
      </c>
      <c r="R22" s="391">
        <f>-127.521-SUM(O22:Q22)+SUM(O64:R65)</f>
        <v>-43.822000000000003</v>
      </c>
      <c r="S22" s="384">
        <f>+SUM(O22:R22)</f>
        <v>-148.24799999999999</v>
      </c>
      <c r="T22" s="62"/>
      <c r="U22" s="222">
        <f>-32.224+U65</f>
        <v>-36.259</v>
      </c>
      <c r="V22" s="218">
        <f>-41.435+V65</f>
        <v>-41.435000000000002</v>
      </c>
      <c r="W22" s="218">
        <f>-42.226+W65</f>
        <v>-42.225999999999999</v>
      </c>
      <c r="X22" s="218">
        <f>-160.069-SUM(U22:W22)+SUM(U64:X65)</f>
        <v>-44.183999999999983</v>
      </c>
      <c r="Y22" s="384">
        <f>+SUM(U22:X22)</f>
        <v>-164.10399999999998</v>
      </c>
      <c r="Z22" s="62"/>
      <c r="AA22" s="222">
        <f>-39.153+AA65</f>
        <v>-39.152999999999999</v>
      </c>
      <c r="AB22" s="218">
        <f>-47.34+AB65</f>
        <v>-47.34</v>
      </c>
      <c r="AC22" s="218">
        <f>-44.261+AC65</f>
        <v>-44.261000000000003</v>
      </c>
      <c r="AD22" s="218">
        <f>-180.212-SUM(AA22:AC22)+SUM(AA64:AD65)</f>
        <v>-49.457999999999998</v>
      </c>
      <c r="AE22" s="384">
        <f>+SUM(AA22:AD22)</f>
        <v>-180.21199999999999</v>
      </c>
      <c r="AF22" s="62"/>
      <c r="AG22" s="222">
        <f>-41.84+AG65</f>
        <v>-45.371000000000002</v>
      </c>
      <c r="AH22" s="218">
        <f>-47.201+AH65</f>
        <v>-48.325000000000003</v>
      </c>
      <c r="AI22" s="218">
        <f>-44.709+AI65</f>
        <v>-44.709000000000003</v>
      </c>
      <c r="AJ22" s="218">
        <f>-187.858-SUM(AG22:AI22)+SUM(AG64:AJ65)</f>
        <v>-54.108000000000004</v>
      </c>
      <c r="AK22" s="384">
        <f>+SUM(AG22:AJ22)</f>
        <v>-192.51300000000001</v>
      </c>
      <c r="AL22" s="62"/>
      <c r="AM22" s="222">
        <f>-45.852+AM65</f>
        <v>-49.372999999999998</v>
      </c>
      <c r="AN22" s="218">
        <f>-54.775+AN65</f>
        <v>-54.774999999999999</v>
      </c>
      <c r="AO22" s="218">
        <f>-34.66+AO64</f>
        <v>-48.057999999999993</v>
      </c>
      <c r="AP22" s="218">
        <f>-190.891-SUM(AM22:AO22)+SUM(AM64:AP65)</f>
        <v>-55.603999999999999</v>
      </c>
      <c r="AQ22" s="384">
        <f>+SUM(AM22:AP22)</f>
        <v>-207.81</v>
      </c>
      <c r="AR22" s="62"/>
      <c r="AS22" s="222">
        <f>-49.623+AS65</f>
        <v>-49.622999999999998</v>
      </c>
      <c r="AT22" s="218">
        <f>-55.322+AT65</f>
        <v>-55.322000000000003</v>
      </c>
      <c r="AU22" s="218">
        <f>-51.302+AU65</f>
        <v>-51.302</v>
      </c>
      <c r="AV22" s="218">
        <f>-215.61-SUM(AS22:AU22)+SUM(AS64:AV65)</f>
        <v>-59.363000000000028</v>
      </c>
      <c r="AW22" s="384">
        <f>+SUM(AS22:AV22)</f>
        <v>-215.61</v>
      </c>
      <c r="AX22" s="62"/>
      <c r="AY22" s="222">
        <f>-49.127+AY65</f>
        <v>-50.987000000000002</v>
      </c>
      <c r="AZ22" s="218">
        <f>-53.784+AZ65</f>
        <v>-55.737000000000002</v>
      </c>
      <c r="BA22" s="218">
        <f>-49.232+BA65+BA64</f>
        <v>-54.851999999999997</v>
      </c>
      <c r="BB22" s="218">
        <f>-211.391-SUM(AY22:BA22)+SUM(AY64:BB65)</f>
        <v>-62.349999999999994</v>
      </c>
      <c r="BC22" s="384">
        <f>+SUM(AY22:BB22)</f>
        <v>-223.92599999999999</v>
      </c>
      <c r="BD22" s="62"/>
      <c r="BE22" s="222">
        <f>-53.533+BE65</f>
        <v>-54.547000000000004</v>
      </c>
      <c r="BF22" s="218">
        <f>-48.965+BF65</f>
        <v>-54.061000000000007</v>
      </c>
      <c r="BG22" s="218">
        <f>-56.601+BG65</f>
        <v>-57.944000000000003</v>
      </c>
      <c r="BH22" s="218">
        <f>-58.859-4.02</f>
        <v>-62.879000000000005</v>
      </c>
      <c r="BI22" s="384">
        <f>SUM(BE22:BH22)</f>
        <v>-229.43100000000004</v>
      </c>
      <c r="BJ22" s="62"/>
      <c r="BK22" s="222">
        <f>-38.63+BK61</f>
        <v>-38.630000000000003</v>
      </c>
      <c r="BL22" s="218">
        <f>-58.306+BL61</f>
        <v>-55.110999999999997</v>
      </c>
      <c r="BM22" s="218">
        <f>-59.34+BM61</f>
        <v>-59.34</v>
      </c>
      <c r="BN22" s="218">
        <f>-206.23+BN61</f>
        <v>-45.641999999999996</v>
      </c>
      <c r="BO22" s="384">
        <f>SUM(BK22:BN22)</f>
        <v>-198.72300000000001</v>
      </c>
      <c r="BP22" s="62"/>
      <c r="BQ22" s="155">
        <f>-BQ20*BQ21</f>
        <v>-40.524024849488242</v>
      </c>
      <c r="BR22" s="32">
        <f>-BR20*BR21</f>
        <v>-54.918390484027228</v>
      </c>
      <c r="BS22" s="32">
        <f>-BS20*BS21</f>
        <v>-55.329894298385888</v>
      </c>
      <c r="BT22" s="32">
        <f>-BT20*BT21</f>
        <v>-61.622902573899033</v>
      </c>
      <c r="BU22" s="384">
        <f>SUM(BQ22:BT22)</f>
        <v>-212.39521220580039</v>
      </c>
      <c r="BV22" s="62"/>
      <c r="BW22" s="155">
        <f>-BW20*BW21</f>
        <v>-47.60355930131027</v>
      </c>
      <c r="BX22" s="32">
        <f>-BX20*BX21</f>
        <v>-52.323530996960002</v>
      </c>
      <c r="BY22" s="32">
        <f>-BY20*BY21</f>
        <v>-52.656620021431166</v>
      </c>
      <c r="BZ22" s="32">
        <f>-BZ20*BZ21</f>
        <v>-58.790395482982014</v>
      </c>
      <c r="CA22" s="384">
        <f>SUM(BW22:BZ22)</f>
        <v>-211.37410580268343</v>
      </c>
      <c r="CB22" s="62"/>
      <c r="CC22" s="155">
        <f>-CC20*CC21</f>
        <v>-49.044208415127827</v>
      </c>
      <c r="CD22" s="32">
        <f>-CD20*CD21</f>
        <v>-54.106605476437224</v>
      </c>
      <c r="CE22" s="32">
        <f>-CE20*CE21</f>
        <v>-54.103469940482199</v>
      </c>
      <c r="CF22" s="32">
        <f>-CF20*CF21</f>
        <v>-60.106746321152336</v>
      </c>
      <c r="CG22" s="384">
        <f>SUM(CC22:CF22)</f>
        <v>-217.36103015319958</v>
      </c>
      <c r="CH22" s="32"/>
      <c r="CI22" s="32"/>
      <c r="CJ22" s="32"/>
      <c r="CK22" s="32"/>
      <c r="CL22" s="32"/>
      <c r="CM22" s="227"/>
      <c r="CN22" s="75"/>
      <c r="CO22"/>
      <c r="CP22"/>
      <c r="CQ22"/>
      <c r="CR22"/>
      <c r="CS22"/>
      <c r="CT22"/>
    </row>
    <row r="23" spans="1:98" s="7" customFormat="1" ht="11.25" customHeight="1" x14ac:dyDescent="0.2">
      <c r="A23" s="53"/>
      <c r="B23" s="416" t="s">
        <v>299</v>
      </c>
      <c r="C23" s="376">
        <v>2.3E-2</v>
      </c>
      <c r="D23" s="218">
        <v>-0.52800000000000002</v>
      </c>
      <c r="E23" s="218">
        <v>-0.182</v>
      </c>
      <c r="F23" s="391">
        <f>-0.073-SUM(C23:E23)</f>
        <v>0.6140000000000001</v>
      </c>
      <c r="G23" s="384">
        <f>+SUM(C23:F23)</f>
        <v>-7.2999999999999954E-2</v>
      </c>
      <c r="H23" s="26"/>
      <c r="I23" s="376">
        <v>1.51</v>
      </c>
      <c r="J23" s="218">
        <v>0.90800000000000003</v>
      </c>
      <c r="K23" s="218">
        <v>1.6020000000000001</v>
      </c>
      <c r="L23" s="391">
        <f>5.037-SUM(I23:K23)</f>
        <v>1.0169999999999995</v>
      </c>
      <c r="M23" s="384">
        <f>+SUM(I23:L23)</f>
        <v>5.0369999999999999</v>
      </c>
      <c r="N23" s="26"/>
      <c r="O23" s="376">
        <v>1.365</v>
      </c>
      <c r="P23" s="218">
        <v>1.212</v>
      </c>
      <c r="Q23" s="218">
        <v>1.2</v>
      </c>
      <c r="R23" s="391">
        <f>5.243-SUM(O23:Q23)</f>
        <v>1.4660000000000002</v>
      </c>
      <c r="S23" s="384">
        <f>+SUM(O23:R23)</f>
        <v>5.2430000000000003</v>
      </c>
      <c r="T23" s="26"/>
      <c r="U23" s="222">
        <v>1.5309999999999999</v>
      </c>
      <c r="V23" s="218">
        <v>1.7949999999999999</v>
      </c>
      <c r="W23" s="218">
        <v>3.7210000000000001</v>
      </c>
      <c r="X23" s="218">
        <f>10.165-SUM(U23:W23)</f>
        <v>3.1179999999999994</v>
      </c>
      <c r="Y23" s="384">
        <f>+SUM(U23:X23)</f>
        <v>10.164999999999999</v>
      </c>
      <c r="Z23" s="26"/>
      <c r="AA23" s="222">
        <v>1.653</v>
      </c>
      <c r="AB23" s="218">
        <v>4.133</v>
      </c>
      <c r="AC23" s="218">
        <v>4.5590000000000002</v>
      </c>
      <c r="AD23" s="218">
        <f>15.561-SUM(AA23:AC23)</f>
        <v>5.2160000000000011</v>
      </c>
      <c r="AE23" s="384">
        <f>+SUM(AA23:AD23)</f>
        <v>15.561</v>
      </c>
      <c r="AF23" s="26"/>
      <c r="AG23" s="222">
        <v>1.391</v>
      </c>
      <c r="AH23" s="218">
        <v>3.073</v>
      </c>
      <c r="AI23" s="218">
        <v>3.4340000000000002</v>
      </c>
      <c r="AJ23" s="218">
        <f>7.058-SUM(AG23:AI23)</f>
        <v>-0.84000000000000075</v>
      </c>
      <c r="AK23" s="384">
        <f>+SUM(AG23:AJ23)</f>
        <v>7.0579999999999998</v>
      </c>
      <c r="AL23" s="26"/>
      <c r="AM23" s="222">
        <v>0.80100000000000005</v>
      </c>
      <c r="AN23" s="218">
        <v>1.766</v>
      </c>
      <c r="AO23" s="218">
        <f>3.642-12.535+AO63</f>
        <v>3.6419999999999995</v>
      </c>
      <c r="AP23" s="218">
        <f>10.194-12.535+12.535-SUM(AM23:AO23)</f>
        <v>3.9850000000000012</v>
      </c>
      <c r="AQ23" s="384">
        <f>+SUM(AM23:AP23)</f>
        <v>10.194000000000001</v>
      </c>
      <c r="AR23" s="26"/>
      <c r="AS23" s="222">
        <v>0.70599999999999996</v>
      </c>
      <c r="AT23" s="218">
        <v>2.8170000000000002</v>
      </c>
      <c r="AU23" s="218">
        <v>4.7619999999999996</v>
      </c>
      <c r="AV23" s="218">
        <f>11.734-SUM(AS23:AU23)</f>
        <v>3.4489999999999998</v>
      </c>
      <c r="AW23" s="384">
        <f>+SUM(AS23:AV23)</f>
        <v>11.734</v>
      </c>
      <c r="AX23" s="26"/>
      <c r="AY23" s="222">
        <v>2.028</v>
      </c>
      <c r="AZ23" s="218">
        <v>3.5720000000000001</v>
      </c>
      <c r="BA23" s="218">
        <v>5.1909999999999998</v>
      </c>
      <c r="BB23" s="218">
        <f>14.06-SUM(AY23:BA23)</f>
        <v>3.2690000000000001</v>
      </c>
      <c r="BC23" s="384">
        <f>+SUM(AY23:BB23)</f>
        <v>14.06</v>
      </c>
      <c r="BD23" s="26"/>
      <c r="BE23" s="222">
        <v>2.5139999999999998</v>
      </c>
      <c r="BF23" s="218">
        <v>4.9290000000000003</v>
      </c>
      <c r="BG23" s="218">
        <v>5.7169999999999996</v>
      </c>
      <c r="BH23" s="218">
        <v>5.3579999999999997</v>
      </c>
      <c r="BI23" s="384">
        <f>SUM(BE23:BH23)</f>
        <v>18.518000000000001</v>
      </c>
      <c r="BJ23" s="26"/>
      <c r="BK23" s="222">
        <v>2.0859999999999999</v>
      </c>
      <c r="BL23" s="218">
        <v>4.5890000000000004</v>
      </c>
      <c r="BM23" s="218">
        <v>5.569</v>
      </c>
      <c r="BN23" s="218">
        <v>4.343</v>
      </c>
      <c r="BO23" s="384">
        <f>SUM(BK23:BN23)</f>
        <v>16.587</v>
      </c>
      <c r="BP23" s="26"/>
      <c r="BQ23" s="234">
        <f>+'BalSht '!BQ146</f>
        <v>4.2506665050545331</v>
      </c>
      <c r="BR23" s="221">
        <f>+'BalSht '!BR146</f>
        <v>4.2506665050545331</v>
      </c>
      <c r="BS23" s="221">
        <f>+'BalSht '!BS146</f>
        <v>4.2506665050545331</v>
      </c>
      <c r="BT23" s="221">
        <f>+'BalSht '!BT146</f>
        <v>4.2506665050545331</v>
      </c>
      <c r="BU23" s="384">
        <f>SUM(BQ23:BT23)</f>
        <v>17.002666020218133</v>
      </c>
      <c r="BV23" s="26"/>
      <c r="BW23" s="234">
        <f>+'BalSht '!BW146</f>
        <v>4.2506665050545331</v>
      </c>
      <c r="BX23" s="221">
        <f>+'BalSht '!BX146</f>
        <v>4.2506665050545331</v>
      </c>
      <c r="BY23" s="221">
        <f>+'BalSht '!BY146</f>
        <v>4.2506665050545331</v>
      </c>
      <c r="BZ23" s="221">
        <f>+'BalSht '!BZ146</f>
        <v>4.2506665050545331</v>
      </c>
      <c r="CA23" s="384">
        <f>SUM(BW23:BZ23)</f>
        <v>17.002666020218133</v>
      </c>
      <c r="CB23" s="26"/>
      <c r="CC23" s="234">
        <f>+'BalSht '!CC146</f>
        <v>4.2506665050545331</v>
      </c>
      <c r="CD23" s="221">
        <f>+'BalSht '!CD146</f>
        <v>4.2506665050545331</v>
      </c>
      <c r="CE23" s="221">
        <f>+'BalSht '!CE146</f>
        <v>4.2506665050545331</v>
      </c>
      <c r="CF23" s="221">
        <f>+'BalSht '!CF146</f>
        <v>4.2506665050545331</v>
      </c>
      <c r="CG23" s="384">
        <f>SUM(CC23:CF23)</f>
        <v>17.002666020218133</v>
      </c>
      <c r="CH23" s="32"/>
      <c r="CI23" s="32"/>
      <c r="CJ23" s="32"/>
      <c r="CK23" s="32"/>
      <c r="CL23" s="32"/>
      <c r="CM23" s="75"/>
      <c r="CN23" s="75"/>
      <c r="CO23"/>
      <c r="CP23"/>
      <c r="CQ23"/>
      <c r="CR23"/>
      <c r="CS23"/>
      <c r="CT23"/>
    </row>
    <row r="24" spans="1:98" s="7" customFormat="1" ht="11.25" customHeight="1" x14ac:dyDescent="0.2">
      <c r="A24" s="75"/>
      <c r="B24" s="419" t="s">
        <v>194</v>
      </c>
      <c r="C24" s="377">
        <f>+C20+C22+C23</f>
        <v>46.328999999999958</v>
      </c>
      <c r="D24" s="50">
        <f>+D20+D22+D23</f>
        <v>58.281000000000041</v>
      </c>
      <c r="E24" s="50">
        <f>+E20+E22+E23</f>
        <v>64.915000000000148</v>
      </c>
      <c r="F24" s="392">
        <f>+F20+F22+F23</f>
        <v>84.063000000000272</v>
      </c>
      <c r="G24" s="385">
        <f>+G20+G22+G23</f>
        <v>253.58800000000051</v>
      </c>
      <c r="H24" s="40"/>
      <c r="I24" s="377">
        <f>+I20+I22+I23</f>
        <v>54.772000000000098</v>
      </c>
      <c r="J24" s="50">
        <f>+J20+J22+J23</f>
        <v>72.116000000000142</v>
      </c>
      <c r="K24" s="50">
        <f>+K20+K22+K23</f>
        <v>75.863000000000056</v>
      </c>
      <c r="L24" s="392">
        <f>+L20+L22+L23</f>
        <v>85.560999999998216</v>
      </c>
      <c r="M24" s="385">
        <f>+M20+M22+M23</f>
        <v>288.31199999999916</v>
      </c>
      <c r="N24" s="40"/>
      <c r="O24" s="377">
        <f>+O20+O22+O23</f>
        <v>61.966999999999793</v>
      </c>
      <c r="P24" s="50">
        <f>+P20+P22+P23</f>
        <v>80.199999999999918</v>
      </c>
      <c r="Q24" s="50">
        <f>+Q20+Q22+Q23</f>
        <v>77.244000000000042</v>
      </c>
      <c r="R24" s="392">
        <f>+R20+R22+R23</f>
        <v>91.958000000001036</v>
      </c>
      <c r="S24" s="385">
        <f>+S20+S22+S23</f>
        <v>311.36900000000071</v>
      </c>
      <c r="T24" s="40"/>
      <c r="U24" s="83">
        <f>+U20+U22+U23</f>
        <v>75.501999999999938</v>
      </c>
      <c r="V24" s="50">
        <f>+V20+V22+V23</f>
        <v>93.163000000000025</v>
      </c>
      <c r="W24" s="50">
        <f>+W20+W22+W23</f>
        <v>94.489999999999895</v>
      </c>
      <c r="X24" s="50">
        <f>+X20+X22+X23</f>
        <v>97.226000000000298</v>
      </c>
      <c r="Y24" s="385">
        <f>+Y20+Y22+Y23</f>
        <v>360.3810000000002</v>
      </c>
      <c r="Z24" s="40"/>
      <c r="AA24" s="83">
        <f>+AA20+AA22+AA23</f>
        <v>82.970999999999904</v>
      </c>
      <c r="AB24" s="50">
        <f>+AB20+AB22+AB23</f>
        <v>105.05599999999991</v>
      </c>
      <c r="AC24" s="50">
        <f>+AC20+AC22+AC23</f>
        <v>100.80800000000031</v>
      </c>
      <c r="AD24" s="50">
        <f>+AD20+AD22+AD23</f>
        <v>115.82100000000005</v>
      </c>
      <c r="AE24" s="385">
        <f>+AE20+AE22+AE23</f>
        <v>404.65600000000035</v>
      </c>
      <c r="AF24" s="40"/>
      <c r="AG24" s="83">
        <f>+AG20+AG22+AG23</f>
        <v>97.361999999999725</v>
      </c>
      <c r="AH24" s="50">
        <f>+AH20+AH22+AH23</f>
        <v>109.53800000000018</v>
      </c>
      <c r="AI24" s="50">
        <f>+AI20+AI22+AI23</f>
        <v>105.31000000000006</v>
      </c>
      <c r="AJ24" s="50">
        <f>+AJ20+AJ22+AJ23</f>
        <v>121.71500000000191</v>
      </c>
      <c r="AK24" s="385">
        <f>+AK20+AK22+AK23</f>
        <v>433.92500000000086</v>
      </c>
      <c r="AL24" s="40"/>
      <c r="AM24" s="83">
        <f>+AM20+AM22+AM23</f>
        <v>101.36499999999997</v>
      </c>
      <c r="AN24" s="50">
        <f>+AN20+AN22+AN23</f>
        <v>121.43499999999999</v>
      </c>
      <c r="AO24" s="50">
        <f>+AO20+AO22+AO23</f>
        <v>115.50900000000016</v>
      </c>
      <c r="AP24" s="50">
        <f>+AP20+AP22+AP23</f>
        <v>134.96900000000142</v>
      </c>
      <c r="AQ24" s="385">
        <f>+AQ20+AQ22+AQ23</f>
        <v>473.27800000000104</v>
      </c>
      <c r="AR24" s="40"/>
      <c r="AS24" s="83">
        <f>+AS20+AS22+AS23</f>
        <v>110.12800000000014</v>
      </c>
      <c r="AT24" s="50">
        <f>+AT20+AT22+AT23</f>
        <v>127.11699999999993</v>
      </c>
      <c r="AU24" s="50">
        <f>+AU20+AU22+AU23</f>
        <v>124.23599999999973</v>
      </c>
      <c r="AV24" s="50">
        <f>+AV20+AV22+AV23</f>
        <v>143.95500000000021</v>
      </c>
      <c r="AW24" s="385">
        <f>+AW20+AW22+AW23</f>
        <v>505.43599999999975</v>
      </c>
      <c r="AX24" s="40"/>
      <c r="AY24" s="83">
        <f>+AY20+AY22+AY23</f>
        <v>116.58200000000018</v>
      </c>
      <c r="AZ24" s="50">
        <f>+AZ20+AZ22+AZ23</f>
        <v>134.87700000000007</v>
      </c>
      <c r="BA24" s="50">
        <f>+BA20+BA22+BA23</f>
        <v>144.21400000000017</v>
      </c>
      <c r="BB24" s="50">
        <f>+BB20+BB22+BB23</f>
        <v>150.14999999999827</v>
      </c>
      <c r="BC24" s="385">
        <f>+BC20+BC22+BC23</f>
        <v>545.82299999999896</v>
      </c>
      <c r="BD24" s="40"/>
      <c r="BE24" s="83">
        <f>+BE20+BE22+BE23</f>
        <v>127.57700000000007</v>
      </c>
      <c r="BF24" s="50">
        <f>+BF20+BF22+BF23</f>
        <v>148.38500000000028</v>
      </c>
      <c r="BG24" s="50">
        <f>+BG20+BG22+BG23</f>
        <v>149.31800000000001</v>
      </c>
      <c r="BH24" s="50">
        <f>+BH20+BH22+BH23</f>
        <v>165.53300000000002</v>
      </c>
      <c r="BI24" s="385">
        <f>+BI20+BI22+BI23</f>
        <v>590.8130000000001</v>
      </c>
      <c r="BJ24" s="40"/>
      <c r="BK24" s="83">
        <f>+BK20+BK22+BK23</f>
        <v>150.2530000000001</v>
      </c>
      <c r="BL24" s="50">
        <f>+BL20+BL22+BL23</f>
        <v>152.77700000000027</v>
      </c>
      <c r="BM24" s="50">
        <f>+BM20+BM22+BM23</f>
        <v>150.94800000000009</v>
      </c>
      <c r="BN24" s="50">
        <f>+BN20+BN22+BN23</f>
        <v>169.09800000000016</v>
      </c>
      <c r="BO24" s="385">
        <f>+BO20+BO22+BO23</f>
        <v>623.07600000000048</v>
      </c>
      <c r="BP24" s="40"/>
      <c r="BQ24" s="83">
        <f>+BQ20+BQ22+BQ23</f>
        <v>156.69818855789129</v>
      </c>
      <c r="BR24" s="50">
        <f>+BR20+BR22+BR23</f>
        <v>169.00583795713624</v>
      </c>
      <c r="BS24" s="50">
        <f>+BS20+BS22+BS23</f>
        <v>170.24034940021221</v>
      </c>
      <c r="BT24" s="50">
        <f>+BT20+BT22+BT23</f>
        <v>189.11937422675163</v>
      </c>
      <c r="BU24" s="385">
        <f>+BU20+BU22+BU23</f>
        <v>685.06375014199193</v>
      </c>
      <c r="BV24" s="40"/>
      <c r="BW24" s="83">
        <f>+BW20+BW22+BW23</f>
        <v>154.99527095920374</v>
      </c>
      <c r="BX24" s="50">
        <f>+BX20+BX22+BX23</f>
        <v>169.94184799542791</v>
      </c>
      <c r="BY24" s="50">
        <f>+BY20+BY22+BY23</f>
        <v>170.99662990625325</v>
      </c>
      <c r="BZ24" s="50">
        <f>+BZ20+BZ22+BZ23</f>
        <v>190.42025220116426</v>
      </c>
      <c r="CA24" s="385">
        <f>+CA20+CA22+CA23</f>
        <v>686.35400106204975</v>
      </c>
      <c r="CB24" s="40"/>
      <c r="CC24" s="83">
        <f>+CC20+CC22+CC23</f>
        <v>159.55732648629265</v>
      </c>
      <c r="CD24" s="50">
        <f>+CD20+CD22+CD23</f>
        <v>175.58825051377244</v>
      </c>
      <c r="CE24" s="50">
        <f>+CE20+CE22+CE23</f>
        <v>175.57832131658151</v>
      </c>
      <c r="CF24" s="50">
        <f>+CF20+CF22+CF23</f>
        <v>194.58869652203694</v>
      </c>
      <c r="CG24" s="385">
        <f>+CG20+CG22+CG23</f>
        <v>705.31259483868371</v>
      </c>
      <c r="CH24" s="50"/>
      <c r="CI24" s="50"/>
      <c r="CJ24" s="50"/>
      <c r="CK24" s="50"/>
      <c r="CL24" s="50"/>
      <c r="CM24" s="75"/>
      <c r="CN24" s="75"/>
      <c r="CO24"/>
      <c r="CP24"/>
      <c r="CQ24"/>
      <c r="CR24"/>
      <c r="CS24"/>
      <c r="CT24"/>
    </row>
    <row r="25" spans="1:98" s="7" customFormat="1" ht="11.25" customHeight="1" x14ac:dyDescent="0.2">
      <c r="A25" s="48"/>
      <c r="B25" s="422" t="s">
        <v>162</v>
      </c>
      <c r="C25" s="376">
        <v>2.915</v>
      </c>
      <c r="D25" s="218">
        <v>3.8420000000000001</v>
      </c>
      <c r="E25" s="218">
        <v>4.2469999999999999</v>
      </c>
      <c r="F25" s="391">
        <f>17.442-SUM(C25:E25)</f>
        <v>6.4380000000000006</v>
      </c>
      <c r="G25" s="384">
        <f>+SUM(C25:F25)</f>
        <v>17.442</v>
      </c>
      <c r="H25" s="26"/>
      <c r="I25" s="376">
        <v>3.25</v>
      </c>
      <c r="J25" s="218">
        <v>7.1310000000000002</v>
      </c>
      <c r="K25" s="218">
        <f>5.278-(-0.052+0.06)</f>
        <v>5.27</v>
      </c>
      <c r="L25" s="391">
        <f>21.917-SUM(I25:K25)+(7.902-7.89)</f>
        <v>6.2780000000000022</v>
      </c>
      <c r="M25" s="384">
        <f>+SUM(I25:L25)</f>
        <v>21.929000000000002</v>
      </c>
      <c r="N25" s="26"/>
      <c r="O25" s="376">
        <f>4.449-(0.117-0.077)</f>
        <v>4.4089999999999998</v>
      </c>
      <c r="P25" s="218">
        <f>6.952-(0.225-0.149)</f>
        <v>6.8760000000000003</v>
      </c>
      <c r="Q25" s="218">
        <f>4.327+(2.373-2.376)</f>
        <v>4.3239999999999998</v>
      </c>
      <c r="R25" s="391">
        <f>22.004-SUM(O25:Q25)-(2.715-2.602)</f>
        <v>6.2820000000000018</v>
      </c>
      <c r="S25" s="384">
        <f>+SUM(O25:R25)</f>
        <v>21.891000000000002</v>
      </c>
      <c r="T25" s="26"/>
      <c r="U25" s="222">
        <v>6.3520000000000003</v>
      </c>
      <c r="V25" s="218">
        <v>9.1620000000000008</v>
      </c>
      <c r="W25" s="218">
        <v>6.5970000000000004</v>
      </c>
      <c r="X25" s="218">
        <f>26.342-SUM(U25:W25)</f>
        <v>4.2309999999999981</v>
      </c>
      <c r="Y25" s="384">
        <f>+SUM(U25:X25)</f>
        <v>26.341999999999999</v>
      </c>
      <c r="Z25" s="26"/>
      <c r="AA25" s="222">
        <v>6.476</v>
      </c>
      <c r="AB25" s="218">
        <v>10.581</v>
      </c>
      <c r="AC25" s="218">
        <v>8.8469999999999995</v>
      </c>
      <c r="AD25" s="218">
        <f>36.995-SUM(AA25:AC25)</f>
        <v>11.091000000000001</v>
      </c>
      <c r="AE25" s="384">
        <f>+SUM(AA25:AD25)</f>
        <v>36.994999999999997</v>
      </c>
      <c r="AF25" s="26"/>
      <c r="AG25" s="222">
        <v>8.3089999999999993</v>
      </c>
      <c r="AH25" s="218">
        <v>9.2159999999999993</v>
      </c>
      <c r="AI25" s="218">
        <v>8.5389999999999997</v>
      </c>
      <c r="AJ25" s="218">
        <f>35.312-SUM(AG25:AI25)</f>
        <v>9.2479999999999976</v>
      </c>
      <c r="AK25" s="384">
        <f>+SUM(AG25:AJ25)</f>
        <v>35.311999999999998</v>
      </c>
      <c r="AL25" s="26"/>
      <c r="AM25" s="222">
        <v>7.2080000000000002</v>
      </c>
      <c r="AN25" s="218">
        <v>13.005000000000001</v>
      </c>
      <c r="AO25" s="218">
        <v>8.9939999999999998</v>
      </c>
      <c r="AP25" s="218">
        <f>39.908-SUM(AM25:AO25)</f>
        <v>10.701000000000001</v>
      </c>
      <c r="AQ25" s="384">
        <f>+SUM(AM25:AP25)</f>
        <v>39.908000000000001</v>
      </c>
      <c r="AR25" s="26"/>
      <c r="AS25" s="222">
        <v>8.0289999999999999</v>
      </c>
      <c r="AT25" s="218">
        <v>10.881</v>
      </c>
      <c r="AU25" s="218">
        <v>9.4600000000000009</v>
      </c>
      <c r="AV25" s="218">
        <f>39.359-SUM(AS25:AU25)</f>
        <v>10.989000000000001</v>
      </c>
      <c r="AW25" s="384">
        <f>+SUM(AS25:AV25)</f>
        <v>39.359000000000002</v>
      </c>
      <c r="AX25" s="26"/>
      <c r="AY25" s="222">
        <v>8.1329999999999991</v>
      </c>
      <c r="AZ25" s="218">
        <v>11.68</v>
      </c>
      <c r="BA25" s="218">
        <v>13.661</v>
      </c>
      <c r="BB25" s="218">
        <f>44.369-SUM(AY25:BA25)</f>
        <v>10.895000000000003</v>
      </c>
      <c r="BC25" s="384">
        <f>+SUM(AY25:BB25)</f>
        <v>44.369</v>
      </c>
      <c r="BD25" s="26"/>
      <c r="BE25" s="222">
        <v>10.781000000000001</v>
      </c>
      <c r="BF25" s="218">
        <v>13.000999999999999</v>
      </c>
      <c r="BG25" s="218">
        <v>11.577999999999999</v>
      </c>
      <c r="BH25" s="218">
        <v>14.257</v>
      </c>
      <c r="BI25" s="384">
        <f>SUM(BE25:BH25)</f>
        <v>49.616999999999997</v>
      </c>
      <c r="BJ25" s="26"/>
      <c r="BK25" s="222">
        <v>9.5050000000000008</v>
      </c>
      <c r="BL25" s="218">
        <v>13.526999999999999</v>
      </c>
      <c r="BM25" s="218">
        <v>12.917</v>
      </c>
      <c r="BN25" s="218">
        <v>17.045000000000002</v>
      </c>
      <c r="BO25" s="384">
        <f>SUM(BK25:BN25)</f>
        <v>52.994</v>
      </c>
      <c r="BP25" s="26"/>
      <c r="BQ25" s="155">
        <f>+BQ24*BQ26</f>
        <v>15.795104755640249</v>
      </c>
      <c r="BR25" s="32">
        <f>+BR24*BR26</f>
        <v>18.252630499370714</v>
      </c>
      <c r="BS25" s="32">
        <f>+BS24*BS26</f>
        <v>18.38595773522292</v>
      </c>
      <c r="BT25" s="32">
        <f>+BT24*BT26</f>
        <v>20.424892416489175</v>
      </c>
      <c r="BU25" s="384">
        <f>SUM(BQ25:BT25)</f>
        <v>72.858585406723051</v>
      </c>
      <c r="BV25" s="26"/>
      <c r="BW25" s="155">
        <f>+BW24*BW26</f>
        <v>16.739489263594002</v>
      </c>
      <c r="BX25" s="32">
        <f>+BX24*BX26</f>
        <v>18.353719583506212</v>
      </c>
      <c r="BY25" s="32">
        <f>+BY24*BY26</f>
        <v>18.467636029875351</v>
      </c>
      <c r="BZ25" s="32">
        <f>+BZ24*BZ26</f>
        <v>20.565387237725741</v>
      </c>
      <c r="CA25" s="384">
        <f>SUM(BW25:BZ25)</f>
        <v>74.12623211470131</v>
      </c>
      <c r="CB25" s="26"/>
      <c r="CC25" s="155">
        <f>+CC24*CC26</f>
        <v>17.232191260519606</v>
      </c>
      <c r="CD25" s="32">
        <f>+CD24*CD26</f>
        <v>18.963531055487422</v>
      </c>
      <c r="CE25" s="32">
        <f>+CE24*CE26</f>
        <v>18.962458702190801</v>
      </c>
      <c r="CF25" s="32">
        <f>+CF24*CF26</f>
        <v>21.015579224379991</v>
      </c>
      <c r="CG25" s="384">
        <f>SUM(CC25:CF25)</f>
        <v>76.173760242577828</v>
      </c>
      <c r="CH25" s="32"/>
      <c r="CI25" s="32"/>
      <c r="CJ25" s="32"/>
      <c r="CK25" s="32"/>
      <c r="CL25" s="32"/>
      <c r="CM25" s="48"/>
      <c r="CN25" s="48"/>
      <c r="CO25"/>
      <c r="CP25"/>
      <c r="CQ25"/>
      <c r="CR25"/>
      <c r="CS25"/>
      <c r="CT25"/>
    </row>
    <row r="26" spans="1:98" s="7" customFormat="1" ht="11.25" customHeight="1" outlineLevel="1" x14ac:dyDescent="0.2">
      <c r="A26" s="59"/>
      <c r="B26" s="421" t="s">
        <v>336</v>
      </c>
      <c r="C26" s="379">
        <f>+C25/C24</f>
        <v>6.2919553627317715E-2</v>
      </c>
      <c r="D26" s="43">
        <f>+D25/D24</f>
        <v>6.5921998593023404E-2</v>
      </c>
      <c r="E26" s="43">
        <f>+E25/E24</f>
        <v>6.5424016020950326E-2</v>
      </c>
      <c r="F26" s="394">
        <f>+F25/F24</f>
        <v>7.6585418079297432E-2</v>
      </c>
      <c r="G26" s="386">
        <f>+G25/G24</f>
        <v>6.8780857138350263E-2</v>
      </c>
      <c r="H26" s="228"/>
      <c r="I26" s="379">
        <f>+I25/I24</f>
        <v>5.9336887460746258E-2</v>
      </c>
      <c r="J26" s="43">
        <f>+J25/J24</f>
        <v>9.8882356203893532E-2</v>
      </c>
      <c r="K26" s="43">
        <f>+K25/K24</f>
        <v>6.9467329264595326E-2</v>
      </c>
      <c r="L26" s="394">
        <f>+L25/L24</f>
        <v>7.3374551489582093E-2</v>
      </c>
      <c r="M26" s="386">
        <f>+M25/M24</f>
        <v>7.6059962818058449E-2</v>
      </c>
      <c r="N26" s="228"/>
      <c r="O26" s="379">
        <f>+O25/O24</f>
        <v>7.1150773798957748E-2</v>
      </c>
      <c r="P26" s="43">
        <f>+P25/P24</f>
        <v>8.5735660847880396E-2</v>
      </c>
      <c r="Q26" s="43">
        <f>+Q25/Q24</f>
        <v>5.5978457873750678E-2</v>
      </c>
      <c r="R26" s="394">
        <f>+R25/R24</f>
        <v>6.8313795428346979E-2</v>
      </c>
      <c r="S26" s="386">
        <f>+S25/S24</f>
        <v>7.0305650209237111E-2</v>
      </c>
      <c r="T26" s="228"/>
      <c r="U26" s="235">
        <f>+U25/U24</f>
        <v>8.4130221715981113E-2</v>
      </c>
      <c r="V26" s="43">
        <f>+V25/V24</f>
        <v>9.8343763081910188E-2</v>
      </c>
      <c r="W26" s="43">
        <f>+W25/W24</f>
        <v>6.9816911842523102E-2</v>
      </c>
      <c r="X26" s="43">
        <f>+X25/X24</f>
        <v>4.3517166190113601E-2</v>
      </c>
      <c r="Y26" s="386">
        <f>+Y25/Y24</f>
        <v>7.3094863491693474E-2</v>
      </c>
      <c r="Z26" s="228"/>
      <c r="AA26" s="235">
        <f>+AA25/AA24</f>
        <v>7.8051367345217088E-2</v>
      </c>
      <c r="AB26" s="43">
        <f>+AB25/AB24</f>
        <v>0.10071771245811766</v>
      </c>
      <c r="AC26" s="43">
        <f>+AC25/AC24</f>
        <v>8.7760891992698722E-2</v>
      </c>
      <c r="AD26" s="43">
        <f>+AD25/AD24</f>
        <v>9.5759836299116705E-2</v>
      </c>
      <c r="AE26" s="386">
        <f>+AE25/AE24</f>
        <v>9.1423332410738911E-2</v>
      </c>
      <c r="AF26" s="228"/>
      <c r="AG26" s="235">
        <f>+AG25/AG24</f>
        <v>8.5341303588669329E-2</v>
      </c>
      <c r="AH26" s="43">
        <f>+AH25/AH24</f>
        <v>8.4135185962862055E-2</v>
      </c>
      <c r="AI26" s="43">
        <f>+AI25/AI24</f>
        <v>8.1084417434241718E-2</v>
      </c>
      <c r="AJ26" s="43">
        <f>+AJ25/AJ24</f>
        <v>7.5980774760710287E-2</v>
      </c>
      <c r="AK26" s="386">
        <f>+AK25/AK24</f>
        <v>8.1378118338422373E-2</v>
      </c>
      <c r="AL26" s="228"/>
      <c r="AM26" s="235">
        <f>+AM25/AM24</f>
        <v>7.1109357273220569E-2</v>
      </c>
      <c r="AN26" s="43">
        <f>+AN25/AN24</f>
        <v>0.10709433030016059</v>
      </c>
      <c r="AO26" s="43">
        <f>+AO25/AO24</f>
        <v>7.7864062540581147E-2</v>
      </c>
      <c r="AP26" s="43">
        <f>+AP25/AP24</f>
        <v>7.9284872822647331E-2</v>
      </c>
      <c r="AQ26" s="386">
        <f>+AQ25/AQ24</f>
        <v>8.4322533479265702E-2</v>
      </c>
      <c r="AR26" s="228"/>
      <c r="AS26" s="235">
        <f>+AS25/AS24</f>
        <v>7.2906072933313873E-2</v>
      </c>
      <c r="AT26" s="43">
        <f>+AT25/AT24</f>
        <v>8.5598307071438173E-2</v>
      </c>
      <c r="AU26" s="43">
        <f>+AU25/AU24</f>
        <v>7.6145400689011405E-2</v>
      </c>
      <c r="AV26" s="43">
        <f>+AV25/AV24</f>
        <v>7.6336355110972073E-2</v>
      </c>
      <c r="AW26" s="386">
        <f>+AW25/AW24</f>
        <v>7.7871382331294217E-2</v>
      </c>
      <c r="AX26" s="228"/>
      <c r="AY26" s="235">
        <f>+AY25/AY24</f>
        <v>6.9762055891990069E-2</v>
      </c>
      <c r="AZ26" s="43">
        <f>+AZ25/AZ24</f>
        <v>8.6597418388605865E-2</v>
      </c>
      <c r="BA26" s="43">
        <f>+BA25/BA24</f>
        <v>9.4727280291788479E-2</v>
      </c>
      <c r="BB26" s="43">
        <f>+BB25/BB24</f>
        <v>7.2560772560773423E-2</v>
      </c>
      <c r="BC26" s="386">
        <f>+BC25/BC24</f>
        <v>8.1288256449435228E-2</v>
      </c>
      <c r="BD26" s="228"/>
      <c r="BE26" s="235">
        <f>+BE25/BE24</f>
        <v>8.4505827852982857E-2</v>
      </c>
      <c r="BF26" s="43">
        <f>+BF25/BF24</f>
        <v>8.7616672844290019E-2</v>
      </c>
      <c r="BG26" s="43">
        <f>+BG25/BG24</f>
        <v>7.7539211615478359E-2</v>
      </c>
      <c r="BH26" s="43">
        <f>+BH25/BH24</f>
        <v>8.6127841578416381E-2</v>
      </c>
      <c r="BI26" s="386">
        <f>+BI25/BI24</f>
        <v>8.3980887353528086E-2</v>
      </c>
      <c r="BJ26" s="228"/>
      <c r="BK26" s="235">
        <f>+BK25/BK24</f>
        <v>6.3259968186991242E-2</v>
      </c>
      <c r="BL26" s="43">
        <f>+BL25/BL24</f>
        <v>8.8540814389600361E-2</v>
      </c>
      <c r="BM26" s="43">
        <f>+BM25/BM24</f>
        <v>8.5572515038291275E-2</v>
      </c>
      <c r="BN26" s="43">
        <f>+BN25/BN24</f>
        <v>0.10079953636352876</v>
      </c>
      <c r="BO26" s="386">
        <f>+BO25/BO24</f>
        <v>8.5052224768727994E-2</v>
      </c>
      <c r="BP26" s="228"/>
      <c r="BQ26" s="236">
        <f>+BN26</f>
        <v>0.10079953636352876</v>
      </c>
      <c r="BR26" s="229">
        <v>0.108</v>
      </c>
      <c r="BS26" s="229">
        <f>+BR26</f>
        <v>0.108</v>
      </c>
      <c r="BT26" s="229">
        <f>+BS26</f>
        <v>0.108</v>
      </c>
      <c r="BU26" s="386">
        <f>+BU25/BU24</f>
        <v>0.10635300056618349</v>
      </c>
      <c r="BV26" s="228"/>
      <c r="BW26" s="236">
        <f>+BT26</f>
        <v>0.108</v>
      </c>
      <c r="BX26" s="229">
        <f>+BW26</f>
        <v>0.108</v>
      </c>
      <c r="BY26" s="229">
        <f>+BX26</f>
        <v>0.108</v>
      </c>
      <c r="BZ26" s="229">
        <f>+BY26</f>
        <v>0.108</v>
      </c>
      <c r="CA26" s="386">
        <f>+CA25/CA24</f>
        <v>0.1079999999999999</v>
      </c>
      <c r="CB26" s="228"/>
      <c r="CC26" s="236">
        <f>+BZ26</f>
        <v>0.108</v>
      </c>
      <c r="CD26" s="229">
        <f>+CC26</f>
        <v>0.108</v>
      </c>
      <c r="CE26" s="229">
        <f>+CD26</f>
        <v>0.108</v>
      </c>
      <c r="CF26" s="229">
        <f>+CE26</f>
        <v>0.108</v>
      </c>
      <c r="CG26" s="386">
        <f>+CG25/CG24</f>
        <v>0.10799999999999998</v>
      </c>
      <c r="CH26" s="211"/>
      <c r="CI26" s="211"/>
      <c r="CJ26" s="211"/>
      <c r="CK26" s="211"/>
      <c r="CL26" s="211"/>
      <c r="CM26" s="226"/>
      <c r="CN26" s="226"/>
      <c r="CO26"/>
      <c r="CP26"/>
      <c r="CQ26"/>
      <c r="CR26"/>
      <c r="CS26"/>
      <c r="CT26"/>
    </row>
    <row r="27" spans="1:98" s="7" customFormat="1" ht="11.25" customHeight="1" x14ac:dyDescent="0.2">
      <c r="A27" s="75"/>
      <c r="B27" s="419" t="s">
        <v>15</v>
      </c>
      <c r="C27" s="377">
        <f>C24-C25</f>
        <v>43.413999999999959</v>
      </c>
      <c r="D27" s="50">
        <f>D24-D25</f>
        <v>54.439000000000043</v>
      </c>
      <c r="E27" s="50">
        <f>E24-E25</f>
        <v>60.668000000000148</v>
      </c>
      <c r="F27" s="392">
        <f>F24-F25</f>
        <v>77.62500000000027</v>
      </c>
      <c r="G27" s="385">
        <f>G24-G25</f>
        <v>236.1460000000005</v>
      </c>
      <c r="H27" s="40"/>
      <c r="I27" s="377">
        <f>I24-I25</f>
        <v>51.522000000000098</v>
      </c>
      <c r="J27" s="50">
        <f>J24-J25</f>
        <v>64.985000000000142</v>
      </c>
      <c r="K27" s="50">
        <f>K24-K25</f>
        <v>70.59300000000006</v>
      </c>
      <c r="L27" s="392">
        <f>L24-L25</f>
        <v>79.282999999998211</v>
      </c>
      <c r="M27" s="385">
        <f>M24-M25</f>
        <v>266.38299999999913</v>
      </c>
      <c r="N27" s="40"/>
      <c r="O27" s="377">
        <f>O24-O25</f>
        <v>57.557999999999794</v>
      </c>
      <c r="P27" s="50">
        <f>P24-P25</f>
        <v>73.323999999999913</v>
      </c>
      <c r="Q27" s="50">
        <f>Q24-Q25</f>
        <v>72.920000000000044</v>
      </c>
      <c r="R27" s="392">
        <f>R24-R25</f>
        <v>85.676000000001039</v>
      </c>
      <c r="S27" s="385">
        <f>S24-S25</f>
        <v>289.47800000000069</v>
      </c>
      <c r="T27" s="40"/>
      <c r="U27" s="83">
        <f>U24-U25</f>
        <v>69.149999999999935</v>
      </c>
      <c r="V27" s="50">
        <f>V24-V25</f>
        <v>84.001000000000019</v>
      </c>
      <c r="W27" s="50">
        <f>W24-W25</f>
        <v>87.892999999999901</v>
      </c>
      <c r="X27" s="50">
        <f>X24-X25</f>
        <v>92.995000000000303</v>
      </c>
      <c r="Y27" s="385">
        <f>Y24-Y25</f>
        <v>334.03900000000021</v>
      </c>
      <c r="Z27" s="40"/>
      <c r="AA27" s="83">
        <f>AA24-AA25</f>
        <v>76.494999999999905</v>
      </c>
      <c r="AB27" s="50">
        <f>AB24-AB25</f>
        <v>94.474999999999909</v>
      </c>
      <c r="AC27" s="50">
        <f>AC24-AC25</f>
        <v>91.961000000000311</v>
      </c>
      <c r="AD27" s="50">
        <f>AD24-AD25</f>
        <v>104.73000000000005</v>
      </c>
      <c r="AE27" s="385">
        <f>AE24-AE25</f>
        <v>367.66100000000034</v>
      </c>
      <c r="AF27" s="40"/>
      <c r="AG27" s="83">
        <f>AG24-AG25</f>
        <v>89.052999999999727</v>
      </c>
      <c r="AH27" s="50">
        <f>AH24-AH25</f>
        <v>100.32200000000019</v>
      </c>
      <c r="AI27" s="50">
        <f>AI24-AI25</f>
        <v>96.771000000000058</v>
      </c>
      <c r="AJ27" s="50">
        <f>AJ24-AJ25</f>
        <v>112.46700000000192</v>
      </c>
      <c r="AK27" s="385">
        <f>AK24-AK25</f>
        <v>398.61300000000085</v>
      </c>
      <c r="AL27" s="40"/>
      <c r="AM27" s="83">
        <f>AM24-AM25</f>
        <v>94.156999999999968</v>
      </c>
      <c r="AN27" s="50">
        <f>AN24-AN25</f>
        <v>108.42999999999999</v>
      </c>
      <c r="AO27" s="50">
        <f>AO24-AO25</f>
        <v>106.51500000000016</v>
      </c>
      <c r="AP27" s="50">
        <f>AP24-AP25</f>
        <v>124.26800000000142</v>
      </c>
      <c r="AQ27" s="385">
        <f>AQ24-AQ25</f>
        <v>433.37000000000103</v>
      </c>
      <c r="AR27" s="40"/>
      <c r="AS27" s="83">
        <f>AS24-AS25</f>
        <v>102.09900000000015</v>
      </c>
      <c r="AT27" s="50">
        <f>AT24-AT25</f>
        <v>116.23599999999993</v>
      </c>
      <c r="AU27" s="50">
        <f>AU24-AU25</f>
        <v>114.77599999999973</v>
      </c>
      <c r="AV27" s="50">
        <f>AV24-AV25</f>
        <v>132.96600000000021</v>
      </c>
      <c r="AW27" s="385">
        <f>AW24-AW25</f>
        <v>466.07699999999977</v>
      </c>
      <c r="AX27" s="40"/>
      <c r="AY27" s="83">
        <f>AY24-AY25</f>
        <v>108.44900000000018</v>
      </c>
      <c r="AZ27" s="50">
        <f>AZ24-AZ25</f>
        <v>123.19700000000006</v>
      </c>
      <c r="BA27" s="50">
        <f>BA24-BA25</f>
        <v>130.55300000000017</v>
      </c>
      <c r="BB27" s="50">
        <f>BB24-BB25</f>
        <v>139.25499999999826</v>
      </c>
      <c r="BC27" s="385">
        <f>BC24-BC25</f>
        <v>501.45399999999893</v>
      </c>
      <c r="BD27" s="40"/>
      <c r="BE27" s="83">
        <f>BE24-BE25</f>
        <v>116.79600000000006</v>
      </c>
      <c r="BF27" s="50">
        <f>BF24-BF25</f>
        <v>135.38400000000027</v>
      </c>
      <c r="BG27" s="50">
        <f>BG24-BG25</f>
        <v>137.74</v>
      </c>
      <c r="BH27" s="50">
        <f>BH24-BH25</f>
        <v>151.27600000000001</v>
      </c>
      <c r="BI27" s="385">
        <f>BI24-BI25</f>
        <v>541.19600000000014</v>
      </c>
      <c r="BJ27" s="40"/>
      <c r="BK27" s="83">
        <f>BK24-BK25</f>
        <v>140.7480000000001</v>
      </c>
      <c r="BL27" s="50">
        <f>BL24-BL25</f>
        <v>139.25000000000028</v>
      </c>
      <c r="BM27" s="50">
        <f>BM24-BM25</f>
        <v>138.03100000000009</v>
      </c>
      <c r="BN27" s="50">
        <f>BN24-BN25</f>
        <v>152.05300000000017</v>
      </c>
      <c r="BO27" s="385">
        <f>BO24-BO25</f>
        <v>570.08200000000045</v>
      </c>
      <c r="BP27" s="40"/>
      <c r="BQ27" s="83">
        <f>BQ24-BQ25</f>
        <v>140.90308380225105</v>
      </c>
      <c r="BR27" s="50">
        <f>BR24-BR25</f>
        <v>150.75320745776551</v>
      </c>
      <c r="BS27" s="50">
        <f>BS24-BS25</f>
        <v>151.85439166498929</v>
      </c>
      <c r="BT27" s="50">
        <f>BT24-BT25</f>
        <v>168.69448181026246</v>
      </c>
      <c r="BU27" s="385">
        <f>BU24-BU25</f>
        <v>612.20516473526891</v>
      </c>
      <c r="BV27" s="40"/>
      <c r="BW27" s="83">
        <f>BW24-BW25</f>
        <v>138.25578169560973</v>
      </c>
      <c r="BX27" s="50">
        <f>BX24-BX25</f>
        <v>151.5881284119217</v>
      </c>
      <c r="BY27" s="50">
        <f>BY24-BY25</f>
        <v>152.52899387637791</v>
      </c>
      <c r="BZ27" s="50">
        <f>BZ24-BZ25</f>
        <v>169.85486496343853</v>
      </c>
      <c r="CA27" s="385">
        <f>CA24-CA25</f>
        <v>612.22776894734841</v>
      </c>
      <c r="CB27" s="40"/>
      <c r="CC27" s="83">
        <f>CC24-CC25</f>
        <v>142.32513522577304</v>
      </c>
      <c r="CD27" s="50">
        <f>CD24-CD25</f>
        <v>156.62471945828503</v>
      </c>
      <c r="CE27" s="50">
        <f>CE24-CE25</f>
        <v>156.61586261439072</v>
      </c>
      <c r="CF27" s="50">
        <f>CF24-CF25</f>
        <v>173.57311729765695</v>
      </c>
      <c r="CG27" s="385">
        <f>CG24-CG25</f>
        <v>629.13883459610588</v>
      </c>
      <c r="CH27" s="32"/>
      <c r="CI27" s="32"/>
      <c r="CJ27" s="32"/>
      <c r="CK27" s="32"/>
      <c r="CL27" s="32"/>
      <c r="CM27" s="75"/>
      <c r="CN27" s="75"/>
      <c r="CO27"/>
      <c r="CP27"/>
      <c r="CQ27"/>
      <c r="CR27"/>
      <c r="CS27"/>
      <c r="CT27"/>
    </row>
    <row r="28" spans="1:98" s="7" customFormat="1" ht="11.25" customHeight="1" outlineLevel="1" x14ac:dyDescent="0.2">
      <c r="A28" s="75"/>
      <c r="B28" s="419" t="s">
        <v>220</v>
      </c>
      <c r="C28" s="378"/>
      <c r="D28" s="32"/>
      <c r="E28" s="32"/>
      <c r="F28" s="393"/>
      <c r="G28" s="384"/>
      <c r="H28" s="40"/>
      <c r="I28" s="378"/>
      <c r="J28" s="32"/>
      <c r="K28" s="32"/>
      <c r="L28" s="393"/>
      <c r="M28" s="384"/>
      <c r="N28" s="40"/>
      <c r="O28" s="378"/>
      <c r="P28" s="32"/>
      <c r="Q28" s="32"/>
      <c r="R28" s="393"/>
      <c r="S28" s="384"/>
      <c r="T28" s="40"/>
      <c r="U28" s="155"/>
      <c r="V28" s="32"/>
      <c r="W28" s="32"/>
      <c r="X28" s="32"/>
      <c r="Y28" s="384"/>
      <c r="Z28" s="40"/>
      <c r="AA28" s="155"/>
      <c r="AB28" s="32"/>
      <c r="AC28" s="32"/>
      <c r="AD28" s="32"/>
      <c r="AE28" s="384"/>
      <c r="AF28" s="40"/>
      <c r="AG28" s="155"/>
      <c r="AH28" s="32"/>
      <c r="AI28" s="32"/>
      <c r="AJ28" s="32"/>
      <c r="AK28" s="384"/>
      <c r="AL28" s="40"/>
      <c r="AM28" s="155"/>
      <c r="AN28" s="32"/>
      <c r="AO28" s="32"/>
      <c r="AP28" s="32"/>
      <c r="AQ28" s="384"/>
      <c r="AR28" s="40"/>
      <c r="AS28" s="155"/>
      <c r="AT28" s="32"/>
      <c r="AU28" s="32"/>
      <c r="AV28" s="32"/>
      <c r="AW28" s="384"/>
      <c r="AX28" s="40"/>
      <c r="AY28" s="155"/>
      <c r="AZ28" s="32"/>
      <c r="BA28" s="32"/>
      <c r="BB28" s="32"/>
      <c r="BC28" s="384"/>
      <c r="BD28" s="40"/>
      <c r="BE28" s="155"/>
      <c r="BF28" s="32"/>
      <c r="BG28" s="32"/>
      <c r="BH28" s="32"/>
      <c r="BI28" s="384"/>
      <c r="BJ28" s="40"/>
      <c r="BK28" s="155"/>
      <c r="BL28" s="32"/>
      <c r="BM28" s="32"/>
      <c r="BN28" s="32"/>
      <c r="BO28" s="384"/>
      <c r="BP28" s="40"/>
      <c r="BQ28" s="155"/>
      <c r="BR28" s="32"/>
      <c r="BS28" s="32"/>
      <c r="BT28" s="32"/>
      <c r="BU28" s="384"/>
      <c r="BV28" s="40"/>
      <c r="BW28" s="155"/>
      <c r="BX28" s="32"/>
      <c r="BY28" s="32"/>
      <c r="BZ28" s="32"/>
      <c r="CA28" s="384"/>
      <c r="CB28" s="40"/>
      <c r="CC28" s="155"/>
      <c r="CD28" s="32"/>
      <c r="CE28" s="32"/>
      <c r="CF28" s="32"/>
      <c r="CG28" s="384"/>
      <c r="CH28" s="65"/>
      <c r="CI28" s="65"/>
      <c r="CJ28" s="65"/>
      <c r="CK28" s="65"/>
      <c r="CL28" s="65"/>
      <c r="CM28" s="75"/>
      <c r="CN28" s="75"/>
      <c r="CO28"/>
      <c r="CP28"/>
      <c r="CQ28"/>
      <c r="CR28"/>
      <c r="CS28"/>
      <c r="CT28"/>
    </row>
    <row r="29" spans="1:98" s="7" customFormat="1" ht="11.25" customHeight="1" x14ac:dyDescent="0.2">
      <c r="B29" s="423"/>
      <c r="C29" s="378"/>
      <c r="D29" s="32"/>
      <c r="E29" s="32"/>
      <c r="F29" s="393"/>
      <c r="G29" s="384"/>
      <c r="H29" s="116"/>
      <c r="I29" s="378"/>
      <c r="J29" s="32"/>
      <c r="K29" s="32"/>
      <c r="L29" s="393"/>
      <c r="M29" s="384"/>
      <c r="N29" s="116"/>
      <c r="O29" s="378"/>
      <c r="P29" s="32"/>
      <c r="Q29" s="32"/>
      <c r="R29" s="393"/>
      <c r="S29" s="384"/>
      <c r="T29" s="116"/>
      <c r="U29" s="155"/>
      <c r="V29" s="32"/>
      <c r="W29" s="32"/>
      <c r="X29" s="32"/>
      <c r="Y29" s="384"/>
      <c r="Z29" s="116"/>
      <c r="AA29" s="155"/>
      <c r="AB29" s="32"/>
      <c r="AC29" s="32"/>
      <c r="AD29" s="32"/>
      <c r="AE29" s="384"/>
      <c r="AF29" s="116"/>
      <c r="AG29" s="155"/>
      <c r="AH29" s="32"/>
      <c r="AI29" s="32"/>
      <c r="AJ29" s="32"/>
      <c r="AK29" s="384"/>
      <c r="AL29" s="116"/>
      <c r="AM29" s="155"/>
      <c r="AN29" s="32"/>
      <c r="AO29" s="32"/>
      <c r="AP29" s="32"/>
      <c r="AQ29" s="384"/>
      <c r="AR29" s="116"/>
      <c r="AS29" s="155"/>
      <c r="AT29" s="32"/>
      <c r="AU29" s="32"/>
      <c r="AV29" s="32"/>
      <c r="AW29" s="384"/>
      <c r="AX29" s="116"/>
      <c r="AY29" s="155"/>
      <c r="AZ29" s="32"/>
      <c r="BA29" s="32"/>
      <c r="BB29" s="32"/>
      <c r="BC29" s="384"/>
      <c r="BD29" s="116"/>
      <c r="BE29" s="155"/>
      <c r="BF29" s="32"/>
      <c r="BG29" s="32"/>
      <c r="BH29" s="32"/>
      <c r="BI29" s="384"/>
      <c r="BJ29" s="116"/>
      <c r="BK29" s="155"/>
      <c r="BL29" s="32"/>
      <c r="BM29" s="32"/>
      <c r="BN29" s="32"/>
      <c r="BO29" s="384"/>
      <c r="BP29" s="116"/>
      <c r="BQ29" s="155"/>
      <c r="BR29" s="32"/>
      <c r="BS29" s="32"/>
      <c r="BT29" s="32"/>
      <c r="BU29" s="384"/>
      <c r="BV29" s="116"/>
      <c r="BW29" s="155"/>
      <c r="BX29" s="32"/>
      <c r="BY29" s="32"/>
      <c r="BZ29" s="32"/>
      <c r="CA29" s="384"/>
      <c r="CB29" s="116"/>
      <c r="CC29" s="155"/>
      <c r="CD29" s="32"/>
      <c r="CE29" s="32"/>
      <c r="CF29" s="32"/>
      <c r="CG29" s="384"/>
      <c r="CH29" s="29"/>
      <c r="CI29" s="29"/>
      <c r="CJ29" s="29"/>
      <c r="CK29" s="29"/>
      <c r="CL29" s="29"/>
      <c r="CM29" s="11"/>
      <c r="CN29" s="11"/>
      <c r="CO29"/>
      <c r="CP29"/>
      <c r="CQ29"/>
      <c r="CR29"/>
      <c r="CS29"/>
      <c r="CT29"/>
    </row>
    <row r="30" spans="1:98" s="7" customFormat="1" ht="11.25" customHeight="1" x14ac:dyDescent="0.2">
      <c r="B30" s="422" t="s">
        <v>215</v>
      </c>
      <c r="C30" s="1155">
        <v>179.96799999999999</v>
      </c>
      <c r="D30" s="1155">
        <v>181.18199999999999</v>
      </c>
      <c r="E30" s="1155">
        <v>182.798</v>
      </c>
      <c r="F30" s="1155">
        <v>184.06200000000001</v>
      </c>
      <c r="G30" s="738">
        <v>182.32599999999999</v>
      </c>
      <c r="H30" s="13"/>
      <c r="I30" s="586">
        <v>184.518</v>
      </c>
      <c r="J30" s="1155">
        <v>184.024</v>
      </c>
      <c r="K30" s="1155">
        <v>182.75200000000001</v>
      </c>
      <c r="L30" s="1155">
        <v>178.81</v>
      </c>
      <c r="M30" s="738">
        <v>182.44200000000001</v>
      </c>
      <c r="N30" s="13"/>
      <c r="O30" s="586">
        <v>179.178</v>
      </c>
      <c r="P30" s="1155">
        <v>181.06800000000001</v>
      </c>
      <c r="Q30" s="1155">
        <v>183.02600000000001</v>
      </c>
      <c r="R30" s="1155">
        <v>184.02</v>
      </c>
      <c r="S30" s="738">
        <v>181.11199999999999</v>
      </c>
      <c r="T30" s="13"/>
      <c r="U30" s="586">
        <v>185.44200000000001</v>
      </c>
      <c r="V30" s="1155">
        <v>186.70400000000001</v>
      </c>
      <c r="W30" s="1155">
        <v>186.54</v>
      </c>
      <c r="X30" s="1155">
        <v>185.768</v>
      </c>
      <c r="Y30" s="738">
        <v>186.536</v>
      </c>
      <c r="Z30" s="13"/>
      <c r="AA30" s="586">
        <v>186.322</v>
      </c>
      <c r="AB30" s="1155">
        <v>186.892</v>
      </c>
      <c r="AC30" s="1155">
        <v>185.738</v>
      </c>
      <c r="AD30" s="1155">
        <v>182.48400000000001</v>
      </c>
      <c r="AE30" s="738">
        <v>185.24</v>
      </c>
      <c r="AF30" s="13"/>
      <c r="AG30" s="586">
        <v>181.33199999999999</v>
      </c>
      <c r="AH30" s="1155">
        <v>181.10599999999999</v>
      </c>
      <c r="AI30" s="1155">
        <v>179.29400000000001</v>
      </c>
      <c r="AJ30" s="1155">
        <v>178.56800000000001</v>
      </c>
      <c r="AK30" s="738">
        <v>179.64599999999999</v>
      </c>
      <c r="AL30" s="13"/>
      <c r="AM30" s="586">
        <v>177.584</v>
      </c>
      <c r="AN30" s="1155">
        <v>175.93600000000001</v>
      </c>
      <c r="AO30" s="1155">
        <v>174.80799999999999</v>
      </c>
      <c r="AP30" s="1155">
        <v>173.63200000000001</v>
      </c>
      <c r="AQ30" s="738">
        <v>175.244</v>
      </c>
      <c r="AR30" s="13"/>
      <c r="AS30" s="586">
        <v>173.036</v>
      </c>
      <c r="AT30" s="1155">
        <v>171.96</v>
      </c>
      <c r="AU30" s="1155">
        <v>170.9</v>
      </c>
      <c r="AV30" s="1155">
        <v>170.054</v>
      </c>
      <c r="AW30" s="738">
        <v>171.48</v>
      </c>
      <c r="AX30" s="13"/>
      <c r="AY30" s="586">
        <v>169.43</v>
      </c>
      <c r="AZ30" s="1155">
        <v>168.49799999999999</v>
      </c>
      <c r="BA30" s="1155">
        <v>168.16800000000001</v>
      </c>
      <c r="BB30" s="1155">
        <v>166.52799999999999</v>
      </c>
      <c r="BC30" s="738">
        <v>168.25</v>
      </c>
      <c r="BD30" s="13"/>
      <c r="BE30" s="586">
        <v>165.47800000000001</v>
      </c>
      <c r="BF30" s="1155">
        <v>164.78800000000001</v>
      </c>
      <c r="BG30" s="1155">
        <v>163.71</v>
      </c>
      <c r="BH30" s="1155">
        <v>161.05199999999999</v>
      </c>
      <c r="BI30" s="388">
        <f>(AVERAGE(BE30:BH30))</f>
        <v>163.75700000000001</v>
      </c>
      <c r="BJ30" s="13"/>
      <c r="BK30" s="586">
        <v>159.75800000000001</v>
      </c>
      <c r="BL30" s="587">
        <v>159.07599999999999</v>
      </c>
      <c r="BM30" s="587">
        <v>158.27099999999999</v>
      </c>
      <c r="BN30" s="1155">
        <v>155.10400000000001</v>
      </c>
      <c r="BO30" s="388">
        <f>AVERAGE(BK30:BN30)</f>
        <v>158.05225000000002</v>
      </c>
      <c r="BP30" s="13"/>
      <c r="BQ30" s="237">
        <f>+BN30*BQ31/BN31</f>
        <v>153.06368291118088</v>
      </c>
      <c r="BR30" s="39">
        <f>+BQ30*BR31/BQ31</f>
        <v>151.58054908965647</v>
      </c>
      <c r="BS30" s="39">
        <f>+BR30*BS31/BR31</f>
        <v>150.09637335954571</v>
      </c>
      <c r="BT30" s="39">
        <f>+BS30*BT31/BS31</f>
        <v>148.60760823747427</v>
      </c>
      <c r="BU30" s="388">
        <f>AVERAGE(BQ30:BT30)</f>
        <v>150.83705339946431</v>
      </c>
      <c r="BV30" s="13"/>
      <c r="BW30" s="237">
        <f>+BT30*BW31/BT31</f>
        <v>147.06783001525221</v>
      </c>
      <c r="BX30" s="39">
        <f>+BW30*BX31/BW31</f>
        <v>145.48070442836195</v>
      </c>
      <c r="BY30" s="39">
        <f>+BX30*BY31/BX31</f>
        <v>143.89278352428806</v>
      </c>
      <c r="BZ30" s="39">
        <f>+BY30*BZ31/BY31</f>
        <v>142.30135941241224</v>
      </c>
      <c r="CA30" s="388">
        <f>AVERAGE(BW30:BZ30)</f>
        <v>144.68566934507862</v>
      </c>
      <c r="CB30" s="13"/>
      <c r="CC30" s="237">
        <f>+BZ30*CC31/BZ31</f>
        <v>140.65916197361599</v>
      </c>
      <c r="CD30" s="39">
        <f>+CC30*CD31/CC31</f>
        <v>138.96898936357039</v>
      </c>
      <c r="CE30" s="39">
        <f>+CD30*CE31/CD31</f>
        <v>137.27820966627081</v>
      </c>
      <c r="CF30" s="39">
        <f>+CE30*CF31/CE31</f>
        <v>135.5847558751025</v>
      </c>
      <c r="CG30" s="388">
        <f>AVERAGE(CC30:CF30)</f>
        <v>138.12277921963994</v>
      </c>
      <c r="CH30" s="161"/>
      <c r="CI30" s="161"/>
      <c r="CJ30" s="161"/>
      <c r="CK30" s="161"/>
      <c r="CL30" s="161"/>
      <c r="CM30" s="176"/>
      <c r="CN30" s="177"/>
      <c r="CO30"/>
      <c r="CP30"/>
      <c r="CQ30"/>
      <c r="CR30"/>
      <c r="CS30"/>
      <c r="CT30"/>
    </row>
    <row r="31" spans="1:98" s="7" customFormat="1" ht="11.25" customHeight="1" x14ac:dyDescent="0.2">
      <c r="B31" s="422" t="s">
        <v>163</v>
      </c>
      <c r="C31" s="1155">
        <v>175.822</v>
      </c>
      <c r="D31" s="1155">
        <v>176.78</v>
      </c>
      <c r="E31" s="1155">
        <v>177.58</v>
      </c>
      <c r="F31" s="1155">
        <v>178.16399999999999</v>
      </c>
      <c r="G31" s="738">
        <v>177.11799999999999</v>
      </c>
      <c r="H31" s="39"/>
      <c r="I31" s="586">
        <v>178.446</v>
      </c>
      <c r="J31" s="1155">
        <v>179.17400000000001</v>
      </c>
      <c r="K31" s="1155">
        <v>177.86</v>
      </c>
      <c r="L31" s="1155">
        <v>177.346</v>
      </c>
      <c r="M31" s="738">
        <v>178.16</v>
      </c>
      <c r="N31" s="39"/>
      <c r="O31" s="586">
        <v>177.46199999999999</v>
      </c>
      <c r="P31" s="1155">
        <v>177.63</v>
      </c>
      <c r="Q31" s="1155">
        <v>177.59200000000001</v>
      </c>
      <c r="R31" s="1155">
        <v>178.358</v>
      </c>
      <c r="S31" s="738">
        <v>177.744</v>
      </c>
      <c r="T31" s="39"/>
      <c r="U31" s="586">
        <v>179.01599999999999</v>
      </c>
      <c r="V31" s="1155">
        <v>180.042</v>
      </c>
      <c r="W31" s="1155">
        <v>180.65199999999999</v>
      </c>
      <c r="X31" s="1155">
        <v>181.00200000000001</v>
      </c>
      <c r="Y31" s="738">
        <v>180.19399999999999</v>
      </c>
      <c r="Z31" s="39"/>
      <c r="AA31" s="586">
        <v>181.23</v>
      </c>
      <c r="AB31" s="1155">
        <v>181.53200000000001</v>
      </c>
      <c r="AC31" s="1155">
        <v>180.50200000000001</v>
      </c>
      <c r="AD31" s="1155">
        <v>177.51599999999999</v>
      </c>
      <c r="AE31" s="738">
        <v>180.24</v>
      </c>
      <c r="AF31" s="39"/>
      <c r="AG31" s="586">
        <v>176.43199999999999</v>
      </c>
      <c r="AH31" s="1155">
        <v>176.98</v>
      </c>
      <c r="AI31" s="1155">
        <v>174.93</v>
      </c>
      <c r="AJ31" s="1155">
        <v>174.00399999999999</v>
      </c>
      <c r="AK31" s="738">
        <v>174.99799999999999</v>
      </c>
      <c r="AL31" s="39"/>
      <c r="AM31" s="586">
        <v>173.30799999999999</v>
      </c>
      <c r="AN31" s="1155">
        <v>172.74</v>
      </c>
      <c r="AO31" s="1155">
        <v>171.292</v>
      </c>
      <c r="AP31" s="1155">
        <v>170.14400000000001</v>
      </c>
      <c r="AQ31" s="738">
        <v>171.852</v>
      </c>
      <c r="AR31" s="39"/>
      <c r="AS31" s="586">
        <v>169.61600000000001</v>
      </c>
      <c r="AT31" s="1155">
        <v>169.24</v>
      </c>
      <c r="AU31" s="1155">
        <v>168.19</v>
      </c>
      <c r="AV31" s="1155">
        <v>167.11600000000001</v>
      </c>
      <c r="AW31" s="738">
        <v>168.53</v>
      </c>
      <c r="AX31" s="39"/>
      <c r="AY31" s="586">
        <v>166.46</v>
      </c>
      <c r="AZ31" s="1155">
        <v>166.10599999999999</v>
      </c>
      <c r="BA31" s="1155">
        <v>165.71600000000001</v>
      </c>
      <c r="BB31" s="1155">
        <v>164.52799999999999</v>
      </c>
      <c r="BC31" s="738">
        <v>165.68799999999999</v>
      </c>
      <c r="BD31" s="39"/>
      <c r="BE31" s="586">
        <v>163.136</v>
      </c>
      <c r="BF31" s="1155">
        <v>162.916</v>
      </c>
      <c r="BG31" s="1155">
        <v>161.792</v>
      </c>
      <c r="BH31" s="1155">
        <v>159.02799999999999</v>
      </c>
      <c r="BI31" s="388">
        <f>(AVERAGE(BE31:BH31))</f>
        <v>161.71800000000002</v>
      </c>
      <c r="BJ31" s="39"/>
      <c r="BK31" s="586">
        <v>157.71600000000001</v>
      </c>
      <c r="BL31" s="587">
        <v>157.74799999999999</v>
      </c>
      <c r="BM31" s="587">
        <v>156.91399999999999</v>
      </c>
      <c r="BN31" s="1155">
        <v>155.10400000000001</v>
      </c>
      <c r="BO31" s="388">
        <f>AVERAGE(BK31:BN31)</f>
        <v>156.87049999999999</v>
      </c>
      <c r="BP31" s="39"/>
      <c r="BQ31" s="237">
        <f>AVERAGE(BQ71:BQ72)</f>
        <v>153.06368291118088</v>
      </c>
      <c r="BR31" s="39">
        <f>AVERAGE(BR71:BR72)</f>
        <v>151.58054908965647</v>
      </c>
      <c r="BS31" s="39">
        <f>AVERAGE(BS71:BS72)</f>
        <v>150.09637335954571</v>
      </c>
      <c r="BT31" s="39">
        <f>AVERAGE(BT71:BT72)</f>
        <v>148.60760823747427</v>
      </c>
      <c r="BU31" s="388">
        <f>AVERAGE(BQ31:BT31)</f>
        <v>150.83705339946431</v>
      </c>
      <c r="BV31" s="39"/>
      <c r="BW31" s="237">
        <f>AVERAGE(BW71:BW72)</f>
        <v>147.06783001525221</v>
      </c>
      <c r="BX31" s="39">
        <f>AVERAGE(BX71:BX72)</f>
        <v>145.48070442836195</v>
      </c>
      <c r="BY31" s="39">
        <f>AVERAGE(BY71:BY72)</f>
        <v>143.89278352428806</v>
      </c>
      <c r="BZ31" s="39">
        <f>AVERAGE(BZ71:BZ72)</f>
        <v>142.30135941241224</v>
      </c>
      <c r="CA31" s="388">
        <f>AVERAGE(BW31:BZ31)</f>
        <v>144.68566934507862</v>
      </c>
      <c r="CB31" s="39"/>
      <c r="CC31" s="237">
        <f>AVERAGE(CC71:CC72)</f>
        <v>140.65916197361599</v>
      </c>
      <c r="CD31" s="39">
        <f>AVERAGE(CD71:CD72)</f>
        <v>138.96898936357039</v>
      </c>
      <c r="CE31" s="39">
        <f>AVERAGE(CE71:CE72)</f>
        <v>137.27820966627081</v>
      </c>
      <c r="CF31" s="39">
        <f>AVERAGE(CF71:CF72)</f>
        <v>135.5847558751025</v>
      </c>
      <c r="CG31" s="388">
        <f>AVERAGE(CC31:CF31)</f>
        <v>138.12277921963994</v>
      </c>
      <c r="CH31" s="161"/>
      <c r="CI31" s="161"/>
      <c r="CJ31" s="161"/>
      <c r="CK31" s="161"/>
      <c r="CL31" s="161"/>
      <c r="CM31" s="11"/>
      <c r="CN31" s="11"/>
      <c r="CO31"/>
      <c r="CP31"/>
      <c r="CQ31"/>
      <c r="CR31"/>
      <c r="CS31"/>
      <c r="CT31"/>
    </row>
    <row r="32" spans="1:98" s="7" customFormat="1" ht="11.25" customHeight="1" x14ac:dyDescent="0.2">
      <c r="B32" s="422" t="s">
        <v>164</v>
      </c>
      <c r="C32" s="1155">
        <v>177.61225200000001</v>
      </c>
      <c r="D32" s="1155">
        <v>178.12480400000001</v>
      </c>
      <c r="E32" s="1155">
        <v>179.00676799999999</v>
      </c>
      <c r="F32" s="1155">
        <v>179.20732000000001</v>
      </c>
      <c r="G32" s="388">
        <f>+F32</f>
        <v>179.20732000000001</v>
      </c>
      <c r="H32" s="39"/>
      <c r="I32" s="586">
        <v>180.43687199999999</v>
      </c>
      <c r="J32" s="1155">
        <v>179.52544599999999</v>
      </c>
      <c r="K32" s="1155">
        <v>179.819514</v>
      </c>
      <c r="L32" s="1155">
        <v>178.703698</v>
      </c>
      <c r="M32" s="388">
        <f>(+L32)</f>
        <v>178.703698</v>
      </c>
      <c r="N32" s="39"/>
      <c r="O32" s="586">
        <v>180.30113600000001</v>
      </c>
      <c r="P32" s="1155">
        <v>180.33531199999999</v>
      </c>
      <c r="Q32" s="1155">
        <v>180.89683400000001</v>
      </c>
      <c r="R32" s="1155">
        <v>181.26177799999999</v>
      </c>
      <c r="S32" s="388">
        <f>+R32</f>
        <v>181.26177799999999</v>
      </c>
      <c r="T32" s="39"/>
      <c r="U32" s="586">
        <v>182.63832400000001</v>
      </c>
      <c r="V32" s="1155">
        <v>183.02887999999999</v>
      </c>
      <c r="W32" s="1155">
        <v>184.732642</v>
      </c>
      <c r="X32" s="1155">
        <v>183.87895399999999</v>
      </c>
      <c r="Y32" s="388">
        <f>+X32</f>
        <v>183.87895399999999</v>
      </c>
      <c r="Z32" s="39"/>
      <c r="AA32" s="586">
        <v>184.522988</v>
      </c>
      <c r="AB32" s="1155">
        <v>184.76921999999999</v>
      </c>
      <c r="AC32" s="1155">
        <v>181.762968</v>
      </c>
      <c r="AD32" s="1155">
        <v>179.85616400000001</v>
      </c>
      <c r="AE32" s="388">
        <f>+AD32</f>
        <v>179.85616400000001</v>
      </c>
      <c r="AF32" s="39"/>
      <c r="AG32" s="586">
        <v>180.35921200000001</v>
      </c>
      <c r="AH32" s="1155">
        <v>177.80927399999999</v>
      </c>
      <c r="AI32" s="1155">
        <v>176.529706</v>
      </c>
      <c r="AJ32" s="1155">
        <v>175.70134200000001</v>
      </c>
      <c r="AK32" s="388">
        <f>+AJ32</f>
        <v>175.70134200000001</v>
      </c>
      <c r="AL32" s="39"/>
      <c r="AM32" s="586">
        <v>174.76308599999999</v>
      </c>
      <c r="AN32" s="1155">
        <v>173.452562</v>
      </c>
      <c r="AO32" s="1155">
        <v>172.05834999999999</v>
      </c>
      <c r="AP32" s="1155">
        <v>171.24490399999999</v>
      </c>
      <c r="AQ32" s="388">
        <f>+AP32</f>
        <v>171.24490399999999</v>
      </c>
      <c r="AR32" s="39"/>
      <c r="AS32" s="586">
        <v>171.12670600000001</v>
      </c>
      <c r="AT32" s="1155">
        <v>170.04424599999999</v>
      </c>
      <c r="AU32" s="1155">
        <v>168.91937799999999</v>
      </c>
      <c r="AV32" s="1155">
        <v>168.01707400000001</v>
      </c>
      <c r="AW32" s="388">
        <f>+AV32</f>
        <v>168.01707400000001</v>
      </c>
      <c r="AX32" s="39"/>
      <c r="AY32" s="586">
        <v>167.74146200000001</v>
      </c>
      <c r="AZ32" s="1155">
        <v>167.30830800000001</v>
      </c>
      <c r="BA32" s="1155">
        <v>166.76991200000001</v>
      </c>
      <c r="BB32" s="1155">
        <v>164.83063999999999</v>
      </c>
      <c r="BC32" s="388">
        <f>+BB32</f>
        <v>164.83063999999999</v>
      </c>
      <c r="BD32" s="39"/>
      <c r="BE32" s="586">
        <v>164.12076400000001</v>
      </c>
      <c r="BF32" s="1155">
        <v>163.631134</v>
      </c>
      <c r="BG32" s="1155">
        <v>161.288578</v>
      </c>
      <c r="BH32" s="1155">
        <v>158.80501000000001</v>
      </c>
      <c r="BI32" s="388">
        <f>+BH32</f>
        <v>158.80501000000001</v>
      </c>
      <c r="BJ32" s="39"/>
      <c r="BK32" s="586">
        <v>158.93604999999999</v>
      </c>
      <c r="BL32" s="587">
        <v>158.38958400000001</v>
      </c>
      <c r="BM32" s="587">
        <v>156.95273800000001</v>
      </c>
      <c r="BN32" s="1155">
        <v>153.80500000000001</v>
      </c>
      <c r="BO32" s="388">
        <f>BN32</f>
        <v>153.80500000000001</v>
      </c>
      <c r="BP32" s="39"/>
      <c r="BQ32" s="237">
        <f>+BQ72</f>
        <v>152.32236582236175</v>
      </c>
      <c r="BR32" s="39">
        <f>+BR72</f>
        <v>150.83873235695123</v>
      </c>
      <c r="BS32" s="39">
        <f>+BS72</f>
        <v>149.35401436214019</v>
      </c>
      <c r="BT32" s="39">
        <f>+BT72</f>
        <v>147.86120211280831</v>
      </c>
      <c r="BU32" s="388">
        <f>BT32</f>
        <v>147.86120211280831</v>
      </c>
      <c r="BV32" s="39"/>
      <c r="BW32" s="237">
        <f>+BW72</f>
        <v>146.27445791769611</v>
      </c>
      <c r="BX32" s="39">
        <f>+BX72</f>
        <v>144.68695093902778</v>
      </c>
      <c r="BY32" s="39">
        <f>+BY72</f>
        <v>143.09861610954832</v>
      </c>
      <c r="BZ32" s="39">
        <f>+BZ72</f>
        <v>141.50410271527616</v>
      </c>
      <c r="CA32" s="388">
        <f>BZ32</f>
        <v>141.50410271527616</v>
      </c>
      <c r="CB32" s="39"/>
      <c r="CC32" s="237">
        <f>+CC72</f>
        <v>139.81422123195583</v>
      </c>
      <c r="CD32" s="39">
        <f>+CD72</f>
        <v>138.12375749518495</v>
      </c>
      <c r="CE32" s="39">
        <f>+CE72</f>
        <v>136.4326618373567</v>
      </c>
      <c r="CF32" s="39">
        <f>+CF72</f>
        <v>134.7368499128483</v>
      </c>
      <c r="CG32" s="388">
        <f>CF32</f>
        <v>134.7368499128483</v>
      </c>
      <c r="CH32" s="161"/>
      <c r="CI32" s="161"/>
      <c r="CJ32" s="161"/>
      <c r="CK32" s="161"/>
      <c r="CL32" s="161"/>
      <c r="CM32" s="11"/>
      <c r="CN32" s="11"/>
      <c r="CO32"/>
      <c r="CP32"/>
      <c r="CQ32"/>
      <c r="CR32"/>
      <c r="CS32"/>
      <c r="CT32"/>
    </row>
    <row r="33" spans="2:99" s="7" customFormat="1" ht="11.25" customHeight="1" x14ac:dyDescent="0.2">
      <c r="B33" s="424" t="s">
        <v>152</v>
      </c>
      <c r="C33" s="405">
        <f>C27/C30</f>
        <v>0.24123177453769537</v>
      </c>
      <c r="D33" s="406">
        <f>D27/D30</f>
        <v>0.30046582993895665</v>
      </c>
      <c r="E33" s="406">
        <f>E27/E30</f>
        <v>0.33188546920644729</v>
      </c>
      <c r="F33" s="406">
        <f>F27/F30</f>
        <v>0.42173289435081801</v>
      </c>
      <c r="G33" s="407">
        <f>G27/G30</f>
        <v>1.2951855467678801</v>
      </c>
      <c r="H33" s="24"/>
      <c r="I33" s="405">
        <f>I27/I30</f>
        <v>0.27922479107729381</v>
      </c>
      <c r="J33" s="406">
        <f>J27/J30</f>
        <v>0.35313328696257085</v>
      </c>
      <c r="K33" s="406">
        <f>K27/K30</f>
        <v>0.38627757835755588</v>
      </c>
      <c r="L33" s="406">
        <f>L27/L30</f>
        <v>0.44339242771656062</v>
      </c>
      <c r="M33" s="407">
        <f>M27/M30</f>
        <v>1.4600969075103272</v>
      </c>
      <c r="N33" s="24"/>
      <c r="O33" s="405">
        <f>O27/O30</f>
        <v>0.32123363359340878</v>
      </c>
      <c r="P33" s="406">
        <f>P27/P30</f>
        <v>0.40495283539885518</v>
      </c>
      <c r="Q33" s="406">
        <f>Q27/Q30</f>
        <v>0.39841334018117669</v>
      </c>
      <c r="R33" s="406">
        <f>R27/R30</f>
        <v>0.46557982827954048</v>
      </c>
      <c r="S33" s="407">
        <f>S27/S30</f>
        <v>1.5983369406775956</v>
      </c>
      <c r="T33" s="24"/>
      <c r="U33" s="405">
        <f>U27/U30</f>
        <v>0.37289287216488137</v>
      </c>
      <c r="V33" s="406">
        <f>V27/V30</f>
        <v>0.44991537406804361</v>
      </c>
      <c r="W33" s="406">
        <f>W27/W30</f>
        <v>0.47117508309209771</v>
      </c>
      <c r="X33" s="406">
        <f>X27/X30</f>
        <v>0.50059751948667319</v>
      </c>
      <c r="Y33" s="407">
        <f>Y27/Y30</f>
        <v>1.7907481665737457</v>
      </c>
      <c r="Z33" s="24"/>
      <c r="AA33" s="405">
        <f>AA27/AA30</f>
        <v>0.41055269909082076</v>
      </c>
      <c r="AB33" s="406">
        <f>AB27/AB30</f>
        <v>0.50550585364809575</v>
      </c>
      <c r="AC33" s="406">
        <f>AC27/AC30</f>
        <v>0.49511139346822036</v>
      </c>
      <c r="AD33" s="406">
        <f>AD27/AD30</f>
        <v>0.57391332938778217</v>
      </c>
      <c r="AE33" s="407">
        <f>AE27/AE30</f>
        <v>1.9847819045562531</v>
      </c>
      <c r="AF33" s="24"/>
      <c r="AG33" s="405">
        <f>AG27/AG30</f>
        <v>0.49110471400524858</v>
      </c>
      <c r="AH33" s="406">
        <f>AH27/AH30</f>
        <v>0.55394078605899411</v>
      </c>
      <c r="AI33" s="406">
        <f>AI27/AI30</f>
        <v>0.53973362187245555</v>
      </c>
      <c r="AJ33" s="406">
        <f>AJ27/AJ30</f>
        <v>0.62982729268403026</v>
      </c>
      <c r="AK33" s="407">
        <f>AK27/AK30</f>
        <v>2.2188804649143363</v>
      </c>
      <c r="AL33" s="24"/>
      <c r="AM33" s="405">
        <f>AM27/AM30</f>
        <v>0.53021105505000432</v>
      </c>
      <c r="AN33" s="406">
        <f>AN27/AN30</f>
        <v>0.61630365587486347</v>
      </c>
      <c r="AO33" s="406">
        <f>AO27/AO30</f>
        <v>0.60932566015285439</v>
      </c>
      <c r="AP33" s="406">
        <f>AP27/AP30</f>
        <v>0.71569756726871436</v>
      </c>
      <c r="AQ33" s="407">
        <f>AQ27/AQ30</f>
        <v>2.4729519983565829</v>
      </c>
      <c r="AR33" s="24"/>
      <c r="AS33" s="405">
        <f>AS27/AS30</f>
        <v>0.59004484615918162</v>
      </c>
      <c r="AT33" s="406">
        <f>AT27/AT30</f>
        <v>0.6759478948592692</v>
      </c>
      <c r="AU33" s="406">
        <f>AU27/AU30</f>
        <v>0.67159742539496614</v>
      </c>
      <c r="AV33" s="406">
        <f>AV27/AV30</f>
        <v>0.78190457148905768</v>
      </c>
      <c r="AW33" s="407">
        <f>AW27/AW30</f>
        <v>2.7179671098670388</v>
      </c>
      <c r="AX33" s="24"/>
      <c r="AY33" s="405">
        <f>AY27/AY30</f>
        <v>0.64008144956619362</v>
      </c>
      <c r="AZ33" s="406">
        <f>AZ27/AZ30</f>
        <v>0.73114814419162288</v>
      </c>
      <c r="BA33" s="406">
        <f>BA27/BA30</f>
        <v>0.77632486561058089</v>
      </c>
      <c r="BB33" s="406">
        <f>BB27/BB30</f>
        <v>0.83622573981551607</v>
      </c>
      <c r="BC33" s="407">
        <f>BC27/BC30</f>
        <v>2.9804101040118809</v>
      </c>
      <c r="BD33" s="24"/>
      <c r="BE33" s="405">
        <f>BE27/BE30</f>
        <v>0.70580983574855904</v>
      </c>
      <c r="BF33" s="406">
        <f>BF27/BF30</f>
        <v>0.8215646770395918</v>
      </c>
      <c r="BG33" s="406">
        <f>BG27/BG30</f>
        <v>0.84136582982102504</v>
      </c>
      <c r="BH33" s="406">
        <f>BH27/BH30</f>
        <v>0.93929910836251651</v>
      </c>
      <c r="BI33" s="407">
        <f>BI27/BI30</f>
        <v>3.3048724634672113</v>
      </c>
      <c r="BJ33" s="24"/>
      <c r="BK33" s="405">
        <f>BK27/BK30</f>
        <v>0.88100752387986891</v>
      </c>
      <c r="BL33" s="406">
        <f>BL27/BL30</f>
        <v>0.87536774874902745</v>
      </c>
      <c r="BM33" s="406">
        <f>BM27/BM30</f>
        <v>0.87211807595832525</v>
      </c>
      <c r="BN33" s="406">
        <f>BN27/BN30</f>
        <v>0.98032932741902312</v>
      </c>
      <c r="BO33" s="407">
        <f>BO27/BO30</f>
        <v>3.606921128930467</v>
      </c>
      <c r="BP33" s="24"/>
      <c r="BQ33" s="405">
        <f>BQ27/BQ30</f>
        <v>0.92055202855672613</v>
      </c>
      <c r="BR33" s="406">
        <f>BR27/BR30</f>
        <v>0.99454190107596452</v>
      </c>
      <c r="BS33" s="406">
        <f>BS27/BS30</f>
        <v>1.0117125968209264</v>
      </c>
      <c r="BT33" s="406">
        <f>BT27/BT30</f>
        <v>1.1351671950785283</v>
      </c>
      <c r="BU33" s="407">
        <f>BU27/BU30</f>
        <v>4.0587186698347635</v>
      </c>
      <c r="BV33" s="24"/>
      <c r="BW33" s="405">
        <f>BW27/BW30</f>
        <v>0.94008174106649567</v>
      </c>
      <c r="BX33" s="406">
        <f>BX27/BX30</f>
        <v>1.0419809899021157</v>
      </c>
      <c r="BY33" s="406">
        <f>BY27/BY30</f>
        <v>1.0600183702098731</v>
      </c>
      <c r="BZ33" s="406">
        <f>BZ27/BZ30</f>
        <v>1.1936278449116695</v>
      </c>
      <c r="CA33" s="407">
        <f>CA27/CA30</f>
        <v>4.231433366681058</v>
      </c>
      <c r="CB33" s="24"/>
      <c r="CC33" s="405">
        <f>CC27/CC30</f>
        <v>1.0118440436355616</v>
      </c>
      <c r="CD33" s="406">
        <f>CD27/CD30</f>
        <v>1.1270479851337463</v>
      </c>
      <c r="CE33" s="406">
        <f>CE27/CE30</f>
        <v>1.1408646936402402</v>
      </c>
      <c r="CF33" s="406">
        <f>CF27/CF30</f>
        <v>1.2801816559492014</v>
      </c>
      <c r="CG33" s="407">
        <f>CG27/CG30</f>
        <v>4.5549245254880262</v>
      </c>
      <c r="CH33" s="214"/>
      <c r="CI33" s="214"/>
      <c r="CJ33" s="214"/>
      <c r="CK33" s="214"/>
      <c r="CL33" s="214"/>
      <c r="CM33" s="215"/>
      <c r="CN33" s="11"/>
      <c r="CO33"/>
      <c r="CP33"/>
      <c r="CQ33"/>
      <c r="CR33"/>
      <c r="CS33"/>
      <c r="CT33"/>
      <c r="CU33" s="216"/>
    </row>
    <row r="34" spans="2:99" s="7" customFormat="1" ht="11.25" customHeight="1" x14ac:dyDescent="0.2">
      <c r="B34" s="212"/>
      <c r="C34" s="213"/>
      <c r="D34" s="213"/>
      <c r="E34" s="213"/>
      <c r="F34" s="213"/>
      <c r="G34" s="32"/>
      <c r="H34" s="160"/>
      <c r="I34" s="213"/>
      <c r="J34" s="213"/>
      <c r="K34" s="217"/>
      <c r="L34" s="213"/>
      <c r="M34" s="32"/>
      <c r="N34" s="160"/>
      <c r="O34" s="213"/>
      <c r="P34" s="213"/>
      <c r="Q34" s="217"/>
      <c r="R34" s="213"/>
      <c r="S34" s="32"/>
      <c r="T34" s="160"/>
      <c r="U34" s="213"/>
      <c r="V34" s="213"/>
      <c r="W34" s="217"/>
      <c r="X34" s="213"/>
      <c r="Y34" s="32"/>
      <c r="Z34" s="160"/>
      <c r="AA34" s="213"/>
      <c r="AB34" s="29"/>
      <c r="AC34" s="217"/>
      <c r="AD34" s="213"/>
      <c r="AE34" s="32"/>
      <c r="AF34" s="160"/>
      <c r="AG34" s="213"/>
      <c r="AH34" s="29"/>
      <c r="AI34" s="29"/>
      <c r="AJ34" s="213"/>
      <c r="AK34" s="32"/>
      <c r="AL34" s="160"/>
      <c r="AM34" s="29"/>
      <c r="AN34" s="29"/>
      <c r="AO34" s="29"/>
      <c r="AP34" s="29"/>
      <c r="AQ34" s="32"/>
      <c r="AR34" s="160"/>
      <c r="AS34" s="29"/>
      <c r="AT34" s="29"/>
      <c r="AU34" s="29"/>
      <c r="AV34" s="29"/>
      <c r="AW34" s="32"/>
      <c r="AX34" s="160"/>
      <c r="AY34" s="29"/>
      <c r="AZ34" s="29"/>
      <c r="BA34" s="29"/>
      <c r="BB34" s="29"/>
      <c r="BC34" s="32"/>
      <c r="BD34" s="160"/>
      <c r="BE34" s="29"/>
      <c r="BF34" s="29"/>
      <c r="BG34" s="29"/>
      <c r="BH34" s="29"/>
      <c r="BI34" s="32"/>
      <c r="BJ34" s="160"/>
      <c r="BK34" s="29"/>
      <c r="BL34" s="29"/>
      <c r="BM34" s="29"/>
      <c r="BN34" s="29"/>
      <c r="BO34" s="29"/>
      <c r="BP34" s="160"/>
      <c r="BQ34" s="29"/>
      <c r="BR34" s="29"/>
      <c r="BS34" s="29"/>
      <c r="BT34" s="29"/>
      <c r="BU34" s="29"/>
      <c r="BV34" s="160"/>
      <c r="BW34" s="29"/>
      <c r="BX34" s="29"/>
      <c r="BY34" s="29"/>
      <c r="BZ34" s="29"/>
      <c r="CA34" s="29"/>
      <c r="CB34" s="160"/>
      <c r="CC34" s="29"/>
      <c r="CD34" s="29"/>
      <c r="CE34" s="29"/>
      <c r="CF34" s="29"/>
      <c r="CG34" s="29"/>
      <c r="CH34" s="213"/>
      <c r="CI34" s="213"/>
      <c r="CJ34" s="213"/>
      <c r="CK34" s="213"/>
      <c r="CL34" s="213"/>
      <c r="CM34" s="11"/>
      <c r="CN34" s="11"/>
      <c r="CO34"/>
      <c r="CP34"/>
      <c r="CQ34"/>
      <c r="CR34"/>
      <c r="CS34"/>
      <c r="CT34"/>
    </row>
    <row r="35" spans="2:99" s="7" customFormat="1" ht="11.25" customHeight="1" x14ac:dyDescent="0.2">
      <c r="B35" s="815" t="s">
        <v>125</v>
      </c>
      <c r="C35" s="821"/>
      <c r="D35" s="821"/>
      <c r="E35" s="821"/>
      <c r="F35" s="821"/>
      <c r="G35" s="827"/>
      <c r="H35" s="820"/>
      <c r="I35" s="821"/>
      <c r="J35" s="821"/>
      <c r="K35" s="821"/>
      <c r="L35" s="821"/>
      <c r="M35" s="827"/>
      <c r="N35" s="820"/>
      <c r="O35" s="821"/>
      <c r="P35" s="821"/>
      <c r="Q35" s="821"/>
      <c r="R35" s="821"/>
      <c r="S35" s="827"/>
      <c r="T35" s="820"/>
      <c r="U35" s="821"/>
      <c r="V35" s="821"/>
      <c r="W35" s="821"/>
      <c r="X35" s="821"/>
      <c r="Y35" s="827"/>
      <c r="Z35" s="820"/>
      <c r="AA35" s="821"/>
      <c r="AB35" s="821"/>
      <c r="AC35" s="821"/>
      <c r="AD35" s="821"/>
      <c r="AE35" s="827"/>
      <c r="AF35" s="820"/>
      <c r="AG35" s="821"/>
      <c r="AH35" s="821"/>
      <c r="AI35" s="821"/>
      <c r="AJ35" s="821"/>
      <c r="AK35" s="827"/>
      <c r="AL35" s="820"/>
      <c r="AM35" s="821"/>
      <c r="AN35" s="821"/>
      <c r="AO35" s="821"/>
      <c r="AP35" s="821"/>
      <c r="AQ35" s="827"/>
      <c r="AR35" s="820"/>
      <c r="AS35" s="821"/>
      <c r="AT35" s="821"/>
      <c r="AU35" s="821"/>
      <c r="AV35" s="821"/>
      <c r="AW35" s="827"/>
      <c r="AX35" s="820"/>
      <c r="AY35" s="821"/>
      <c r="AZ35" s="821"/>
      <c r="BA35" s="821"/>
      <c r="BB35" s="821"/>
      <c r="BC35" s="827"/>
      <c r="BD35" s="820"/>
      <c r="BE35" s="821"/>
      <c r="BF35" s="821"/>
      <c r="BG35" s="821"/>
      <c r="BH35" s="821"/>
      <c r="BI35" s="827"/>
      <c r="BJ35" s="820"/>
      <c r="BK35" s="821"/>
      <c r="BL35" s="821"/>
      <c r="BM35" s="821"/>
      <c r="BN35" s="821"/>
      <c r="BO35" s="827"/>
      <c r="BP35" s="820"/>
      <c r="BQ35" s="821"/>
      <c r="BR35" s="821"/>
      <c r="BS35" s="821"/>
      <c r="BT35" s="821"/>
      <c r="BU35" s="827"/>
      <c r="BV35" s="820"/>
      <c r="BW35" s="821"/>
      <c r="BX35" s="821"/>
      <c r="BY35" s="821"/>
      <c r="BZ35" s="821"/>
      <c r="CA35" s="828"/>
      <c r="CB35" s="820"/>
      <c r="CC35" s="821"/>
      <c r="CD35" s="821"/>
      <c r="CE35" s="821"/>
      <c r="CF35" s="821"/>
      <c r="CG35" s="828"/>
      <c r="CH35" s="17"/>
      <c r="CI35" s="17"/>
      <c r="CJ35" s="17"/>
      <c r="CK35" s="17"/>
      <c r="CL35" s="17"/>
      <c r="CM35" s="11"/>
      <c r="CN35" s="11"/>
      <c r="CO35"/>
      <c r="CP35"/>
      <c r="CQ35"/>
      <c r="CR35"/>
      <c r="CS35"/>
      <c r="CT35"/>
    </row>
    <row r="36" spans="2:99" s="7" customFormat="1" ht="11.25" customHeight="1" x14ac:dyDescent="0.2">
      <c r="B36" s="425" t="s">
        <v>166</v>
      </c>
      <c r="C36" s="240">
        <f t="shared" ref="C36:G41" si="0">+C9/C$8</f>
        <v>0.7015207674364643</v>
      </c>
      <c r="D36" s="241">
        <f t="shared" si="0"/>
        <v>0.70167849420735284</v>
      </c>
      <c r="E36" s="241">
        <f t="shared" si="0"/>
        <v>0.71483984524185107</v>
      </c>
      <c r="F36" s="241">
        <f t="shared" si="0"/>
        <v>0.71650576836285662</v>
      </c>
      <c r="G36" s="408">
        <f t="shared" si="0"/>
        <v>0.7092728561131193</v>
      </c>
      <c r="H36" s="43"/>
      <c r="I36" s="240">
        <f t="shared" ref="I36:M41" si="1">+I9/I$8</f>
        <v>0.70387842633973308</v>
      </c>
      <c r="J36" s="241">
        <f t="shared" si="1"/>
        <v>0.70252631104225793</v>
      </c>
      <c r="K36" s="241">
        <f t="shared" si="1"/>
        <v>0.71074601829816042</v>
      </c>
      <c r="L36" s="241">
        <f t="shared" si="1"/>
        <v>0.70769762629831767</v>
      </c>
      <c r="M36" s="408">
        <f t="shared" si="1"/>
        <v>0.70624237020393521</v>
      </c>
      <c r="N36" s="43"/>
      <c r="O36" s="240">
        <f t="shared" ref="O36:S41" si="2">+O9/O$8</f>
        <v>0.70488316857279054</v>
      </c>
      <c r="P36" s="241">
        <f t="shared" si="2"/>
        <v>0.70392687973503121</v>
      </c>
      <c r="Q36" s="241">
        <f t="shared" si="2"/>
        <v>0.71299413715407611</v>
      </c>
      <c r="R36" s="241">
        <f t="shared" si="2"/>
        <v>0.70534818969576363</v>
      </c>
      <c r="S36" s="408">
        <f t="shared" si="2"/>
        <v>0.70683366532402114</v>
      </c>
      <c r="T36" s="43"/>
      <c r="U36" s="240">
        <f t="shared" ref="U36:Y41" si="3">+U9/U$8</f>
        <v>0.7085553112803995</v>
      </c>
      <c r="V36" s="241">
        <f t="shared" si="3"/>
        <v>0.7049617687024069</v>
      </c>
      <c r="W36" s="241">
        <f t="shared" si="3"/>
        <v>0.71615902944318788</v>
      </c>
      <c r="X36" s="241">
        <f t="shared" si="3"/>
        <v>0.71597544535197222</v>
      </c>
      <c r="Y36" s="408">
        <f t="shared" si="3"/>
        <v>0.71158010254039239</v>
      </c>
      <c r="Z36" s="43"/>
      <c r="AA36" s="240">
        <f t="shared" ref="AA36:AE41" si="4">+AA9/AA$8</f>
        <v>0.70950131972043806</v>
      </c>
      <c r="AB36" s="241">
        <f t="shared" si="4"/>
        <v>0.71265722975256263</v>
      </c>
      <c r="AC36" s="241">
        <f t="shared" si="4"/>
        <v>0.72182509484096402</v>
      </c>
      <c r="AD36" s="241">
        <f t="shared" si="4"/>
        <v>0.72113344967925108</v>
      </c>
      <c r="AE36" s="408">
        <f t="shared" si="4"/>
        <v>0.71653148879011874</v>
      </c>
      <c r="AF36" s="43"/>
      <c r="AG36" s="240">
        <f t="shared" ref="AG36:AK41" si="5">+AG9/AG$8</f>
        <v>0.70911220908433903</v>
      </c>
      <c r="AH36" s="241">
        <f t="shared" si="5"/>
        <v>0.71637128586042298</v>
      </c>
      <c r="AI36" s="241">
        <f t="shared" si="5"/>
        <v>0.72701561322027486</v>
      </c>
      <c r="AJ36" s="241">
        <f t="shared" si="5"/>
        <v>0.72451231877258149</v>
      </c>
      <c r="AK36" s="408">
        <f t="shared" si="5"/>
        <v>0.71951652617957085</v>
      </c>
      <c r="AL36" s="43"/>
      <c r="AM36" s="240">
        <f t="shared" ref="AM36:AQ41" si="6">+AM9/AM$8</f>
        <v>0.71790368565923601</v>
      </c>
      <c r="AN36" s="241">
        <f t="shared" si="6"/>
        <v>0.7199376204631639</v>
      </c>
      <c r="AO36" s="241">
        <f t="shared" si="6"/>
        <v>0.72768881154010545</v>
      </c>
      <c r="AP36" s="241">
        <f t="shared" si="6"/>
        <v>0.72311260820861512</v>
      </c>
      <c r="AQ36" s="408">
        <f t="shared" si="6"/>
        <v>0.72219306915107306</v>
      </c>
      <c r="AR36" s="43"/>
      <c r="AS36" s="240">
        <f t="shared" ref="AS36:AW41" si="7">+AS9/AS$8</f>
        <v>0.71330559029265161</v>
      </c>
      <c r="AT36" s="241">
        <f t="shared" si="7"/>
        <v>0.72146886563692214</v>
      </c>
      <c r="AU36" s="241">
        <f t="shared" si="7"/>
        <v>0.72494644073378012</v>
      </c>
      <c r="AV36" s="241">
        <f t="shared" si="7"/>
        <v>0.71708481119841783</v>
      </c>
      <c r="AW36" s="408">
        <f t="shared" si="7"/>
        <v>0.71929365302047266</v>
      </c>
      <c r="AX36" s="43"/>
      <c r="AY36" s="240">
        <f t="shared" ref="AY36:BC41" si="8">+AY9/AY$8</f>
        <v>0.71043120643144342</v>
      </c>
      <c r="AZ36" s="241">
        <f t="shared" si="8"/>
        <v>0.71449728446898819</v>
      </c>
      <c r="BA36" s="241">
        <f t="shared" si="8"/>
        <v>0.72116380939260971</v>
      </c>
      <c r="BB36" s="241">
        <f t="shared" si="8"/>
        <v>0.71964188377217486</v>
      </c>
      <c r="BC36" s="408">
        <f t="shared" si="8"/>
        <v>0.7166191317004712</v>
      </c>
      <c r="BD36" s="43"/>
      <c r="BE36" s="240">
        <f t="shared" ref="BE36:BI41" si="9">+BE9/BE$8</f>
        <v>0.71274690780093741</v>
      </c>
      <c r="BF36" s="241">
        <f t="shared" si="9"/>
        <v>0.72035521455948026</v>
      </c>
      <c r="BG36" s="241">
        <f t="shared" si="9"/>
        <v>0.72445018547034923</v>
      </c>
      <c r="BH36" s="241">
        <f t="shared" si="9"/>
        <v>0.72384645109444801</v>
      </c>
      <c r="BI36" s="408">
        <f t="shared" si="9"/>
        <v>0.72052698020717487</v>
      </c>
      <c r="BJ36" s="43"/>
      <c r="BK36" s="240">
        <f t="shared" ref="BK36:BO41" si="10">+BK9/BK$8</f>
        <v>0.71846231954862005</v>
      </c>
      <c r="BL36" s="241">
        <f t="shared" si="10"/>
        <v>0.72571187445619445</v>
      </c>
      <c r="BM36" s="241">
        <f t="shared" ref="BM36:BM41" si="11">+BM9/BM$8</f>
        <v>0.73551659352190368</v>
      </c>
      <c r="BN36" s="241">
        <f t="shared" si="10"/>
        <v>0.72846855415855194</v>
      </c>
      <c r="BO36" s="408">
        <f t="shared" si="10"/>
        <v>0.72723257464986479</v>
      </c>
      <c r="BP36" s="43"/>
      <c r="BQ36" s="240">
        <f t="shared" ref="BQ36:BU41" si="12">+BQ9/BQ$8</f>
        <v>0.72217745737342498</v>
      </c>
      <c r="BR36" s="241">
        <f t="shared" si="12"/>
        <v>0.72528742313883898</v>
      </c>
      <c r="BS36" s="241">
        <f t="shared" si="12"/>
        <v>0.7337343541193897</v>
      </c>
      <c r="BT36" s="241">
        <f t="shared" si="12"/>
        <v>0.72708254269188832</v>
      </c>
      <c r="BU36" s="408">
        <f t="shared" si="12"/>
        <v>0.72717988236947328</v>
      </c>
      <c r="BV36" s="43"/>
      <c r="BW36" s="240">
        <f t="shared" ref="BW36:CA41" si="13">+BW9/BW$8</f>
        <v>0.72371754037137226</v>
      </c>
      <c r="BX36" s="241">
        <f t="shared" si="13"/>
        <v>0.72986563402522942</v>
      </c>
      <c r="BY36" s="241">
        <f t="shared" si="13"/>
        <v>0.73831690619506585</v>
      </c>
      <c r="BZ36" s="241">
        <f t="shared" si="13"/>
        <v>0.73165382774235699</v>
      </c>
      <c r="CA36" s="408">
        <f t="shared" si="13"/>
        <v>0.73103429502061723</v>
      </c>
      <c r="CB36" s="43"/>
      <c r="CC36" s="240">
        <f t="shared" ref="CC36:CG41" si="14">+CC9/CC$8</f>
        <v>0.72821395734480809</v>
      </c>
      <c r="CD36" s="241">
        <f t="shared" si="14"/>
        <v>0.73437510253174842</v>
      </c>
      <c r="CE36" s="241">
        <f t="shared" si="14"/>
        <v>0.74282858860681844</v>
      </c>
      <c r="CF36" s="241">
        <f t="shared" si="14"/>
        <v>0.7361604144673487</v>
      </c>
      <c r="CG36" s="408">
        <f t="shared" si="14"/>
        <v>0.73554083482197019</v>
      </c>
      <c r="CH36" s="117"/>
      <c r="CI36" s="117"/>
      <c r="CJ36" s="117"/>
      <c r="CK36" s="117"/>
      <c r="CL36" s="117"/>
      <c r="CM36" s="117"/>
      <c r="CN36" s="11"/>
      <c r="CO36"/>
      <c r="CP36"/>
      <c r="CQ36"/>
      <c r="CR36"/>
      <c r="CS36"/>
      <c r="CT36"/>
    </row>
    <row r="37" spans="2:99" s="7" customFormat="1" ht="11.25" customHeight="1" x14ac:dyDescent="0.2">
      <c r="B37" s="426" t="s">
        <v>126</v>
      </c>
      <c r="C37" s="235">
        <f t="shared" si="0"/>
        <v>0.29847923256353576</v>
      </c>
      <c r="D37" s="43">
        <f t="shared" si="0"/>
        <v>0.2983215057926471</v>
      </c>
      <c r="E37" s="43">
        <f t="shared" si="0"/>
        <v>0.28516015475814899</v>
      </c>
      <c r="F37" s="43">
        <f t="shared" si="0"/>
        <v>0.28349423163714338</v>
      </c>
      <c r="G37" s="386">
        <f t="shared" si="0"/>
        <v>0.2907271438868807</v>
      </c>
      <c r="H37" s="43"/>
      <c r="I37" s="235">
        <f t="shared" si="1"/>
        <v>0.29612157366026698</v>
      </c>
      <c r="J37" s="43">
        <f t="shared" si="1"/>
        <v>0.29747368895774212</v>
      </c>
      <c r="K37" s="43">
        <f t="shared" si="1"/>
        <v>0.28925398170183964</v>
      </c>
      <c r="L37" s="43">
        <f t="shared" si="1"/>
        <v>0.29230237370168233</v>
      </c>
      <c r="M37" s="386">
        <f t="shared" si="1"/>
        <v>0.29375762979606479</v>
      </c>
      <c r="N37" s="43"/>
      <c r="O37" s="235">
        <f t="shared" si="2"/>
        <v>0.29511683142720951</v>
      </c>
      <c r="P37" s="43">
        <f t="shared" si="2"/>
        <v>0.29607312026496885</v>
      </c>
      <c r="Q37" s="43">
        <f t="shared" si="2"/>
        <v>0.28700586284592389</v>
      </c>
      <c r="R37" s="43">
        <f t="shared" si="2"/>
        <v>0.29465181030423637</v>
      </c>
      <c r="S37" s="386">
        <f t="shared" si="2"/>
        <v>0.2931663346759788</v>
      </c>
      <c r="T37" s="43"/>
      <c r="U37" s="235">
        <f t="shared" si="3"/>
        <v>0.2914446887196005</v>
      </c>
      <c r="V37" s="43">
        <f t="shared" si="3"/>
        <v>0.2950382312975931</v>
      </c>
      <c r="W37" s="43">
        <f t="shared" si="3"/>
        <v>0.28384097055681212</v>
      </c>
      <c r="X37" s="43">
        <f t="shared" si="3"/>
        <v>0.28402455464802778</v>
      </c>
      <c r="Y37" s="386">
        <f t="shared" si="3"/>
        <v>0.28841989745960767</v>
      </c>
      <c r="Z37" s="43"/>
      <c r="AA37" s="235">
        <f t="shared" si="4"/>
        <v>0.29049868027956199</v>
      </c>
      <c r="AB37" s="43">
        <f t="shared" si="4"/>
        <v>0.28734277024743737</v>
      </c>
      <c r="AC37" s="43">
        <f t="shared" si="4"/>
        <v>0.27817490515903603</v>
      </c>
      <c r="AD37" s="43">
        <f t="shared" si="4"/>
        <v>0.27886655032074892</v>
      </c>
      <c r="AE37" s="386">
        <f t="shared" si="4"/>
        <v>0.28346851120988131</v>
      </c>
      <c r="AF37" s="43"/>
      <c r="AG37" s="235">
        <f t="shared" si="5"/>
        <v>0.29088779091566097</v>
      </c>
      <c r="AH37" s="43">
        <f t="shared" si="5"/>
        <v>0.28362871413957702</v>
      </c>
      <c r="AI37" s="43">
        <f t="shared" si="5"/>
        <v>0.2729843867797252</v>
      </c>
      <c r="AJ37" s="43">
        <f t="shared" si="5"/>
        <v>0.27548768122741851</v>
      </c>
      <c r="AK37" s="386">
        <f t="shared" si="5"/>
        <v>0.28048347382042915</v>
      </c>
      <c r="AL37" s="43"/>
      <c r="AM37" s="235">
        <f t="shared" si="6"/>
        <v>0.28209631434076399</v>
      </c>
      <c r="AN37" s="43">
        <f t="shared" si="6"/>
        <v>0.2800623795368361</v>
      </c>
      <c r="AO37" s="43">
        <f t="shared" si="6"/>
        <v>0.2723111884598946</v>
      </c>
      <c r="AP37" s="43">
        <f t="shared" si="6"/>
        <v>0.27688739179138494</v>
      </c>
      <c r="AQ37" s="386">
        <f t="shared" si="6"/>
        <v>0.27780693084892694</v>
      </c>
      <c r="AR37" s="43"/>
      <c r="AS37" s="235">
        <f t="shared" si="7"/>
        <v>0.28669440970734844</v>
      </c>
      <c r="AT37" s="43">
        <f t="shared" si="7"/>
        <v>0.27853113436307786</v>
      </c>
      <c r="AU37" s="43">
        <f t="shared" si="7"/>
        <v>0.27505355926621988</v>
      </c>
      <c r="AV37" s="43">
        <f t="shared" si="7"/>
        <v>0.28291518880158223</v>
      </c>
      <c r="AW37" s="386">
        <f t="shared" si="7"/>
        <v>0.28070634697952729</v>
      </c>
      <c r="AX37" s="43"/>
      <c r="AY37" s="235">
        <f t="shared" si="8"/>
        <v>0.28956879356855658</v>
      </c>
      <c r="AZ37" s="43">
        <f t="shared" si="8"/>
        <v>0.28550271553101186</v>
      </c>
      <c r="BA37" s="43">
        <f t="shared" si="8"/>
        <v>0.27883619060739029</v>
      </c>
      <c r="BB37" s="43">
        <f t="shared" si="8"/>
        <v>0.28035811622782514</v>
      </c>
      <c r="BC37" s="386">
        <f t="shared" si="8"/>
        <v>0.28338086829952885</v>
      </c>
      <c r="BD37" s="43"/>
      <c r="BE37" s="235">
        <f t="shared" si="9"/>
        <v>0.28725309219906259</v>
      </c>
      <c r="BF37" s="43">
        <f t="shared" si="9"/>
        <v>0.27964478544051974</v>
      </c>
      <c r="BG37" s="43">
        <f t="shared" si="9"/>
        <v>0.27554981452965083</v>
      </c>
      <c r="BH37" s="43">
        <f t="shared" si="9"/>
        <v>0.27615354890555194</v>
      </c>
      <c r="BI37" s="386">
        <f t="shared" si="9"/>
        <v>0.27947301979282502</v>
      </c>
      <c r="BJ37" s="43"/>
      <c r="BK37" s="235">
        <f t="shared" si="10"/>
        <v>0.28153768045137995</v>
      </c>
      <c r="BL37" s="43">
        <f t="shared" si="10"/>
        <v>0.27428812554380555</v>
      </c>
      <c r="BM37" s="43">
        <f t="shared" si="11"/>
        <v>0.26448340647809632</v>
      </c>
      <c r="BN37" s="43">
        <f t="shared" si="10"/>
        <v>0.27153144584144806</v>
      </c>
      <c r="BO37" s="386">
        <f t="shared" si="10"/>
        <v>0.27276742535013526</v>
      </c>
      <c r="BP37" s="43"/>
      <c r="BQ37" s="235">
        <f t="shared" si="12"/>
        <v>0.27782254262657502</v>
      </c>
      <c r="BR37" s="43">
        <f t="shared" si="12"/>
        <v>0.27471257686116096</v>
      </c>
      <c r="BS37" s="43">
        <f t="shared" si="12"/>
        <v>0.2662656458806103</v>
      </c>
      <c r="BT37" s="43">
        <f t="shared" si="12"/>
        <v>0.27291745730811173</v>
      </c>
      <c r="BU37" s="386">
        <f t="shared" si="12"/>
        <v>0.27282011763052688</v>
      </c>
      <c r="BV37" s="43"/>
      <c r="BW37" s="235">
        <f t="shared" si="13"/>
        <v>0.27628245962862769</v>
      </c>
      <c r="BX37" s="43">
        <f t="shared" si="13"/>
        <v>0.27013436597477058</v>
      </c>
      <c r="BY37" s="43">
        <f t="shared" si="13"/>
        <v>0.2616830938049341</v>
      </c>
      <c r="BZ37" s="43">
        <f t="shared" si="13"/>
        <v>0.26834617225764296</v>
      </c>
      <c r="CA37" s="386">
        <f t="shared" si="13"/>
        <v>0.26896570497938288</v>
      </c>
      <c r="CB37" s="43"/>
      <c r="CC37" s="235">
        <f t="shared" si="14"/>
        <v>0.27178604265519191</v>
      </c>
      <c r="CD37" s="43">
        <f t="shared" si="14"/>
        <v>0.26562489746825158</v>
      </c>
      <c r="CE37" s="43">
        <f t="shared" si="14"/>
        <v>0.25717141139318156</v>
      </c>
      <c r="CF37" s="43">
        <f t="shared" si="14"/>
        <v>0.26383958553265124</v>
      </c>
      <c r="CG37" s="386">
        <f t="shared" si="14"/>
        <v>0.26445916517802986</v>
      </c>
      <c r="CH37" s="117"/>
      <c r="CI37" s="117"/>
      <c r="CJ37" s="117"/>
      <c r="CK37" s="117"/>
      <c r="CL37" s="117"/>
      <c r="CM37" s="11"/>
      <c r="CN37" s="11"/>
      <c r="CO37"/>
      <c r="CP37"/>
      <c r="CQ37"/>
      <c r="CR37"/>
      <c r="CS37"/>
      <c r="CT37"/>
    </row>
    <row r="38" spans="2:99" s="7" customFormat="1" ht="11.25" customHeight="1" x14ac:dyDescent="0.2">
      <c r="B38" s="426" t="s">
        <v>124</v>
      </c>
      <c r="C38" s="235">
        <f t="shared" si="0"/>
        <v>0.2422091581891235</v>
      </c>
      <c r="D38" s="43">
        <f t="shared" si="0"/>
        <v>0.23281978519369265</v>
      </c>
      <c r="E38" s="43">
        <f t="shared" si="0"/>
        <v>0.22093220198263122</v>
      </c>
      <c r="F38" s="43">
        <f t="shared" si="0"/>
        <v>0.20905907988265826</v>
      </c>
      <c r="G38" s="386">
        <f t="shared" si="0"/>
        <v>0.2250239481770932</v>
      </c>
      <c r="H38" s="43"/>
      <c r="I38" s="235">
        <f t="shared" si="1"/>
        <v>0.24008511102480848</v>
      </c>
      <c r="J38" s="43">
        <f t="shared" si="1"/>
        <v>0.22800242069511489</v>
      </c>
      <c r="K38" s="43">
        <f t="shared" si="1"/>
        <v>0.21905974240501055</v>
      </c>
      <c r="L38" s="43">
        <f t="shared" si="1"/>
        <v>0.21105748943806985</v>
      </c>
      <c r="M38" s="386">
        <f t="shared" si="1"/>
        <v>0.22440067751100126</v>
      </c>
      <c r="N38" s="43"/>
      <c r="O38" s="235">
        <f t="shared" si="2"/>
        <v>0.23140889787718769</v>
      </c>
      <c r="P38" s="43">
        <f t="shared" si="2"/>
        <v>0.22019442166832354</v>
      </c>
      <c r="Q38" s="43">
        <f t="shared" si="2"/>
        <v>0.21837699985476969</v>
      </c>
      <c r="R38" s="43">
        <f t="shared" si="2"/>
        <v>0.21816087848199481</v>
      </c>
      <c r="S38" s="386">
        <f t="shared" si="2"/>
        <v>0.22172537477425447</v>
      </c>
      <c r="T38" s="43"/>
      <c r="U38" s="235">
        <f t="shared" si="3"/>
        <v>0.22552220915634177</v>
      </c>
      <c r="V38" s="43">
        <f t="shared" si="3"/>
        <v>0.22041623206649069</v>
      </c>
      <c r="W38" s="43">
        <f t="shared" si="3"/>
        <v>0.21129425707059532</v>
      </c>
      <c r="X38" s="43">
        <f t="shared" si="3"/>
        <v>0.21385246258094617</v>
      </c>
      <c r="Y38" s="386">
        <f t="shared" si="3"/>
        <v>0.21755090815606654</v>
      </c>
      <c r="Z38" s="43"/>
      <c r="AA38" s="235">
        <f t="shared" si="4"/>
        <v>0.22668181568477858</v>
      </c>
      <c r="AB38" s="43">
        <f t="shared" si="4"/>
        <v>0.21637113731085497</v>
      </c>
      <c r="AC38" s="43">
        <f t="shared" si="4"/>
        <v>0.21033313081020771</v>
      </c>
      <c r="AD38" s="43">
        <f t="shared" si="4"/>
        <v>0.20905344448299845</v>
      </c>
      <c r="AE38" s="386">
        <f t="shared" si="4"/>
        <v>0.21522320234291126</v>
      </c>
      <c r="AF38" s="43"/>
      <c r="AG38" s="235">
        <f t="shared" si="5"/>
        <v>0.2217473972365186</v>
      </c>
      <c r="AH38" s="43">
        <f t="shared" si="5"/>
        <v>0.21182973782757925</v>
      </c>
      <c r="AI38" s="43">
        <f t="shared" si="5"/>
        <v>0.20592113696730432</v>
      </c>
      <c r="AJ38" s="43">
        <f t="shared" si="5"/>
        <v>0.20019323727660815</v>
      </c>
      <c r="AK38" s="386">
        <f t="shared" si="5"/>
        <v>0.20954887193655186</v>
      </c>
      <c r="AL38" s="43"/>
      <c r="AM38" s="235">
        <f t="shared" si="6"/>
        <v>0.21511211413418119</v>
      </c>
      <c r="AN38" s="43">
        <f t="shared" si="6"/>
        <v>0.20645076322952075</v>
      </c>
      <c r="AO38" s="43">
        <f t="shared" si="6"/>
        <v>0.2039927525249515</v>
      </c>
      <c r="AP38" s="43">
        <f t="shared" si="6"/>
        <v>0.20291445829391569</v>
      </c>
      <c r="AQ38" s="386">
        <f t="shared" si="6"/>
        <v>0.20699017545569875</v>
      </c>
      <c r="AR38" s="43"/>
      <c r="AS38" s="235">
        <f t="shared" si="7"/>
        <v>0.22197930258884296</v>
      </c>
      <c r="AT38" s="43">
        <f t="shared" si="7"/>
        <v>0.20938546443649669</v>
      </c>
      <c r="AU38" s="43">
        <f t="shared" si="7"/>
        <v>0.20870219447206628</v>
      </c>
      <c r="AV38" s="43">
        <f t="shared" si="7"/>
        <v>0.20780978914146639</v>
      </c>
      <c r="AW38" s="386">
        <f t="shared" si="7"/>
        <v>0.21175300514203013</v>
      </c>
      <c r="AX38" s="43"/>
      <c r="AY38" s="235">
        <f t="shared" si="8"/>
        <v>0.22128422671114276</v>
      </c>
      <c r="AZ38" s="43">
        <f t="shared" si="8"/>
        <v>0.21314484353368932</v>
      </c>
      <c r="BA38" s="43">
        <f t="shared" si="8"/>
        <v>0.20536927994459822</v>
      </c>
      <c r="BB38" s="43">
        <f t="shared" si="8"/>
        <v>0.20560956155175295</v>
      </c>
      <c r="BC38" s="386">
        <f t="shared" si="8"/>
        <v>0.21104565417016202</v>
      </c>
      <c r="BD38" s="43"/>
      <c r="BE38" s="235">
        <f t="shared" si="9"/>
        <v>0.22081191143534948</v>
      </c>
      <c r="BF38" s="43">
        <f t="shared" si="9"/>
        <v>0.20965317496510164</v>
      </c>
      <c r="BG38" s="43">
        <f t="shared" si="9"/>
        <v>0.20361949888801553</v>
      </c>
      <c r="BH38" s="43">
        <f t="shared" si="9"/>
        <v>0.20243779586495578</v>
      </c>
      <c r="BI38" s="386">
        <f t="shared" si="9"/>
        <v>0.20882935804933217</v>
      </c>
      <c r="BJ38" s="43"/>
      <c r="BK38" s="235">
        <f t="shared" si="10"/>
        <v>0.21517727992424088</v>
      </c>
      <c r="BL38" s="43">
        <f t="shared" si="10"/>
        <v>0.20543213863370569</v>
      </c>
      <c r="BM38" s="43">
        <f t="shared" si="11"/>
        <v>0.19692807813018512</v>
      </c>
      <c r="BN38" s="43">
        <f t="shared" si="10"/>
        <v>0.19884094713347039</v>
      </c>
      <c r="BO38" s="386">
        <f t="shared" si="10"/>
        <v>0.20380574058926731</v>
      </c>
      <c r="BP38" s="43"/>
      <c r="BQ38" s="235">
        <f t="shared" si="12"/>
        <v>0.21040203016719128</v>
      </c>
      <c r="BR38" s="43">
        <f t="shared" si="12"/>
        <v>0.20318739142017125</v>
      </c>
      <c r="BS38" s="43">
        <f t="shared" si="12"/>
        <v>0.19571354674280847</v>
      </c>
      <c r="BT38" s="43">
        <f t="shared" si="12"/>
        <v>0.19768566070457835</v>
      </c>
      <c r="BU38" s="386">
        <f t="shared" si="12"/>
        <v>0.20152489795313094</v>
      </c>
      <c r="BV38" s="43"/>
      <c r="BW38" s="235">
        <f t="shared" si="13"/>
        <v>0.21060540562522928</v>
      </c>
      <c r="BX38" s="43">
        <f t="shared" si="13"/>
        <v>0.20224003605634214</v>
      </c>
      <c r="BY38" s="43">
        <f t="shared" si="13"/>
        <v>0.1947723778424586</v>
      </c>
      <c r="BZ38" s="43">
        <f t="shared" si="13"/>
        <v>0.1967530448058244</v>
      </c>
      <c r="CA38" s="386">
        <f t="shared" si="13"/>
        <v>0.20086994521136481</v>
      </c>
      <c r="CB38" s="43"/>
      <c r="CC38" s="235">
        <f t="shared" si="14"/>
        <v>0.2096845959488581</v>
      </c>
      <c r="CD38" s="43">
        <f t="shared" si="14"/>
        <v>0.2013151272946973</v>
      </c>
      <c r="CE38" s="43">
        <f t="shared" si="14"/>
        <v>0.19385600745111425</v>
      </c>
      <c r="CF38" s="43">
        <f t="shared" si="14"/>
        <v>0.19584391465125148</v>
      </c>
      <c r="CG38" s="386">
        <f t="shared" si="14"/>
        <v>0.19995221311400732</v>
      </c>
      <c r="CH38" s="117"/>
      <c r="CI38" s="117"/>
      <c r="CJ38" s="117"/>
      <c r="CK38" s="117"/>
      <c r="CL38" s="117"/>
      <c r="CM38" s="11"/>
      <c r="CN38" s="11"/>
      <c r="CO38"/>
      <c r="CP38"/>
      <c r="CQ38"/>
      <c r="CR38"/>
      <c r="CS38"/>
      <c r="CT38"/>
    </row>
    <row r="39" spans="2:99" s="7" customFormat="1" ht="11.25" customHeight="1" x14ac:dyDescent="0.2">
      <c r="B39" s="426" t="s">
        <v>16</v>
      </c>
      <c r="C39" s="235">
        <f t="shared" si="0"/>
        <v>0</v>
      </c>
      <c r="D39" s="43">
        <f t="shared" si="0"/>
        <v>0</v>
      </c>
      <c r="E39" s="43">
        <f t="shared" si="0"/>
        <v>0</v>
      </c>
      <c r="F39" s="43">
        <f t="shared" si="0"/>
        <v>0</v>
      </c>
      <c r="G39" s="386">
        <f t="shared" si="0"/>
        <v>0</v>
      </c>
      <c r="H39" s="43"/>
      <c r="I39" s="235">
        <f t="shared" si="1"/>
        <v>0</v>
      </c>
      <c r="J39" s="43">
        <f t="shared" si="1"/>
        <v>0</v>
      </c>
      <c r="K39" s="43">
        <f t="shared" si="1"/>
        <v>0</v>
      </c>
      <c r="L39" s="43">
        <f t="shared" si="1"/>
        <v>0</v>
      </c>
      <c r="M39" s="386">
        <f t="shared" si="1"/>
        <v>0</v>
      </c>
      <c r="N39" s="43"/>
      <c r="O39" s="235">
        <f t="shared" si="2"/>
        <v>0</v>
      </c>
      <c r="P39" s="43">
        <f t="shared" si="2"/>
        <v>0</v>
      </c>
      <c r="Q39" s="43">
        <f t="shared" si="2"/>
        <v>0</v>
      </c>
      <c r="R39" s="43">
        <f t="shared" si="2"/>
        <v>0</v>
      </c>
      <c r="S39" s="386">
        <f t="shared" si="2"/>
        <v>0</v>
      </c>
      <c r="T39" s="43"/>
      <c r="U39" s="235">
        <f t="shared" si="3"/>
        <v>0</v>
      </c>
      <c r="V39" s="43">
        <f t="shared" si="3"/>
        <v>0</v>
      </c>
      <c r="W39" s="43">
        <f t="shared" si="3"/>
        <v>0</v>
      </c>
      <c r="X39" s="43">
        <f t="shared" si="3"/>
        <v>0</v>
      </c>
      <c r="Y39" s="386">
        <f t="shared" si="3"/>
        <v>0</v>
      </c>
      <c r="Z39" s="43"/>
      <c r="AA39" s="235">
        <f t="shared" si="4"/>
        <v>0</v>
      </c>
      <c r="AB39" s="43">
        <f t="shared" si="4"/>
        <v>0</v>
      </c>
      <c r="AC39" s="43">
        <f t="shared" si="4"/>
        <v>0</v>
      </c>
      <c r="AD39" s="43">
        <f t="shared" si="4"/>
        <v>0</v>
      </c>
      <c r="AE39" s="386">
        <f t="shared" si="4"/>
        <v>0</v>
      </c>
      <c r="AF39" s="43"/>
      <c r="AG39" s="235">
        <f t="shared" si="5"/>
        <v>0</v>
      </c>
      <c r="AH39" s="43">
        <f t="shared" si="5"/>
        <v>0</v>
      </c>
      <c r="AI39" s="43">
        <f t="shared" si="5"/>
        <v>0</v>
      </c>
      <c r="AJ39" s="43">
        <f t="shared" si="5"/>
        <v>0</v>
      </c>
      <c r="AK39" s="386">
        <f t="shared" si="5"/>
        <v>0</v>
      </c>
      <c r="AL39" s="43"/>
      <c r="AM39" s="235">
        <f t="shared" si="6"/>
        <v>0</v>
      </c>
      <c r="AN39" s="43">
        <f t="shared" si="6"/>
        <v>0</v>
      </c>
      <c r="AO39" s="43">
        <f t="shared" si="6"/>
        <v>0</v>
      </c>
      <c r="AP39" s="43">
        <f t="shared" si="6"/>
        <v>0</v>
      </c>
      <c r="AQ39" s="386">
        <f t="shared" si="6"/>
        <v>0</v>
      </c>
      <c r="AR39" s="43"/>
      <c r="AS39" s="235">
        <f t="shared" si="7"/>
        <v>0</v>
      </c>
      <c r="AT39" s="43">
        <f t="shared" si="7"/>
        <v>0</v>
      </c>
      <c r="AU39" s="43">
        <f t="shared" si="7"/>
        <v>0</v>
      </c>
      <c r="AV39" s="43">
        <f t="shared" si="7"/>
        <v>0</v>
      </c>
      <c r="AW39" s="386">
        <f t="shared" si="7"/>
        <v>0</v>
      </c>
      <c r="AX39" s="43"/>
      <c r="AY39" s="235">
        <f t="shared" si="8"/>
        <v>0</v>
      </c>
      <c r="AZ39" s="43">
        <f t="shared" si="8"/>
        <v>0</v>
      </c>
      <c r="BA39" s="43">
        <f t="shared" si="8"/>
        <v>0</v>
      </c>
      <c r="BB39" s="43">
        <f t="shared" si="8"/>
        <v>0</v>
      </c>
      <c r="BC39" s="386">
        <f t="shared" si="8"/>
        <v>0</v>
      </c>
      <c r="BD39" s="43"/>
      <c r="BE39" s="235">
        <f t="shared" si="9"/>
        <v>0</v>
      </c>
      <c r="BF39" s="43">
        <f t="shared" si="9"/>
        <v>0</v>
      </c>
      <c r="BG39" s="43">
        <f t="shared" si="9"/>
        <v>0</v>
      </c>
      <c r="BH39" s="43">
        <f t="shared" si="9"/>
        <v>0</v>
      </c>
      <c r="BI39" s="386">
        <f t="shared" si="9"/>
        <v>0</v>
      </c>
      <c r="BJ39" s="43"/>
      <c r="BK39" s="235">
        <f t="shared" si="10"/>
        <v>0</v>
      </c>
      <c r="BL39" s="43">
        <f t="shared" si="10"/>
        <v>0</v>
      </c>
      <c r="BM39" s="43">
        <f t="shared" si="11"/>
        <v>0</v>
      </c>
      <c r="BN39" s="43">
        <f t="shared" si="10"/>
        <v>0</v>
      </c>
      <c r="BO39" s="386">
        <f t="shared" si="10"/>
        <v>0</v>
      </c>
      <c r="BP39" s="43"/>
      <c r="BQ39" s="235">
        <f t="shared" si="12"/>
        <v>0</v>
      </c>
      <c r="BR39" s="43">
        <f t="shared" si="12"/>
        <v>0</v>
      </c>
      <c r="BS39" s="43">
        <f t="shared" si="12"/>
        <v>0</v>
      </c>
      <c r="BT39" s="43">
        <f t="shared" si="12"/>
        <v>0</v>
      </c>
      <c r="BU39" s="386">
        <f t="shared" si="12"/>
        <v>0</v>
      </c>
      <c r="BV39" s="43"/>
      <c r="BW39" s="235">
        <f t="shared" si="13"/>
        <v>0</v>
      </c>
      <c r="BX39" s="43">
        <f t="shared" si="13"/>
        <v>0</v>
      </c>
      <c r="BY39" s="43">
        <f t="shared" si="13"/>
        <v>0</v>
      </c>
      <c r="BZ39" s="43">
        <f t="shared" si="13"/>
        <v>0</v>
      </c>
      <c r="CA39" s="386">
        <f t="shared" si="13"/>
        <v>0</v>
      </c>
      <c r="CB39" s="43"/>
      <c r="CC39" s="235">
        <f t="shared" si="14"/>
        <v>0</v>
      </c>
      <c r="CD39" s="43">
        <f t="shared" si="14"/>
        <v>0</v>
      </c>
      <c r="CE39" s="43">
        <f t="shared" si="14"/>
        <v>0</v>
      </c>
      <c r="CF39" s="43">
        <f t="shared" si="14"/>
        <v>0</v>
      </c>
      <c r="CG39" s="386">
        <f t="shared" si="14"/>
        <v>0</v>
      </c>
      <c r="CH39" s="117"/>
      <c r="CI39" s="117"/>
      <c r="CJ39" s="117"/>
      <c r="CK39" s="117"/>
      <c r="CL39" s="117"/>
      <c r="CM39" s="11"/>
      <c r="CN39" s="11"/>
      <c r="CO39"/>
      <c r="CP39"/>
      <c r="CQ39"/>
      <c r="CR39"/>
      <c r="CS39"/>
      <c r="CT39"/>
    </row>
    <row r="40" spans="2:99" s="7" customFormat="1" ht="11.25" customHeight="1" x14ac:dyDescent="0.2">
      <c r="B40" s="426" t="s">
        <v>99</v>
      </c>
      <c r="C40" s="235">
        <f t="shared" si="0"/>
        <v>6.9671055041950064E-2</v>
      </c>
      <c r="D40" s="43">
        <f t="shared" si="0"/>
        <v>7.8241290481659578E-2</v>
      </c>
      <c r="E40" s="43">
        <f t="shared" si="0"/>
        <v>7.6046693123889647E-2</v>
      </c>
      <c r="F40" s="43">
        <f t="shared" si="0"/>
        <v>8.6725831170785098E-2</v>
      </c>
      <c r="G40" s="386">
        <f t="shared" si="0"/>
        <v>7.8225348620422505E-2</v>
      </c>
      <c r="H40" s="43"/>
      <c r="I40" s="235">
        <f t="shared" si="1"/>
        <v>6.8809687621773821E-2</v>
      </c>
      <c r="J40" s="43">
        <f t="shared" si="1"/>
        <v>8.1824614178862151E-2</v>
      </c>
      <c r="K40" s="43">
        <f t="shared" si="1"/>
        <v>8.203884056102359E-2</v>
      </c>
      <c r="L40" s="43">
        <f t="shared" si="1"/>
        <v>9.3283705394590605E-2</v>
      </c>
      <c r="M40" s="386">
        <f t="shared" si="1"/>
        <v>8.1601770919844704E-2</v>
      </c>
      <c r="N40" s="43"/>
      <c r="O40" s="235">
        <f t="shared" si="2"/>
        <v>7.711924426479802E-2</v>
      </c>
      <c r="P40" s="43">
        <f t="shared" si="2"/>
        <v>8.8826664111870166E-2</v>
      </c>
      <c r="Q40" s="43">
        <f t="shared" si="2"/>
        <v>8.0799285057004441E-2</v>
      </c>
      <c r="R40" s="43">
        <f t="shared" si="2"/>
        <v>8.8003847529871837E-2</v>
      </c>
      <c r="S40" s="386">
        <f t="shared" si="2"/>
        <v>8.3904834502234307E-2</v>
      </c>
      <c r="T40" s="43"/>
      <c r="U40" s="235">
        <f t="shared" si="3"/>
        <v>7.9881384528861357E-2</v>
      </c>
      <c r="V40" s="43">
        <f t="shared" si="3"/>
        <v>8.8557322073471362E-2</v>
      </c>
      <c r="W40" s="43">
        <f t="shared" si="3"/>
        <v>8.5837367725880589E-2</v>
      </c>
      <c r="X40" s="43">
        <f t="shared" si="3"/>
        <v>8.2874407976406161E-2</v>
      </c>
      <c r="Y40" s="386">
        <f t="shared" si="3"/>
        <v>8.4316156024015571E-2</v>
      </c>
      <c r="Z40" s="43"/>
      <c r="AA40" s="235">
        <f t="shared" si="4"/>
        <v>7.8371011638491542E-2</v>
      </c>
      <c r="AB40" s="43">
        <f t="shared" si="4"/>
        <v>8.4639357188450393E-2</v>
      </c>
      <c r="AC40" s="43">
        <f t="shared" si="4"/>
        <v>8.1371676659438799E-2</v>
      </c>
      <c r="AD40" s="43">
        <f t="shared" si="4"/>
        <v>8.2571273269895759E-2</v>
      </c>
      <c r="AE40" s="386">
        <f t="shared" si="4"/>
        <v>8.1831793283238655E-2</v>
      </c>
      <c r="AF40" s="43"/>
      <c r="AG40" s="235">
        <f t="shared" si="5"/>
        <v>8.3632878025401272E-2</v>
      </c>
      <c r="AH40" s="43">
        <f t="shared" si="5"/>
        <v>8.586650992163361E-2</v>
      </c>
      <c r="AI40" s="43">
        <f t="shared" si="5"/>
        <v>8.0778715748313162E-2</v>
      </c>
      <c r="AJ40" s="43">
        <f t="shared" si="5"/>
        <v>8.9134534499124257E-2</v>
      </c>
      <c r="AK40" s="386">
        <f t="shared" si="5"/>
        <v>8.495277443417866E-2</v>
      </c>
      <c r="AL40" s="43"/>
      <c r="AM40" s="235">
        <f t="shared" si="6"/>
        <v>8.1107960676883598E-2</v>
      </c>
      <c r="AN40" s="43">
        <f t="shared" si="6"/>
        <v>8.6924964775630179E-2</v>
      </c>
      <c r="AO40" s="43">
        <f t="shared" si="6"/>
        <v>8.1875522572581239E-2</v>
      </c>
      <c r="AP40" s="43">
        <f t="shared" si="6"/>
        <v>8.6621120421791487E-2</v>
      </c>
      <c r="AQ40" s="386">
        <f t="shared" si="6"/>
        <v>8.420863148696954E-2</v>
      </c>
      <c r="AR40" s="43"/>
      <c r="AS40" s="235">
        <f t="shared" si="7"/>
        <v>7.9584916048703033E-2</v>
      </c>
      <c r="AT40" s="43">
        <f t="shared" si="7"/>
        <v>8.3427582562707256E-2</v>
      </c>
      <c r="AU40" s="43">
        <f t="shared" si="7"/>
        <v>8.1283928332537295E-2</v>
      </c>
      <c r="AV40" s="43">
        <f t="shared" si="7"/>
        <v>8.9749586987287008E-2</v>
      </c>
      <c r="AW40" s="386">
        <f t="shared" si="7"/>
        <v>8.363199146883879E-2</v>
      </c>
      <c r="AX40" s="43"/>
      <c r="AY40" s="235">
        <f t="shared" si="8"/>
        <v>8.3363437766627246E-2</v>
      </c>
      <c r="AZ40" s="43">
        <f t="shared" si="8"/>
        <v>8.7200492903108051E-2</v>
      </c>
      <c r="BA40" s="43">
        <f t="shared" si="8"/>
        <v>8.9371089437735446E-2</v>
      </c>
      <c r="BB40" s="43">
        <f t="shared" si="8"/>
        <v>8.8861903429000189E-2</v>
      </c>
      <c r="BC40" s="386">
        <f t="shared" si="8"/>
        <v>8.7305224155031655E-2</v>
      </c>
      <c r="BD40" s="43"/>
      <c r="BE40" s="235">
        <f t="shared" si="9"/>
        <v>8.1541683683775207E-2</v>
      </c>
      <c r="BF40" s="43">
        <f t="shared" si="9"/>
        <v>8.4762395435541732E-2</v>
      </c>
      <c r="BG40" s="43">
        <f t="shared" si="9"/>
        <v>8.6739672784791569E-2</v>
      </c>
      <c r="BH40" s="43">
        <f t="shared" si="9"/>
        <v>8.7798396249327934E-2</v>
      </c>
      <c r="BI40" s="386">
        <f t="shared" si="9"/>
        <v>8.5315703838029222E-2</v>
      </c>
      <c r="BJ40" s="43"/>
      <c r="BK40" s="235">
        <f t="shared" si="10"/>
        <v>8.1669944179643322E-2</v>
      </c>
      <c r="BL40" s="43">
        <f t="shared" si="10"/>
        <v>8.4476073866678422E-2</v>
      </c>
      <c r="BM40" s="43">
        <f t="shared" si="11"/>
        <v>8.2974094637818782E-2</v>
      </c>
      <c r="BN40" s="43">
        <f t="shared" si="10"/>
        <v>8.8300250689108767E-2</v>
      </c>
      <c r="BO40" s="386">
        <f t="shared" si="10"/>
        <v>8.4455111216965723E-2</v>
      </c>
      <c r="BP40" s="43"/>
      <c r="BQ40" s="235">
        <f t="shared" si="12"/>
        <v>8.4886447763263567E-2</v>
      </c>
      <c r="BR40" s="43">
        <f t="shared" si="12"/>
        <v>8.7676806646086791E-2</v>
      </c>
      <c r="BS40" s="43">
        <f t="shared" si="12"/>
        <v>8.6138343109586471E-2</v>
      </c>
      <c r="BT40" s="43">
        <f t="shared" si="12"/>
        <v>9.0066926754887713E-2</v>
      </c>
      <c r="BU40" s="386">
        <f t="shared" si="12"/>
        <v>8.7263491171060942E-2</v>
      </c>
      <c r="BV40" s="43"/>
      <c r="BW40" s="235">
        <f t="shared" si="13"/>
        <v>8.2261855733478245E-2</v>
      </c>
      <c r="BX40" s="43">
        <f t="shared" si="13"/>
        <v>8.334538372560954E-2</v>
      </c>
      <c r="BY40" s="43">
        <f t="shared" si="13"/>
        <v>8.1817809665974225E-2</v>
      </c>
      <c r="BZ40" s="43">
        <f t="shared" si="13"/>
        <v>8.5793002716528011E-2</v>
      </c>
      <c r="CA40" s="386">
        <f t="shared" si="13"/>
        <v>8.3346477947331229E-2</v>
      </c>
      <c r="CB40" s="43"/>
      <c r="CC40" s="235">
        <f t="shared" si="14"/>
        <v>7.7872368228817046E-2</v>
      </c>
      <c r="CD40" s="43">
        <f t="shared" si="14"/>
        <v>7.9007292838433954E-2</v>
      </c>
      <c r="CE40" s="43">
        <f t="shared" si="14"/>
        <v>7.750726127076292E-2</v>
      </c>
      <c r="CF40" s="43">
        <f t="shared" si="14"/>
        <v>8.1532303400798797E-2</v>
      </c>
      <c r="CG40" s="386">
        <f t="shared" si="14"/>
        <v>7.9023433897858417E-2</v>
      </c>
      <c r="CH40" s="117"/>
      <c r="CI40" s="117"/>
      <c r="CJ40" s="117"/>
      <c r="CK40" s="117"/>
      <c r="CL40" s="117"/>
      <c r="CM40" s="11"/>
      <c r="CN40" s="11"/>
      <c r="CO40"/>
      <c r="CP40"/>
      <c r="CQ40"/>
      <c r="CR40"/>
      <c r="CS40"/>
      <c r="CT40"/>
    </row>
    <row r="41" spans="2:99" s="7" customFormat="1" ht="11.25" customHeight="1" x14ac:dyDescent="0.2">
      <c r="B41" s="275" t="str">
        <f>+B14</f>
        <v>Operating Income / Loss</v>
      </c>
      <c r="C41" s="235">
        <f t="shared" si="0"/>
        <v>5.6270074374412234E-2</v>
      </c>
      <c r="D41" s="43">
        <f t="shared" si="0"/>
        <v>6.5501720598954469E-2</v>
      </c>
      <c r="E41" s="43">
        <f t="shared" si="0"/>
        <v>6.4227952775517766E-2</v>
      </c>
      <c r="F41" s="43">
        <f t="shared" si="0"/>
        <v>7.4435151754485104E-2</v>
      </c>
      <c r="G41" s="386">
        <f t="shared" si="0"/>
        <v>6.5703195709787471E-2</v>
      </c>
      <c r="H41" s="43"/>
      <c r="I41" s="235">
        <f t="shared" si="1"/>
        <v>5.6036462635458473E-2</v>
      </c>
      <c r="J41" s="43">
        <f t="shared" si="1"/>
        <v>6.9471268262627214E-2</v>
      </c>
      <c r="K41" s="43">
        <f t="shared" si="1"/>
        <v>7.0194239296829081E-2</v>
      </c>
      <c r="L41" s="43">
        <f t="shared" si="1"/>
        <v>8.1244884263612482E-2</v>
      </c>
      <c r="M41" s="386">
        <f t="shared" si="1"/>
        <v>6.9356952285063556E-2</v>
      </c>
      <c r="N41" s="43"/>
      <c r="O41" s="235">
        <f t="shared" si="2"/>
        <v>6.3707933550021814E-2</v>
      </c>
      <c r="P41" s="43">
        <f t="shared" si="2"/>
        <v>7.5878698596645283E-2</v>
      </c>
      <c r="Q41" s="43">
        <f t="shared" si="2"/>
        <v>6.8628862991154241E-2</v>
      </c>
      <c r="R41" s="43">
        <f t="shared" si="2"/>
        <v>7.6490931822241565E-2</v>
      </c>
      <c r="S41" s="386">
        <f t="shared" si="2"/>
        <v>7.1440959901724332E-2</v>
      </c>
      <c r="T41" s="43"/>
      <c r="U41" s="235">
        <f t="shared" si="3"/>
        <v>6.592247956325871E-2</v>
      </c>
      <c r="V41" s="43">
        <f t="shared" si="3"/>
        <v>7.4621999231102409E-2</v>
      </c>
      <c r="W41" s="43">
        <f t="shared" si="3"/>
        <v>7.2546713486216816E-2</v>
      </c>
      <c r="X41" s="43">
        <f t="shared" si="3"/>
        <v>7.0172092067081637E-2</v>
      </c>
      <c r="Y41" s="386">
        <f t="shared" si="3"/>
        <v>7.0868989303541102E-2</v>
      </c>
      <c r="Z41" s="43"/>
      <c r="AA41" s="235">
        <f t="shared" si="4"/>
        <v>6.381686459478339E-2</v>
      </c>
      <c r="AB41" s="43">
        <f t="shared" si="4"/>
        <v>7.0971632936582402E-2</v>
      </c>
      <c r="AC41" s="43">
        <f t="shared" si="4"/>
        <v>6.7841774348828307E-2</v>
      </c>
      <c r="AD41" s="43">
        <f t="shared" si="4"/>
        <v>6.9813105837750453E-2</v>
      </c>
      <c r="AE41" s="386">
        <f t="shared" si="4"/>
        <v>6.8245308866970056E-2</v>
      </c>
      <c r="AF41" s="43"/>
      <c r="AG41" s="235">
        <f t="shared" si="5"/>
        <v>6.9140393679142376E-2</v>
      </c>
      <c r="AH41" s="43">
        <f t="shared" si="5"/>
        <v>7.1798976311997789E-2</v>
      </c>
      <c r="AI41" s="43">
        <f t="shared" si="5"/>
        <v>6.7063249812420872E-2</v>
      </c>
      <c r="AJ41" s="43">
        <f t="shared" si="5"/>
        <v>7.5294443950810377E-2</v>
      </c>
      <c r="AK41" s="386">
        <f t="shared" si="5"/>
        <v>7.0934601883877305E-2</v>
      </c>
      <c r="AL41" s="43"/>
      <c r="AM41" s="235">
        <f t="shared" si="6"/>
        <v>6.6984200206582814E-2</v>
      </c>
      <c r="AN41" s="43">
        <f t="shared" si="6"/>
        <v>7.3611616307315386E-2</v>
      </c>
      <c r="AO41" s="43">
        <f t="shared" si="6"/>
        <v>6.8318435934943078E-2</v>
      </c>
      <c r="AP41" s="43">
        <f t="shared" si="6"/>
        <v>7.3972933497469237E-2</v>
      </c>
      <c r="AQ41" s="386">
        <f t="shared" si="6"/>
        <v>7.0816755393228195E-2</v>
      </c>
      <c r="AR41" s="43"/>
      <c r="AS41" s="235">
        <f t="shared" si="7"/>
        <v>6.4715107118505477E-2</v>
      </c>
      <c r="AT41" s="43">
        <f t="shared" si="7"/>
        <v>6.9145669926581166E-2</v>
      </c>
      <c r="AU41" s="43">
        <f t="shared" si="7"/>
        <v>6.6351364794153572E-2</v>
      </c>
      <c r="AV41" s="43">
        <f t="shared" si="7"/>
        <v>7.5105399660115799E-2</v>
      </c>
      <c r="AW41" s="386">
        <f t="shared" si="7"/>
        <v>6.8953341837497184E-2</v>
      </c>
      <c r="AX41" s="43"/>
      <c r="AY41" s="235">
        <f t="shared" si="8"/>
        <v>6.8284566857413825E-2</v>
      </c>
      <c r="AZ41" s="43">
        <f t="shared" si="8"/>
        <v>7.235787199732252E-2</v>
      </c>
      <c r="BA41" s="43">
        <f t="shared" si="8"/>
        <v>7.3466910662792081E-2</v>
      </c>
      <c r="BB41" s="43">
        <f t="shared" si="8"/>
        <v>7.4748554676072179E-2</v>
      </c>
      <c r="BC41" s="386">
        <f t="shared" si="8"/>
        <v>7.2335214129366818E-2</v>
      </c>
      <c r="BD41" s="43"/>
      <c r="BE41" s="235">
        <f t="shared" si="9"/>
        <v>6.6441180763713109E-2</v>
      </c>
      <c r="BF41" s="43">
        <f t="shared" si="9"/>
        <v>6.999161047541809E-2</v>
      </c>
      <c r="BG41" s="43">
        <f t="shared" si="9"/>
        <v>7.1930315641635267E-2</v>
      </c>
      <c r="BH41" s="43">
        <f t="shared" si="9"/>
        <v>7.3715753040596174E-2</v>
      </c>
      <c r="BI41" s="386">
        <f t="shared" si="9"/>
        <v>7.0643661743492819E-2</v>
      </c>
      <c r="BJ41" s="43"/>
      <c r="BK41" s="235">
        <f t="shared" si="10"/>
        <v>6.6360400527139068E-2</v>
      </c>
      <c r="BL41" s="43">
        <f t="shared" si="10"/>
        <v>6.8855986910099851E-2</v>
      </c>
      <c r="BM41" s="43">
        <f t="shared" si="11"/>
        <v>6.7555328347911184E-2</v>
      </c>
      <c r="BN41" s="43">
        <f t="shared" si="10"/>
        <v>7.2690498707977669E-2</v>
      </c>
      <c r="BO41" s="386">
        <f t="shared" si="10"/>
        <v>6.8961684760867947E-2</v>
      </c>
      <c r="BP41" s="43"/>
      <c r="BQ41" s="235">
        <f t="shared" si="12"/>
        <v>6.7420512459383741E-2</v>
      </c>
      <c r="BR41" s="43">
        <f t="shared" si="12"/>
        <v>7.1525185440989708E-2</v>
      </c>
      <c r="BS41" s="43">
        <f t="shared" si="12"/>
        <v>7.0552099137801833E-2</v>
      </c>
      <c r="BT41" s="43">
        <f t="shared" si="12"/>
        <v>7.5231796603533352E-2</v>
      </c>
      <c r="BU41" s="386">
        <f t="shared" si="12"/>
        <v>7.1295219677395952E-2</v>
      </c>
      <c r="BV41" s="43"/>
      <c r="BW41" s="235">
        <f t="shared" si="13"/>
        <v>6.5677054003398391E-2</v>
      </c>
      <c r="BX41" s="43">
        <f t="shared" si="13"/>
        <v>6.7894329918428434E-2</v>
      </c>
      <c r="BY41" s="43">
        <f t="shared" si="13"/>
        <v>6.6910715962475484E-2</v>
      </c>
      <c r="BZ41" s="43">
        <f t="shared" si="13"/>
        <v>7.1593127451818589E-2</v>
      </c>
      <c r="CA41" s="386">
        <f t="shared" si="13"/>
        <v>6.8095759768018085E-2</v>
      </c>
      <c r="CB41" s="43"/>
      <c r="CC41" s="235">
        <f t="shared" si="14"/>
        <v>6.2101446706333815E-2</v>
      </c>
      <c r="CD41" s="43">
        <f t="shared" si="14"/>
        <v>6.430977017355427E-2</v>
      </c>
      <c r="CE41" s="43">
        <f t="shared" si="14"/>
        <v>6.3315403942067333E-2</v>
      </c>
      <c r="CF41" s="43">
        <f t="shared" si="14"/>
        <v>6.7995670881399767E-2</v>
      </c>
      <c r="CG41" s="386">
        <f t="shared" si="14"/>
        <v>6.450695206402253E-2</v>
      </c>
      <c r="CH41" s="117"/>
      <c r="CI41" s="117"/>
      <c r="CJ41" s="117"/>
      <c r="CK41" s="117"/>
      <c r="CL41" s="117"/>
      <c r="CM41" s="11"/>
      <c r="CN41" s="11"/>
      <c r="CO41"/>
      <c r="CP41"/>
      <c r="CQ41"/>
      <c r="CR41"/>
      <c r="CS41"/>
      <c r="CT41"/>
    </row>
    <row r="42" spans="2:99" s="7" customFormat="1" ht="11.25" customHeight="1" x14ac:dyDescent="0.2">
      <c r="B42" s="426" t="s">
        <v>17</v>
      </c>
      <c r="C42" s="235"/>
      <c r="D42" s="43"/>
      <c r="E42" s="43"/>
      <c r="F42" s="43"/>
      <c r="G42" s="386"/>
      <c r="H42" s="43"/>
      <c r="I42" s="235">
        <f>+(I14-C14)/(I8-C8)</f>
        <v>5.4590383134340996E-2</v>
      </c>
      <c r="J42" s="43">
        <f>+(J14-D14)/(J8-D8)</f>
        <v>9.1161940480787032E-2</v>
      </c>
      <c r="K42" s="43">
        <f>+(K14-E14)/(K8-E8)</f>
        <v>0.13498853095200228</v>
      </c>
      <c r="L42" s="43">
        <f>+(L14-F14)/(L8-F8)</f>
        <v>-9.2023103340455811E-3</v>
      </c>
      <c r="M42" s="386">
        <f>+(M14-G14)/(M8-G8)</f>
        <v>0.11467929419722959</v>
      </c>
      <c r="N42" s="43"/>
      <c r="O42" s="235">
        <f>+(O14-I14)/(O8-I8)</f>
        <v>-0.25711066531093679</v>
      </c>
      <c r="P42" s="43">
        <f>+(P14-J14)/(P8-J8)</f>
        <v>-0.23874076069065886</v>
      </c>
      <c r="Q42" s="43">
        <f>+(Q14-K14)/(Q8-K8)</f>
        <v>-0.1004335260115609</v>
      </c>
      <c r="R42" s="43">
        <f>+(R14-L14)/(R8-L8)</f>
        <v>4.1288440272006781E-2</v>
      </c>
      <c r="S42" s="386">
        <f>+(S14-M14)/(S8-M8)</f>
        <v>0.15563914059384279</v>
      </c>
      <c r="T42" s="43"/>
      <c r="U42" s="235">
        <f>+(U14-O14)/(U8-O8)</f>
        <v>7.7887546285856077E-2</v>
      </c>
      <c r="V42" s="43">
        <f>+(V14-P14)/(V8-P8)</f>
        <v>6.6273500105386726E-2</v>
      </c>
      <c r="W42" s="43">
        <f>+(W14-Q14)/(W8-Q8)</f>
        <v>0.1003212604345553</v>
      </c>
      <c r="X42" s="43">
        <f>+(X14-R14)/(X8-R8)</f>
        <v>2.2649660823536536E-2</v>
      </c>
      <c r="Y42" s="386">
        <f>+(Y14-S14)/(Y8-S8)</f>
        <v>6.7085569991116922E-2</v>
      </c>
      <c r="Z42" s="43"/>
      <c r="AA42" s="235">
        <f>+(AA14-U14)/(AA8-U8)</f>
        <v>4.4043510037289589E-2</v>
      </c>
      <c r="AB42" s="43">
        <f>+(AB14-V14)/(AB8-V8)</f>
        <v>4.6967170271548037E-2</v>
      </c>
      <c r="AC42" s="43">
        <f>+(AC14-W14)/(AC8-W8)</f>
        <v>2.7009560825367904E-2</v>
      </c>
      <c r="AD42" s="43">
        <f>+(AD14-X14)/(AD8-X8)</f>
        <v>6.751847874154962E-2</v>
      </c>
      <c r="AE42" s="386">
        <f>+(AE14-Y14)/(AE8-Y8)</f>
        <v>4.8565352403503272E-2</v>
      </c>
      <c r="AF42" s="43"/>
      <c r="AG42" s="235">
        <f>+(AG14-AA14)/(AG8-AA8)</f>
        <v>0.1376918906768558</v>
      </c>
      <c r="AH42" s="43">
        <f>+(AH14-AB14)/(AH8-AB8)</f>
        <v>9.6692650963116841E-2</v>
      </c>
      <c r="AI42" s="43">
        <f>+(AI14-AC14)/(AI8-AC8)</f>
        <v>5.3290327985588526E-2</v>
      </c>
      <c r="AJ42" s="43">
        <f>+(AJ14-AD14)/(AJ8-AD8)</f>
        <v>0.2631278371650555</v>
      </c>
      <c r="AK42" s="386">
        <f>+(AK14-AE14)/(AK8-AE8)</f>
        <v>0.12692415644639829</v>
      </c>
      <c r="AL42" s="43"/>
      <c r="AM42" s="235">
        <f>+(AM14-AG14)/(AM8-AG8)</f>
        <v>4.3713880262428423E-2</v>
      </c>
      <c r="AN42" s="43">
        <f>+(AN14-AH14)/(AN8-AH8)</f>
        <v>9.4574433435946167E-2</v>
      </c>
      <c r="AO42" s="43">
        <f>+(AO14-AI14)/(AO8-AI8)</f>
        <v>9.2071112317427456E-2</v>
      </c>
      <c r="AP42" s="43">
        <f>+(AP14-AJ14)/(AP8-AJ8)</f>
        <v>4.698470304921052E-2</v>
      </c>
      <c r="AQ42" s="386">
        <f>+(AQ14-AK14)/(AQ8-AK8)</f>
        <v>6.9119352967712905E-2</v>
      </c>
      <c r="AR42" s="43"/>
      <c r="AS42" s="235">
        <f>+(AS14-AM14)/(AS8-AM8)</f>
        <v>2.6630466600317437E-2</v>
      </c>
      <c r="AT42" s="43">
        <f>+(AT14-AN14)/(AT8-AN8)</f>
        <v>2.1373369827724732E-2</v>
      </c>
      <c r="AU42" s="43">
        <f>+(AU14-AO14)/(AU8-AO8)</f>
        <v>4.9535434704281747E-2</v>
      </c>
      <c r="AV42" s="43">
        <f>+(AV14-AP14)/(AV8-AP8)</f>
        <v>9.1386590487457439E-2</v>
      </c>
      <c r="AW42" s="386">
        <f>+(AW14-AQ14)/(AW8-AQ8)</f>
        <v>4.6979129021155773E-2</v>
      </c>
      <c r="AX42" s="43"/>
      <c r="AY42" s="235">
        <f>+(AY14-AS14)/(AY8-AS8)</f>
        <v>0.32732104995968547</v>
      </c>
      <c r="AZ42" s="43">
        <f>+(AZ14-AT14)/(AZ8-AT8)</f>
        <v>0.67615351444588068</v>
      </c>
      <c r="BA42" s="43">
        <f>+(BA14-AU14)/(BA8-AU8)</f>
        <v>0.37407013815090884</v>
      </c>
      <c r="BB42" s="43">
        <f>+(BB14-AV14)/(BB8-AV8)</f>
        <v>6.8269476287095246E-2</v>
      </c>
      <c r="BC42" s="386">
        <f>+(BC14-AW14)/(BC8-AW8)</f>
        <v>0.20811058766146703</v>
      </c>
      <c r="BD42" s="43"/>
      <c r="BE42" s="235">
        <f>+(BE14-AY14)/(BE8-AY8)</f>
        <v>4.8225101279531161E-2</v>
      </c>
      <c r="BF42" s="43">
        <f>+(BF14-AZ14)/(BF8-AZ8)</f>
        <v>4.4420697875139629E-2</v>
      </c>
      <c r="BG42" s="43">
        <f>+(BG14-BA14)/(BG8-BA8)</f>
        <v>4.8914467997299912E-2</v>
      </c>
      <c r="BH42" s="43">
        <f>+(BH14-BB14)/(BH8-BB8)</f>
        <v>6.2811092675995689E-2</v>
      </c>
      <c r="BI42" s="386">
        <f>+(BI14-BC14)/(BI8-BC8)</f>
        <v>5.1554808169020978E-2</v>
      </c>
      <c r="BJ42" s="43"/>
      <c r="BK42" s="235">
        <f>+(BK14-BE14)/(BK8-BE8)</f>
        <v>6.5316773972341924E-2</v>
      </c>
      <c r="BL42" s="43">
        <f>+(BL14-BF14)/(BL8-BF8)</f>
        <v>5.1394865865930034E-2</v>
      </c>
      <c r="BM42" s="43">
        <f>+(BM14-BG14)/(BM8-BG8)</f>
        <v>2.5198100934327162E-2</v>
      </c>
      <c r="BN42" s="43">
        <f>+(BN14-BH14)/(BN8-BH8)</f>
        <v>5.6457995129870833E-2</v>
      </c>
      <c r="BO42" s="386">
        <f>+(BO14-BI14)/(BO8-BI8)</f>
        <v>4.7089759797725006E-2</v>
      </c>
      <c r="BP42" s="43"/>
      <c r="BQ42" s="235">
        <f>+(BQ14-BK14)/(BQ8-BK8)</f>
        <v>8.8187090805555091E-2</v>
      </c>
      <c r="BR42" s="43">
        <f>+(BR14-BL14)/(BR8-BL8)</f>
        <v>0.11034538758819748</v>
      </c>
      <c r="BS42" s="43">
        <f>+(BS14-BM14)/(BS8-BM8)</f>
        <v>0.12343330099239243</v>
      </c>
      <c r="BT42" s="43">
        <f>+(BT14-BN14)/(BT8-BN8)</f>
        <v>0.13324360463619733</v>
      </c>
      <c r="BU42" s="386">
        <f>+(BU14-BO14)/(BU8-BO8)</f>
        <v>0.11380491158848856</v>
      </c>
      <c r="BV42" s="43"/>
      <c r="BW42" s="235">
        <f>+(BW14-BQ14)/(BW8-BQ8)</f>
        <v>3.1624051237383016E-2</v>
      </c>
      <c r="BX42" s="43">
        <f>+(BX14-BR14)/(BX8-BR8)</f>
        <v>-1.6173408241421938E-2</v>
      </c>
      <c r="BY42" s="43">
        <f>+(BY14-BS14)/(BY8-BS8)</f>
        <v>-1.7209897308842825E-2</v>
      </c>
      <c r="BZ42" s="43">
        <f>+(BZ14-BT14)/(BZ8-BT8)</f>
        <v>-1.3984113872986328E-2</v>
      </c>
      <c r="CA42" s="386">
        <f>+(CA14-BU14)/(CA8-BU8)</f>
        <v>-3.1465521670245617E-3</v>
      </c>
      <c r="CB42" s="43"/>
      <c r="CC42" s="235">
        <f>+(CC14-BW14)/(CC8-BW8)</f>
        <v>-2.8303532846746984E-2</v>
      </c>
      <c r="CD42" s="43">
        <f>+(CD14-BX14)/(CD8-BX8)</f>
        <v>-2.5648432880206351E-2</v>
      </c>
      <c r="CE42" s="43">
        <f>+(CE14-BY14)/(CE8-BY8)</f>
        <v>-2.7017094216418232E-2</v>
      </c>
      <c r="CF42" s="43">
        <f>+(CF14-BZ14)/(CF8-BZ8)</f>
        <v>-2.3349800735982751E-2</v>
      </c>
      <c r="CG42" s="386">
        <f>+(CG14-CA14)/(CG8-CA8)</f>
        <v>-2.6019566858140886E-2</v>
      </c>
      <c r="CH42" s="117"/>
      <c r="CI42" s="117"/>
      <c r="CJ42" s="117"/>
      <c r="CK42" s="117"/>
      <c r="CL42" s="117"/>
      <c r="CM42" s="11"/>
      <c r="CN42" s="11"/>
      <c r="CO42"/>
      <c r="CP42"/>
      <c r="CQ42"/>
      <c r="CR42"/>
      <c r="CS42"/>
      <c r="CT42"/>
    </row>
    <row r="43" spans="2:99" s="7" customFormat="1" ht="11.25" customHeight="1" x14ac:dyDescent="0.2">
      <c r="B43" s="426" t="s">
        <v>165</v>
      </c>
      <c r="C43" s="235">
        <f>C20/C$8</f>
        <v>5.4785486608941995E-2</v>
      </c>
      <c r="D43" s="43">
        <f>D20/D$8</f>
        <v>6.4487313421537032E-2</v>
      </c>
      <c r="E43" s="43">
        <f>E20/E$8</f>
        <v>6.5608820550288202E-2</v>
      </c>
      <c r="F43" s="43">
        <f>F20/F$8</f>
        <v>7.3023618789725242E-2</v>
      </c>
      <c r="G43" s="386">
        <f>G20/G$8</f>
        <v>6.5080780216028228E-2</v>
      </c>
      <c r="H43" s="43"/>
      <c r="I43" s="235">
        <f>I20/I$8</f>
        <v>5.3035365891323169E-2</v>
      </c>
      <c r="J43" s="43">
        <f>J20/J$8</f>
        <v>6.5869478703428963E-2</v>
      </c>
      <c r="K43" s="43">
        <f>K20/K$8</f>
        <v>6.6059728416521274E-2</v>
      </c>
      <c r="L43" s="43">
        <f>L20/L$8</f>
        <v>7.9009847633668973E-2</v>
      </c>
      <c r="M43" s="386">
        <f>M20/M$8</f>
        <v>6.6098229064482067E-2</v>
      </c>
      <c r="N43" s="43"/>
      <c r="O43" s="235">
        <f>O20/O$8</f>
        <v>6.1068219212757742E-2</v>
      </c>
      <c r="P43" s="43">
        <f>P20/P$8</f>
        <v>7.3207982411719497E-2</v>
      </c>
      <c r="Q43" s="43">
        <f>Q20/Q$8</f>
        <v>6.7295877567819878E-2</v>
      </c>
      <c r="R43" s="43">
        <f>R20/R$8</f>
        <v>7.5200396846504175E-2</v>
      </c>
      <c r="S43" s="386">
        <f>S20/S$8</f>
        <v>6.9493828399152427E-2</v>
      </c>
      <c r="T43" s="43"/>
      <c r="U43" s="235">
        <f>U20/U$8</f>
        <v>6.2619652220347516E-2</v>
      </c>
      <c r="V43" s="43">
        <f>V20/V$8</f>
        <v>7.1808655883715877E-2</v>
      </c>
      <c r="W43" s="43">
        <f>W20/W$8</f>
        <v>7.0237247103396752E-2</v>
      </c>
      <c r="X43" s="43">
        <f>X20/X$8</f>
        <v>6.8340673503435645E-2</v>
      </c>
      <c r="Y43" s="386">
        <f>Y20/Y$8</f>
        <v>6.8331918387519799E-2</v>
      </c>
      <c r="Z43" s="43"/>
      <c r="AA43" s="235">
        <f>AA20/AA$8</f>
        <v>6.1851017655656877E-2</v>
      </c>
      <c r="AB43" s="43">
        <f>AB20/AB$8</f>
        <v>6.9586133743851586E-2</v>
      </c>
      <c r="AC43" s="43">
        <f>AC20/AC$8</f>
        <v>6.6539028163658392E-2</v>
      </c>
      <c r="AD43" s="43">
        <f>AD20/AD$8</f>
        <v>6.8398665383556947E-2</v>
      </c>
      <c r="AE43" s="386">
        <f>AE20/AE$8</f>
        <v>6.673984161293435E-2</v>
      </c>
      <c r="AF43" s="43"/>
      <c r="AG43" s="235">
        <f>AG20/AG$8</f>
        <v>6.7337170363869853E-2</v>
      </c>
      <c r="AH43" s="43">
        <f>AH20/AH$8</f>
        <v>7.0312684537296374E-2</v>
      </c>
      <c r="AI43" s="43">
        <f>AI20/AI$8</f>
        <v>6.5702012229175599E-2</v>
      </c>
      <c r="AJ43" s="43">
        <f>AJ20/AJ$8</f>
        <v>7.3351691013014184E-2</v>
      </c>
      <c r="AK43" s="386">
        <f>AK20/AK$8</f>
        <v>6.9282134934055217E-2</v>
      </c>
      <c r="AL43" s="43"/>
      <c r="AM43" s="235">
        <f>AM20/AM$8</f>
        <v>6.5374441195180641E-2</v>
      </c>
      <c r="AN43" s="43">
        <f>AN20/AN$8</f>
        <v>7.2933886889008745E-2</v>
      </c>
      <c r="AO43" s="43">
        <f>AO20/AO$8</f>
        <v>6.8083437918803141E-2</v>
      </c>
      <c r="AP43" s="43">
        <f>AP20/AP$8</f>
        <v>7.38561651697896E-2</v>
      </c>
      <c r="AQ43" s="386">
        <f>AQ20/AQ$8</f>
        <v>7.0172447534147114E-2</v>
      </c>
      <c r="AR43" s="43"/>
      <c r="AS43" s="235">
        <f>AS20/AS$8</f>
        <v>6.544633499289558E-2</v>
      </c>
      <c r="AT43" s="43">
        <f>AT20/AT$8</f>
        <v>6.8678438452767915E-2</v>
      </c>
      <c r="AU43" s="43">
        <f>AU20/AU$8</f>
        <v>6.5089039302458351E-2</v>
      </c>
      <c r="AV43" s="43">
        <f>AV20/AV$8</f>
        <v>7.396813436680276E-2</v>
      </c>
      <c r="AW43" s="386">
        <f>AW20/AW$8</f>
        <v>6.839121853483475E-2</v>
      </c>
      <c r="AX43" s="43"/>
      <c r="AY43" s="235">
        <f>AY20/AY$8</f>
        <v>6.7193501014350343E-2</v>
      </c>
      <c r="AZ43" s="43">
        <f>AZ20/AZ$8</f>
        <v>7.1137024021419998E-2</v>
      </c>
      <c r="BA43" s="43">
        <f>BA20/BA$8</f>
        <v>7.2184255548088466E-2</v>
      </c>
      <c r="BB43" s="43">
        <f>BB20/BB$8</f>
        <v>7.3390746419222982E-2</v>
      </c>
      <c r="BC43" s="386">
        <f>BC20/BC$8</f>
        <v>7.1092095661230467E-2</v>
      </c>
      <c r="BD43" s="43"/>
      <c r="BE43" s="235">
        <f>BE20/BE$8</f>
        <v>6.6204538518133016E-2</v>
      </c>
      <c r="BF43" s="43">
        <f>BF20/BF$8</f>
        <v>6.8758245927947659E-2</v>
      </c>
      <c r="BG43" s="43">
        <f>BG20/BG$8</f>
        <v>7.0343661130245275E-2</v>
      </c>
      <c r="BH43" s="43">
        <f>BH20/BH$8</f>
        <v>7.1470271399523347E-2</v>
      </c>
      <c r="BI43" s="386">
        <f>BI20/BI$8</f>
        <v>6.9283529392651089E-2</v>
      </c>
      <c r="BJ43" s="43"/>
      <c r="BK43" s="235">
        <f>BK20/BK$8</f>
        <v>6.3907055479604874E-2</v>
      </c>
      <c r="BL43" s="43">
        <f>BL20/BL$8</f>
        <v>6.6449351486439837E-2</v>
      </c>
      <c r="BM43" s="43">
        <f>BM20/BM$8</f>
        <v>6.4762298237660984E-2</v>
      </c>
      <c r="BN43" s="43">
        <f>BN20/BN$8</f>
        <v>6.3409757647102841E-2</v>
      </c>
      <c r="BO43" s="386">
        <f>BO20/BO$8</f>
        <v>6.461575424487967E-2</v>
      </c>
      <c r="BP43" s="43"/>
      <c r="BQ43" s="235">
        <f>BQ20/BQ$8</f>
        <v>6.2812958337066391E-2</v>
      </c>
      <c r="BR43" s="43">
        <f>BR20/BR$8</f>
        <v>6.7182154531627819E-2</v>
      </c>
      <c r="BS43" s="43">
        <f>BS20/BS$8</f>
        <v>6.6258959090464406E-2</v>
      </c>
      <c r="BT43" s="43">
        <f>BT20/BT$8</f>
        <v>7.1170279159776639E-2</v>
      </c>
      <c r="BU43" s="386">
        <f>BU20/BU$8</f>
        <v>6.6977214925178566E-2</v>
      </c>
      <c r="BV43" s="43"/>
      <c r="BW43" s="235">
        <f>BW20/BW$8</f>
        <v>6.1418537759331933E-2</v>
      </c>
      <c r="BX43" s="43">
        <f>BX20/BX$8</f>
        <v>6.3914393440792971E-2</v>
      </c>
      <c r="BY43" s="43">
        <f>BY20/BY$8</f>
        <v>6.2959671024693978E-2</v>
      </c>
      <c r="BZ43" s="43">
        <f>BZ20/BZ$8</f>
        <v>6.7843405172725399E-2</v>
      </c>
      <c r="CA43" s="386">
        <f>CA20/CA$8</f>
        <v>6.4118171050874098E-2</v>
      </c>
      <c r="CB43" s="43"/>
      <c r="CC43" s="235">
        <f>CC20/CC$8</f>
        <v>6.0869814138716671E-2</v>
      </c>
      <c r="CD43" s="43">
        <f>CD20/CD$8</f>
        <v>6.3559796002576455E-2</v>
      </c>
      <c r="CE43" s="43">
        <f>CE20/CE$8</f>
        <v>6.2213468478867065E-2</v>
      </c>
      <c r="CF43" s="43">
        <f>CF20/CF$8</f>
        <v>6.6734264152519235E-2</v>
      </c>
      <c r="CG43" s="386">
        <f>CG20/CG$8</f>
        <v>6.3420037247828173E-2</v>
      </c>
      <c r="CH43" s="117"/>
      <c r="CI43" s="117"/>
      <c r="CJ43" s="117"/>
      <c r="CK43" s="117"/>
      <c r="CL43" s="117"/>
      <c r="CM43" s="11"/>
      <c r="CN43" s="11"/>
      <c r="CO43"/>
      <c r="CP43"/>
      <c r="CQ43"/>
      <c r="CR43"/>
      <c r="CS43"/>
      <c r="CT43"/>
    </row>
    <row r="44" spans="2:99" s="7" customFormat="1" ht="11.25" customHeight="1" x14ac:dyDescent="0.2">
      <c r="B44" s="427" t="s">
        <v>71</v>
      </c>
      <c r="C44" s="242">
        <f>C27/C$8</f>
        <v>3.3137220180012916E-2</v>
      </c>
      <c r="D44" s="243">
        <f>D27/D$8</f>
        <v>3.9248978202862717E-2</v>
      </c>
      <c r="E44" s="243">
        <f>E27/E$8</f>
        <v>4.0295568138418975E-2</v>
      </c>
      <c r="F44" s="243">
        <f>F27/F$8</f>
        <v>4.5616255782466593E-2</v>
      </c>
      <c r="G44" s="409">
        <f>G27/G$8</f>
        <v>3.9994810663747354E-2</v>
      </c>
      <c r="H44" s="43"/>
      <c r="I44" s="242">
        <f>I27/I$8</f>
        <v>3.3856471743231822E-2</v>
      </c>
      <c r="J44" s="243">
        <f>J27/J$8</f>
        <v>3.9604449154737473E-2</v>
      </c>
      <c r="K44" s="243">
        <f>K27/K$8</f>
        <v>4.293432282635605E-2</v>
      </c>
      <c r="L44" s="243">
        <f>L27/L$8</f>
        <v>5.0383966201821999E-2</v>
      </c>
      <c r="M44" s="409">
        <f>M27/M$8</f>
        <v>4.175011868353963E-2</v>
      </c>
      <c r="N44" s="43"/>
      <c r="O44" s="242">
        <f>O27/O$8</f>
        <v>3.874947151855259E-2</v>
      </c>
      <c r="P44" s="243">
        <f>P27/P$8</f>
        <v>4.5615558710342022E-2</v>
      </c>
      <c r="Q44" s="243">
        <f>Q27/Q$8</f>
        <v>4.3942720194186838E-2</v>
      </c>
      <c r="R44" s="243">
        <f>R27/R$8</f>
        <v>4.7968709145890381E-2</v>
      </c>
      <c r="S44" s="409">
        <f>S27/S$8</f>
        <v>4.4273955942307139E-2</v>
      </c>
      <c r="T44" s="43"/>
      <c r="U44" s="242">
        <f>U27/U$8</f>
        <v>3.928285358828839E-2</v>
      </c>
      <c r="V44" s="243">
        <f>V27/V$8</f>
        <v>4.5420652416647347E-2</v>
      </c>
      <c r="W44" s="243">
        <f>W27/W$8</f>
        <v>4.6418003381020707E-2</v>
      </c>
      <c r="X44" s="243">
        <f>X27/X$8</f>
        <v>4.595595502597407E-2</v>
      </c>
      <c r="Y44" s="409">
        <f>Y27/Y$8</f>
        <v>4.4380007944953989E-2</v>
      </c>
      <c r="Z44" s="43"/>
      <c r="AA44" s="242">
        <f>AA27/AA$8</f>
        <v>3.9273298931439694E-2</v>
      </c>
      <c r="AB44" s="243">
        <f>AB27/AB$8</f>
        <v>4.434113693538088E-2</v>
      </c>
      <c r="AC44" s="243">
        <f>AC27/AC$8</f>
        <v>4.3548470350567199E-2</v>
      </c>
      <c r="AD44" s="243">
        <f>AD27/AD$8</f>
        <v>4.4753579688122304E-2</v>
      </c>
      <c r="AE44" s="409">
        <f>AE27/AE$8</f>
        <v>4.3100887407414738E-2</v>
      </c>
      <c r="AF44" s="43"/>
      <c r="AG44" s="242">
        <f>AG27/AG$8</f>
        <v>4.2426009483477634E-2</v>
      </c>
      <c r="AH44" s="243">
        <f>AH27/AH$8</f>
        <v>4.5570832341563741E-2</v>
      </c>
      <c r="AI44" s="243">
        <f>AI27/AI$8</f>
        <v>4.3374488695497856E-2</v>
      </c>
      <c r="AJ44" s="243">
        <f>AJ27/AJ$8</f>
        <v>4.6697070881626127E-2</v>
      </c>
      <c r="AK44" s="409">
        <f>AK27/AK$8</f>
        <v>4.4587748478266284E-2</v>
      </c>
      <c r="AL44" s="43"/>
      <c r="AM44" s="242">
        <f>AM27/AM$8</f>
        <v>4.1053650930821771E-2</v>
      </c>
      <c r="AN44" s="243">
        <f>AN27/AN$8</f>
        <v>4.533386849289868E-2</v>
      </c>
      <c r="AO44" s="243">
        <f>AO27/AO$8</f>
        <v>4.5345676973089388E-2</v>
      </c>
      <c r="AP44" s="243">
        <f>AP27/AP$8</f>
        <v>4.9188361166417185E-2</v>
      </c>
      <c r="AQ44" s="409">
        <f>AQ27/AQ$8</f>
        <v>4.5328522222397812E-2</v>
      </c>
      <c r="AR44" s="43"/>
      <c r="AS44" s="242">
        <f>AS27/AS$8</f>
        <v>4.2013300364297207E-2</v>
      </c>
      <c r="AT44" s="243">
        <f>AT27/AT$8</f>
        <v>4.4442813085234158E-2</v>
      </c>
      <c r="AU44" s="243">
        <f>AU27/AU$8</f>
        <v>4.3745371568481246E-2</v>
      </c>
      <c r="AV44" s="243">
        <f>AV27/AV$8</f>
        <v>4.9208466316518817E-2</v>
      </c>
      <c r="AW44" s="409">
        <f>AW27/AW$8</f>
        <v>4.4938720846482469E-2</v>
      </c>
      <c r="AX44" s="43"/>
      <c r="AY44" s="242">
        <f>AY27/AY$8</f>
        <v>4.4019717118449715E-2</v>
      </c>
      <c r="AZ44" s="243">
        <f>AZ27/AZ$8</f>
        <v>4.6855080401016255E-2</v>
      </c>
      <c r="BA44" s="243">
        <f>BA27/BA$8</f>
        <v>4.8607974801132672E-2</v>
      </c>
      <c r="BB44" s="243">
        <f>BB27/BB$8</f>
        <v>4.8845670061362104E-2</v>
      </c>
      <c r="BC44" s="409">
        <f>BC27/BC$8</f>
        <v>4.7174718353326081E-2</v>
      </c>
      <c r="BD44" s="43"/>
      <c r="BE44" s="242">
        <f>BE27/BE$8</f>
        <v>4.3051195817403617E-2</v>
      </c>
      <c r="BF44" s="243">
        <f>BF27/BF$8</f>
        <v>4.7128937593773047E-2</v>
      </c>
      <c r="BG44" s="243">
        <f>BG27/BG$8</f>
        <v>4.807430541109918E-2</v>
      </c>
      <c r="BH44" s="243">
        <f>BH27/BH$8</f>
        <v>4.8471387091172068E-2</v>
      </c>
      <c r="BI44" s="409">
        <f>BI27/BI$8</f>
        <v>4.6769056976055663E-2</v>
      </c>
      <c r="BJ44" s="43"/>
      <c r="BK44" s="242">
        <f>BK27/BK$8</f>
        <v>4.8152755368894726E-2</v>
      </c>
      <c r="BL44" s="243">
        <f>BL27/BL$8</f>
        <v>4.5514597683642098E-2</v>
      </c>
      <c r="BM44" s="243">
        <f>BM27/BM$8</f>
        <v>4.366573101686988E-2</v>
      </c>
      <c r="BN44" s="243">
        <f>BN27/BN$8</f>
        <v>4.5825957021796558E-2</v>
      </c>
      <c r="BO44" s="409">
        <f>BO27/BO$8</f>
        <v>4.5747304326599077E-2</v>
      </c>
      <c r="BP44" s="43"/>
      <c r="BQ44" s="242">
        <f>BQ27/BQ$8</f>
        <v>4.5864479372779154E-2</v>
      </c>
      <c r="BR44" s="243">
        <f>BR27/BR$8</f>
        <v>4.6104434189999668E-2</v>
      </c>
      <c r="BS44" s="243">
        <f>BS27/BS$8</f>
        <v>4.5462376408928959E-2</v>
      </c>
      <c r="BT44" s="243">
        <f>BT27/BT$8</f>
        <v>4.8707675481337649E-2</v>
      </c>
      <c r="BU44" s="409">
        <f>BU27/BU$8</f>
        <v>4.6571075779464892E-2</v>
      </c>
      <c r="BV44" s="43"/>
      <c r="BW44" s="242">
        <f>BW27/BW$8</f>
        <v>4.2810922913240401E-2</v>
      </c>
      <c r="BX44" s="243">
        <f>BX27/BX$8</f>
        <v>4.4440410327059567E-2</v>
      </c>
      <c r="BY44" s="243">
        <f>BY27/BY$8</f>
        <v>4.3769654515352502E-2</v>
      </c>
      <c r="BZ44" s="243">
        <f>BZ27/BZ$8</f>
        <v>4.7042510245166112E-2</v>
      </c>
      <c r="CA44" s="409">
        <f>CA27/CA$8</f>
        <v>4.4571126245450718E-2</v>
      </c>
      <c r="CB44" s="43"/>
      <c r="CC44" s="242">
        <f>CC27/CC$8</f>
        <v>4.2394263339546372E-2</v>
      </c>
      <c r="CD44" s="243">
        <f>CD27/CD$8</f>
        <v>4.4157426458688469E-2</v>
      </c>
      <c r="CE44" s="243">
        <f>CE27/CE$8</f>
        <v>4.3222141764007377E-2</v>
      </c>
      <c r="CF44" s="243">
        <f>CF27/CF$8</f>
        <v>4.6250811970935411E-2</v>
      </c>
      <c r="CG44" s="409">
        <f>CG27/CG$8</f>
        <v>4.4055744449887517E-2</v>
      </c>
      <c r="CH44" s="117"/>
      <c r="CI44" s="117"/>
      <c r="CJ44" s="117"/>
      <c r="CK44" s="117"/>
      <c r="CL44" s="117"/>
      <c r="CM44" s="11"/>
      <c r="CN44" s="11"/>
      <c r="CO44"/>
      <c r="CP44"/>
      <c r="CQ44"/>
      <c r="CR44"/>
      <c r="CS44"/>
      <c r="CT44"/>
    </row>
    <row r="45" spans="2:99" s="7" customFormat="1" ht="11.25" customHeight="1" x14ac:dyDescent="0.2">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7"/>
      <c r="CI45" s="117"/>
      <c r="CJ45" s="117"/>
      <c r="CK45" s="117"/>
      <c r="CL45" s="117"/>
      <c r="CM45" s="11"/>
      <c r="CN45" s="11"/>
      <c r="CO45"/>
      <c r="CP45"/>
      <c r="CQ45"/>
      <c r="CR45"/>
      <c r="CS45"/>
      <c r="CT45"/>
    </row>
    <row r="46" spans="2:99" s="7" customFormat="1" ht="11.25" customHeight="1" x14ac:dyDescent="0.2">
      <c r="B46" s="815" t="s">
        <v>146</v>
      </c>
      <c r="C46" s="823"/>
      <c r="D46" s="823"/>
      <c r="E46" s="823"/>
      <c r="F46" s="823"/>
      <c r="G46" s="823"/>
      <c r="H46" s="823"/>
      <c r="I46" s="823"/>
      <c r="J46" s="823"/>
      <c r="K46" s="823"/>
      <c r="L46" s="823"/>
      <c r="M46" s="823"/>
      <c r="N46" s="823"/>
      <c r="O46" s="823"/>
      <c r="P46" s="823"/>
      <c r="Q46" s="823"/>
      <c r="R46" s="823"/>
      <c r="S46" s="823"/>
      <c r="T46" s="823"/>
      <c r="U46" s="823"/>
      <c r="V46" s="823"/>
      <c r="W46" s="823"/>
      <c r="X46" s="823"/>
      <c r="Y46" s="823"/>
      <c r="Z46" s="823"/>
      <c r="AA46" s="823"/>
      <c r="AB46" s="823"/>
      <c r="AC46" s="823"/>
      <c r="AD46" s="823"/>
      <c r="AE46" s="823"/>
      <c r="AF46" s="823"/>
      <c r="AG46" s="823"/>
      <c r="AH46" s="823"/>
      <c r="AI46" s="823"/>
      <c r="AJ46" s="823"/>
      <c r="AK46" s="823"/>
      <c r="AL46" s="823"/>
      <c r="AM46" s="823"/>
      <c r="AN46" s="823"/>
      <c r="AO46" s="823"/>
      <c r="AP46" s="823"/>
      <c r="AQ46" s="823"/>
      <c r="AR46" s="823"/>
      <c r="AS46" s="823"/>
      <c r="AT46" s="823"/>
      <c r="AU46" s="823"/>
      <c r="AV46" s="823"/>
      <c r="AW46" s="823"/>
      <c r="AX46" s="823"/>
      <c r="AY46" s="823"/>
      <c r="AZ46" s="823"/>
      <c r="BA46" s="823"/>
      <c r="BB46" s="823"/>
      <c r="BC46" s="823"/>
      <c r="BD46" s="823"/>
      <c r="BE46" s="823"/>
      <c r="BF46" s="823"/>
      <c r="BG46" s="823"/>
      <c r="BH46" s="823"/>
      <c r="BI46" s="823"/>
      <c r="BJ46" s="823"/>
      <c r="BK46" s="823"/>
      <c r="BL46" s="823"/>
      <c r="BM46" s="823"/>
      <c r="BN46" s="823"/>
      <c r="BO46" s="823"/>
      <c r="BP46" s="823"/>
      <c r="BQ46" s="823"/>
      <c r="BR46" s="823"/>
      <c r="BS46" s="823"/>
      <c r="BT46" s="823"/>
      <c r="BU46" s="823"/>
      <c r="BV46" s="823"/>
      <c r="BW46" s="823"/>
      <c r="BX46" s="823"/>
      <c r="BY46" s="823"/>
      <c r="BZ46" s="823"/>
      <c r="CA46" s="823"/>
      <c r="CB46" s="823"/>
      <c r="CC46" s="823"/>
      <c r="CD46" s="823"/>
      <c r="CE46" s="823"/>
      <c r="CF46" s="823"/>
      <c r="CG46" s="823"/>
      <c r="CH46" s="117"/>
      <c r="CI46" s="117"/>
      <c r="CJ46" s="117"/>
      <c r="CK46" s="117"/>
      <c r="CL46" s="117"/>
      <c r="CM46" s="11"/>
      <c r="CN46" s="11"/>
      <c r="CO46"/>
      <c r="CP46"/>
      <c r="CQ46"/>
      <c r="CR46"/>
      <c r="CS46"/>
      <c r="CT46"/>
    </row>
    <row r="47" spans="2:99" s="7" customFormat="1" ht="11.25" customHeight="1" x14ac:dyDescent="0.2">
      <c r="B47" s="428" t="s">
        <v>127</v>
      </c>
      <c r="C47" s="240">
        <f>+RevBuild!C175</f>
        <v>0.14799999999999999</v>
      </c>
      <c r="D47" s="241">
        <f>+RevBuild!D175</f>
        <v>0.16300000000000001</v>
      </c>
      <c r="E47" s="241">
        <f>+RevBuild!E175</f>
        <v>0.20799999999999999</v>
      </c>
      <c r="F47" s="241">
        <f>+RevBuild!F175</f>
        <v>0.16400000000000001</v>
      </c>
      <c r="G47" s="408">
        <f>+RevBuild!G175</f>
        <v>0.17299999999999999</v>
      </c>
      <c r="H47" s="43"/>
      <c r="I47" s="240">
        <f>I8/C8-1</f>
        <v>0.16154833726170281</v>
      </c>
      <c r="J47" s="241">
        <f>J8/D8-1</f>
        <v>0.18300712968910982</v>
      </c>
      <c r="K47" s="241">
        <f>K8/E8-1</f>
        <v>9.2080434385533705E-2</v>
      </c>
      <c r="L47" s="241">
        <f>L8/F8-1</f>
        <v>-7.528959344089714E-2</v>
      </c>
      <c r="M47" s="408">
        <f>M8/G8-1</f>
        <v>8.0617117764059776E-2</v>
      </c>
      <c r="N47" s="43"/>
      <c r="O47" s="240">
        <f>O8/I8-1</f>
        <v>-2.3912176356982728E-2</v>
      </c>
      <c r="P47" s="241">
        <f>P8/J8-1</f>
        <v>-2.0365651725842371E-2</v>
      </c>
      <c r="Q47" s="241">
        <f>Q8/K8-1</f>
        <v>9.2591635248315818E-3</v>
      </c>
      <c r="R47" s="241">
        <f>R8/L8-1</f>
        <v>0.13504590817348583</v>
      </c>
      <c r="S47" s="408">
        <f>S8/M8-1</f>
        <v>2.4751219082526532E-2</v>
      </c>
      <c r="T47" s="43"/>
      <c r="U47" s="240">
        <f>U8/O8-1</f>
        <v>0.1850843012061496</v>
      </c>
      <c r="V47" s="241">
        <f>V8/P8-1</f>
        <v>0.15052997510317701</v>
      </c>
      <c r="W47" s="241">
        <f>W8/Q8-1</f>
        <v>0.14105902437760376</v>
      </c>
      <c r="X47" s="241">
        <f>X8/R8-1</f>
        <v>0.13296541422253538</v>
      </c>
      <c r="Y47" s="408">
        <f>Y8/S8-1</f>
        <v>0.15117822026888783</v>
      </c>
      <c r="Z47" s="43"/>
      <c r="AA47" s="240">
        <f>AA8/U8-1</f>
        <v>0.10648749368009036</v>
      </c>
      <c r="AB47" s="241">
        <f>AB8/V8-1</f>
        <v>0.15207031898436285</v>
      </c>
      <c r="AC47" s="241">
        <f>AC8/W8-1</f>
        <v>0.1152261592354098</v>
      </c>
      <c r="AD47" s="241">
        <f>AD8/X8-1</f>
        <v>0.15644643520751456</v>
      </c>
      <c r="AE47" s="408">
        <f>AE8/Y8-1</f>
        <v>0.13331739028191314</v>
      </c>
      <c r="AF47" s="43"/>
      <c r="AG47" s="240">
        <f>AG8/AA8-1</f>
        <v>7.7657371720657675E-2</v>
      </c>
      <c r="AH47" s="241">
        <f>AH8/AB8-1</f>
        <v>3.3235084293921302E-2</v>
      </c>
      <c r="AI47" s="241">
        <f>AI8/AC8-1</f>
        <v>5.6525735511743225E-2</v>
      </c>
      <c r="AJ47" s="241">
        <f>AJ8/AD8-1</f>
        <v>2.9181914989992563E-2</v>
      </c>
      <c r="AK47" s="408">
        <f>AK8/AE8-1</f>
        <v>4.8032048797677751E-2</v>
      </c>
      <c r="AL47" s="43"/>
      <c r="AM47" s="240">
        <f>AM8/AG8-1</f>
        <v>9.2658522862346659E-2</v>
      </c>
      <c r="AN47" s="241">
        <f>AN8/AH8-1</f>
        <v>8.6469293902387889E-2</v>
      </c>
      <c r="AO47" s="241">
        <f>AO8/AI8-1</f>
        <v>5.2843987023197148E-2</v>
      </c>
      <c r="AP47" s="241">
        <f>AP8/AJ8-1</f>
        <v>4.8966176418076657E-2</v>
      </c>
      <c r="AQ47" s="408">
        <f>AQ8/AK8-1</f>
        <v>6.9427549341065875E-2</v>
      </c>
      <c r="AR47" s="43"/>
      <c r="AS47" s="240">
        <f>AS8/AM8-1</f>
        <v>5.9580267982146218E-2</v>
      </c>
      <c r="AT47" s="241">
        <f>AT8/AN8-1</f>
        <v>9.3484014198452314E-2</v>
      </c>
      <c r="AU47" s="241">
        <f>AU8/AO8-1</f>
        <v>0.1169766483493091</v>
      </c>
      <c r="AV47" s="241">
        <f>AV8/AP8-1</f>
        <v>6.9556715762140398E-2</v>
      </c>
      <c r="AW47" s="408">
        <f>AW8/AQ8-1</f>
        <v>8.4800014057625939E-2</v>
      </c>
      <c r="AX47" s="43"/>
      <c r="AY47" s="240">
        <f>AY8/AS8-1</f>
        <v>1.3779756797806186E-2</v>
      </c>
      <c r="AZ47" s="241">
        <f>AZ8/AT8-1</f>
        <v>5.3200153245807069E-3</v>
      </c>
      <c r="BA47" s="241">
        <f>BA8/AU8-1</f>
        <v>2.3670889790828431E-2</v>
      </c>
      <c r="BB47" s="241">
        <f>BB8/AV8-1</f>
        <v>5.5076503573521896E-2</v>
      </c>
      <c r="BC47" s="408">
        <f>BC8/AW8-1</f>
        <v>2.4907847453427223E-2</v>
      </c>
      <c r="BD47" s="43"/>
      <c r="BE47" s="240">
        <f>BE8/AY8-1</f>
        <v>0.10119554513919615</v>
      </c>
      <c r="BF47" s="241">
        <f>BF8/AZ8-1</f>
        <v>9.2537233961632603E-2</v>
      </c>
      <c r="BG47" s="241">
        <f>BG8/BA8-1</f>
        <v>6.6762477963091538E-2</v>
      </c>
      <c r="BH47" s="241">
        <f>BH8/BB8-1</f>
        <v>9.4711948923119404E-2</v>
      </c>
      <c r="BI47" s="408">
        <f>BI8/BC8-1</f>
        <v>8.8614666107354578E-2</v>
      </c>
      <c r="BJ47" s="43"/>
      <c r="BK47" s="240">
        <f>BK8/BE8-1</f>
        <v>7.7403393199152459E-2</v>
      </c>
      <c r="BL47" s="241">
        <f>BL8/BF8-1</f>
        <v>6.5037265502344566E-2</v>
      </c>
      <c r="BM47" s="241">
        <f>BM8/BG8-1</f>
        <v>0.10328785807923357</v>
      </c>
      <c r="BN47" s="241">
        <f>BN8/BH8-1</f>
        <v>6.3160579493190205E-2</v>
      </c>
      <c r="BO47" s="408">
        <f>BO8/BI8-1</f>
        <v>7.6901186587793324E-2</v>
      </c>
      <c r="BP47" s="43"/>
      <c r="BQ47" s="240">
        <f>BQ8/BK8-1</f>
        <v>5.1048945790346023E-2</v>
      </c>
      <c r="BR47" s="241">
        <f>BR8/BL8-1</f>
        <v>6.8757976085960459E-2</v>
      </c>
      <c r="BS47" s="241">
        <f>BS8/BM8-1</f>
        <v>5.6669869155602459E-2</v>
      </c>
      <c r="BT47" s="241">
        <f>BT8/BN8-1</f>
        <v>4.380656252128512E-2</v>
      </c>
      <c r="BU47" s="408">
        <f>BU8/BO8-1</f>
        <v>5.4894185575574239E-2</v>
      </c>
      <c r="BV47" s="43"/>
      <c r="BW47" s="240">
        <f>BW8/BQ8-1</f>
        <v>5.1198376482831431E-2</v>
      </c>
      <c r="BX47" s="241">
        <f>BX8/BR8-1</f>
        <v>4.3189642091445268E-2</v>
      </c>
      <c r="BY47" s="241">
        <f>BY8/BS8-1</f>
        <v>4.3287644178028106E-2</v>
      </c>
      <c r="BZ47" s="241">
        <f>BZ8/BT8-1</f>
        <v>4.2519121852787167E-2</v>
      </c>
      <c r="CA47" s="408">
        <f>CA8/BU8-1</f>
        <v>4.4909546342278617E-2</v>
      </c>
      <c r="CB47" s="43"/>
      <c r="CC47" s="240">
        <f>CC8/BW8-1</f>
        <v>3.9550999455347124E-2</v>
      </c>
      <c r="CD47" s="241">
        <f>CD8/BX8-1</f>
        <v>3.9846946950818696E-2</v>
      </c>
      <c r="CE47" s="241">
        <f>CE8/BY8-1</f>
        <v>3.980087004900823E-2</v>
      </c>
      <c r="CF47" s="241">
        <f>CF8/BZ8-1</f>
        <v>3.9382976591192609E-2</v>
      </c>
      <c r="CG47" s="408">
        <f>CG8/CA8-1</f>
        <v>3.9643717075670271E-2</v>
      </c>
      <c r="CH47" s="117"/>
      <c r="CI47" s="117"/>
      <c r="CJ47" s="117"/>
      <c r="CK47" s="117"/>
      <c r="CL47" s="117"/>
      <c r="CM47" s="11"/>
      <c r="CN47" s="11"/>
      <c r="CO47"/>
      <c r="CP47"/>
      <c r="CQ47"/>
      <c r="CR47"/>
      <c r="CS47"/>
      <c r="CT47"/>
    </row>
    <row r="48" spans="2:99" s="7" customFormat="1" ht="11.25" customHeight="1" outlineLevel="1" x14ac:dyDescent="0.2">
      <c r="B48" s="1009" t="s">
        <v>1</v>
      </c>
      <c r="C48" s="1010">
        <f>+RevBuild!C176</f>
        <v>0.124</v>
      </c>
      <c r="D48" s="1011">
        <f>+RevBuild!D176</f>
        <v>0.13900000000000001</v>
      </c>
      <c r="E48" s="1011">
        <f>+RevBuild!E176</f>
        <v>0.183</v>
      </c>
      <c r="F48" s="1011">
        <f>+RevBuild!F176</f>
        <v>0.123</v>
      </c>
      <c r="G48" s="1012">
        <f>+RevBuild!G176</f>
        <v>0.14299999999999999</v>
      </c>
      <c r="H48" s="1011"/>
      <c r="I48" s="1010">
        <f>+RevBuild!I176</f>
        <v>0.12</v>
      </c>
      <c r="J48" s="1011">
        <f>+RevBuild!J176</f>
        <v>0.13600000000000001</v>
      </c>
      <c r="K48" s="1011">
        <f>+RevBuild!K176</f>
        <v>0.08</v>
      </c>
      <c r="L48" s="1011">
        <f>+RevBuild!L176</f>
        <v>-1.7999999999999999E-2</v>
      </c>
      <c r="M48" s="1012">
        <f>+RevBuild!M176</f>
        <v>7.3786322643932936E-2</v>
      </c>
      <c r="N48" s="1011"/>
      <c r="O48" s="1010">
        <f>+RevBuild!O176</f>
        <v>5.5E-2</v>
      </c>
      <c r="P48" s="1011">
        <f>+RevBuild!P176</f>
        <v>5.2999999999999999E-2</v>
      </c>
      <c r="Q48" s="1011">
        <f>+RevBuild!Q176</f>
        <v>0.04</v>
      </c>
      <c r="R48" s="1011">
        <f>+RevBuild!R176</f>
        <v>0.08</v>
      </c>
      <c r="S48" s="1012">
        <f>+RevBuild!S176</f>
        <v>5.6785866056006093E-2</v>
      </c>
      <c r="T48" s="1011"/>
      <c r="U48" s="1010">
        <f>+RevBuild!U176</f>
        <v>0.14599999999999999</v>
      </c>
      <c r="V48" s="1011">
        <f>+RevBuild!V176</f>
        <v>0.156</v>
      </c>
      <c r="W48" s="1011">
        <f>+RevBuild!W176</f>
        <v>0.16400000000000001</v>
      </c>
      <c r="X48" s="1011">
        <f>+RevBuild!X176</f>
        <v>0.15</v>
      </c>
      <c r="Y48" s="1012">
        <f>+RevBuild!Y176</f>
        <v>0.15411956711921809</v>
      </c>
      <c r="Z48" s="1011"/>
      <c r="AA48" s="1010">
        <f>+RevBuild!AA176</f>
        <v>9.9000000000000005E-2</v>
      </c>
      <c r="AB48" s="1011">
        <f>+RevBuild!AB176</f>
        <v>0.10100000000000001</v>
      </c>
      <c r="AC48" s="1011">
        <f>+RevBuild!AC176</f>
        <v>7.3999999999999996E-2</v>
      </c>
      <c r="AD48" s="1011">
        <f>+RevBuild!AD176</f>
        <v>0.157</v>
      </c>
      <c r="AE48" s="1012">
        <f>+RevBuild!AE176</f>
        <v>0.10879540693974457</v>
      </c>
      <c r="AF48" s="1011"/>
      <c r="AG48" s="1010">
        <f>+RevBuild!AG176</f>
        <v>8.4000000000000005E-2</v>
      </c>
      <c r="AH48" s="1011">
        <f>+RevBuild!AH176</f>
        <v>6.5000000000000002E-2</v>
      </c>
      <c r="AI48" s="1011">
        <f>+RevBuild!AI176</f>
        <v>8.8999999999999996E-2</v>
      </c>
      <c r="AJ48" s="1011">
        <f>+RevBuild!AJ176</f>
        <v>3.5000000000000003E-2</v>
      </c>
      <c r="AK48" s="1012">
        <f>+RevBuild!AK176</f>
        <v>6.7049607854032758E-2</v>
      </c>
      <c r="AL48" s="1011"/>
      <c r="AM48" s="1010">
        <f>+RevBuild!AM176</f>
        <v>9.1999999999999998E-2</v>
      </c>
      <c r="AN48" s="1011">
        <f>+RevBuild!AN176</f>
        <v>8.6999999999999994E-2</v>
      </c>
      <c r="AO48" s="1011">
        <f>+RevBuild!AO176</f>
        <v>5.1999999999999998E-2</v>
      </c>
      <c r="AP48" s="1011">
        <f>+RevBuild!AP176</f>
        <v>4.3999999999999997E-2</v>
      </c>
      <c r="AQ48" s="1012">
        <f>+RevBuild!AQ176</f>
        <v>6.78551005837046E-2</v>
      </c>
      <c r="AR48" s="1011"/>
      <c r="AS48" s="1010">
        <f>+RevBuild!AS176</f>
        <v>5.6000000000000001E-2</v>
      </c>
      <c r="AT48" s="1011">
        <f>+RevBuild!AT176</f>
        <v>7.9000000000000001E-2</v>
      </c>
      <c r="AU48" s="1011">
        <f>+RevBuild!AU176</f>
        <v>0.109</v>
      </c>
      <c r="AV48" s="1011">
        <f>+RevBuild!AV176</f>
        <v>9.9000000000000005E-2</v>
      </c>
      <c r="AW48" s="1012">
        <f>+RevBuild!AW176</f>
        <v>8.6138149436957551E-2</v>
      </c>
      <c r="AX48" s="1011"/>
      <c r="AY48" s="1010">
        <f>+RevBuild!AY176</f>
        <v>7.3999999999999996E-2</v>
      </c>
      <c r="AZ48" s="1011">
        <f>+RevBuild!AZ176</f>
        <v>7.4999999999999997E-2</v>
      </c>
      <c r="BA48" s="1011">
        <f>+RevBuild!BA176</f>
        <v>8.3000000000000004E-2</v>
      </c>
      <c r="BB48" s="1011">
        <f>+RevBuild!BB176</f>
        <v>0.10299999999999999</v>
      </c>
      <c r="BC48" s="1012">
        <f>+RevBuild!BC176</f>
        <v>8.4084448757591787E-2</v>
      </c>
      <c r="BD48" s="1011"/>
      <c r="BE48" s="1010">
        <f>+RevBuild!BE176</f>
        <v>0.12</v>
      </c>
      <c r="BF48" s="1011">
        <f>+RevBuild!BF176</f>
        <v>9.7000000000000003E-2</v>
      </c>
      <c r="BG48" s="1011">
        <f>+RevBuild!BG176</f>
        <v>7.6999999999999999E-2</v>
      </c>
      <c r="BH48" s="1011">
        <f>+RevBuild!BH176</f>
        <v>0.11</v>
      </c>
      <c r="BI48" s="1012">
        <f>+RevBuild!BI176</f>
        <v>0.10076388990151101</v>
      </c>
      <c r="BJ48" s="1011"/>
      <c r="BK48" s="1010">
        <f>+RevBuild!BK176</f>
        <v>8.6999999999999994E-2</v>
      </c>
      <c r="BL48" s="1011">
        <f>+RevBuild!BL176</f>
        <v>7.6999999999999999E-2</v>
      </c>
      <c r="BM48" s="1011">
        <f>+RevBuild!BM176</f>
        <v>8.7999999999999995E-2</v>
      </c>
      <c r="BN48" s="1011">
        <f>+RevBuild!BN176</f>
        <v>3.8763007804714755E-2</v>
      </c>
      <c r="BO48" s="1012">
        <f>+RevBuild!BO176</f>
        <v>7.1755362825926886E-2</v>
      </c>
      <c r="BP48" s="1011"/>
      <c r="BQ48" s="1010">
        <f>+RevBuild!BQ176</f>
        <v>5.6082004880004588E-2</v>
      </c>
      <c r="BR48" s="1011">
        <f>+RevBuild!BR176</f>
        <v>7.3806713476700869E-2</v>
      </c>
      <c r="BS48" s="1011">
        <f>+RevBuild!BS176</f>
        <v>6.6573338947442995E-2</v>
      </c>
      <c r="BT48" s="1011">
        <f>+RevBuild!BT176</f>
        <v>5.398318432208371E-2</v>
      </c>
      <c r="BU48" s="1012">
        <f>+RevBuild!BU176</f>
        <v>6.2536072182803742E-2</v>
      </c>
      <c r="BV48" s="1011"/>
      <c r="BW48" s="1010">
        <f>+RevBuild!BW176</f>
        <v>5.1198376482831431E-2</v>
      </c>
      <c r="BX48" s="1011">
        <f>+RevBuild!BX176</f>
        <v>4.3189642091445046E-2</v>
      </c>
      <c r="BY48" s="1011">
        <f>+RevBuild!BY176</f>
        <v>4.3287644178028106E-2</v>
      </c>
      <c r="BZ48" s="1011">
        <f>+RevBuild!BZ176</f>
        <v>4.2519121852787167E-2</v>
      </c>
      <c r="CA48" s="1012">
        <f>+RevBuild!CA176</f>
        <v>4.4909546342278561E-2</v>
      </c>
      <c r="CB48" s="1011"/>
      <c r="CC48" s="1010">
        <f>+RevBuild!CC176</f>
        <v>3.9550999455346902E-2</v>
      </c>
      <c r="CD48" s="1011">
        <f>+RevBuild!CD176</f>
        <v>3.9846946950818918E-2</v>
      </c>
      <c r="CE48" s="1011">
        <f>+RevBuild!CE176</f>
        <v>3.9800870049008008E-2</v>
      </c>
      <c r="CF48" s="1011">
        <f>+RevBuild!CF176</f>
        <v>3.9382976591192609E-2</v>
      </c>
      <c r="CG48" s="1012">
        <f>+RevBuild!CG176</f>
        <v>3.964371707567016E-2</v>
      </c>
      <c r="CH48" s="117"/>
      <c r="CI48" s="117"/>
      <c r="CJ48" s="117"/>
      <c r="CK48" s="117"/>
      <c r="CL48" s="117"/>
      <c r="CM48" s="11"/>
      <c r="CN48" s="11"/>
      <c r="CO48"/>
      <c r="CP48"/>
      <c r="CQ48"/>
      <c r="CR48"/>
      <c r="CS48"/>
      <c r="CT48"/>
    </row>
    <row r="49" spans="1:98" s="7" customFormat="1" ht="11.25" customHeight="1" outlineLevel="1" x14ac:dyDescent="0.2">
      <c r="B49" s="1009" t="s">
        <v>230</v>
      </c>
      <c r="C49" s="1010">
        <f>+RevBuild!C179</f>
        <v>4.1999999999999996E-2</v>
      </c>
      <c r="D49" s="1011">
        <f>+RevBuild!D179</f>
        <v>8.3000000000000018E-2</v>
      </c>
      <c r="E49" s="1011">
        <f>+RevBuild!E179</f>
        <v>0.13</v>
      </c>
      <c r="F49" s="1011">
        <f>+RevBuild!F179</f>
        <v>3.7999999999999992E-2</v>
      </c>
      <c r="G49" s="1012">
        <f>+RevBuild!G179</f>
        <v>7.2999999999999982E-2</v>
      </c>
      <c r="H49" s="1011"/>
      <c r="I49" s="1010">
        <f>+RevBuild!I179</f>
        <v>0.03</v>
      </c>
      <c r="J49" s="1011">
        <f>+RevBuild!J179</f>
        <v>4.0000000000000008E-2</v>
      </c>
      <c r="K49" s="1011">
        <f>+RevBuild!K179</f>
        <v>2.1999999999999999E-2</v>
      </c>
      <c r="L49" s="1011">
        <f>+RevBuild!L179</f>
        <v>-0.03</v>
      </c>
      <c r="M49" s="1012">
        <f>+RevBuild!M179</f>
        <v>1.3016747126218748E-2</v>
      </c>
      <c r="N49" s="1011"/>
      <c r="O49" s="1010">
        <f>+RevBuild!O179</f>
        <v>4.9999999999999975E-3</v>
      </c>
      <c r="P49" s="1011">
        <f>+RevBuild!P179</f>
        <v>6.9999999999999993E-3</v>
      </c>
      <c r="Q49" s="1011">
        <f>+RevBuild!Q179</f>
        <v>-5.9999999999999984E-3</v>
      </c>
      <c r="R49" s="1011">
        <f>+RevBuild!R179</f>
        <v>0.03</v>
      </c>
      <c r="S49" s="1012">
        <f>+RevBuild!S179</f>
        <v>8.8453314855950552E-3</v>
      </c>
      <c r="T49" s="1011"/>
      <c r="U49" s="1010">
        <f>+RevBuild!U179</f>
        <v>3.1999999999999987E-2</v>
      </c>
      <c r="V49" s="1011">
        <f>+RevBuild!V179</f>
        <v>2.0999999999999991E-2</v>
      </c>
      <c r="W49" s="1011">
        <f>+RevBuild!W179</f>
        <v>3.7000000000000005E-2</v>
      </c>
      <c r="X49" s="1011">
        <f>+RevBuild!X179</f>
        <v>3.2999999999999988E-2</v>
      </c>
      <c r="Y49" s="1012">
        <f>+RevBuild!Y179</f>
        <v>3.0837849874952885E-2</v>
      </c>
      <c r="Z49" s="1011"/>
      <c r="AA49" s="1010">
        <f>+RevBuild!AA179</f>
        <v>3.8000000000000006E-2</v>
      </c>
      <c r="AB49" s="1011">
        <f>+RevBuild!AB179</f>
        <v>5.6000000000000008E-2</v>
      </c>
      <c r="AC49" s="1011">
        <f>+RevBuild!AC179</f>
        <v>3.2999999999999995E-2</v>
      </c>
      <c r="AD49" s="1011">
        <f>+RevBuild!AD179</f>
        <v>5.2999999999999992E-2</v>
      </c>
      <c r="AE49" s="1012">
        <f>+RevBuild!AE179</f>
        <v>4.5197647735621696E-2</v>
      </c>
      <c r="AF49" s="1011"/>
      <c r="AG49" s="1010">
        <f>+RevBuild!AG179</f>
        <v>7.8E-2</v>
      </c>
      <c r="AH49" s="1011">
        <f>+RevBuild!AH179</f>
        <v>4.5999999999999999E-2</v>
      </c>
      <c r="AI49" s="1011">
        <f>+RevBuild!AI179</f>
        <v>4.3999999999999997E-2</v>
      </c>
      <c r="AJ49" s="1011">
        <f>+RevBuild!AJ179</f>
        <v>0.06</v>
      </c>
      <c r="AK49" s="1012">
        <f>+RevBuild!AK179</f>
        <v>5.6652339992230002E-2</v>
      </c>
      <c r="AL49" s="1011"/>
      <c r="AM49" s="1010">
        <f>+RevBuild!AM179</f>
        <v>3.3000000000000002E-2</v>
      </c>
      <c r="AN49" s="1011">
        <f>+RevBuild!AN179</f>
        <v>3.9999999999999994E-2</v>
      </c>
      <c r="AO49" s="1011">
        <f>+RevBuild!AO179</f>
        <v>3.4000000000000002E-2</v>
      </c>
      <c r="AP49" s="1011">
        <f>+RevBuild!AP179</f>
        <v>3.6999999999999998E-2</v>
      </c>
      <c r="AQ49" s="1012">
        <f>+RevBuild!AQ179</f>
        <v>3.6050903208031976E-2</v>
      </c>
      <c r="AR49" s="1011"/>
      <c r="AS49" s="1010">
        <f>+RevBuild!AS179</f>
        <v>2.9000000000000001E-2</v>
      </c>
      <c r="AT49" s="1011">
        <f>+RevBuild!AT179</f>
        <v>4.3000000000000003E-2</v>
      </c>
      <c r="AU49" s="1011">
        <f>+RevBuild!AU179</f>
        <v>6.4000000000000001E-2</v>
      </c>
      <c r="AV49" s="1011">
        <f>+RevBuild!AV179</f>
        <v>4.9000000000000002E-2</v>
      </c>
      <c r="AW49" s="1012">
        <f>+RevBuild!AW179</f>
        <v>4.6386501143698744E-2</v>
      </c>
      <c r="AX49" s="1011"/>
      <c r="AY49" s="1010">
        <f>+RevBuild!AY179</f>
        <v>4.8000000000000001E-2</v>
      </c>
      <c r="AZ49" s="1011">
        <f>+RevBuild!AZ179</f>
        <v>3.9E-2</v>
      </c>
      <c r="BA49" s="1011">
        <f>+RevBuild!BA179</f>
        <v>4.8000000000000001E-2</v>
      </c>
      <c r="BB49" s="1011">
        <f>+RevBuild!BB179</f>
        <v>6.5000000000000002E-2</v>
      </c>
      <c r="BC49" s="1012">
        <f>+RevBuild!BC179</f>
        <v>5.0159496268099062E-2</v>
      </c>
      <c r="BD49" s="1011"/>
      <c r="BE49" s="1010">
        <f>+RevBuild!BE179</f>
        <v>9.2999999999999999E-2</v>
      </c>
      <c r="BF49" s="1011">
        <f>+RevBuild!BF179</f>
        <v>7.5999999999999998E-2</v>
      </c>
      <c r="BG49" s="1011">
        <f>+RevBuild!BG179</f>
        <v>0.06</v>
      </c>
      <c r="BH49" s="1011">
        <f>+RevBuild!BH179</f>
        <v>4.1999999999999996E-2</v>
      </c>
      <c r="BI49" s="1012">
        <f>+RevBuild!BI179</f>
        <v>6.6778440145031107E-2</v>
      </c>
      <c r="BJ49" s="1011"/>
      <c r="BK49" s="1010">
        <f>+RevBuild!BK179</f>
        <v>5.9086631877826951E-2</v>
      </c>
      <c r="BL49" s="1011">
        <f>+RevBuild!BL179</f>
        <v>4.7237835711525775E-2</v>
      </c>
      <c r="BM49" s="1011">
        <f>+RevBuild!BM179</f>
        <v>5.3999999999999999E-2</v>
      </c>
      <c r="BN49" s="1011">
        <f>+RevBuild!BN179</f>
        <v>5.1108063163142758E-2</v>
      </c>
      <c r="BO49" s="1012">
        <f>+RevBuild!BO179</f>
        <v>5.2733886979481143E-2</v>
      </c>
      <c r="BP49" s="1011"/>
      <c r="BQ49" s="1010">
        <f>+RevBuild!BQ179</f>
        <v>3.9206612296900145E-2</v>
      </c>
      <c r="BR49" s="1011">
        <f>+RevBuild!BR179</f>
        <v>5.6074814558657149E-2</v>
      </c>
      <c r="BS49" s="1011">
        <f>+RevBuild!BS179</f>
        <v>4.9411499160256112E-2</v>
      </c>
      <c r="BT49" s="1011">
        <f>+RevBuild!BT179</f>
        <v>4.6674771721355812E-2</v>
      </c>
      <c r="BU49" s="1012">
        <f>+RevBuild!BU179</f>
        <v>4.7925095792404553E-2</v>
      </c>
      <c r="BV49" s="1011"/>
      <c r="BW49" s="1010">
        <f>+RevBuild!BW179</f>
        <v>4.3095288394244369E-2</v>
      </c>
      <c r="BX49" s="1011">
        <f>+RevBuild!BX179</f>
        <v>4.3189642091445046E-2</v>
      </c>
      <c r="BY49" s="1011">
        <f>+RevBuild!BY179</f>
        <v>4.3287644178028106E-2</v>
      </c>
      <c r="BZ49" s="1011">
        <f>+RevBuild!BZ179</f>
        <v>4.2519121852787167E-2</v>
      </c>
      <c r="CA49" s="1012">
        <f>+RevBuild!CA179</f>
        <v>4.3015834603324705E-2</v>
      </c>
      <c r="CB49" s="1011"/>
      <c r="CC49" s="1010">
        <f>+RevBuild!CC179</f>
        <v>3.9550999455346902E-2</v>
      </c>
      <c r="CD49" s="1011">
        <f>+RevBuild!CD179</f>
        <v>3.9846946950818918E-2</v>
      </c>
      <c r="CE49" s="1011">
        <f>+RevBuild!CE179</f>
        <v>3.9800870049008008E-2</v>
      </c>
      <c r="CF49" s="1011">
        <f>+RevBuild!CF179</f>
        <v>3.9382976591192609E-2</v>
      </c>
      <c r="CG49" s="1012">
        <f>+RevBuild!CG179</f>
        <v>3.964371707567016E-2</v>
      </c>
      <c r="CH49" s="117"/>
      <c r="CI49" s="117"/>
      <c r="CJ49" s="117"/>
      <c r="CK49" s="117"/>
      <c r="CL49" s="117"/>
      <c r="CM49" s="11"/>
      <c r="CN49" s="11"/>
      <c r="CO49"/>
      <c r="CP49"/>
      <c r="CQ49"/>
      <c r="CR49"/>
      <c r="CS49"/>
      <c r="CT49"/>
    </row>
    <row r="50" spans="1:98" s="7" customFormat="1" ht="11.25" customHeight="1" outlineLevel="1" x14ac:dyDescent="0.2">
      <c r="B50" s="1009" t="s">
        <v>219</v>
      </c>
      <c r="C50" s="1010">
        <f>+RevBuild!C177</f>
        <v>2.3999999999999994E-2</v>
      </c>
      <c r="D50" s="1011">
        <f>+RevBuild!D177</f>
        <v>2.3999999999999994E-2</v>
      </c>
      <c r="E50" s="1011">
        <f>+RevBuild!E177</f>
        <v>2.4999999999999994E-2</v>
      </c>
      <c r="F50" s="1011">
        <f>+RevBuild!F177</f>
        <v>4.1000000000000009E-2</v>
      </c>
      <c r="G50" s="1012">
        <f>+RevBuild!G177</f>
        <v>0.03</v>
      </c>
      <c r="H50" s="1011"/>
      <c r="I50" s="1010">
        <f>+RevBuild!I177</f>
        <v>4.1548337261702817E-2</v>
      </c>
      <c r="J50" s="1011">
        <f>+RevBuild!J177</f>
        <v>4.7007129689109806E-2</v>
      </c>
      <c r="K50" s="1011">
        <f>+RevBuild!K177</f>
        <v>1.2080434385533925E-2</v>
      </c>
      <c r="L50" s="1011">
        <f>+RevBuild!L177</f>
        <v>-5.7289593440896583E-2</v>
      </c>
      <c r="M50" s="1012">
        <f>+RevBuild!M177</f>
        <v>6.8307951201271129E-3</v>
      </c>
      <c r="N50" s="1011"/>
      <c r="O50" s="1010">
        <f>+RevBuild!O177</f>
        <v>-7.8912176356982611E-2</v>
      </c>
      <c r="P50" s="1011">
        <f>+RevBuild!P177</f>
        <v>-7.3365651725842029E-2</v>
      </c>
      <c r="Q50" s="1011">
        <f>+RevBuild!Q177</f>
        <v>-3.0740836475168419E-2</v>
      </c>
      <c r="R50" s="1011">
        <f>+RevBuild!R177</f>
        <v>5.5045908173484717E-2</v>
      </c>
      <c r="S50" s="1012">
        <f>+RevBuild!S177</f>
        <v>-3.2034646973479665E-2</v>
      </c>
      <c r="T50" s="1011"/>
      <c r="U50" s="1010">
        <f>+RevBuild!U177</f>
        <v>3.9084301206149391E-2</v>
      </c>
      <c r="V50" s="1011">
        <f>+RevBuild!V177</f>
        <v>-5.4700248968232168E-3</v>
      </c>
      <c r="W50" s="1011">
        <f>+RevBuild!W177</f>
        <v>-2.2940975622396248E-2</v>
      </c>
      <c r="X50" s="1011">
        <f>+RevBuild!X177</f>
        <v>-1.7034585777464611E-2</v>
      </c>
      <c r="Y50" s="1012">
        <f>+RevBuild!Y177</f>
        <v>-2.9413468503301054E-3</v>
      </c>
      <c r="Z50" s="1011"/>
      <c r="AA50" s="1010">
        <f>+RevBuild!AA177</f>
        <v>7.4874936800903569E-3</v>
      </c>
      <c r="AB50" s="1011">
        <f>+RevBuild!AB177</f>
        <v>5.1070318984362623E-2</v>
      </c>
      <c r="AC50" s="1011">
        <f>+RevBuild!AC177</f>
        <v>4.1226159235409801E-2</v>
      </c>
      <c r="AD50" s="1011">
        <f>+RevBuild!AD177</f>
        <v>-5.5356479248544477E-4</v>
      </c>
      <c r="AE50" s="1012">
        <f>+RevBuild!AE177</f>
        <v>2.4521983342168298E-2</v>
      </c>
      <c r="AF50" s="1011"/>
      <c r="AG50" s="1010">
        <f>+RevBuild!AG177</f>
        <v>-6.34262827934233E-3</v>
      </c>
      <c r="AH50" s="1011">
        <f>+RevBuild!AH177</f>
        <v>-3.17649157060787E-2</v>
      </c>
      <c r="AI50" s="1011">
        <f>+RevBuild!AI177</f>
        <v>-3.2474264488256771E-2</v>
      </c>
      <c r="AJ50" s="1011">
        <f>+RevBuild!AJ177</f>
        <v>-5.818085010007662E-3</v>
      </c>
      <c r="AK50" s="1012">
        <f>+RevBuild!AK177</f>
        <v>-1.9017559056354962E-2</v>
      </c>
      <c r="AL50" s="1011"/>
      <c r="AM50" s="1010">
        <f>+RevBuild!AM177</f>
        <v>6.5852286234666102E-4</v>
      </c>
      <c r="AN50" s="1011">
        <f>+RevBuild!AN177</f>
        <v>-5.307060976118827E-4</v>
      </c>
      <c r="AO50" s="1011">
        <f>+RevBuild!AO177</f>
        <v>8.4398702319714997E-4</v>
      </c>
      <c r="AP50" s="1011">
        <f>+RevBuild!AP177</f>
        <v>4.9661764180766593E-3</v>
      </c>
      <c r="AQ50" s="1012">
        <f>+RevBuild!AQ177</f>
        <v>1.5724487573611906E-3</v>
      </c>
      <c r="AR50" s="1011"/>
      <c r="AS50" s="1010">
        <f>+RevBuild!AS177</f>
        <v>3.5802679821462166E-3</v>
      </c>
      <c r="AT50" s="1011">
        <f>+RevBuild!AT177</f>
        <v>1.4484014198452314E-2</v>
      </c>
      <c r="AU50" s="1011">
        <f>+RevBuild!AU177</f>
        <v>7.9766483493093204E-3</v>
      </c>
      <c r="AV50" s="1011">
        <f>+RevBuild!AV177</f>
        <v>-2.9443284237858941E-2</v>
      </c>
      <c r="AW50" s="1012">
        <f>+RevBuild!AW177</f>
        <v>-1.3381353793314496E-3</v>
      </c>
      <c r="AX50" s="1011"/>
      <c r="AY50" s="1010">
        <f>+RevBuild!AY177</f>
        <v>-6.022024320219381E-2</v>
      </c>
      <c r="AZ50" s="1011">
        <f>+RevBuild!AZ177</f>
        <v>-6.9679984675419512E-2</v>
      </c>
      <c r="BA50" s="1011">
        <f>+RevBuild!BA177</f>
        <v>-5.9329110209172017E-2</v>
      </c>
      <c r="BB50" s="1011">
        <f>+RevBuild!BB177</f>
        <v>-4.7923496426477877E-2</v>
      </c>
      <c r="BC50" s="1012">
        <f>+RevBuild!BC177</f>
        <v>-5.9176601304164744E-2</v>
      </c>
      <c r="BD50" s="1011"/>
      <c r="BE50" s="1010">
        <f>+RevBuild!BE177</f>
        <v>-1.8811355202816959E-2</v>
      </c>
      <c r="BF50" s="1011">
        <f>+RevBuild!BF177</f>
        <v>-4.4627660383671774E-3</v>
      </c>
      <c r="BG50" s="1011">
        <f>+RevBuild!BG177</f>
        <v>-1.0237522036908239E-2</v>
      </c>
      <c r="BH50" s="1011">
        <f>+RevBuild!BH177</f>
        <v>-1.5288051076881262E-2</v>
      </c>
      <c r="BI50" s="1012">
        <f>+RevBuild!BI177</f>
        <v>-1.2150823083846187E-2</v>
      </c>
      <c r="BJ50" s="1011"/>
      <c r="BK50" s="1010">
        <f>+RevBuild!BK177</f>
        <v>-9.5898555035703048E-3</v>
      </c>
      <c r="BL50" s="1011">
        <f>+RevBuild!BL177</f>
        <v>-1.1962734497655433E-2</v>
      </c>
      <c r="BM50" s="1011">
        <f>+RevBuild!BM177</f>
        <v>1.5287858079233579E-2</v>
      </c>
      <c r="BN50" s="1011">
        <f>+RevBuild!BN177</f>
        <v>2.4410388364508817E-2</v>
      </c>
      <c r="BO50" s="1012">
        <f>+RevBuild!BO177</f>
        <v>5.150862569221923E-3</v>
      </c>
      <c r="BP50" s="1011"/>
      <c r="BQ50" s="1010">
        <f>+RevBuild!BQ177</f>
        <v>-5.0330590896585647E-3</v>
      </c>
      <c r="BR50" s="1011">
        <f>+RevBuild!BR177</f>
        <v>-5.0487373907404098E-3</v>
      </c>
      <c r="BS50" s="1011">
        <f>+RevBuild!BS177</f>
        <v>-9.9034697918405357E-3</v>
      </c>
      <c r="BT50" s="1011">
        <f>+RevBuild!BT177</f>
        <v>-1.0189205007453017E-2</v>
      </c>
      <c r="BU50" s="1012">
        <f>+RevBuild!BU177</f>
        <v>-7.6452726752291155E-3</v>
      </c>
      <c r="BV50" s="1011"/>
      <c r="BW50" s="1010">
        <f>+RevBuild!BW177</f>
        <v>0</v>
      </c>
      <c r="BX50" s="1011">
        <f>+RevBuild!BX177</f>
        <v>2.2204460492503131E-16</v>
      </c>
      <c r="BY50" s="1011">
        <f>+RevBuild!BY177</f>
        <v>0</v>
      </c>
      <c r="BZ50" s="1011">
        <f>+RevBuild!BZ177</f>
        <v>0</v>
      </c>
      <c r="CA50" s="1012">
        <f>+RevBuild!CA177</f>
        <v>5.5231059065694233E-17</v>
      </c>
      <c r="CB50" s="1011"/>
      <c r="CC50" s="1010">
        <f>+RevBuild!CC177</f>
        <v>2.2204460492503131E-16</v>
      </c>
      <c r="CD50" s="1011">
        <f>+RevBuild!CD177</f>
        <v>-2.2204460492503131E-16</v>
      </c>
      <c r="CE50" s="1011">
        <f>+RevBuild!CE177</f>
        <v>2.2204460492503131E-16</v>
      </c>
      <c r="CF50" s="1011">
        <f>+RevBuild!CF177</f>
        <v>0</v>
      </c>
      <c r="CG50" s="1012">
        <f>+RevBuild!CG177</f>
        <v>5.339717930179905E-17</v>
      </c>
      <c r="CH50" s="117"/>
      <c r="CI50" s="117"/>
      <c r="CJ50" s="117"/>
      <c r="CK50" s="117"/>
      <c r="CL50" s="117"/>
      <c r="CM50" s="11"/>
      <c r="CN50" s="11"/>
      <c r="CO50"/>
      <c r="CP50"/>
      <c r="CQ50"/>
      <c r="CR50"/>
      <c r="CS50"/>
      <c r="CT50"/>
    </row>
    <row r="51" spans="1:98" s="7" customFormat="1" ht="11.25" customHeight="1" outlineLevel="1" x14ac:dyDescent="0.2">
      <c r="B51" s="1013" t="s">
        <v>0</v>
      </c>
      <c r="C51" s="1014">
        <f>+C48-C49</f>
        <v>8.2000000000000003E-2</v>
      </c>
      <c r="D51" s="1015">
        <f>+D48-D49</f>
        <v>5.5999999999999994E-2</v>
      </c>
      <c r="E51" s="1015">
        <f>+E48-E49</f>
        <v>5.2999999999999992E-2</v>
      </c>
      <c r="F51" s="1015">
        <f>+F48-F49</f>
        <v>8.5000000000000006E-2</v>
      </c>
      <c r="G51" s="1016">
        <f>+G48-G49</f>
        <v>7.0000000000000007E-2</v>
      </c>
      <c r="H51" s="1015"/>
      <c r="I51" s="1014">
        <f>+I48-I49</f>
        <v>0.09</v>
      </c>
      <c r="J51" s="1015">
        <f>+J48-J49</f>
        <v>9.6000000000000002E-2</v>
      </c>
      <c r="K51" s="1015">
        <f>+K48-K49</f>
        <v>5.8000000000000003E-2</v>
      </c>
      <c r="L51" s="1015">
        <f>+L48-L49</f>
        <v>1.2E-2</v>
      </c>
      <c r="M51" s="1016">
        <f>+M48-M49</f>
        <v>6.076957551771419E-2</v>
      </c>
      <c r="N51" s="1015"/>
      <c r="O51" s="1014">
        <f>+O48-O49</f>
        <v>0.05</v>
      </c>
      <c r="P51" s="1015">
        <f>+P48-P49</f>
        <v>4.5999999999999999E-2</v>
      </c>
      <c r="Q51" s="1015">
        <f>+Q48-Q49</f>
        <v>4.5999999999999999E-2</v>
      </c>
      <c r="R51" s="1015">
        <f>+R48-R49</f>
        <v>0.05</v>
      </c>
      <c r="S51" s="1016">
        <f>+S48-S49</f>
        <v>4.7940534570411038E-2</v>
      </c>
      <c r="T51" s="1015"/>
      <c r="U51" s="1014">
        <f>+U48-U49</f>
        <v>0.114</v>
      </c>
      <c r="V51" s="1015">
        <f>+V48-V49</f>
        <v>0.13500000000000001</v>
      </c>
      <c r="W51" s="1015">
        <f>+W48-W49</f>
        <v>0.127</v>
      </c>
      <c r="X51" s="1015">
        <f>+X48-X49</f>
        <v>0.11700000000000001</v>
      </c>
      <c r="Y51" s="1016">
        <f>+Y48-Y49</f>
        <v>0.1232817172442652</v>
      </c>
      <c r="Z51" s="1015"/>
      <c r="AA51" s="1014">
        <f>+AA48-AA49</f>
        <v>6.0999999999999999E-2</v>
      </c>
      <c r="AB51" s="1015">
        <f>+AB48-AB49</f>
        <v>4.4999999999999998E-2</v>
      </c>
      <c r="AC51" s="1015">
        <f>+AC48-AC49</f>
        <v>4.1000000000000002E-2</v>
      </c>
      <c r="AD51" s="1015">
        <f>+AD48-AD49</f>
        <v>0.10400000000000001</v>
      </c>
      <c r="AE51" s="1016">
        <f>+AE48-AE49</f>
        <v>6.3597759204122875E-2</v>
      </c>
      <c r="AF51" s="1015"/>
      <c r="AG51" s="1014">
        <f>+AG48-AG49</f>
        <v>6.0000000000000053E-3</v>
      </c>
      <c r="AH51" s="1015">
        <f>+AH48-AH49</f>
        <v>1.9000000000000003E-2</v>
      </c>
      <c r="AI51" s="1015">
        <f>+AI48-AI49</f>
        <v>4.4999999999999998E-2</v>
      </c>
      <c r="AJ51" s="1015">
        <f>+AJ48-AJ49</f>
        <v>-2.4999999999999994E-2</v>
      </c>
      <c r="AK51" s="1016">
        <f>+AK48-AK49</f>
        <v>1.0397267861802756E-2</v>
      </c>
      <c r="AL51" s="1015"/>
      <c r="AM51" s="1014">
        <f>+AM48-AM49</f>
        <v>5.8999999999999997E-2</v>
      </c>
      <c r="AN51" s="1015">
        <f>+AN48-AN49</f>
        <v>4.7E-2</v>
      </c>
      <c r="AO51" s="1015">
        <f>+AO48-AO49</f>
        <v>1.7999999999999995E-2</v>
      </c>
      <c r="AP51" s="1015">
        <f>+AP48-AP49</f>
        <v>6.9999999999999993E-3</v>
      </c>
      <c r="AQ51" s="1016">
        <f>+AQ48-AQ49</f>
        <v>3.1804197375672624E-2</v>
      </c>
      <c r="AR51" s="1015"/>
      <c r="AS51" s="1014">
        <f>+AS48-AS49</f>
        <v>2.7E-2</v>
      </c>
      <c r="AT51" s="1015">
        <f>+AT48-AT49</f>
        <v>3.5999999999999997E-2</v>
      </c>
      <c r="AU51" s="1015">
        <f>+AU48-AU49</f>
        <v>4.4999999999999998E-2</v>
      </c>
      <c r="AV51" s="1015">
        <f>+AV48-AV49</f>
        <v>0.05</v>
      </c>
      <c r="AW51" s="1016">
        <f>+AW48-AW49</f>
        <v>3.9751648293258807E-2</v>
      </c>
      <c r="AX51" s="1015"/>
      <c r="AY51" s="1014">
        <f>+AY48-AY49</f>
        <v>2.5999999999999995E-2</v>
      </c>
      <c r="AZ51" s="1015">
        <f>+AZ48-AZ49</f>
        <v>3.5999999999999997E-2</v>
      </c>
      <c r="BA51" s="1015">
        <f>+BA48-BA49</f>
        <v>3.5000000000000003E-2</v>
      </c>
      <c r="BB51" s="1015">
        <f>+BB48-BB49</f>
        <v>3.7999999999999992E-2</v>
      </c>
      <c r="BC51" s="1016">
        <f>+BC48-BC49</f>
        <v>3.3924952489492725E-2</v>
      </c>
      <c r="BD51" s="1015"/>
      <c r="BE51" s="1014">
        <f>+BE48-BE49</f>
        <v>2.6999999999999996E-2</v>
      </c>
      <c r="BF51" s="1015">
        <f>+BF48-BF49</f>
        <v>2.1000000000000005E-2</v>
      </c>
      <c r="BG51" s="1015">
        <f>+BG48-BG49</f>
        <v>1.7000000000000001E-2</v>
      </c>
      <c r="BH51" s="1015">
        <f>+BH48-BH49</f>
        <v>6.8000000000000005E-2</v>
      </c>
      <c r="BI51" s="1016">
        <f>+BI48-BI49</f>
        <v>3.3985449756479907E-2</v>
      </c>
      <c r="BJ51" s="1015"/>
      <c r="BK51" s="1014">
        <f>+BK48-BK49</f>
        <v>2.7913368122173043E-2</v>
      </c>
      <c r="BL51" s="1015">
        <f>+BL48-BL49</f>
        <v>2.9762164288474224E-2</v>
      </c>
      <c r="BM51" s="1015">
        <f>+BM48-BM49</f>
        <v>3.3999999999999996E-2</v>
      </c>
      <c r="BN51" s="1015">
        <f>+BN48-BN49</f>
        <v>-1.2345055358428003E-2</v>
      </c>
      <c r="BO51" s="1016">
        <f>+BO48-BO49</f>
        <v>1.9021475846445743E-2</v>
      </c>
      <c r="BP51" s="1015"/>
      <c r="BQ51" s="1014">
        <f>+BQ48-BQ49</f>
        <v>1.6875392583104443E-2</v>
      </c>
      <c r="BR51" s="1015">
        <f>+BR48-BR49</f>
        <v>1.773189891804372E-2</v>
      </c>
      <c r="BS51" s="1015">
        <f>+BS48-BS49</f>
        <v>1.7161839787186883E-2</v>
      </c>
      <c r="BT51" s="1015">
        <f>+BT48-BT49</f>
        <v>7.3084126007278982E-3</v>
      </c>
      <c r="BU51" s="1016">
        <f>+BU48-BU49</f>
        <v>1.461097639039919E-2</v>
      </c>
      <c r="BV51" s="1015"/>
      <c r="BW51" s="1014">
        <f>+BW48-BW49</f>
        <v>8.1030880885870626E-3</v>
      </c>
      <c r="BX51" s="1015">
        <f>+BX48-BX49</f>
        <v>0</v>
      </c>
      <c r="BY51" s="1015">
        <f>+BY48-BY49</f>
        <v>0</v>
      </c>
      <c r="BZ51" s="1015">
        <f>+BZ48-BZ49</f>
        <v>0</v>
      </c>
      <c r="CA51" s="1016">
        <f>+CA48-CA49</f>
        <v>1.8937117389538557E-3</v>
      </c>
      <c r="CB51" s="1015"/>
      <c r="CC51" s="1014">
        <f>+CC48-CC49</f>
        <v>0</v>
      </c>
      <c r="CD51" s="1015">
        <f>+CD48-CD49</f>
        <v>0</v>
      </c>
      <c r="CE51" s="1015">
        <f>+CE48-CE49</f>
        <v>0</v>
      </c>
      <c r="CF51" s="1015">
        <f>+CF48-CF49</f>
        <v>0</v>
      </c>
      <c r="CG51" s="1016">
        <f>+CG48-CG49</f>
        <v>0</v>
      </c>
      <c r="CH51" s="117"/>
      <c r="CI51" s="117"/>
      <c r="CJ51" s="117"/>
      <c r="CK51" s="117"/>
      <c r="CL51" s="117"/>
      <c r="CM51" s="11"/>
      <c r="CN51" s="11"/>
      <c r="CO51"/>
      <c r="CP51"/>
      <c r="CQ51"/>
      <c r="CR51"/>
      <c r="CS51"/>
      <c r="CT51"/>
    </row>
    <row r="52" spans="1:98" s="7" customFormat="1" ht="11.25" customHeight="1" x14ac:dyDescent="0.2">
      <c r="B52" s="275" t="str">
        <f>+B9</f>
        <v>COGS</v>
      </c>
      <c r="C52" s="235"/>
      <c r="D52" s="43"/>
      <c r="E52" s="43"/>
      <c r="F52" s="43"/>
      <c r="G52" s="386"/>
      <c r="H52" s="43"/>
      <c r="I52" s="235">
        <f t="shared" ref="I52:M54" si="15">I9/C9-1</f>
        <v>0.16545204889226417</v>
      </c>
      <c r="J52" s="43">
        <f t="shared" si="15"/>
        <v>0.18443652131026256</v>
      </c>
      <c r="K52" s="43">
        <f t="shared" si="15"/>
        <v>8.5826182700035947E-2</v>
      </c>
      <c r="L52" s="43">
        <f t="shared" si="15"/>
        <v>-8.6657234832173802E-2</v>
      </c>
      <c r="M52" s="386">
        <f t="shared" si="15"/>
        <v>7.6000001910291992E-2</v>
      </c>
      <c r="N52" s="43"/>
      <c r="O52" s="235">
        <f t="shared" ref="O52:S54" si="16">O9/I9-1</f>
        <v>-2.2518872310590576E-2</v>
      </c>
      <c r="P52" s="43">
        <f t="shared" si="16"/>
        <v>-1.8412635622399032E-2</v>
      </c>
      <c r="Q52" s="43">
        <f t="shared" si="16"/>
        <v>1.2451491723107999E-2</v>
      </c>
      <c r="R52" s="43">
        <f t="shared" si="16"/>
        <v>0.13127774744615572</v>
      </c>
      <c r="S52" s="386">
        <f t="shared" si="16"/>
        <v>2.5609182893124194E-2</v>
      </c>
      <c r="T52" s="43"/>
      <c r="U52" s="235">
        <f t="shared" ref="U52:Y54" si="17">U9/O9-1</f>
        <v>0.19125808839330483</v>
      </c>
      <c r="V52" s="43">
        <f t="shared" si="17"/>
        <v>0.15222144450454089</v>
      </c>
      <c r="W52" s="43">
        <f t="shared" si="17"/>
        <v>0.14612404345628605</v>
      </c>
      <c r="X52" s="43">
        <f t="shared" si="17"/>
        <v>0.15003544188047613</v>
      </c>
      <c r="Y52" s="386">
        <f t="shared" si="17"/>
        <v>0.15890846207175313</v>
      </c>
      <c r="Z52" s="43"/>
      <c r="AA52" s="235">
        <f t="shared" ref="AA52:AE54" si="18">AA9/U9-1</f>
        <v>0.10796479049962437</v>
      </c>
      <c r="AB52" s="43">
        <f t="shared" si="18"/>
        <v>0.1646464793669371</v>
      </c>
      <c r="AC52" s="43">
        <f t="shared" si="18"/>
        <v>0.12404954076346453</v>
      </c>
      <c r="AD52" s="43">
        <f t="shared" si="18"/>
        <v>0.16477766465929311</v>
      </c>
      <c r="AE52" s="386">
        <f t="shared" si="18"/>
        <v>0.14120335016581675</v>
      </c>
      <c r="AF52" s="43"/>
      <c r="AG52" s="235">
        <f t="shared" ref="AG52:AK54" si="19">AG9/AA9-1</f>
        <v>7.7066353869454485E-2</v>
      </c>
      <c r="AH52" s="43">
        <f t="shared" si="19"/>
        <v>3.8619851213369749E-2</v>
      </c>
      <c r="AI52" s="43">
        <f t="shared" si="19"/>
        <v>6.4123027830316426E-2</v>
      </c>
      <c r="AJ52" s="43">
        <f t="shared" si="19"/>
        <v>3.4004144447689955E-2</v>
      </c>
      <c r="AK52" s="386">
        <f t="shared" si="19"/>
        <v>5.2398102348635511E-2</v>
      </c>
      <c r="AL52" s="43"/>
      <c r="AM52" s="235">
        <f t="shared" ref="AM52:AQ54" si="20">AM9/AG9-1</f>
        <v>0.1062051543898308</v>
      </c>
      <c r="AN52" s="43">
        <f t="shared" si="20"/>
        <v>9.1878099523352574E-2</v>
      </c>
      <c r="AO52" s="43">
        <f t="shared" si="20"/>
        <v>5.3818894288212071E-2</v>
      </c>
      <c r="AP52" s="43">
        <f t="shared" si="20"/>
        <v>4.6939642154500305E-2</v>
      </c>
      <c r="AQ52" s="386">
        <f t="shared" si="20"/>
        <v>7.3405732866492324E-2</v>
      </c>
      <c r="AR52" s="43"/>
      <c r="AS52" s="235">
        <f t="shared" ref="AS52:AW54" si="21">AS9/AM9-1</f>
        <v>5.2793771105118736E-2</v>
      </c>
      <c r="AT52" s="43">
        <f t="shared" si="21"/>
        <v>9.5809760307185909E-2</v>
      </c>
      <c r="AU52" s="43">
        <f t="shared" si="21"/>
        <v>0.11276720592941358</v>
      </c>
      <c r="AV52" s="43">
        <f t="shared" si="21"/>
        <v>6.0640994060815245E-2</v>
      </c>
      <c r="AW52" s="386">
        <f t="shared" si="21"/>
        <v>8.0444825959612887E-2</v>
      </c>
      <c r="AX52" s="43"/>
      <c r="AY52" s="235">
        <f t="shared" ref="AY52:BC54" si="22">AY9/AS9-1</f>
        <v>9.6945621611519428E-3</v>
      </c>
      <c r="AZ52" s="43">
        <f t="shared" si="22"/>
        <v>-4.3944303298366627E-3</v>
      </c>
      <c r="BA52" s="43">
        <f t="shared" si="22"/>
        <v>1.8329571628279195E-2</v>
      </c>
      <c r="BB52" s="43">
        <f t="shared" si="22"/>
        <v>5.8838830077125426E-2</v>
      </c>
      <c r="BC52" s="386">
        <f t="shared" si="22"/>
        <v>2.1096972885661369E-2</v>
      </c>
      <c r="BD52" s="43"/>
      <c r="BE52" s="235">
        <f t="shared" ref="BE52:BI54" si="23">BE9/AY9-1</f>
        <v>0.1047849708413251</v>
      </c>
      <c r="BF52" s="43">
        <f t="shared" si="23"/>
        <v>0.10149459024124852</v>
      </c>
      <c r="BG52" s="43">
        <f t="shared" si="23"/>
        <v>7.1623762795397061E-2</v>
      </c>
      <c r="BH52" s="43">
        <f t="shared" si="23"/>
        <v>0.10110789417246679</v>
      </c>
      <c r="BI52" s="386">
        <f t="shared" si="23"/>
        <v>9.4551070829384187E-2</v>
      </c>
      <c r="BJ52" s="43"/>
      <c r="BK52" s="235">
        <f t="shared" ref="BK52:BO54" si="24">BK9/BE9-1</f>
        <v>8.6042931221818053E-2</v>
      </c>
      <c r="BL52" s="43">
        <f t="shared" si="24"/>
        <v>7.2957028271204871E-2</v>
      </c>
      <c r="BM52" s="43">
        <f t="shared" si="24"/>
        <v>0.12014123720826708</v>
      </c>
      <c r="BN52" s="43">
        <f t="shared" si="24"/>
        <v>6.9949364275763815E-2</v>
      </c>
      <c r="BO52" s="386">
        <f t="shared" si="24"/>
        <v>8.6923382578334873E-2</v>
      </c>
      <c r="BP52" s="43"/>
      <c r="BQ52" s="235">
        <f t="shared" ref="BQ52:BU54" si="25">BQ9/BK9-1</f>
        <v>5.6483874787986776E-2</v>
      </c>
      <c r="BR52" s="43">
        <f t="shared" si="25"/>
        <v>6.8132885403485721E-2</v>
      </c>
      <c r="BS52" s="43">
        <f t="shared" si="25"/>
        <v>5.4109439257969738E-2</v>
      </c>
      <c r="BT52" s="43">
        <f t="shared" si="25"/>
        <v>4.1820577187567709E-2</v>
      </c>
      <c r="BU52" s="386">
        <f t="shared" si="25"/>
        <v>5.4817752282914745E-2</v>
      </c>
      <c r="BV52" s="43"/>
      <c r="BW52" s="235">
        <f t="shared" ref="BW52:CA54" si="26">BW9/BQ9-1</f>
        <v>5.3440114618744872E-2</v>
      </c>
      <c r="BX52" s="43">
        <f t="shared" si="26"/>
        <v>4.9774537987369971E-2</v>
      </c>
      <c r="BY52" s="43">
        <f t="shared" si="26"/>
        <v>4.9803517303654399E-2</v>
      </c>
      <c r="BZ52" s="43">
        <f t="shared" si="26"/>
        <v>4.9073607480938142E-2</v>
      </c>
      <c r="CA52" s="386">
        <f t="shared" si="26"/>
        <v>5.0448083191784621E-2</v>
      </c>
      <c r="CB52" s="43"/>
      <c r="CC52" s="235">
        <f t="shared" ref="CC52:CG54" si="27">CC9/BW9-1</f>
        <v>4.6009672208123797E-2</v>
      </c>
      <c r="CD52" s="43">
        <f t="shared" si="27"/>
        <v>4.6271632317923528E-2</v>
      </c>
      <c r="CE52" s="43">
        <f t="shared" si="27"/>
        <v>4.6154850646989543E-2</v>
      </c>
      <c r="CF52" s="43">
        <f t="shared" si="27"/>
        <v>4.5785006276380935E-2</v>
      </c>
      <c r="CG52" s="386">
        <f t="shared" si="27"/>
        <v>4.6052712962923126E-2</v>
      </c>
      <c r="CH52" s="117"/>
      <c r="CI52" s="117"/>
      <c r="CJ52" s="117"/>
      <c r="CK52" s="117"/>
      <c r="CL52" s="117"/>
      <c r="CM52" s="11"/>
      <c r="CN52" s="11"/>
      <c r="CO52"/>
      <c r="CP52"/>
      <c r="CQ52"/>
      <c r="CR52"/>
      <c r="CS52"/>
      <c r="CT52"/>
    </row>
    <row r="53" spans="1:98" s="7" customFormat="1" ht="11.25" customHeight="1" x14ac:dyDescent="0.2">
      <c r="B53" s="275" t="str">
        <f>+B10</f>
        <v>Gross Profit</v>
      </c>
      <c r="C53" s="235"/>
      <c r="D53" s="43"/>
      <c r="E53" s="43"/>
      <c r="F53" s="43"/>
      <c r="G53" s="386"/>
      <c r="H53" s="43"/>
      <c r="I53" s="235">
        <f t="shared" si="15"/>
        <v>0.15237337806805384</v>
      </c>
      <c r="J53" s="43">
        <f t="shared" si="15"/>
        <v>0.17964507452081691</v>
      </c>
      <c r="K53" s="43">
        <f t="shared" si="15"/>
        <v>0.10775860061025289</v>
      </c>
      <c r="L53" s="43">
        <f t="shared" si="15"/>
        <v>-4.6558918455046672E-2</v>
      </c>
      <c r="M53" s="386">
        <f t="shared" si="15"/>
        <v>9.1881270484114541E-2</v>
      </c>
      <c r="N53" s="43"/>
      <c r="O53" s="235">
        <f t="shared" si="16"/>
        <v>-2.7224048057058359E-2</v>
      </c>
      <c r="P53" s="43">
        <f t="shared" si="16"/>
        <v>-2.4977976275839975E-2</v>
      </c>
      <c r="Q53" s="43">
        <f t="shared" si="16"/>
        <v>1.4150725198383007E-3</v>
      </c>
      <c r="R53" s="43">
        <f t="shared" si="16"/>
        <v>0.14416905817897829</v>
      </c>
      <c r="S53" s="386">
        <f t="shared" si="16"/>
        <v>2.2688530887614577E-2</v>
      </c>
      <c r="T53" s="43"/>
      <c r="U53" s="235">
        <f t="shared" si="17"/>
        <v>0.17033828128742634</v>
      </c>
      <c r="V53" s="43">
        <f t="shared" si="17"/>
        <v>0.1465084321248622</v>
      </c>
      <c r="W53" s="43">
        <f t="shared" si="17"/>
        <v>0.12847625386600336</v>
      </c>
      <c r="X53" s="43">
        <f t="shared" si="17"/>
        <v>9.2102562933235044E-2</v>
      </c>
      <c r="Y53" s="386">
        <f t="shared" si="17"/>
        <v>0.13254035329347547</v>
      </c>
      <c r="Z53" s="43"/>
      <c r="AA53" s="235">
        <f t="shared" si="18"/>
        <v>0.10289591507758766</v>
      </c>
      <c r="AB53" s="43">
        <f t="shared" si="18"/>
        <v>0.12202095138955049</v>
      </c>
      <c r="AC53" s="43">
        <f t="shared" si="18"/>
        <v>9.2963889136971956E-2</v>
      </c>
      <c r="AD53" s="43">
        <f t="shared" si="18"/>
        <v>0.13544488580113101</v>
      </c>
      <c r="AE53" s="386">
        <f t="shared" si="18"/>
        <v>0.11386140894274943</v>
      </c>
      <c r="AF53" s="43"/>
      <c r="AG53" s="235">
        <f t="shared" si="19"/>
        <v>7.9100847969856058E-2</v>
      </c>
      <c r="AH53" s="43">
        <f t="shared" si="19"/>
        <v>1.987997856993573E-2</v>
      </c>
      <c r="AI53" s="43">
        <f t="shared" si="19"/>
        <v>3.681182118416082E-2</v>
      </c>
      <c r="AJ53" s="43">
        <f t="shared" si="19"/>
        <v>1.671189676810636E-2</v>
      </c>
      <c r="AK53" s="386">
        <f t="shared" si="19"/>
        <v>3.6995849970327566E-2</v>
      </c>
      <c r="AL53" s="43"/>
      <c r="AM53" s="235">
        <f t="shared" si="20"/>
        <v>5.9635198721214255E-2</v>
      </c>
      <c r="AN53" s="43">
        <f t="shared" si="20"/>
        <v>7.2808078219716243E-2</v>
      </c>
      <c r="AO53" s="43">
        <f t="shared" si="20"/>
        <v>5.0247601158537103E-2</v>
      </c>
      <c r="AP53" s="43">
        <f t="shared" si="20"/>
        <v>5.4295812327145754E-2</v>
      </c>
      <c r="AQ53" s="386">
        <f t="shared" si="20"/>
        <v>5.9222424769084014E-2</v>
      </c>
      <c r="AR53" s="43"/>
      <c r="AS53" s="235">
        <f t="shared" si="21"/>
        <v>7.6851146306517792E-2</v>
      </c>
      <c r="AT53" s="43">
        <f t="shared" si="21"/>
        <v>8.7505374289399418E-2</v>
      </c>
      <c r="AU53" s="43">
        <f t="shared" si="21"/>
        <v>0.12822541182871094</v>
      </c>
      <c r="AV53" s="43">
        <f t="shared" si="21"/>
        <v>9.2840805123511005E-2</v>
      </c>
      <c r="AW53" s="386">
        <f t="shared" si="21"/>
        <v>9.612185779141158E-2</v>
      </c>
      <c r="AX53" s="43"/>
      <c r="AY53" s="235">
        <f t="shared" si="22"/>
        <v>2.3943862106778457E-2</v>
      </c>
      <c r="AZ53" s="43">
        <f t="shared" si="22"/>
        <v>3.0482983560109478E-2</v>
      </c>
      <c r="BA53" s="43">
        <f t="shared" si="22"/>
        <v>3.7748764663986467E-2</v>
      </c>
      <c r="BB53" s="43">
        <f t="shared" si="22"/>
        <v>4.5540404780340937E-2</v>
      </c>
      <c r="BC53" s="386">
        <f t="shared" si="22"/>
        <v>3.4672991414532506E-2</v>
      </c>
      <c r="BD53" s="43"/>
      <c r="BE53" s="235">
        <f t="shared" si="23"/>
        <v>9.2389209344051704E-2</v>
      </c>
      <c r="BF53" s="43">
        <f t="shared" si="23"/>
        <v>7.0120610967685293E-2</v>
      </c>
      <c r="BG53" s="43">
        <f t="shared" si="23"/>
        <v>5.418956667574637E-2</v>
      </c>
      <c r="BH53" s="43">
        <f t="shared" si="23"/>
        <v>7.8294410705664008E-2</v>
      </c>
      <c r="BI53" s="386">
        <f t="shared" si="23"/>
        <v>7.3602568703421856E-2</v>
      </c>
      <c r="BJ53" s="43"/>
      <c r="BK53" s="235">
        <f t="shared" si="24"/>
        <v>5.5966534283752756E-2</v>
      </c>
      <c r="BL53" s="43">
        <f t="shared" si="24"/>
        <v>4.4636232814981858E-2</v>
      </c>
      <c r="BM53" s="43">
        <f t="shared" si="24"/>
        <v>5.8978506404759656E-2</v>
      </c>
      <c r="BN53" s="43">
        <f t="shared" si="24"/>
        <v>4.5365994590750081E-2</v>
      </c>
      <c r="BO53" s="386">
        <f t="shared" si="24"/>
        <v>5.1062332384756992E-2</v>
      </c>
      <c r="BP53" s="43"/>
      <c r="BQ53" s="235">
        <f t="shared" si="25"/>
        <v>3.7179428616067156E-2</v>
      </c>
      <c r="BR53" s="43">
        <f t="shared" si="25"/>
        <v>7.041184181559923E-2</v>
      </c>
      <c r="BS53" s="43">
        <f t="shared" si="25"/>
        <v>6.379031085489828E-2</v>
      </c>
      <c r="BT53" s="43">
        <f t="shared" si="25"/>
        <v>4.9134593166686003E-2</v>
      </c>
      <c r="BU53" s="386">
        <f t="shared" si="25"/>
        <v>5.5097966434445311E-2</v>
      </c>
      <c r="BV53" s="43"/>
      <c r="BW53" s="235">
        <f t="shared" si="26"/>
        <v>4.5371157669752193E-2</v>
      </c>
      <c r="BX53" s="43">
        <f t="shared" si="26"/>
        <v>2.5804409021440877E-2</v>
      </c>
      <c r="BY53" s="43">
        <f t="shared" si="26"/>
        <v>2.533219242027851E-2</v>
      </c>
      <c r="BZ53" s="43">
        <f t="shared" si="26"/>
        <v>2.505724116710728E-2</v>
      </c>
      <c r="CA53" s="386">
        <f t="shared" si="26"/>
        <v>3.0147025859177168E-2</v>
      </c>
      <c r="CB53" s="43"/>
      <c r="CC53" s="235">
        <f t="shared" si="27"/>
        <v>2.2632608164831813E-2</v>
      </c>
      <c r="CD53" s="43">
        <f t="shared" si="27"/>
        <v>2.2488337127318347E-2</v>
      </c>
      <c r="CE53" s="43">
        <f t="shared" si="27"/>
        <v>2.1873646593670859E-2</v>
      </c>
      <c r="CF53" s="43">
        <f t="shared" si="27"/>
        <v>2.1927652056169977E-2</v>
      </c>
      <c r="CG53" s="386">
        <f t="shared" si="27"/>
        <v>2.2224411552732803E-2</v>
      </c>
      <c r="CH53" s="117"/>
      <c r="CI53" s="117"/>
      <c r="CJ53" s="117"/>
      <c r="CK53" s="117"/>
      <c r="CL53" s="117"/>
      <c r="CM53" s="11"/>
      <c r="CN53" s="11"/>
      <c r="CO53"/>
      <c r="CP53"/>
      <c r="CQ53"/>
      <c r="CR53"/>
      <c r="CS53"/>
      <c r="CT53"/>
    </row>
    <row r="54" spans="1:98" s="7" customFormat="1" ht="11.25" customHeight="1" x14ac:dyDescent="0.2">
      <c r="B54" s="275" t="str">
        <f>+B11</f>
        <v>SG&amp;A</v>
      </c>
      <c r="C54" s="235"/>
      <c r="D54" s="43"/>
      <c r="E54" s="43"/>
      <c r="F54" s="43"/>
      <c r="G54" s="386"/>
      <c r="H54" s="43"/>
      <c r="I54" s="235">
        <f t="shared" si="15"/>
        <v>0.15136216812416303</v>
      </c>
      <c r="J54" s="43">
        <f t="shared" si="15"/>
        <v>0.15852907021754281</v>
      </c>
      <c r="K54" s="43">
        <f t="shared" si="15"/>
        <v>8.2824760244115225E-2</v>
      </c>
      <c r="L54" s="43">
        <f t="shared" si="15"/>
        <v>-6.6450225576590638E-2</v>
      </c>
      <c r="M54" s="386">
        <f t="shared" si="15"/>
        <v>7.7624027667493323E-2</v>
      </c>
      <c r="N54" s="43"/>
      <c r="O54" s="235">
        <f t="shared" si="16"/>
        <v>-5.9186108891054134E-2</v>
      </c>
      <c r="P54" s="43">
        <f t="shared" si="16"/>
        <v>-5.3913471150813463E-2</v>
      </c>
      <c r="Q54" s="43">
        <f t="shared" si="16"/>
        <v>6.1136098617358137E-3</v>
      </c>
      <c r="R54" s="43">
        <f t="shared" si="16"/>
        <v>0.17324721858392356</v>
      </c>
      <c r="S54" s="386">
        <f t="shared" si="16"/>
        <v>1.2534144823641125E-2</v>
      </c>
      <c r="T54" s="43"/>
      <c r="U54" s="235">
        <f t="shared" si="17"/>
        <v>0.1549375676399054</v>
      </c>
      <c r="V54" s="43">
        <f t="shared" si="17"/>
        <v>0.15168894865912508</v>
      </c>
      <c r="W54" s="43">
        <f t="shared" si="17"/>
        <v>0.10405042193044922</v>
      </c>
      <c r="X54" s="43">
        <f t="shared" si="17"/>
        <v>0.11059070506322377</v>
      </c>
      <c r="Y54" s="386">
        <f t="shared" si="17"/>
        <v>0.12950476472961925</v>
      </c>
      <c r="Z54" s="43"/>
      <c r="AA54" s="235">
        <f t="shared" si="18"/>
        <v>0.11217691170284327</v>
      </c>
      <c r="AB54" s="43">
        <f t="shared" si="18"/>
        <v>0.13092744052320948</v>
      </c>
      <c r="AC54" s="43">
        <f t="shared" si="18"/>
        <v>0.11015326628141797</v>
      </c>
      <c r="AD54" s="43">
        <f t="shared" si="18"/>
        <v>0.13049486418098355</v>
      </c>
      <c r="AE54" s="386">
        <f t="shared" si="18"/>
        <v>0.12119135734613362</v>
      </c>
      <c r="AF54" s="43"/>
      <c r="AG54" s="235">
        <f t="shared" si="19"/>
        <v>5.4198884766784028E-2</v>
      </c>
      <c r="AH54" s="43">
        <f t="shared" si="19"/>
        <v>1.1548581481055642E-2</v>
      </c>
      <c r="AI54" s="43">
        <f t="shared" si="19"/>
        <v>3.4363820163500147E-2</v>
      </c>
      <c r="AJ54" s="43">
        <f t="shared" si="19"/>
        <v>-1.4437385531135716E-2</v>
      </c>
      <c r="AK54" s="386">
        <f t="shared" si="19"/>
        <v>2.0400826621842283E-2</v>
      </c>
      <c r="AL54" s="43"/>
      <c r="AM54" s="235">
        <f t="shared" si="20"/>
        <v>5.9963218548851449E-2</v>
      </c>
      <c r="AN54" s="43">
        <f t="shared" si="20"/>
        <v>5.8880671108413773E-2</v>
      </c>
      <c r="AO54" s="43">
        <f t="shared" si="20"/>
        <v>4.2984445673041272E-2</v>
      </c>
      <c r="AP54" s="43">
        <f t="shared" si="20"/>
        <v>6.3224744012792877E-2</v>
      </c>
      <c r="AQ54" s="386">
        <f t="shared" si="20"/>
        <v>5.636930435153964E-2</v>
      </c>
      <c r="AR54" s="43"/>
      <c r="AS54" s="235">
        <f t="shared" si="21"/>
        <v>9.3406058837121719E-2</v>
      </c>
      <c r="AT54" s="43">
        <f t="shared" si="21"/>
        <v>0.109027908568605</v>
      </c>
      <c r="AU54" s="43">
        <f t="shared" si="21"/>
        <v>0.14276352860154007</v>
      </c>
      <c r="AV54" s="43">
        <f t="shared" si="21"/>
        <v>9.5359874531100397E-2</v>
      </c>
      <c r="AW54" s="386">
        <f t="shared" si="21"/>
        <v>0.10976118769454657</v>
      </c>
      <c r="AX54" s="43"/>
      <c r="AY54" s="235">
        <f t="shared" si="22"/>
        <v>1.0605344381725779E-2</v>
      </c>
      <c r="AZ54" s="43">
        <f t="shared" si="22"/>
        <v>2.3369878822850465E-2</v>
      </c>
      <c r="BA54" s="43">
        <f t="shared" si="22"/>
        <v>7.3231576140750931E-3</v>
      </c>
      <c r="BB54" s="43">
        <f t="shared" si="22"/>
        <v>4.3905670659387219E-2</v>
      </c>
      <c r="BC54" s="386">
        <f t="shared" si="22"/>
        <v>2.1484190908457768E-2</v>
      </c>
      <c r="BD54" s="43"/>
      <c r="BE54" s="235">
        <f t="shared" si="23"/>
        <v>9.8845122403084407E-2</v>
      </c>
      <c r="BF54" s="43">
        <f t="shared" si="23"/>
        <v>7.4639649124059071E-2</v>
      </c>
      <c r="BG54" s="43">
        <f t="shared" si="23"/>
        <v>5.7673480931419885E-2</v>
      </c>
      <c r="BH54" s="43">
        <f t="shared" si="23"/>
        <v>7.7824748880881867E-2</v>
      </c>
      <c r="BI54" s="386">
        <f t="shared" si="23"/>
        <v>7.718257824438024E-2</v>
      </c>
      <c r="BJ54" s="43"/>
      <c r="BK54" s="235">
        <f t="shared" si="24"/>
        <v>4.9910441980926645E-2</v>
      </c>
      <c r="BL54" s="43">
        <f t="shared" si="24"/>
        <v>4.3594418320448414E-2</v>
      </c>
      <c r="BM54" s="43">
        <f t="shared" si="24"/>
        <v>6.7031196434693241E-2</v>
      </c>
      <c r="BN54" s="43">
        <f t="shared" si="24"/>
        <v>4.4270689068447888E-2</v>
      </c>
      <c r="BO54" s="386">
        <f t="shared" si="24"/>
        <v>5.0995156639509043E-2</v>
      </c>
      <c r="BP54" s="43"/>
      <c r="BQ54" s="235">
        <f t="shared" si="25"/>
        <v>2.7723893885239326E-2</v>
      </c>
      <c r="BR54" s="43">
        <f t="shared" si="25"/>
        <v>5.707970848519639E-2</v>
      </c>
      <c r="BS54" s="43">
        <f t="shared" si="25"/>
        <v>5.015297865237911E-2</v>
      </c>
      <c r="BT54" s="43">
        <f t="shared" si="25"/>
        <v>3.7741938642482875E-2</v>
      </c>
      <c r="BU54" s="386">
        <f t="shared" si="25"/>
        <v>4.3088592523501834E-2</v>
      </c>
      <c r="BV54" s="43"/>
      <c r="BW54" s="235">
        <f t="shared" si="26"/>
        <v>5.2214469108630368E-2</v>
      </c>
      <c r="BX54" s="43">
        <f t="shared" si="26"/>
        <v>3.832580041298872E-2</v>
      </c>
      <c r="BY54" s="43">
        <f t="shared" si="26"/>
        <v>3.8270567429069313E-2</v>
      </c>
      <c r="BZ54" s="43">
        <f t="shared" si="26"/>
        <v>3.7600859676716336E-2</v>
      </c>
      <c r="CA54" s="386">
        <f t="shared" si="26"/>
        <v>4.1513606787288104E-2</v>
      </c>
      <c r="CB54" s="43"/>
      <c r="CC54" s="235">
        <f t="shared" si="27"/>
        <v>3.5005871012237844E-2</v>
      </c>
      <c r="CD54" s="43">
        <f t="shared" si="27"/>
        <v>3.5091392260665488E-2</v>
      </c>
      <c r="CE54" s="43">
        <f t="shared" si="27"/>
        <v>3.4908786578231155E-2</v>
      </c>
      <c r="CF54" s="43">
        <f t="shared" si="27"/>
        <v>3.458033474592237E-2</v>
      </c>
      <c r="CG54" s="386">
        <f t="shared" si="27"/>
        <v>3.4893805843442705E-2</v>
      </c>
      <c r="CH54" s="117"/>
      <c r="CI54" s="117"/>
      <c r="CJ54" s="117"/>
      <c r="CK54" s="117"/>
      <c r="CL54" s="117"/>
      <c r="CM54" s="11"/>
      <c r="CN54" s="11"/>
      <c r="CO54"/>
      <c r="CP54"/>
      <c r="CQ54"/>
      <c r="CR54"/>
      <c r="CS54"/>
      <c r="CT54"/>
    </row>
    <row r="55" spans="1:98" s="7" customFormat="1" ht="11.25" customHeight="1" x14ac:dyDescent="0.2">
      <c r="B55" s="275" t="str">
        <f>+B14</f>
        <v>Operating Income / Loss</v>
      </c>
      <c r="C55" s="235"/>
      <c r="D55" s="43"/>
      <c r="E55" s="43"/>
      <c r="F55" s="43"/>
      <c r="G55" s="386"/>
      <c r="H55" s="43"/>
      <c r="I55" s="235">
        <f>I14/C14-1</f>
        <v>0.15672603464413326</v>
      </c>
      <c r="J55" s="43">
        <f>J14/D14-1</f>
        <v>0.25469995156958669</v>
      </c>
      <c r="K55" s="43">
        <f>K14/E14-1</f>
        <v>0.19352637021716501</v>
      </c>
      <c r="L55" s="43">
        <f>L14/F14-1</f>
        <v>9.3079437260032982E-3</v>
      </c>
      <c r="M55" s="386">
        <f>M14/G14-1</f>
        <v>0.14071026630475036</v>
      </c>
      <c r="N55" s="43"/>
      <c r="O55" s="235">
        <f>O14/I14-1</f>
        <v>0.10971562591615003</v>
      </c>
      <c r="P55" s="43">
        <f>P14/J14-1</f>
        <v>6.9987367534561917E-2</v>
      </c>
      <c r="Q55" s="43">
        <f>Q14/K14-1</f>
        <v>-1.3247959519642305E-2</v>
      </c>
      <c r="R55" s="43">
        <f>R14/L14-1</f>
        <v>6.8629981618389291E-2</v>
      </c>
      <c r="S55" s="386">
        <f>S14/M14-1</f>
        <v>5.5542499197790862E-2</v>
      </c>
      <c r="T55" s="43"/>
      <c r="U55" s="235">
        <f>U14/O14-1</f>
        <v>0.22627891494330798</v>
      </c>
      <c r="V55" s="43">
        <f>V14/P14-1</f>
        <v>0.13147495285726096</v>
      </c>
      <c r="W55" s="43">
        <f>W14/Q14-1</f>
        <v>0.20619923607147417</v>
      </c>
      <c r="X55" s="43">
        <f>X14/R14-1</f>
        <v>3.9372268864500404E-2</v>
      </c>
      <c r="Y55" s="386">
        <f>Y14/S14-1</f>
        <v>0.1419616574431859</v>
      </c>
      <c r="Z55" s="43"/>
      <c r="AA55" s="235">
        <f>AA14/U14-1</f>
        <v>7.1145427596428723E-2</v>
      </c>
      <c r="AB55" s="43">
        <f>AB14/V14-1</f>
        <v>9.5713229859570426E-2</v>
      </c>
      <c r="AC55" s="43">
        <f>AC14/W14-1</f>
        <v>4.2899365208785456E-2</v>
      </c>
      <c r="AD55" s="43">
        <f>AD14/X14-1</f>
        <v>0.15053028915900035</v>
      </c>
      <c r="AE55" s="386">
        <f>AE14/Y14-1</f>
        <v>9.1360214166804399E-2</v>
      </c>
      <c r="AF55" s="43"/>
      <c r="AG55" s="235">
        <f>AG14/AA14-1</f>
        <v>0.16755430410297545</v>
      </c>
      <c r="AH55" s="43">
        <f>AH14/AB14-1</f>
        <v>4.5279899480873409E-2</v>
      </c>
      <c r="AI55" s="43">
        <f>AI14/AC14-1</f>
        <v>4.4401477024450076E-2</v>
      </c>
      <c r="AJ55" s="43">
        <f>AJ14/AD14-1</f>
        <v>0.10998757444621732</v>
      </c>
      <c r="AK55" s="386">
        <f>AK14/AE14-1</f>
        <v>8.9331081905148935E-2</v>
      </c>
      <c r="AL55" s="43"/>
      <c r="AM55" s="235">
        <f>AM14/AG14-1</f>
        <v>5.858317198040508E-2</v>
      </c>
      <c r="AN55" s="43">
        <f>AN14/AH14-1</f>
        <v>0.11389834368791862</v>
      </c>
      <c r="AO55" s="43">
        <f>AO14/AI14-1</f>
        <v>7.2549491384957143E-2</v>
      </c>
      <c r="AP55" s="43">
        <f>AP14/AJ14-1</f>
        <v>3.0555524919761767E-2</v>
      </c>
      <c r="AQ55" s="386">
        <f>AQ14/AK14-1</f>
        <v>6.7650866588977676E-2</v>
      </c>
      <c r="AR55" s="43"/>
      <c r="AS55" s="235">
        <f>AS14/AM14-1</f>
        <v>2.3686934107493895E-2</v>
      </c>
      <c r="AT55" s="43">
        <f>AT14/AN14-1</f>
        <v>2.7143384545480043E-2</v>
      </c>
      <c r="AU55" s="43">
        <f>AU14/AO14-1</f>
        <v>8.4815892620123678E-2</v>
      </c>
      <c r="AV55" s="43">
        <f>AV14/AP14-1</f>
        <v>8.5930769518890004E-2</v>
      </c>
      <c r="AW55" s="386">
        <f>AW14/AQ14-1</f>
        <v>5.6255483314475274E-2</v>
      </c>
      <c r="AX55" s="43"/>
      <c r="AY55" s="235">
        <f>AY14/AS14-1</f>
        <v>6.9696314571304985E-2</v>
      </c>
      <c r="AZ55" s="43">
        <f>AZ14/AT14-1</f>
        <v>5.2022737829290122E-2</v>
      </c>
      <c r="BA55" s="43">
        <f>BA14/AU14-1</f>
        <v>0.13344974955195332</v>
      </c>
      <c r="BB55" s="43">
        <f>BB14/AV14-1</f>
        <v>5.0063564959436757E-2</v>
      </c>
      <c r="BC55" s="386">
        <f>BC14/AW14-1</f>
        <v>7.5175279874485135E-2</v>
      </c>
      <c r="BD55" s="43"/>
      <c r="BE55" s="235">
        <f>BE14/AY14-1</f>
        <v>7.1468058420366853E-2</v>
      </c>
      <c r="BF55" s="43">
        <f>BF14/AZ14-1</f>
        <v>5.6808864032968032E-2</v>
      </c>
      <c r="BG55" s="43">
        <f>BG14/BA14-1</f>
        <v>4.4450638556658317E-2</v>
      </c>
      <c r="BH55" s="43">
        <f>BH14/BB14-1</f>
        <v>7.9586301395584647E-2</v>
      </c>
      <c r="BI55" s="386">
        <f>BI14/BC14-1</f>
        <v>6.3157511415615986E-2</v>
      </c>
      <c r="BJ55" s="43"/>
      <c r="BK55" s="235">
        <f>BK14/BE14-1</f>
        <v>7.6093469143199588E-2</v>
      </c>
      <c r="BL55" s="43">
        <f>BL14/BF14-1</f>
        <v>4.7756888490997573E-2</v>
      </c>
      <c r="BM55" s="43">
        <f>BM14/BG14-1</f>
        <v>3.6183045353751941E-2</v>
      </c>
      <c r="BN55" s="43">
        <f>BN14/BH14-1</f>
        <v>4.8373916596396338E-2</v>
      </c>
      <c r="BO55" s="386">
        <f>BO14/BI14-1</f>
        <v>5.1260910253038805E-2</v>
      </c>
      <c r="BP55" s="43"/>
      <c r="BQ55" s="235">
        <f>BQ14/BK14-1</f>
        <v>6.783952450829478E-2</v>
      </c>
      <c r="BR55" s="43">
        <f>BR14/BL14-1</f>
        <v>0.11018832002061441</v>
      </c>
      <c r="BS55" s="43">
        <f>BS14/BM14-1</f>
        <v>0.10354400145402098</v>
      </c>
      <c r="BT55" s="43">
        <f>BT14/BN14-1</f>
        <v>8.029858648385324E-2</v>
      </c>
      <c r="BU55" s="386">
        <f>BU14/BO14-1</f>
        <v>9.0589839239184178E-2</v>
      </c>
      <c r="BV55" s="43"/>
      <c r="BW55" s="235">
        <f>BW14/BQ14-1</f>
        <v>2.401494770807755E-2</v>
      </c>
      <c r="BX55" s="43">
        <f>BX14/BR14-1</f>
        <v>-9.7661223670946207E-3</v>
      </c>
      <c r="BY55" s="43">
        <f>BY14/BS14-1</f>
        <v>-1.0559230981781464E-2</v>
      </c>
      <c r="BZ55" s="43">
        <f>BZ14/BT14-1</f>
        <v>-7.9034699237906514E-3</v>
      </c>
      <c r="CA55" s="386">
        <f>CA14/BU14-1</f>
        <v>-1.9820435507850176E-3</v>
      </c>
      <c r="CB55" s="43"/>
      <c r="CC55" s="235">
        <f>CC14/BW14-1</f>
        <v>-1.7044507083831206E-2</v>
      </c>
      <c r="CD55" s="43">
        <f>CD14/BX14-1</f>
        <v>-1.5052976376335292E-2</v>
      </c>
      <c r="CE55" s="43">
        <f>CE14/BY14-1</f>
        <v>-1.6070727095679582E-2</v>
      </c>
      <c r="CF55" s="43">
        <f>CF14/BZ14-1</f>
        <v>-1.2844594006779397E-2</v>
      </c>
      <c r="CG55" s="386">
        <f>CG14/CA14-1</f>
        <v>-1.5147967369329218E-2</v>
      </c>
      <c r="CH55" s="117"/>
      <c r="CI55" s="117"/>
      <c r="CJ55" s="117"/>
      <c r="CK55" s="117"/>
      <c r="CL55" s="117"/>
      <c r="CM55" s="11"/>
      <c r="CN55" s="11"/>
      <c r="CO55"/>
      <c r="CP55"/>
      <c r="CQ55"/>
      <c r="CR55"/>
      <c r="CS55"/>
      <c r="CT55"/>
    </row>
    <row r="56" spans="1:98" s="7" customFormat="1" ht="11.25" customHeight="1" x14ac:dyDescent="0.2">
      <c r="B56" s="275" t="s">
        <v>99</v>
      </c>
      <c r="C56" s="235"/>
      <c r="D56" s="43"/>
      <c r="E56" s="43"/>
      <c r="F56" s="43"/>
      <c r="G56" s="386"/>
      <c r="H56" s="43"/>
      <c r="I56" s="235">
        <f>I13/C13-1</f>
        <v>0.14718771226363581</v>
      </c>
      <c r="J56" s="43">
        <f>J13/D13-1</f>
        <v>0.23718692983911183</v>
      </c>
      <c r="K56" s="43">
        <f>K13/E13-1</f>
        <v>0.17813160514961357</v>
      </c>
      <c r="L56" s="43">
        <f>L13/F13-1</f>
        <v>-5.3665444738961732E-3</v>
      </c>
      <c r="M56" s="386">
        <f>M13/G13-1</f>
        <v>0.1272595399188059</v>
      </c>
      <c r="N56" s="43"/>
      <c r="O56" s="235">
        <f>O13/I13-1</f>
        <v>9.3961590251446347E-2</v>
      </c>
      <c r="P56" s="43">
        <f>P13/J13-1</f>
        <v>6.3465463049855897E-2</v>
      </c>
      <c r="Q56" s="43">
        <f>Q13/K13-1</f>
        <v>-5.9901103870589889E-3</v>
      </c>
      <c r="R56" s="43">
        <f>R13/L13-1</f>
        <v>7.0802308074875864E-2</v>
      </c>
      <c r="S56" s="386">
        <f>S13/M13-1</f>
        <v>5.3672983733890955E-2</v>
      </c>
      <c r="T56" s="43"/>
      <c r="U56" s="235">
        <f>U13/O13-1</f>
        <v>0.22752985543683368</v>
      </c>
      <c r="V56" s="43">
        <f>V13/P13-1</f>
        <v>0.14704131444219648</v>
      </c>
      <c r="W56" s="43">
        <f>W13/Q13-1</f>
        <v>0.21220754618476767</v>
      </c>
      <c r="X56" s="43">
        <f>X13/R13-1</f>
        <v>6.6928783193999086E-2</v>
      </c>
      <c r="Y56" s="386">
        <f>Y13/S13-1</f>
        <v>0.15682157062183855</v>
      </c>
      <c r="Z56" s="43"/>
      <c r="AA56" s="235">
        <f>AA13/U13-1</f>
        <v>8.5566365136257483E-2</v>
      </c>
      <c r="AB56" s="43">
        <f>AB13/V13-1</f>
        <v>0.10110026987751652</v>
      </c>
      <c r="AC56" s="43">
        <f>AC13/W13-1</f>
        <v>5.7206492180100321E-2</v>
      </c>
      <c r="AD56" s="43">
        <f>AD13/X13-1</f>
        <v>0.15221643152735043</v>
      </c>
      <c r="AE56" s="386">
        <f>AE13/Y13-1</f>
        <v>9.9924365378252222E-2</v>
      </c>
      <c r="AF56" s="43"/>
      <c r="AG56" s="235">
        <f>AG13/AA13-1</f>
        <v>0.15001179183480851</v>
      </c>
      <c r="AH56" s="43">
        <f>AH13/AB13-1</f>
        <v>4.8215553189603133E-2</v>
      </c>
      <c r="AI56" s="43">
        <f>AI13/AC13-1</f>
        <v>4.8826761022392473E-2</v>
      </c>
      <c r="AJ56" s="43">
        <f>AJ13/AD13-1</f>
        <v>0.11098748117519563</v>
      </c>
      <c r="AK56" s="386">
        <f>AK13/AE13-1</f>
        <v>8.8002922447694143E-2</v>
      </c>
      <c r="AL56" s="43"/>
      <c r="AM56" s="235">
        <f>AM13/AG13-1</f>
        <v>5.9670629518022267E-2</v>
      </c>
      <c r="AN56" s="43">
        <f>AN13/AH13-1</f>
        <v>9.9861927408730899E-2</v>
      </c>
      <c r="AO56" s="43">
        <f>AO13/AI13-1</f>
        <v>6.7139416941328411E-2</v>
      </c>
      <c r="AP56" s="43">
        <f>AP13/AJ13-1</f>
        <v>1.9387446139510711E-2</v>
      </c>
      <c r="AQ56" s="386">
        <f>AQ13/AK13-1</f>
        <v>6.0059909806116085E-2</v>
      </c>
      <c r="AR56" s="43"/>
      <c r="AS56" s="235">
        <f>AS13/AM13-1</f>
        <v>3.9683478298266683E-2</v>
      </c>
      <c r="AT56" s="43">
        <f>AT13/AN13-1</f>
        <v>4.9488235180945139E-2</v>
      </c>
      <c r="AU56" s="43">
        <f>AU13/AO13-1</f>
        <v>0.10890589740123113</v>
      </c>
      <c r="AV56" s="43">
        <f>AV13/AP13-1</f>
        <v>0.10818554449201301</v>
      </c>
      <c r="AW56" s="386">
        <f>AW13/AQ13-1</f>
        <v>7.7371570099701747E-2</v>
      </c>
      <c r="AX56" s="43"/>
      <c r="AY56" s="235">
        <f>AY13/AS13-1</f>
        <v>6.191185290893686E-2</v>
      </c>
      <c r="AZ56" s="43">
        <f>AZ13/AT13-1</f>
        <v>5.0784382920022519E-2</v>
      </c>
      <c r="BA56" s="43">
        <f>BA13/AU13-1</f>
        <v>0.12551871597575093</v>
      </c>
      <c r="BB56" s="43">
        <f>BB13/AV13-1</f>
        <v>4.4641089925438804E-2</v>
      </c>
      <c r="BC56" s="386">
        <f>BC13/AW13-1</f>
        <v>6.9923217044431496E-2</v>
      </c>
      <c r="BD56" s="43"/>
      <c r="BE56" s="235">
        <f>BE13/AY13-1</f>
        <v>7.7130948787113907E-2</v>
      </c>
      <c r="BF56" s="43">
        <f>BF13/AZ13-1</f>
        <v>6.199024764696226E-2</v>
      </c>
      <c r="BG56" s="43">
        <f>BG13/BA13-1</f>
        <v>3.5353030378775685E-2</v>
      </c>
      <c r="BH56" s="43">
        <f>BH13/BB13-1</f>
        <v>8.1610338756925138E-2</v>
      </c>
      <c r="BI56" s="386">
        <f>BI13/BC13-1</f>
        <v>6.3807204508476323E-2</v>
      </c>
      <c r="BJ56" s="43"/>
      <c r="BK56" s="235">
        <f>BK13/BE13-1</f>
        <v>7.9098088319719428E-2</v>
      </c>
      <c r="BL56" s="43">
        <f>BL13/BF13-1</f>
        <v>6.1439642532988836E-2</v>
      </c>
      <c r="BM56" s="43">
        <f>BM13/BG13-1</f>
        <v>5.53914743966335E-2</v>
      </c>
      <c r="BN56" s="43">
        <f>BN13/BH13-1</f>
        <v>6.9237590917219594E-2</v>
      </c>
      <c r="BO56" s="386">
        <f>BO13/BI13-1</f>
        <v>6.6038318755729852E-2</v>
      </c>
      <c r="BP56" s="43"/>
      <c r="BQ56" s="235">
        <f>BQ13/BK13-1</f>
        <v>9.2443644105048683E-2</v>
      </c>
      <c r="BR56" s="43">
        <f>BR13/BL13-1</f>
        <v>0.10925238510301827</v>
      </c>
      <c r="BS56" s="43">
        <f>BS13/BM13-1</f>
        <v>9.69663741459037E-2</v>
      </c>
      <c r="BT56" s="43">
        <f>BT13/BN13-1</f>
        <v>6.4690626348034685E-2</v>
      </c>
      <c r="BU56" s="386">
        <f>BU13/BO13-1</f>
        <v>8.9972508743620949E-2</v>
      </c>
      <c r="BV56" s="43"/>
      <c r="BW56" s="235">
        <f>BW13/BQ13-1</f>
        <v>1.8696523085284467E-2</v>
      </c>
      <c r="BX56" s="43">
        <f>BX13/BR13-1</f>
        <v>-8.3461710729022531E-3</v>
      </c>
      <c r="BY56" s="43">
        <f>BY13/BS13-1</f>
        <v>-9.041655356373357E-3</v>
      </c>
      <c r="BZ56" s="43">
        <f>BZ13/BT13-1</f>
        <v>-6.9512852752595666E-3</v>
      </c>
      <c r="CA56" s="386">
        <f>CA13/BU13-1</f>
        <v>-1.9935107747101055E-3</v>
      </c>
      <c r="CB56" s="43"/>
      <c r="CC56" s="235">
        <f>CC13/BW13-1</f>
        <v>-1.5919377208064911E-2</v>
      </c>
      <c r="CD56" s="43">
        <f>CD13/BX13-1</f>
        <v>-1.4276633300196684E-2</v>
      </c>
      <c r="CE56" s="43">
        <f>CE13/BY13-1</f>
        <v>-1.498074767001345E-2</v>
      </c>
      <c r="CF56" s="43">
        <f>CF13/BZ13-1</f>
        <v>-1.2235432800247636E-2</v>
      </c>
      <c r="CG56" s="386">
        <f>CG13/CA13-1</f>
        <v>-1.4280884123626159E-2</v>
      </c>
      <c r="CH56" s="117"/>
      <c r="CI56" s="117"/>
      <c r="CJ56" s="117"/>
      <c r="CK56" s="117"/>
      <c r="CL56" s="117"/>
      <c r="CM56" s="11"/>
      <c r="CN56" s="11"/>
      <c r="CO56"/>
      <c r="CP56"/>
      <c r="CQ56"/>
      <c r="CR56"/>
      <c r="CS56"/>
      <c r="CT56"/>
    </row>
    <row r="57" spans="1:98" s="7" customFormat="1" ht="11.25" customHeight="1" x14ac:dyDescent="0.2">
      <c r="B57" s="426" t="s">
        <v>18</v>
      </c>
      <c r="C57" s="235"/>
      <c r="D57" s="43"/>
      <c r="E57" s="43"/>
      <c r="F57" s="43"/>
      <c r="G57" s="386"/>
      <c r="H57" s="43"/>
      <c r="I57" s="235">
        <f>I27/C27-1</f>
        <v>0.18676003132630359</v>
      </c>
      <c r="J57" s="43">
        <f>J27/D27-1</f>
        <v>0.19372141295762391</v>
      </c>
      <c r="K57" s="43">
        <f>K27/E27-1</f>
        <v>0.16359530559767732</v>
      </c>
      <c r="L57" s="43">
        <f>L27/F27-1</f>
        <v>2.1359098228636908E-2</v>
      </c>
      <c r="M57" s="386">
        <f>M27/G27-1</f>
        <v>0.1280436679003607</v>
      </c>
      <c r="N57" s="43"/>
      <c r="O57" s="235">
        <f>O27/I27-1</f>
        <v>0.11715383719575501</v>
      </c>
      <c r="P57" s="43">
        <f>P27/J27-1</f>
        <v>0.12832192044317536</v>
      </c>
      <c r="Q57" s="43">
        <f>Q27/K27-1</f>
        <v>3.2963608289773516E-2</v>
      </c>
      <c r="R57" s="43">
        <f>R27/L27-1</f>
        <v>8.0635192916551857E-2</v>
      </c>
      <c r="S57" s="386">
        <f>S27/M27-1</f>
        <v>8.669847550332288E-2</v>
      </c>
      <c r="T57" s="43"/>
      <c r="U57" s="235">
        <f>U27/O27-1</f>
        <v>0.2013968518711593</v>
      </c>
      <c r="V57" s="43">
        <f>V27/P27-1</f>
        <v>0.14561398723474062</v>
      </c>
      <c r="W57" s="43">
        <f>W27/Q27-1</f>
        <v>0.20533461327481972</v>
      </c>
      <c r="X57" s="43">
        <f>X27/R27-1</f>
        <v>8.5426490499080021E-2</v>
      </c>
      <c r="Y57" s="386">
        <f>Y27/S27-1</f>
        <v>0.15393570495857856</v>
      </c>
      <c r="Z57" s="43"/>
      <c r="AA57" s="235">
        <f>AA27/U27-1</f>
        <v>0.10621836587129385</v>
      </c>
      <c r="AB57" s="43">
        <f>AB27/V27-1</f>
        <v>0.12468899179771542</v>
      </c>
      <c r="AC57" s="43">
        <f>AC27/W27-1</f>
        <v>4.628354931564993E-2</v>
      </c>
      <c r="AD57" s="43">
        <f>AD27/X27-1</f>
        <v>0.12618958008494774</v>
      </c>
      <c r="AE57" s="386">
        <f>AE27/Y27-1</f>
        <v>0.10065291777307461</v>
      </c>
      <c r="AF57" s="43"/>
      <c r="AG57" s="235">
        <f>AG27/AA27-1</f>
        <v>0.16416759265311254</v>
      </c>
      <c r="AH57" s="43">
        <f>AH27/AB27-1</f>
        <v>6.1889388727179417E-2</v>
      </c>
      <c r="AI57" s="43">
        <f>AI27/AC27-1</f>
        <v>5.2304781374710174E-2</v>
      </c>
      <c r="AJ57" s="43">
        <f>AJ27/AD27-1</f>
        <v>7.3875680320842907E-2</v>
      </c>
      <c r="AK57" s="386">
        <f>AK27/AE27-1</f>
        <v>8.4186247657490165E-2</v>
      </c>
      <c r="AL57" s="43"/>
      <c r="AM57" s="235">
        <f>AM27/AG27-1</f>
        <v>5.7314183688368159E-2</v>
      </c>
      <c r="AN57" s="43">
        <f>AN27/AH27-1</f>
        <v>8.0819760371601435E-2</v>
      </c>
      <c r="AO57" s="43">
        <f>AO27/AI27-1</f>
        <v>0.10069132281365389</v>
      </c>
      <c r="AP57" s="43">
        <f>AP27/AJ27-1</f>
        <v>0.1049285568211058</v>
      </c>
      <c r="AQ57" s="386">
        <f>AQ27/AK27-1</f>
        <v>8.7194848135911496E-2</v>
      </c>
      <c r="AR57" s="43"/>
      <c r="AS57" s="235">
        <f>AS27/AM27-1</f>
        <v>8.4348481791053143E-2</v>
      </c>
      <c r="AT57" s="43">
        <f>AT27/AN27-1</f>
        <v>7.1991146361707559E-2</v>
      </c>
      <c r="AU57" s="43">
        <f>AU27/AO27-1</f>
        <v>7.7557151574891403E-2</v>
      </c>
      <c r="AV57" s="43">
        <f>AV27/AP27-1</f>
        <v>6.9993884185781452E-2</v>
      </c>
      <c r="AW57" s="386">
        <f>AW27/AQ27-1</f>
        <v>7.5471306274081496E-2</v>
      </c>
      <c r="AX57" s="43"/>
      <c r="AY57" s="235">
        <f>AY27/AS27-1</f>
        <v>6.219453667518815E-2</v>
      </c>
      <c r="AZ57" s="43">
        <f>AZ27/AT27-1</f>
        <v>5.9886782064077604E-2</v>
      </c>
      <c r="BA57" s="43">
        <f>BA27/AU27-1</f>
        <v>0.13745905067261877</v>
      </c>
      <c r="BB57" s="43">
        <f>BB27/AV27-1</f>
        <v>4.7297805454011188E-2</v>
      </c>
      <c r="BC57" s="386">
        <f>BC27/AW27-1</f>
        <v>7.5903766974124931E-2</v>
      </c>
      <c r="BD57" s="43"/>
      <c r="BE57" s="235">
        <f>BE27/AY27-1</f>
        <v>7.6967053638114402E-2</v>
      </c>
      <c r="BF57" s="43">
        <f>BF27/AZ27-1</f>
        <v>9.8922863381415205E-2</v>
      </c>
      <c r="BG57" s="43">
        <f>BG27/BA27-1</f>
        <v>5.5050439285193153E-2</v>
      </c>
      <c r="BH57" s="43">
        <f>BH27/BB27-1</f>
        <v>8.6323650856356293E-2</v>
      </c>
      <c r="BI57" s="386">
        <f>BI27/BC27-1</f>
        <v>7.9253530732632083E-2</v>
      </c>
      <c r="BJ57" s="43"/>
      <c r="BK57" s="235">
        <f>BK27/BE27-1</f>
        <v>0.20507551628480458</v>
      </c>
      <c r="BL57" s="43">
        <f>BL27/BF27-1</f>
        <v>2.8555811617325677E-2</v>
      </c>
      <c r="BM57" s="43">
        <f>BM27/BG27-1</f>
        <v>2.1126760563385805E-3</v>
      </c>
      <c r="BN57" s="43">
        <f>BN27/BH27-1</f>
        <v>5.136307147202146E-3</v>
      </c>
      <c r="BO57" s="386">
        <f>BO27/BI27-1</f>
        <v>5.3374378228960184E-2</v>
      </c>
      <c r="BP57" s="43"/>
      <c r="BQ57" s="235">
        <f>BQ27/BK27-1</f>
        <v>1.1018543940299885E-3</v>
      </c>
      <c r="BR57" s="43">
        <f>BR27/BL27-1</f>
        <v>8.2608312084489821E-2</v>
      </c>
      <c r="BS57" s="43">
        <f>BS27/BM27-1</f>
        <v>0.10014700802710408</v>
      </c>
      <c r="BT57" s="43">
        <f>BT27/BN27-1</f>
        <v>0.10944527112429392</v>
      </c>
      <c r="BU57" s="386">
        <f>BU27/BO27-1</f>
        <v>7.3889659268786545E-2</v>
      </c>
      <c r="BV57" s="43"/>
      <c r="BW57" s="235">
        <f>BW27/BQ27-1</f>
        <v>-1.8788106230213208E-2</v>
      </c>
      <c r="BX57" s="43">
        <f>BX27/BR27-1</f>
        <v>5.5383296198860954E-3</v>
      </c>
      <c r="BY57" s="43">
        <f>BY27/BS27-1</f>
        <v>4.4424280654120629E-3</v>
      </c>
      <c r="BZ57" s="43">
        <f>BZ27/BT27-1</f>
        <v>6.8786076504931959E-3</v>
      </c>
      <c r="CA57" s="386">
        <f>CA27/BU27-1</f>
        <v>3.6922609251810456E-5</v>
      </c>
      <c r="CB57" s="43"/>
      <c r="CC57" s="235">
        <f>CC27/BW27-1</f>
        <v>2.943351431857355E-2</v>
      </c>
      <c r="CD57" s="43">
        <f>CD27/BX27-1</f>
        <v>3.3225497927364289E-2</v>
      </c>
      <c r="CE57" s="43">
        <f>CE27/BY27-1</f>
        <v>2.6794045080538176E-2</v>
      </c>
      <c r="CF57" s="43">
        <f>CF27/BZ27-1</f>
        <v>2.1890761474619991E-2</v>
      </c>
      <c r="CG57" s="386">
        <f>CG27/CA27-1</f>
        <v>2.7622180022696563E-2</v>
      </c>
      <c r="CH57" s="117"/>
      <c r="CI57" s="117"/>
      <c r="CJ57" s="117"/>
      <c r="CK57" s="117"/>
      <c r="CL57" s="117"/>
      <c r="CM57" s="11"/>
      <c r="CN57" s="11"/>
      <c r="CO57"/>
      <c r="CP57"/>
      <c r="CQ57"/>
      <c r="CR57"/>
      <c r="CS57"/>
      <c r="CT57"/>
    </row>
    <row r="58" spans="1:98" s="7" customFormat="1" ht="11.25" customHeight="1" x14ac:dyDescent="0.2">
      <c r="A58" s="11"/>
      <c r="B58" s="427" t="s">
        <v>179</v>
      </c>
      <c r="C58" s="242"/>
      <c r="D58" s="243"/>
      <c r="E58" s="243"/>
      <c r="F58" s="243"/>
      <c r="G58" s="409"/>
      <c r="H58" s="43"/>
      <c r="I58" s="242">
        <f>I33/C33-1</f>
        <v>0.15749590456070517</v>
      </c>
      <c r="J58" s="243">
        <f>J33/D33-1</f>
        <v>0.17528601183806569</v>
      </c>
      <c r="K58" s="243">
        <f>K33/E33-1</f>
        <v>0.16388819095081963</v>
      </c>
      <c r="L58" s="243">
        <f>L33/F33-1</f>
        <v>5.1358415850116579E-2</v>
      </c>
      <c r="M58" s="409">
        <f>M33/G33-1</f>
        <v>0.12732643685993983</v>
      </c>
      <c r="N58" s="43"/>
      <c r="O58" s="242">
        <f>O33/I33-1</f>
        <v>0.15044811155212323</v>
      </c>
      <c r="P58" s="243">
        <f>P33/J33-1</f>
        <v>0.14674218021756968</v>
      </c>
      <c r="Q58" s="243">
        <f>Q33/K33-1</f>
        <v>3.1417204889866435E-2</v>
      </c>
      <c r="R58" s="243">
        <f>R33/L33-1</f>
        <v>5.0040098062213989E-2</v>
      </c>
      <c r="S58" s="409">
        <f>S33/M33-1</f>
        <v>9.467866992677032E-2</v>
      </c>
      <c r="T58" s="43"/>
      <c r="U58" s="242">
        <f>U33/O33-1</f>
        <v>0.16081516120711892</v>
      </c>
      <c r="V58" s="243">
        <f>V33/P33-1</f>
        <v>0.1110315442658969</v>
      </c>
      <c r="W58" s="243">
        <f>W33/Q33-1</f>
        <v>0.18262878165131946</v>
      </c>
      <c r="X58" s="243">
        <f>X33/R33-1</f>
        <v>7.5213076426729586E-2</v>
      </c>
      <c r="Y58" s="409">
        <f>Y33/S33-1</f>
        <v>0.12038214283815507</v>
      </c>
      <c r="Z58" s="43"/>
      <c r="AA58" s="242">
        <f>AA33/U33-1</f>
        <v>0.10099368944034803</v>
      </c>
      <c r="AB58" s="243">
        <f>AB33/V33-1</f>
        <v>0.12355763502236949</v>
      </c>
      <c r="AC58" s="243">
        <f>AC33/W33-1</f>
        <v>5.0801307698701059E-2</v>
      </c>
      <c r="AD58" s="243">
        <f>AD33/X33-1</f>
        <v>0.14645659845915548</v>
      </c>
      <c r="AE58" s="409">
        <f>AE33/Y33-1</f>
        <v>0.10835344779593092</v>
      </c>
      <c r="AF58" s="43"/>
      <c r="AG58" s="242">
        <f>AG33/AA33-1</f>
        <v>0.19620383715126533</v>
      </c>
      <c r="AH58" s="243">
        <f>AH33/AB33-1</f>
        <v>9.5814780504235308E-2</v>
      </c>
      <c r="AI58" s="243">
        <f>AI33/AC33-1</f>
        <v>9.0125634337880234E-2</v>
      </c>
      <c r="AJ58" s="243">
        <f>AJ33/AD33-1</f>
        <v>9.7425796602239378E-2</v>
      </c>
      <c r="AK58" s="409">
        <f>AK33/AE33-1</f>
        <v>0.11794674257191073</v>
      </c>
      <c r="AL58" s="43"/>
      <c r="AM58" s="242">
        <f>AM33/AG33-1</f>
        <v>7.9629333479250164E-2</v>
      </c>
      <c r="AN58" s="243">
        <f>AN33/AH33-1</f>
        <v>0.11258039015243737</v>
      </c>
      <c r="AO58" s="243">
        <f>AO33/AI33-1</f>
        <v>0.12893774903065824</v>
      </c>
      <c r="AP58" s="243">
        <f>AP33/AJ33-1</f>
        <v>0.13633939904183112</v>
      </c>
      <c r="AQ58" s="409">
        <f>AQ33/AK33-1</f>
        <v>0.11450438068192881</v>
      </c>
      <c r="AR58" s="43"/>
      <c r="AS58" s="242">
        <f>AS33/AM33-1</f>
        <v>0.11284900708744061</v>
      </c>
      <c r="AT58" s="243">
        <f>AT33/AN33-1</f>
        <v>9.6777357096379246E-2</v>
      </c>
      <c r="AU58" s="243">
        <f>AU33/AO33-1</f>
        <v>0.10219783822412865</v>
      </c>
      <c r="AV58" s="243">
        <f>AV33/AP33-1</f>
        <v>9.2506957195629846E-2</v>
      </c>
      <c r="AW58" s="409">
        <f>AW33/AQ33-1</f>
        <v>9.9077989250613285E-2</v>
      </c>
      <c r="AX58" s="43"/>
      <c r="AY58" s="242">
        <f>AY33/AS33-1</f>
        <v>8.4801356596398758E-2</v>
      </c>
      <c r="AZ58" s="243">
        <f>AZ33/AT33-1</f>
        <v>8.1663468075222401E-2</v>
      </c>
      <c r="BA58" s="243">
        <f>BA33/AU33-1</f>
        <v>0.15593782265324285</v>
      </c>
      <c r="BB58" s="243">
        <f>BB33/AV33-1</f>
        <v>6.9472887494453683E-2</v>
      </c>
      <c r="BC58" s="409">
        <f>BC33/AW33-1</f>
        <v>9.6558561430745371E-2</v>
      </c>
      <c r="BD58" s="43"/>
      <c r="BE58" s="242">
        <f>BE33/AY33-1</f>
        <v>0.10268753488624283</v>
      </c>
      <c r="BF58" s="243">
        <f>BF33/AZ33-1</f>
        <v>0.12366376577203231</v>
      </c>
      <c r="BG58" s="243">
        <f>BG33/BA33-1</f>
        <v>8.3780601513116837E-2</v>
      </c>
      <c r="BH58" s="243">
        <f>BH33/BB33-1</f>
        <v>0.12326021986567892</v>
      </c>
      <c r="BI58" s="409">
        <f>BI33/BC33-1</f>
        <v>0.1088650045235644</v>
      </c>
      <c r="BJ58" s="43"/>
      <c r="BK58" s="242">
        <f>BK33/BE33-1</f>
        <v>0.24822222538950722</v>
      </c>
      <c r="BL58" s="243">
        <f>BL33/BF33-1</f>
        <v>6.5488540601950529E-2</v>
      </c>
      <c r="BM58" s="243">
        <f>BM33/BG33-1</f>
        <v>3.6550386344833763E-2</v>
      </c>
      <c r="BN58" s="243">
        <f>BN33/BH33-1</f>
        <v>4.3681739598406155E-2</v>
      </c>
      <c r="BO58" s="409">
        <f>BO33/BI33-1</f>
        <v>9.1394953603253448E-2</v>
      </c>
      <c r="BP58" s="43"/>
      <c r="BQ58" s="242">
        <f>BQ33/BK33-1</f>
        <v>4.48855470640106E-2</v>
      </c>
      <c r="BR58" s="243">
        <f>BR33/BL33-1</f>
        <v>0.13614181296631811</v>
      </c>
      <c r="BS58" s="243">
        <f>BS33/BM33-1</f>
        <v>0.16006378575424884</v>
      </c>
      <c r="BT58" s="243">
        <f>BT33/BN33-1</f>
        <v>0.15794474706490402</v>
      </c>
      <c r="BU58" s="409">
        <f>BU33/BO33-1</f>
        <v>0.12525850295990937</v>
      </c>
      <c r="BV58" s="43"/>
      <c r="BW58" s="242">
        <f>BW33/BQ33-1</f>
        <v>2.1215218590511231E-2</v>
      </c>
      <c r="BX58" s="243">
        <f>BX33/BR33-1</f>
        <v>4.7699437072312723E-2</v>
      </c>
      <c r="BY58" s="243">
        <f>BY33/BS33-1</f>
        <v>4.7746537446243575E-2</v>
      </c>
      <c r="BZ58" s="243">
        <f>BZ33/BT33-1</f>
        <v>5.1499594144893468E-2</v>
      </c>
      <c r="CA58" s="409">
        <f>CA33/BU33-1</f>
        <v>4.2553995705577163E-2</v>
      </c>
      <c r="CB58" s="43"/>
      <c r="CC58" s="242">
        <f>CC33/BW33-1</f>
        <v>7.6336236982598615E-2</v>
      </c>
      <c r="CD58" s="243">
        <f>CD33/BX33-1</f>
        <v>8.1639680623752708E-2</v>
      </c>
      <c r="CE58" s="243">
        <f>CE33/BY33-1</f>
        <v>7.6268794676039864E-2</v>
      </c>
      <c r="CF58" s="243">
        <f>CF33/BZ33-1</f>
        <v>7.2513230490142355E-2</v>
      </c>
      <c r="CG58" s="409">
        <f>CG33/CA33-1</f>
        <v>7.6449545762479865E-2</v>
      </c>
      <c r="CH58" s="117"/>
      <c r="CI58" s="117"/>
      <c r="CJ58" s="117"/>
      <c r="CK58" s="117"/>
      <c r="CL58" s="117"/>
      <c r="CM58" s="11"/>
      <c r="CN58" s="11"/>
      <c r="CO58"/>
      <c r="CP58"/>
      <c r="CQ58"/>
      <c r="CR58"/>
      <c r="CS58"/>
      <c r="CT58"/>
    </row>
    <row r="59" spans="1:98" s="7" customFormat="1" ht="11.25" customHeight="1" x14ac:dyDescent="0.2">
      <c r="B59" s="11"/>
      <c r="C59" s="17"/>
      <c r="D59" s="17"/>
      <c r="E59" s="17"/>
      <c r="F59" s="17"/>
      <c r="G59" s="178"/>
      <c r="H59" s="11"/>
      <c r="I59" s="117"/>
      <c r="J59" s="117"/>
      <c r="K59" s="117"/>
      <c r="L59" s="117"/>
      <c r="M59" s="178"/>
      <c r="N59" s="11"/>
      <c r="O59" s="117"/>
      <c r="P59" s="117"/>
      <c r="Q59" s="117"/>
      <c r="R59" s="117"/>
      <c r="S59" s="178"/>
      <c r="T59" s="11"/>
      <c r="U59" s="117"/>
      <c r="V59" s="117"/>
      <c r="W59" s="117"/>
      <c r="X59" s="117"/>
      <c r="Y59" s="178"/>
      <c r="Z59" s="11"/>
      <c r="AA59" s="117"/>
      <c r="AB59" s="117"/>
      <c r="AC59" s="117"/>
      <c r="AD59" s="117"/>
      <c r="AE59" s="178"/>
      <c r="AF59" s="11"/>
      <c r="AG59" s="117"/>
      <c r="AH59" s="117"/>
      <c r="AI59" s="117"/>
      <c r="AJ59" s="117"/>
      <c r="AK59" s="178"/>
      <c r="AL59" s="11"/>
      <c r="AM59" s="117"/>
      <c r="AN59" s="117"/>
      <c r="AO59" s="117"/>
      <c r="AP59" s="117"/>
      <c r="AQ59" s="178"/>
      <c r="AR59" s="11"/>
      <c r="AS59" s="117"/>
      <c r="AT59" s="117"/>
      <c r="AU59" s="117"/>
      <c r="AV59" s="117"/>
      <c r="AW59" s="178"/>
      <c r="AX59" s="11"/>
      <c r="AY59" s="117"/>
      <c r="AZ59" s="117"/>
      <c r="BA59" s="117"/>
      <c r="BB59" s="117"/>
      <c r="BC59" s="178"/>
      <c r="BD59" s="11"/>
      <c r="BE59" s="11"/>
      <c r="BF59" s="11"/>
      <c r="BG59" s="11"/>
      <c r="BH59" s="117"/>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7"/>
      <c r="CI59" s="117"/>
      <c r="CJ59" s="117"/>
      <c r="CK59" s="117"/>
      <c r="CL59" s="117"/>
      <c r="CM59" s="11"/>
      <c r="CN59" s="11"/>
      <c r="CO59"/>
      <c r="CP59"/>
      <c r="CQ59"/>
      <c r="CR59"/>
      <c r="CS59"/>
      <c r="CT59"/>
    </row>
    <row r="60" spans="1:98" s="7" customFormat="1" ht="11.25" customHeight="1" x14ac:dyDescent="0.2">
      <c r="B60" s="815" t="s">
        <v>169</v>
      </c>
      <c r="C60" s="822"/>
      <c r="D60" s="822"/>
      <c r="E60" s="822"/>
      <c r="F60" s="822"/>
      <c r="G60" s="822"/>
      <c r="H60" s="823"/>
      <c r="I60" s="822"/>
      <c r="J60" s="822"/>
      <c r="K60" s="822"/>
      <c r="L60" s="822"/>
      <c r="M60" s="822"/>
      <c r="N60" s="823"/>
      <c r="O60" s="822"/>
      <c r="P60" s="825"/>
      <c r="Q60" s="822"/>
      <c r="R60" s="822"/>
      <c r="S60" s="822"/>
      <c r="T60" s="823"/>
      <c r="U60" s="822"/>
      <c r="V60" s="822"/>
      <c r="W60" s="822"/>
      <c r="X60" s="822"/>
      <c r="Y60" s="822"/>
      <c r="Z60" s="823"/>
      <c r="AA60" s="822"/>
      <c r="AB60" s="822"/>
      <c r="AC60" s="822"/>
      <c r="AD60" s="822"/>
      <c r="AE60" s="822"/>
      <c r="AF60" s="823"/>
      <c r="AG60" s="822"/>
      <c r="AH60" s="822"/>
      <c r="AI60" s="822"/>
      <c r="AJ60" s="822"/>
      <c r="AK60" s="822"/>
      <c r="AL60" s="823"/>
      <c r="AM60" s="822"/>
      <c r="AN60" s="822"/>
      <c r="AO60" s="822"/>
      <c r="AP60" s="822"/>
      <c r="AQ60" s="822"/>
      <c r="AR60" s="823"/>
      <c r="AS60" s="822"/>
      <c r="AT60" s="822"/>
      <c r="AU60" s="822"/>
      <c r="AV60" s="822"/>
      <c r="AW60" s="822"/>
      <c r="AX60" s="823"/>
      <c r="AY60" s="822"/>
      <c r="AZ60" s="822"/>
      <c r="BA60" s="822"/>
      <c r="BB60" s="822"/>
      <c r="BC60" s="822"/>
      <c r="BD60" s="823"/>
      <c r="BE60" s="823"/>
      <c r="BF60" s="823"/>
      <c r="BG60" s="823"/>
      <c r="BH60" s="822"/>
      <c r="BI60" s="826"/>
      <c r="BJ60" s="823"/>
      <c r="BK60" s="823"/>
      <c r="BL60" s="823"/>
      <c r="BM60" s="823"/>
      <c r="BN60" s="823"/>
      <c r="BO60" s="826"/>
      <c r="BP60" s="823"/>
      <c r="BQ60" s="823"/>
      <c r="BR60" s="823"/>
      <c r="BS60" s="823"/>
      <c r="BT60" s="823"/>
      <c r="BU60" s="826"/>
      <c r="BV60" s="823"/>
      <c r="BW60" s="823"/>
      <c r="BX60" s="823"/>
      <c r="BY60" s="823"/>
      <c r="BZ60" s="823"/>
      <c r="CA60" s="823"/>
      <c r="CB60" s="823"/>
      <c r="CC60" s="823"/>
      <c r="CD60" s="823"/>
      <c r="CE60" s="823"/>
      <c r="CF60" s="823"/>
      <c r="CG60" s="823"/>
      <c r="CH60" s="17"/>
      <c r="CI60" s="17"/>
      <c r="CJ60" s="17"/>
      <c r="CK60" s="17"/>
      <c r="CL60" s="17"/>
      <c r="CM60" s="11"/>
      <c r="CN60" s="11"/>
      <c r="CO60"/>
      <c r="CP60"/>
      <c r="CQ60"/>
      <c r="CR60"/>
      <c r="CS60"/>
      <c r="CT60"/>
    </row>
    <row r="61" spans="1:98" s="7" customFormat="1" ht="11.25" customHeight="1" x14ac:dyDescent="0.2">
      <c r="B61" s="428" t="s">
        <v>178</v>
      </c>
      <c r="C61" s="156">
        <f>SUM(C62:C65)</f>
        <v>0</v>
      </c>
      <c r="D61" s="154">
        <f>SUM(D62:D65)</f>
        <v>0</v>
      </c>
      <c r="E61" s="154">
        <f>SUM(E62:E65)</f>
        <v>0</v>
      </c>
      <c r="F61" s="154">
        <f>SUM(F62:F65)</f>
        <v>0</v>
      </c>
      <c r="G61" s="410">
        <f t="shared" ref="G61:G66" si="28">+SUM(C61:F61)</f>
        <v>0</v>
      </c>
      <c r="H61" s="26"/>
      <c r="I61" s="156">
        <f>SUM(I62:I65)</f>
        <v>0</v>
      </c>
      <c r="J61" s="154">
        <f>SUM(J62:J65)</f>
        <v>0</v>
      </c>
      <c r="K61" s="154">
        <f>SUM(K62:K65)</f>
        <v>3.0449999999999999</v>
      </c>
      <c r="L61" s="154">
        <f>SUM(L62:L65)</f>
        <v>15.991</v>
      </c>
      <c r="M61" s="410">
        <f t="shared" ref="M61:M66" si="29">+SUM(I61:L61)</f>
        <v>19.036000000000001</v>
      </c>
      <c r="N61" s="26"/>
      <c r="O61" s="156">
        <f>SUM(O62:O65)</f>
        <v>2.7840000000000003</v>
      </c>
      <c r="P61" s="154">
        <f>SUM(P62:P65)</f>
        <v>0</v>
      </c>
      <c r="Q61" s="154">
        <f>SUM(Q62:Q65)</f>
        <v>-21.131</v>
      </c>
      <c r="R61" s="154">
        <f>SUM(R62:R65)</f>
        <v>-0.7260000000000002</v>
      </c>
      <c r="S61" s="410">
        <f t="shared" ref="S61:S66" si="30">+SUM(O61:R61)</f>
        <v>-19.073</v>
      </c>
      <c r="T61" s="26"/>
      <c r="U61" s="156">
        <f>SUM(U62:U65)</f>
        <v>8.25</v>
      </c>
      <c r="V61" s="154">
        <f>SUM(V62:V65)</f>
        <v>0</v>
      </c>
      <c r="W61" s="154">
        <f>SUM(W62:W65)</f>
        <v>0</v>
      </c>
      <c r="X61" s="154">
        <f>SUM(X62:X65)</f>
        <v>0</v>
      </c>
      <c r="Y61" s="410">
        <f t="shared" ref="Y61:Y66" si="31">+SUM(U61:X61)</f>
        <v>8.25</v>
      </c>
      <c r="Z61" s="26"/>
      <c r="AA61" s="156">
        <f>SUM(AA62:AA65)</f>
        <v>0</v>
      </c>
      <c r="AB61" s="154">
        <f>SUM(AB62:AB65)</f>
        <v>0</v>
      </c>
      <c r="AC61" s="154">
        <f>SUM(AC62:AC65)</f>
        <v>0</v>
      </c>
      <c r="AD61" s="154">
        <f>SUM(AD62:AD65)</f>
        <v>0</v>
      </c>
      <c r="AE61" s="410">
        <f t="shared" ref="AE61:AE66" si="32">+SUM(AA61:AD61)</f>
        <v>0</v>
      </c>
      <c r="AF61" s="26"/>
      <c r="AG61" s="156">
        <f>SUM(AG62:AG65)</f>
        <v>8.3010000000000002</v>
      </c>
      <c r="AH61" s="154">
        <f>SUM(AH62:AH65)</f>
        <v>2.2359999999999998</v>
      </c>
      <c r="AI61" s="154">
        <f>SUM(AI62:AI65)</f>
        <v>0</v>
      </c>
      <c r="AJ61" s="154">
        <f>SUM(AJ62:AJ65)</f>
        <v>0</v>
      </c>
      <c r="AK61" s="410">
        <f t="shared" ref="AK61:AK66" si="33">+SUM(AG61:AJ61)</f>
        <v>10.536999999999999</v>
      </c>
      <c r="AL61" s="26"/>
      <c r="AM61" s="156">
        <f>SUM(AM62:AM65)</f>
        <v>2.6789999999999998</v>
      </c>
      <c r="AN61" s="154">
        <f>SUM(AN62:AN65)</f>
        <v>0</v>
      </c>
      <c r="AO61" s="154">
        <f>SUM(AO62:AO65)</f>
        <v>-0.86299999999999955</v>
      </c>
      <c r="AP61" s="154">
        <f>SUM(AP62:AP65)</f>
        <v>0</v>
      </c>
      <c r="AQ61" s="410">
        <f t="shared" ref="AQ61:AQ66" si="34">+SUM(AM61:AP61)</f>
        <v>1.8160000000000003</v>
      </c>
      <c r="AR61" s="26"/>
      <c r="AS61" s="156">
        <f>SUM(AS62:AS65)</f>
        <v>0</v>
      </c>
      <c r="AT61" s="154">
        <f>SUM(AT62:AT65)</f>
        <v>0</v>
      </c>
      <c r="AU61" s="154">
        <f>SUM(AU62:AU65)</f>
        <v>0</v>
      </c>
      <c r="AV61" s="154">
        <f>SUM(AV62:AV65)</f>
        <v>0</v>
      </c>
      <c r="AW61" s="410">
        <f t="shared" ref="AW61:AW66" si="35">+SUM(AS61:AV61)</f>
        <v>0</v>
      </c>
      <c r="AX61" s="26"/>
      <c r="AY61" s="156">
        <f>SUM(AY62:AY65)</f>
        <v>5.0019999999999998</v>
      </c>
      <c r="AZ61" s="154">
        <f>SUM(AZ62:AZ65)</f>
        <v>5.2690000000000001</v>
      </c>
      <c r="BA61" s="154">
        <f>SUM(BA62:BA65)</f>
        <v>2.8180000000000009</v>
      </c>
      <c r="BB61" s="154">
        <f>SUM(BB62:BB65)</f>
        <v>9.3069999999999986</v>
      </c>
      <c r="BC61" s="410">
        <f t="shared" ref="BC61:BC66" si="36">+SUM(AY61:BB61)</f>
        <v>22.396000000000001</v>
      </c>
      <c r="BD61" s="26"/>
      <c r="BE61" s="156">
        <f>SUM(BE62:BE65)</f>
        <v>3.0439999999999996</v>
      </c>
      <c r="BF61" s="154">
        <f>SUM(BF62:BF65)</f>
        <v>15.286999999999999</v>
      </c>
      <c r="BG61" s="154">
        <f>SUM(BG62:BG65)</f>
        <v>4.0270000000000001</v>
      </c>
      <c r="BH61" s="154">
        <f>SUM(BH62:BH65)</f>
        <v>12.059999999999999</v>
      </c>
      <c r="BI61" s="410">
        <f t="shared" ref="BI61:BI66" si="37">+SUM(BE61:BH61)</f>
        <v>34.417999999999999</v>
      </c>
      <c r="BJ61" s="26"/>
      <c r="BK61" s="156">
        <f>SUM(BK62:BK65)</f>
        <v>0</v>
      </c>
      <c r="BL61" s="154">
        <f>SUM(BL62:BL65)</f>
        <v>3.1950000000000003</v>
      </c>
      <c r="BM61" s="154">
        <f>SUM(BM62:BM65)</f>
        <v>0</v>
      </c>
      <c r="BN61" s="154">
        <f>SUM(BN62:BN65)</f>
        <v>160.58799999999999</v>
      </c>
      <c r="BO61" s="410">
        <f t="shared" ref="BO61:BO66" si="38">+SUM(BK61:BN61)</f>
        <v>163.78299999999999</v>
      </c>
      <c r="BP61" s="26"/>
      <c r="BQ61" s="156">
        <f>SUM(BQ62:BQ65)</f>
        <v>0</v>
      </c>
      <c r="BR61" s="154">
        <f>SUM(BR62:BR65)</f>
        <v>0</v>
      </c>
      <c r="BS61" s="154">
        <f>SUM(BS62:BS65)</f>
        <v>0</v>
      </c>
      <c r="BT61" s="154">
        <f>SUM(BT62:BT65)</f>
        <v>0</v>
      </c>
      <c r="BU61" s="410">
        <f t="shared" ref="BU61:BU66" si="39">+SUM(BQ61:BT61)</f>
        <v>0</v>
      </c>
      <c r="BV61" s="26"/>
      <c r="BW61" s="156">
        <f>SUM(BW62:BW65)</f>
        <v>0</v>
      </c>
      <c r="BX61" s="154">
        <f>SUM(BX62:BX65)</f>
        <v>0</v>
      </c>
      <c r="BY61" s="154">
        <f>SUM(BY62:BY65)</f>
        <v>0</v>
      </c>
      <c r="BZ61" s="154">
        <f>SUM(BZ62:BZ65)</f>
        <v>0</v>
      </c>
      <c r="CA61" s="410">
        <f t="shared" ref="CA61:CA66" si="40">+SUM(BW61:BZ61)</f>
        <v>0</v>
      </c>
      <c r="CB61" s="26"/>
      <c r="CC61" s="156">
        <f>SUM(CC62:CC65)</f>
        <v>0</v>
      </c>
      <c r="CD61" s="154">
        <f>SUM(CD62:CD65)</f>
        <v>0</v>
      </c>
      <c r="CE61" s="154">
        <f>SUM(CE62:CE65)</f>
        <v>0</v>
      </c>
      <c r="CF61" s="154">
        <f>SUM(CF62:CF65)</f>
        <v>0</v>
      </c>
      <c r="CG61" s="410">
        <f t="shared" ref="CG61:CG66" si="41">+SUM(CC61:CF61)</f>
        <v>0</v>
      </c>
      <c r="CH61" s="57"/>
      <c r="CI61" s="57"/>
      <c r="CJ61" s="57"/>
      <c r="CK61" s="57"/>
      <c r="CL61" s="57"/>
      <c r="CM61" s="11"/>
      <c r="CN61" s="11"/>
      <c r="CO61"/>
      <c r="CP61"/>
      <c r="CQ61"/>
      <c r="CR61"/>
      <c r="CS61"/>
      <c r="CT61"/>
    </row>
    <row r="62" spans="1:98" s="7" customFormat="1" ht="11.25" customHeight="1" x14ac:dyDescent="0.2">
      <c r="B62" s="426" t="s">
        <v>300</v>
      </c>
      <c r="C62" s="222">
        <v>0</v>
      </c>
      <c r="D62" s="218">
        <v>0</v>
      </c>
      <c r="E62" s="218">
        <v>0</v>
      </c>
      <c r="F62" s="218">
        <f>0-SUM(C62:E62)</f>
        <v>0</v>
      </c>
      <c r="G62" s="384">
        <f t="shared" si="28"/>
        <v>0</v>
      </c>
      <c r="H62" s="26"/>
      <c r="I62" s="222">
        <v>0</v>
      </c>
      <c r="J62" s="218">
        <v>0</v>
      </c>
      <c r="K62" s="218">
        <v>0</v>
      </c>
      <c r="L62" s="218">
        <f>23.24-SUM(I62:K62)</f>
        <v>23.24</v>
      </c>
      <c r="M62" s="384">
        <f t="shared" si="29"/>
        <v>23.24</v>
      </c>
      <c r="N62" s="26"/>
      <c r="O62" s="222">
        <v>4.0430000000000001</v>
      </c>
      <c r="P62" s="218">
        <v>0</v>
      </c>
      <c r="Q62" s="218">
        <v>0</v>
      </c>
      <c r="R62" s="218">
        <f>3.02-SUM(O62:Q62)</f>
        <v>-1.0230000000000001</v>
      </c>
      <c r="S62" s="384">
        <f t="shared" si="30"/>
        <v>3.02</v>
      </c>
      <c r="T62" s="26"/>
      <c r="U62" s="222">
        <v>12.285</v>
      </c>
      <c r="V62" s="218">
        <v>0</v>
      </c>
      <c r="W62" s="218">
        <v>0</v>
      </c>
      <c r="X62" s="218">
        <f>12.285-SUM(U62:W62)</f>
        <v>0</v>
      </c>
      <c r="Y62" s="384">
        <f t="shared" si="31"/>
        <v>12.285</v>
      </c>
      <c r="Z62" s="26"/>
      <c r="AA62" s="222">
        <v>0</v>
      </c>
      <c r="AB62" s="218">
        <v>0</v>
      </c>
      <c r="AC62" s="218">
        <v>0</v>
      </c>
      <c r="AD62" s="218">
        <f>0-SUM(AA62:AC62)</f>
        <v>0</v>
      </c>
      <c r="AE62" s="384">
        <f t="shared" si="32"/>
        <v>0</v>
      </c>
      <c r="AF62" s="26"/>
      <c r="AG62" s="222">
        <v>11.832000000000001</v>
      </c>
      <c r="AH62" s="218">
        <v>3.36</v>
      </c>
      <c r="AI62" s="218">
        <v>0</v>
      </c>
      <c r="AJ62" s="218">
        <v>0</v>
      </c>
      <c r="AK62" s="384">
        <f t="shared" si="33"/>
        <v>15.192</v>
      </c>
      <c r="AL62" s="26"/>
      <c r="AM62" s="222">
        <v>0</v>
      </c>
      <c r="AN62" s="218">
        <v>0</v>
      </c>
      <c r="AO62" s="218">
        <v>0</v>
      </c>
      <c r="AP62" s="218">
        <f>0-SUM(AM62:AO62)</f>
        <v>0</v>
      </c>
      <c r="AQ62" s="384">
        <f t="shared" si="34"/>
        <v>0</v>
      </c>
      <c r="AR62" s="26"/>
      <c r="AS62" s="222">
        <v>0</v>
      </c>
      <c r="AT62" s="218">
        <v>0</v>
      </c>
      <c r="AU62" s="218">
        <v>0</v>
      </c>
      <c r="AV62" s="218">
        <f>0-SUM(AS62:AU62)</f>
        <v>0</v>
      </c>
      <c r="AW62" s="384">
        <f t="shared" si="35"/>
        <v>0</v>
      </c>
      <c r="AX62" s="26"/>
      <c r="AY62" s="222">
        <v>6.8620000000000001</v>
      </c>
      <c r="AZ62" s="218">
        <v>7.2220000000000004</v>
      </c>
      <c r="BA62" s="218">
        <v>8.4380000000000006</v>
      </c>
      <c r="BB62" s="218">
        <f>34.931-SUM(AY62:BA62)</f>
        <v>12.408999999999999</v>
      </c>
      <c r="BC62" s="384">
        <f t="shared" si="36"/>
        <v>34.930999999999997</v>
      </c>
      <c r="BD62" s="26"/>
      <c r="BE62" s="222">
        <v>4.0579999999999998</v>
      </c>
      <c r="BF62" s="218">
        <v>20.382999999999999</v>
      </c>
      <c r="BG62" s="218">
        <v>5.37</v>
      </c>
      <c r="BH62" s="218">
        <v>16.079999999999998</v>
      </c>
      <c r="BI62" s="384">
        <f t="shared" si="37"/>
        <v>45.890999999999998</v>
      </c>
      <c r="BJ62" s="26"/>
      <c r="BK62" s="222">
        <v>0</v>
      </c>
      <c r="BL62" s="218">
        <v>0</v>
      </c>
      <c r="BM62" s="218">
        <v>0</v>
      </c>
      <c r="BN62" s="218">
        <v>0</v>
      </c>
      <c r="BO62" s="384">
        <f t="shared" si="38"/>
        <v>0</v>
      </c>
      <c r="BP62" s="26"/>
      <c r="BQ62" s="107">
        <v>0</v>
      </c>
      <c r="BR62" s="106">
        <v>0</v>
      </c>
      <c r="BS62" s="106">
        <v>0</v>
      </c>
      <c r="BT62" s="106">
        <v>0</v>
      </c>
      <c r="BU62" s="384">
        <f t="shared" si="39"/>
        <v>0</v>
      </c>
      <c r="BV62" s="26"/>
      <c r="BW62" s="107">
        <v>0</v>
      </c>
      <c r="BX62" s="106">
        <v>0</v>
      </c>
      <c r="BY62" s="106">
        <v>0</v>
      </c>
      <c r="BZ62" s="106">
        <v>0</v>
      </c>
      <c r="CA62" s="384">
        <f t="shared" si="40"/>
        <v>0</v>
      </c>
      <c r="CB62" s="26"/>
      <c r="CC62" s="107">
        <v>0</v>
      </c>
      <c r="CD62" s="106">
        <v>0</v>
      </c>
      <c r="CE62" s="106">
        <v>0</v>
      </c>
      <c r="CF62" s="106">
        <v>0</v>
      </c>
      <c r="CG62" s="384">
        <f t="shared" si="41"/>
        <v>0</v>
      </c>
      <c r="CH62" s="57"/>
      <c r="CI62" s="57"/>
      <c r="CJ62" s="57"/>
      <c r="CK62" s="57"/>
      <c r="CL62" s="57"/>
      <c r="CM62" s="11"/>
      <c r="CN62" s="11"/>
      <c r="CO62"/>
      <c r="CP62"/>
      <c r="CQ62"/>
      <c r="CR62"/>
      <c r="CS62"/>
      <c r="CT62"/>
    </row>
    <row r="63" spans="1:98" s="7" customFormat="1" ht="11.25" customHeight="1" x14ac:dyDescent="0.2">
      <c r="B63" s="426" t="s">
        <v>38</v>
      </c>
      <c r="C63" s="222">
        <v>0</v>
      </c>
      <c r="D63" s="218">
        <v>0</v>
      </c>
      <c r="E63" s="218">
        <v>0</v>
      </c>
      <c r="F63" s="218">
        <f>0-SUM(C63:E63)</f>
        <v>0</v>
      </c>
      <c r="G63" s="384">
        <f t="shared" si="28"/>
        <v>0</v>
      </c>
      <c r="H63" s="26"/>
      <c r="I63" s="222">
        <v>0</v>
      </c>
      <c r="J63" s="218">
        <v>0</v>
      </c>
      <c r="K63" s="218">
        <v>3.0449999999999999</v>
      </c>
      <c r="L63" s="218">
        <f>3.045-SUM(I63:K63)</f>
        <v>0</v>
      </c>
      <c r="M63" s="384">
        <f t="shared" si="29"/>
        <v>3.0449999999999999</v>
      </c>
      <c r="N63" s="26"/>
      <c r="O63" s="222">
        <v>0</v>
      </c>
      <c r="P63" s="218">
        <v>0</v>
      </c>
      <c r="Q63" s="218">
        <f>-0.338-1.028</f>
        <v>-1.3660000000000001</v>
      </c>
      <c r="R63" s="218">
        <v>0</v>
      </c>
      <c r="S63" s="384">
        <f t="shared" si="30"/>
        <v>-1.3660000000000001</v>
      </c>
      <c r="T63" s="26"/>
      <c r="U63" s="222">
        <v>0</v>
      </c>
      <c r="V63" s="218">
        <v>0</v>
      </c>
      <c r="W63" s="218">
        <v>0</v>
      </c>
      <c r="X63" s="218">
        <f>0-SUM(U63:W63)</f>
        <v>0</v>
      </c>
      <c r="Y63" s="384">
        <f t="shared" si="31"/>
        <v>0</v>
      </c>
      <c r="Z63" s="26"/>
      <c r="AA63" s="222">
        <v>0</v>
      </c>
      <c r="AB63" s="218">
        <v>0</v>
      </c>
      <c r="AC63" s="218">
        <v>0</v>
      </c>
      <c r="AD63" s="218">
        <f>0-SUM(AA63:AC63)</f>
        <v>0</v>
      </c>
      <c r="AE63" s="384">
        <f t="shared" si="32"/>
        <v>0</v>
      </c>
      <c r="AF63" s="26"/>
      <c r="AG63" s="222">
        <v>0</v>
      </c>
      <c r="AH63" s="218">
        <v>0</v>
      </c>
      <c r="AI63" s="218">
        <v>0</v>
      </c>
      <c r="AJ63" s="218">
        <f>0-SUM(AG63:AI63)</f>
        <v>0</v>
      </c>
      <c r="AK63" s="384">
        <f t="shared" si="33"/>
        <v>0</v>
      </c>
      <c r="AL63" s="26"/>
      <c r="AM63" s="222">
        <v>6.2</v>
      </c>
      <c r="AN63" s="218">
        <v>0</v>
      </c>
      <c r="AO63" s="218">
        <v>12.535</v>
      </c>
      <c r="AP63" s="218">
        <v>0</v>
      </c>
      <c r="AQ63" s="384">
        <f t="shared" si="34"/>
        <v>18.734999999999999</v>
      </c>
      <c r="AR63" s="26"/>
      <c r="AS63" s="222">
        <v>0</v>
      </c>
      <c r="AT63" s="218">
        <v>0</v>
      </c>
      <c r="AU63" s="218">
        <v>0</v>
      </c>
      <c r="AV63" s="218">
        <f>0-SUM(AS63:AU63)</f>
        <v>0</v>
      </c>
      <c r="AW63" s="384">
        <f t="shared" si="35"/>
        <v>0</v>
      </c>
      <c r="AX63" s="26"/>
      <c r="AY63" s="222">
        <v>0</v>
      </c>
      <c r="AZ63" s="218">
        <v>0</v>
      </c>
      <c r="BA63" s="218">
        <v>0</v>
      </c>
      <c r="BB63" s="218">
        <f>0-SUM(AY63:BA63)</f>
        <v>0</v>
      </c>
      <c r="BC63" s="384">
        <f t="shared" si="36"/>
        <v>0</v>
      </c>
      <c r="BD63" s="26"/>
      <c r="BE63" s="222">
        <v>0</v>
      </c>
      <c r="BF63" s="218">
        <v>0</v>
      </c>
      <c r="BG63" s="218">
        <v>0</v>
      </c>
      <c r="BH63" s="218">
        <v>0</v>
      </c>
      <c r="BI63" s="384">
        <f t="shared" si="37"/>
        <v>0</v>
      </c>
      <c r="BJ63" s="26"/>
      <c r="BK63" s="222">
        <v>0</v>
      </c>
      <c r="BL63" s="218">
        <v>5.3250000000000002</v>
      </c>
      <c r="BM63" s="218">
        <v>0</v>
      </c>
      <c r="BN63" s="218">
        <f>17.636+2.952</f>
        <v>20.588000000000001</v>
      </c>
      <c r="BO63" s="384">
        <f t="shared" si="38"/>
        <v>25.913</v>
      </c>
      <c r="BP63" s="26"/>
      <c r="BQ63" s="107">
        <v>0</v>
      </c>
      <c r="BR63" s="106">
        <v>0</v>
      </c>
      <c r="BS63" s="106">
        <v>0</v>
      </c>
      <c r="BT63" s="106">
        <v>0</v>
      </c>
      <c r="BU63" s="384">
        <f t="shared" si="39"/>
        <v>0</v>
      </c>
      <c r="BV63" s="26"/>
      <c r="BW63" s="107">
        <v>0</v>
      </c>
      <c r="BX63" s="106">
        <v>0</v>
      </c>
      <c r="BY63" s="106">
        <v>0</v>
      </c>
      <c r="BZ63" s="106">
        <v>0</v>
      </c>
      <c r="CA63" s="384">
        <f t="shared" si="40"/>
        <v>0</v>
      </c>
      <c r="CB63" s="26"/>
      <c r="CC63" s="107">
        <v>0</v>
      </c>
      <c r="CD63" s="106">
        <v>0</v>
      </c>
      <c r="CE63" s="106">
        <v>0</v>
      </c>
      <c r="CF63" s="106">
        <v>0</v>
      </c>
      <c r="CG63" s="384">
        <f t="shared" si="41"/>
        <v>0</v>
      </c>
      <c r="CH63" s="57"/>
      <c r="CI63" s="57"/>
      <c r="CJ63" s="57"/>
      <c r="CK63" s="57"/>
      <c r="CL63" s="57"/>
      <c r="CM63" s="11"/>
      <c r="CN63" s="11"/>
      <c r="CO63"/>
      <c r="CP63"/>
      <c r="CQ63"/>
      <c r="CR63"/>
      <c r="CS63"/>
      <c r="CT63"/>
    </row>
    <row r="64" spans="1:98" s="7" customFormat="1" ht="11.25" customHeight="1" x14ac:dyDescent="0.2">
      <c r="B64" s="426" t="s">
        <v>302</v>
      </c>
      <c r="C64" s="222">
        <v>0</v>
      </c>
      <c r="D64" s="218">
        <v>0</v>
      </c>
      <c r="E64" s="218">
        <v>0</v>
      </c>
      <c r="F64" s="218">
        <f>0-SUM(C64:E64)</f>
        <v>0</v>
      </c>
      <c r="G64" s="384">
        <f t="shared" si="28"/>
        <v>0</v>
      </c>
      <c r="H64" s="26"/>
      <c r="I64" s="222">
        <v>0</v>
      </c>
      <c r="J64" s="218">
        <v>0</v>
      </c>
      <c r="K64" s="218">
        <v>0</v>
      </c>
      <c r="L64" s="218">
        <f>0-SUM(I64:K64)</f>
        <v>0</v>
      </c>
      <c r="M64" s="384">
        <f t="shared" si="29"/>
        <v>0</v>
      </c>
      <c r="N64" s="26"/>
      <c r="O64" s="222">
        <v>0</v>
      </c>
      <c r="P64" s="218">
        <v>0</v>
      </c>
      <c r="Q64" s="218">
        <f>-20.845+1.08</f>
        <v>-19.765000000000001</v>
      </c>
      <c r="R64" s="218">
        <f>-19.765-SUM(O64:Q64)</f>
        <v>0</v>
      </c>
      <c r="S64" s="384">
        <f t="shared" si="30"/>
        <v>-19.765000000000001</v>
      </c>
      <c r="T64" s="26"/>
      <c r="U64" s="222">
        <v>0</v>
      </c>
      <c r="V64" s="218">
        <v>0</v>
      </c>
      <c r="W64" s="218">
        <v>0</v>
      </c>
      <c r="X64" s="218">
        <f>0-SUM(U64:W64)</f>
        <v>0</v>
      </c>
      <c r="Y64" s="384">
        <f t="shared" si="31"/>
        <v>0</v>
      </c>
      <c r="Z64" s="26"/>
      <c r="AA64" s="222">
        <v>0</v>
      </c>
      <c r="AB64" s="218">
        <v>0</v>
      </c>
      <c r="AC64" s="218">
        <v>0</v>
      </c>
      <c r="AD64" s="218">
        <f>0-SUM(AA64:AC64)</f>
        <v>0</v>
      </c>
      <c r="AE64" s="384">
        <f t="shared" si="32"/>
        <v>0</v>
      </c>
      <c r="AF64" s="26"/>
      <c r="AG64" s="222">
        <v>0</v>
      </c>
      <c r="AH64" s="218">
        <v>0</v>
      </c>
      <c r="AI64" s="218">
        <v>0</v>
      </c>
      <c r="AJ64" s="218">
        <f>0-SUM(AG64:AI64)</f>
        <v>0</v>
      </c>
      <c r="AK64" s="384">
        <f t="shared" si="33"/>
        <v>0</v>
      </c>
      <c r="AL64" s="26"/>
      <c r="AM64" s="222">
        <v>0</v>
      </c>
      <c r="AN64" s="218">
        <v>0</v>
      </c>
      <c r="AO64" s="218">
        <v>-13.398</v>
      </c>
      <c r="AP64" s="218">
        <v>0</v>
      </c>
      <c r="AQ64" s="384">
        <f t="shared" si="34"/>
        <v>-13.398</v>
      </c>
      <c r="AR64" s="26"/>
      <c r="AS64" s="222">
        <v>0</v>
      </c>
      <c r="AT64" s="218">
        <v>0</v>
      </c>
      <c r="AU64" s="218">
        <v>0</v>
      </c>
      <c r="AV64" s="218">
        <f>0-SUM(AS64:AU64)</f>
        <v>0</v>
      </c>
      <c r="AW64" s="384">
        <f t="shared" si="35"/>
        <v>0</v>
      </c>
      <c r="AX64" s="26"/>
      <c r="AY64" s="222">
        <v>0</v>
      </c>
      <c r="AZ64" s="218">
        <v>0</v>
      </c>
      <c r="BA64" s="218">
        <v>-3.802</v>
      </c>
      <c r="BB64" s="218">
        <f>-3.802-SUM(AY64:BA64)</f>
        <v>0</v>
      </c>
      <c r="BC64" s="384">
        <f t="shared" si="36"/>
        <v>-3.802</v>
      </c>
      <c r="BD64" s="26"/>
      <c r="BE64" s="222">
        <v>0</v>
      </c>
      <c r="BF64" s="218">
        <v>0</v>
      </c>
      <c r="BG64" s="218">
        <v>0</v>
      </c>
      <c r="BH64" s="218">
        <v>-4.0199999999999996</v>
      </c>
      <c r="BI64" s="384">
        <f t="shared" si="37"/>
        <v>-4.0199999999999996</v>
      </c>
      <c r="BJ64" s="26"/>
      <c r="BK64" s="222">
        <v>0</v>
      </c>
      <c r="BL64" s="218">
        <v>0</v>
      </c>
      <c r="BM64" s="218">
        <v>0</v>
      </c>
      <c r="BN64" s="218">
        <v>140</v>
      </c>
      <c r="BO64" s="384">
        <f t="shared" si="38"/>
        <v>140</v>
      </c>
      <c r="BP64" s="26"/>
      <c r="BQ64" s="107">
        <v>0</v>
      </c>
      <c r="BR64" s="106">
        <v>0</v>
      </c>
      <c r="BS64" s="106">
        <v>0</v>
      </c>
      <c r="BT64" s="106">
        <v>0</v>
      </c>
      <c r="BU64" s="384">
        <f t="shared" si="39"/>
        <v>0</v>
      </c>
      <c r="BV64" s="26"/>
      <c r="BW64" s="107">
        <v>0</v>
      </c>
      <c r="BX64" s="106">
        <v>0</v>
      </c>
      <c r="BY64" s="106">
        <v>0</v>
      </c>
      <c r="BZ64" s="106">
        <v>0</v>
      </c>
      <c r="CA64" s="384">
        <f t="shared" si="40"/>
        <v>0</v>
      </c>
      <c r="CB64" s="26"/>
      <c r="CC64" s="107">
        <v>0</v>
      </c>
      <c r="CD64" s="106">
        <v>0</v>
      </c>
      <c r="CE64" s="106">
        <v>0</v>
      </c>
      <c r="CF64" s="106">
        <v>0</v>
      </c>
      <c r="CG64" s="384">
        <f t="shared" si="41"/>
        <v>0</v>
      </c>
      <c r="CH64" s="57"/>
      <c r="CI64" s="57"/>
      <c r="CJ64" s="57"/>
      <c r="CK64" s="57"/>
      <c r="CL64" s="57"/>
      <c r="CM64" s="11"/>
      <c r="CN64" s="11"/>
      <c r="CO64"/>
      <c r="CP64"/>
      <c r="CQ64"/>
      <c r="CR64"/>
      <c r="CS64"/>
      <c r="CT64"/>
    </row>
    <row r="65" spans="1:98 16384:16384" s="7" customFormat="1" ht="11.25" customHeight="1" x14ac:dyDescent="0.2">
      <c r="B65" s="426" t="s">
        <v>301</v>
      </c>
      <c r="C65" s="222">
        <v>0</v>
      </c>
      <c r="D65" s="218">
        <v>0</v>
      </c>
      <c r="E65" s="218">
        <v>0</v>
      </c>
      <c r="F65" s="218">
        <f>0-SUM(C65:E65)</f>
        <v>0</v>
      </c>
      <c r="G65" s="384">
        <f t="shared" si="28"/>
        <v>0</v>
      </c>
      <c r="H65" s="26"/>
      <c r="I65" s="222">
        <v>0</v>
      </c>
      <c r="J65" s="218">
        <v>0</v>
      </c>
      <c r="K65" s="218">
        <v>0</v>
      </c>
      <c r="L65" s="218">
        <f>-7.249-SUM(I65:K65)</f>
        <v>-7.2489999999999997</v>
      </c>
      <c r="M65" s="384">
        <f t="shared" si="29"/>
        <v>-7.2489999999999997</v>
      </c>
      <c r="N65" s="26"/>
      <c r="O65" s="222">
        <v>-1.2589999999999999</v>
      </c>
      <c r="P65" s="218">
        <v>0</v>
      </c>
      <c r="Q65" s="218">
        <v>0</v>
      </c>
      <c r="R65" s="218">
        <f>-0.962-SUM(O65:Q65)</f>
        <v>0.29699999999999993</v>
      </c>
      <c r="S65" s="384">
        <f t="shared" si="30"/>
        <v>-0.96199999999999997</v>
      </c>
      <c r="T65" s="26"/>
      <c r="U65" s="222">
        <v>-4.0350000000000001</v>
      </c>
      <c r="V65" s="218">
        <v>0</v>
      </c>
      <c r="W65" s="218">
        <v>0</v>
      </c>
      <c r="X65" s="218">
        <f>-4.035-SUM(U65:W65)</f>
        <v>0</v>
      </c>
      <c r="Y65" s="384">
        <f t="shared" si="31"/>
        <v>-4.0350000000000001</v>
      </c>
      <c r="Z65" s="26"/>
      <c r="AA65" s="222">
        <v>0</v>
      </c>
      <c r="AB65" s="218">
        <v>0</v>
      </c>
      <c r="AC65" s="218">
        <v>0</v>
      </c>
      <c r="AD65" s="218">
        <f>0-SUM(AA65:AC65)</f>
        <v>0</v>
      </c>
      <c r="AE65" s="384">
        <f t="shared" si="32"/>
        <v>0</v>
      </c>
      <c r="AF65" s="26"/>
      <c r="AG65" s="222">
        <v>-3.5310000000000001</v>
      </c>
      <c r="AH65" s="218">
        <v>-1.1240000000000001</v>
      </c>
      <c r="AI65" s="218">
        <v>0</v>
      </c>
      <c r="AJ65" s="218">
        <v>0</v>
      </c>
      <c r="AK65" s="384">
        <f t="shared" si="33"/>
        <v>-4.6550000000000002</v>
      </c>
      <c r="AL65" s="26"/>
      <c r="AM65" s="222">
        <f>-(6.2-2.679)</f>
        <v>-3.5210000000000004</v>
      </c>
      <c r="AN65" s="218">
        <v>0</v>
      </c>
      <c r="AO65" s="218">
        <v>0</v>
      </c>
      <c r="AP65" s="218">
        <f>-(6.2-2.679)-SUM(AM65:AO65)</f>
        <v>0</v>
      </c>
      <c r="AQ65" s="384">
        <f t="shared" si="34"/>
        <v>-3.5210000000000004</v>
      </c>
      <c r="AR65" s="26"/>
      <c r="AS65" s="222">
        <v>0</v>
      </c>
      <c r="AT65" s="218">
        <v>0</v>
      </c>
      <c r="AU65" s="218">
        <v>0</v>
      </c>
      <c r="AV65" s="218">
        <f>0-SUM(AS65:AU65)</f>
        <v>0</v>
      </c>
      <c r="AW65" s="384">
        <f t="shared" si="35"/>
        <v>0</v>
      </c>
      <c r="AX65" s="26"/>
      <c r="AY65" s="222">
        <v>-1.86</v>
      </c>
      <c r="AZ65" s="218">
        <v>-1.9530000000000001</v>
      </c>
      <c r="BA65" s="218">
        <v>-1.8180000000000001</v>
      </c>
      <c r="BB65" s="218">
        <f>-8.733-SUM(AY65:BA65)</f>
        <v>-3.1020000000000003</v>
      </c>
      <c r="BC65" s="384">
        <f t="shared" si="36"/>
        <v>-8.7330000000000005</v>
      </c>
      <c r="BD65" s="26"/>
      <c r="BE65" s="222">
        <v>-1.014</v>
      </c>
      <c r="BF65" s="218">
        <v>-5.0960000000000001</v>
      </c>
      <c r="BG65" s="218">
        <v>-1.343</v>
      </c>
      <c r="BH65" s="218">
        <v>0</v>
      </c>
      <c r="BI65" s="384">
        <f t="shared" si="37"/>
        <v>-7.4530000000000003</v>
      </c>
      <c r="BJ65" s="26"/>
      <c r="BK65" s="222">
        <v>0</v>
      </c>
      <c r="BL65" s="218">
        <v>-2.13</v>
      </c>
      <c r="BM65" s="218">
        <v>0</v>
      </c>
      <c r="BN65" s="218">
        <v>0</v>
      </c>
      <c r="BO65" s="384">
        <f t="shared" si="38"/>
        <v>-2.13</v>
      </c>
      <c r="BP65" s="26"/>
      <c r="BQ65" s="155">
        <f>-SUM(BQ62:BQ64)*BQ75</f>
        <v>0</v>
      </c>
      <c r="BR65" s="32">
        <f>-SUM(BR62:BR64)*BR75</f>
        <v>0</v>
      </c>
      <c r="BS65" s="32">
        <f>-SUM(BS62:BS64)*BS75</f>
        <v>0</v>
      </c>
      <c r="BT65" s="32">
        <f>-SUM(BT62:BT64)*BT75</f>
        <v>0</v>
      </c>
      <c r="BU65" s="384">
        <f t="shared" si="39"/>
        <v>0</v>
      </c>
      <c r="BV65" s="26"/>
      <c r="BW65" s="155">
        <f>-SUM(BW62:BW64)*BW75</f>
        <v>0</v>
      </c>
      <c r="BX65" s="32">
        <f>-SUM(BX62:BX64)*BX75</f>
        <v>0</v>
      </c>
      <c r="BY65" s="32">
        <f>-SUM(BY62:BY64)*BY75</f>
        <v>0</v>
      </c>
      <c r="BZ65" s="32">
        <f>-SUM(BZ62:BZ64)*BZ75</f>
        <v>0</v>
      </c>
      <c r="CA65" s="384">
        <f t="shared" si="40"/>
        <v>0</v>
      </c>
      <c r="CB65" s="26"/>
      <c r="CC65" s="155">
        <f>-SUM(CC62:CC64)*CC75</f>
        <v>0</v>
      </c>
      <c r="CD65" s="32">
        <f>-SUM(CD62:CD64)*CD75</f>
        <v>0</v>
      </c>
      <c r="CE65" s="32">
        <f>-SUM(CE62:CE64)*CE75</f>
        <v>0</v>
      </c>
      <c r="CF65" s="32">
        <f>-SUM(CF62:CF64)*CF75</f>
        <v>0</v>
      </c>
      <c r="CG65" s="384">
        <f t="shared" si="41"/>
        <v>0</v>
      </c>
      <c r="CH65" s="57"/>
      <c r="CI65" s="57"/>
      <c r="CJ65" s="57"/>
      <c r="CK65" s="57"/>
      <c r="CL65" s="57"/>
      <c r="CM65" s="11"/>
      <c r="CN65" s="11"/>
      <c r="CO65"/>
      <c r="CP65"/>
      <c r="CQ65"/>
      <c r="CR65"/>
      <c r="CS65"/>
      <c r="CT65"/>
    </row>
    <row r="66" spans="1:98 16384:16384" s="7" customFormat="1" ht="11.25" customHeight="1" x14ac:dyDescent="0.2">
      <c r="A66" s="48"/>
      <c r="B66" s="426" t="s">
        <v>361</v>
      </c>
      <c r="C66" s="222">
        <v>0.08</v>
      </c>
      <c r="D66" s="218">
        <v>-20.602</v>
      </c>
      <c r="E66" s="218">
        <v>-1.095</v>
      </c>
      <c r="F66" s="218">
        <f>-20.973-SUM(C66:E66)</f>
        <v>0.6440000000000019</v>
      </c>
      <c r="G66" s="384">
        <f t="shared" si="28"/>
        <v>-20.972999999999999</v>
      </c>
      <c r="H66" s="26"/>
      <c r="I66" s="222">
        <v>-8.2000000000000003E-2</v>
      </c>
      <c r="J66" s="218">
        <v>-0.41499999999999998</v>
      </c>
      <c r="K66" s="218">
        <v>-5.1999999999999998E-2</v>
      </c>
      <c r="L66" s="218">
        <f>-7.89-SUM(I66:K66)</f>
        <v>-7.3409999999999993</v>
      </c>
      <c r="M66" s="384">
        <f t="shared" si="29"/>
        <v>-7.89</v>
      </c>
      <c r="N66" s="26"/>
      <c r="O66" s="222">
        <v>7.6999999999999999E-2</v>
      </c>
      <c r="P66" s="218">
        <v>0.14899999999999999</v>
      </c>
      <c r="Q66" s="218">
        <v>2.3759999999999999</v>
      </c>
      <c r="R66" s="218">
        <f>2.602-SUM(O66:Q66)</f>
        <v>0</v>
      </c>
      <c r="S66" s="384">
        <f t="shared" si="30"/>
        <v>2.6019999999999999</v>
      </c>
      <c r="T66" s="26"/>
      <c r="U66" s="222">
        <v>0</v>
      </c>
      <c r="V66" s="218">
        <v>0</v>
      </c>
      <c r="W66" s="218">
        <v>0</v>
      </c>
      <c r="X66" s="218">
        <f>0-SUM(U66:W66)</f>
        <v>0</v>
      </c>
      <c r="Y66" s="384">
        <f t="shared" si="31"/>
        <v>0</v>
      </c>
      <c r="Z66" s="26"/>
      <c r="AA66" s="222">
        <v>0</v>
      </c>
      <c r="AB66" s="218">
        <v>0</v>
      </c>
      <c r="AC66" s="218">
        <v>0</v>
      </c>
      <c r="AD66" s="218">
        <f>0-SUM(AA66:AC66)</f>
        <v>0</v>
      </c>
      <c r="AE66" s="384">
        <f t="shared" si="32"/>
        <v>0</v>
      </c>
      <c r="AF66" s="26"/>
      <c r="AG66" s="222">
        <v>0</v>
      </c>
      <c r="AH66" s="218">
        <v>0</v>
      </c>
      <c r="AI66" s="218">
        <v>0</v>
      </c>
      <c r="AJ66" s="218">
        <v>0</v>
      </c>
      <c r="AK66" s="384">
        <f t="shared" si="33"/>
        <v>0</v>
      </c>
      <c r="AL66" s="26"/>
      <c r="AM66" s="222">
        <v>0</v>
      </c>
      <c r="AN66" s="218">
        <v>0</v>
      </c>
      <c r="AO66" s="218">
        <v>0</v>
      </c>
      <c r="AP66" s="218">
        <v>0</v>
      </c>
      <c r="AQ66" s="384">
        <f t="shared" si="34"/>
        <v>0</v>
      </c>
      <c r="AR66" s="26"/>
      <c r="AS66" s="222">
        <v>0</v>
      </c>
      <c r="AT66" s="218">
        <v>0</v>
      </c>
      <c r="AU66" s="218">
        <v>0</v>
      </c>
      <c r="AV66" s="218">
        <v>0</v>
      </c>
      <c r="AW66" s="384">
        <f t="shared" si="35"/>
        <v>0</v>
      </c>
      <c r="AX66" s="26"/>
      <c r="AY66" s="222">
        <v>0</v>
      </c>
      <c r="AZ66" s="218">
        <v>0</v>
      </c>
      <c r="BA66" s="218">
        <v>0</v>
      </c>
      <c r="BB66" s="218">
        <f>0-SUM(AY66:BA66)</f>
        <v>0</v>
      </c>
      <c r="BC66" s="384">
        <f t="shared" si="36"/>
        <v>0</v>
      </c>
      <c r="BD66" s="26"/>
      <c r="BE66" s="222">
        <v>0</v>
      </c>
      <c r="BF66" s="218">
        <v>0</v>
      </c>
      <c r="BG66" s="218">
        <v>0</v>
      </c>
      <c r="BH66" s="218">
        <f>0-SUM(BE66:BG66)</f>
        <v>0</v>
      </c>
      <c r="BI66" s="384">
        <f t="shared" si="37"/>
        <v>0</v>
      </c>
      <c r="BJ66" s="26"/>
      <c r="BK66" s="222">
        <v>0</v>
      </c>
      <c r="BL66" s="218">
        <v>0</v>
      </c>
      <c r="BM66" s="218">
        <v>0</v>
      </c>
      <c r="BN66" s="218">
        <f>0-SUM(BK66:BM66)</f>
        <v>0</v>
      </c>
      <c r="BO66" s="384">
        <f t="shared" si="38"/>
        <v>0</v>
      </c>
      <c r="BP66" s="26"/>
      <c r="BQ66" s="107">
        <v>0</v>
      </c>
      <c r="BR66" s="106">
        <v>0</v>
      </c>
      <c r="BS66" s="106">
        <v>0</v>
      </c>
      <c r="BT66" s="106">
        <v>0</v>
      </c>
      <c r="BU66" s="384">
        <f t="shared" si="39"/>
        <v>0</v>
      </c>
      <c r="BV66" s="26"/>
      <c r="BW66" s="107">
        <v>0</v>
      </c>
      <c r="BX66" s="106">
        <v>0</v>
      </c>
      <c r="BY66" s="106">
        <v>0</v>
      </c>
      <c r="BZ66" s="106">
        <v>0</v>
      </c>
      <c r="CA66" s="384">
        <f t="shared" si="40"/>
        <v>0</v>
      </c>
      <c r="CB66" s="26"/>
      <c r="CC66" s="107">
        <v>0</v>
      </c>
      <c r="CD66" s="106">
        <v>0</v>
      </c>
      <c r="CE66" s="106">
        <v>0</v>
      </c>
      <c r="CF66" s="106">
        <v>0</v>
      </c>
      <c r="CG66" s="384">
        <f t="shared" si="41"/>
        <v>0</v>
      </c>
      <c r="CH66" s="32"/>
      <c r="CI66" s="32"/>
      <c r="CJ66" s="32"/>
      <c r="CK66" s="32"/>
      <c r="CL66" s="32"/>
      <c r="CM66" s="48"/>
      <c r="CN66" s="48"/>
      <c r="CO66"/>
      <c r="CP66"/>
      <c r="CQ66"/>
      <c r="CR66"/>
      <c r="CS66"/>
      <c r="CT66"/>
    </row>
    <row r="67" spans="1:98 16384:16384" s="7" customFormat="1" ht="11.25" customHeight="1" x14ac:dyDescent="0.2">
      <c r="A67" s="53"/>
      <c r="B67" s="430" t="s">
        <v>180</v>
      </c>
      <c r="C67" s="411">
        <f>C27-C61+C66</f>
        <v>43.493999999999957</v>
      </c>
      <c r="D67" s="412">
        <f>D27-D61+D66</f>
        <v>33.837000000000046</v>
      </c>
      <c r="E67" s="412">
        <f>E27-E61+E66</f>
        <v>59.57300000000015</v>
      </c>
      <c r="F67" s="412">
        <f>F27-F61+F66</f>
        <v>78.269000000000275</v>
      </c>
      <c r="G67" s="413">
        <f>G27-G61+G66</f>
        <v>215.17300000000051</v>
      </c>
      <c r="H67" s="40"/>
      <c r="I67" s="411">
        <f>I27-I61+I66</f>
        <v>51.440000000000097</v>
      </c>
      <c r="J67" s="412">
        <f>J27-J61+J66</f>
        <v>64.570000000000135</v>
      </c>
      <c r="K67" s="412">
        <f>K27-K61+K66</f>
        <v>67.496000000000052</v>
      </c>
      <c r="L67" s="412">
        <f>L27-L61+L66</f>
        <v>55.95099999999821</v>
      </c>
      <c r="M67" s="413">
        <f>M27-M61+M66</f>
        <v>239.45699999999914</v>
      </c>
      <c r="N67" s="40"/>
      <c r="O67" s="411">
        <f>O27-O61+O66</f>
        <v>54.850999999999793</v>
      </c>
      <c r="P67" s="412">
        <f>P27-P61+P66</f>
        <v>73.472999999999914</v>
      </c>
      <c r="Q67" s="412">
        <f>Q27-Q61+Q66</f>
        <v>96.427000000000049</v>
      </c>
      <c r="R67" s="412">
        <f>R27-R61+R66</f>
        <v>86.402000000001038</v>
      </c>
      <c r="S67" s="413">
        <f>S27-S61+S66</f>
        <v>311.15300000000065</v>
      </c>
      <c r="T67" s="40"/>
      <c r="U67" s="411">
        <f>U27-U61+U66</f>
        <v>60.899999999999935</v>
      </c>
      <c r="V67" s="412">
        <f>V27-V61+V66</f>
        <v>84.001000000000019</v>
      </c>
      <c r="W67" s="412">
        <f>W27-W61+W66</f>
        <v>87.892999999999901</v>
      </c>
      <c r="X67" s="412">
        <f>X27-X61+X66</f>
        <v>92.995000000000303</v>
      </c>
      <c r="Y67" s="413">
        <f>Y27-Y61+Y66</f>
        <v>325.78900000000021</v>
      </c>
      <c r="Z67" s="40"/>
      <c r="AA67" s="411">
        <f>AA27-AA61+AA66</f>
        <v>76.494999999999905</v>
      </c>
      <c r="AB67" s="412">
        <f>AB27-AB61+AB66</f>
        <v>94.474999999999909</v>
      </c>
      <c r="AC67" s="412">
        <f>AC27-AC61+AC66</f>
        <v>91.961000000000311</v>
      </c>
      <c r="AD67" s="412">
        <f>AD27-AD61+AD66</f>
        <v>104.73000000000005</v>
      </c>
      <c r="AE67" s="413">
        <f>AE27-AE61+AE66</f>
        <v>367.66100000000034</v>
      </c>
      <c r="AF67" s="40"/>
      <c r="AG67" s="411">
        <f>AG27-AG61+AG66</f>
        <v>80.751999999999725</v>
      </c>
      <c r="AH67" s="412">
        <f>AH27-AH61+AH66</f>
        <v>98.086000000000183</v>
      </c>
      <c r="AI67" s="412">
        <f>AI27-AI61+AI66</f>
        <v>96.771000000000058</v>
      </c>
      <c r="AJ67" s="412">
        <f>AJ27-AJ61+AJ66</f>
        <v>112.46700000000192</v>
      </c>
      <c r="AK67" s="413">
        <f>AK27-AK61+AK66</f>
        <v>388.07600000000087</v>
      </c>
      <c r="AL67" s="40"/>
      <c r="AM67" s="411">
        <f>AM27-AM61+AM66</f>
        <v>91.477999999999966</v>
      </c>
      <c r="AN67" s="412">
        <f>AN27-AN61+AN66</f>
        <v>108.42999999999999</v>
      </c>
      <c r="AO67" s="412">
        <f>AO27-AO61+AO66</f>
        <v>107.37800000000016</v>
      </c>
      <c r="AP67" s="412">
        <f>AP27-AP61+AP66</f>
        <v>124.26800000000142</v>
      </c>
      <c r="AQ67" s="413">
        <f>AQ27-AQ61+AQ66</f>
        <v>431.55400000000105</v>
      </c>
      <c r="AR67" s="40"/>
      <c r="AS67" s="411">
        <f>AS27-AS61+AS66</f>
        <v>102.09900000000015</v>
      </c>
      <c r="AT67" s="412">
        <f>AT27-AT61+AT66</f>
        <v>116.23599999999993</v>
      </c>
      <c r="AU67" s="412">
        <f>AU27-AU61+AU66</f>
        <v>114.77599999999973</v>
      </c>
      <c r="AV67" s="412">
        <f>AV27-AV61+AV66</f>
        <v>132.96600000000021</v>
      </c>
      <c r="AW67" s="413">
        <f>AW27-AW61+AW66</f>
        <v>466.07699999999977</v>
      </c>
      <c r="AX67" s="40"/>
      <c r="AY67" s="411">
        <f>AY27-AY61+AY66</f>
        <v>103.44700000000019</v>
      </c>
      <c r="AZ67" s="412">
        <f>AZ27-AZ61+AZ66</f>
        <v>117.92800000000005</v>
      </c>
      <c r="BA67" s="412">
        <f>BA27-BA61+BA66</f>
        <v>127.73500000000017</v>
      </c>
      <c r="BB67" s="412">
        <f>BB27-BB61+BB66</f>
        <v>129.94799999999827</v>
      </c>
      <c r="BC67" s="413">
        <f>BC27-BC61+BC66</f>
        <v>479.05799999999891</v>
      </c>
      <c r="BD67" s="40"/>
      <c r="BE67" s="411">
        <f>BE27-BE61+BE66</f>
        <v>113.75200000000007</v>
      </c>
      <c r="BF67" s="412">
        <f>BF27-BF61+BF66</f>
        <v>120.09700000000026</v>
      </c>
      <c r="BG67" s="412">
        <f>BG27-BG61+BG66</f>
        <v>133.71300000000002</v>
      </c>
      <c r="BH67" s="412">
        <f>BH27-BH61+BH66</f>
        <v>139.21600000000001</v>
      </c>
      <c r="BI67" s="413">
        <f>BI27-BI61+BI66</f>
        <v>506.77800000000013</v>
      </c>
      <c r="BJ67" s="40"/>
      <c r="BK67" s="411">
        <f>BK27-BK61+BK66</f>
        <v>140.7480000000001</v>
      </c>
      <c r="BL67" s="412">
        <f>BL27-BL61+BL66</f>
        <v>136.05500000000029</v>
      </c>
      <c r="BM67" s="412">
        <f>BM27-BM61+BM66</f>
        <v>138.03100000000009</v>
      </c>
      <c r="BN67" s="412">
        <f>BN27-BN61+BN66</f>
        <v>-8.5349999999998261</v>
      </c>
      <c r="BO67" s="413">
        <f>BO27-BO61+BO66</f>
        <v>406.29900000000043</v>
      </c>
      <c r="BP67" s="40"/>
      <c r="BQ67" s="411">
        <f>BQ27-BQ61+BQ66</f>
        <v>140.90308380225105</v>
      </c>
      <c r="BR67" s="412">
        <f>BR27-BR61+BR66</f>
        <v>150.75320745776551</v>
      </c>
      <c r="BS67" s="412">
        <f>BS27-BS61+BS66</f>
        <v>151.85439166498929</v>
      </c>
      <c r="BT67" s="412">
        <f>BT27-BT61+BT66</f>
        <v>168.69448181026246</v>
      </c>
      <c r="BU67" s="413">
        <f>BU27-BU61+BU66</f>
        <v>612.20516473526891</v>
      </c>
      <c r="BV67" s="40"/>
      <c r="BW67" s="411">
        <f>BW27-BW61+BW66</f>
        <v>138.25578169560973</v>
      </c>
      <c r="BX67" s="412">
        <f>BX27-BX61+BX66</f>
        <v>151.5881284119217</v>
      </c>
      <c r="BY67" s="412">
        <f>BY27-BY61+BY66</f>
        <v>152.52899387637791</v>
      </c>
      <c r="BZ67" s="412">
        <f>BZ27-BZ61+BZ66</f>
        <v>169.85486496343853</v>
      </c>
      <c r="CA67" s="413">
        <f>CA27-CA61+CA66</f>
        <v>612.22776894734841</v>
      </c>
      <c r="CB67" s="40"/>
      <c r="CC67" s="411">
        <f>CC27-CC61+CC66</f>
        <v>142.32513522577304</v>
      </c>
      <c r="CD67" s="412">
        <f>CD27-CD61+CD66</f>
        <v>156.62471945828503</v>
      </c>
      <c r="CE67" s="412">
        <f>CE27-CE61+CE66</f>
        <v>156.61586261439072</v>
      </c>
      <c r="CF67" s="412">
        <f>CF27-CF61+CF66</f>
        <v>173.57311729765695</v>
      </c>
      <c r="CG67" s="413">
        <f>CG27-CG61+CG66</f>
        <v>629.13883459610588</v>
      </c>
      <c r="CH67" s="50"/>
      <c r="CI67" s="50"/>
      <c r="CJ67" s="50"/>
      <c r="CK67" s="50"/>
      <c r="CL67" s="50"/>
      <c r="CM67" s="75"/>
      <c r="CN67" s="75"/>
      <c r="CO67"/>
      <c r="CP67"/>
      <c r="CQ67"/>
      <c r="CR67"/>
      <c r="CS67"/>
      <c r="CT67"/>
    </row>
    <row r="68" spans="1:98 16384:16384" s="7" customFormat="1" ht="11.25" customHeight="1" x14ac:dyDescent="0.2">
      <c r="A68" s="14"/>
      <c r="B68" s="431" t="s">
        <v>170</v>
      </c>
      <c r="C68" s="405">
        <f>+C67/C30</f>
        <v>0.24167629800853463</v>
      </c>
      <c r="D68" s="406">
        <f>+D67/D30</f>
        <v>0.18675696261218028</v>
      </c>
      <c r="E68" s="406">
        <f>+E67/E30</f>
        <v>0.32589525049508283</v>
      </c>
      <c r="F68" s="406">
        <f>+F67/F30</f>
        <v>0.42523171540024701</v>
      </c>
      <c r="G68" s="407">
        <f>+G67/G30</f>
        <v>1.180155326173999</v>
      </c>
      <c r="H68" s="24"/>
      <c r="I68" s="405">
        <f>+I67/I30</f>
        <v>0.27878038998905308</v>
      </c>
      <c r="J68" s="406">
        <f>+J67/J30</f>
        <v>0.35087814632874048</v>
      </c>
      <c r="K68" s="406">
        <f>+K67/K30</f>
        <v>0.36933111539135027</v>
      </c>
      <c r="L68" s="406">
        <f>+L67/L30</f>
        <v>0.31290755550583416</v>
      </c>
      <c r="M68" s="407">
        <f>+M67/M30</f>
        <v>1.3125102772387889</v>
      </c>
      <c r="N68" s="24"/>
      <c r="O68" s="405">
        <f>+O67/O30</f>
        <v>0.30612575204545084</v>
      </c>
      <c r="P68" s="406">
        <f>+P67/P30</f>
        <v>0.40577573066472217</v>
      </c>
      <c r="Q68" s="406">
        <f>+Q67/Q30</f>
        <v>0.52684864445488644</v>
      </c>
      <c r="R68" s="406">
        <f>+R67/R30</f>
        <v>0.46952505162482899</v>
      </c>
      <c r="S68" s="407">
        <f>+S67/S30</f>
        <v>1.7180142674146421</v>
      </c>
      <c r="T68" s="24"/>
      <c r="U68" s="405">
        <f>+U67/U30</f>
        <v>0.32840456854434236</v>
      </c>
      <c r="V68" s="406">
        <f>+V67/V30</f>
        <v>0.44991537406804361</v>
      </c>
      <c r="W68" s="406">
        <f>+W67/W30</f>
        <v>0.47117508309209771</v>
      </c>
      <c r="X68" s="406">
        <f>+X67/X30</f>
        <v>0.50059751948667319</v>
      </c>
      <c r="Y68" s="407">
        <f>+Y67/Y30</f>
        <v>1.746520778830897</v>
      </c>
      <c r="Z68" s="24"/>
      <c r="AA68" s="405">
        <f>+AA67/AA30</f>
        <v>0.41055269909082076</v>
      </c>
      <c r="AB68" s="406">
        <f>+AB67/AB30</f>
        <v>0.50550585364809575</v>
      </c>
      <c r="AC68" s="406">
        <f>+AC67/AC30</f>
        <v>0.49511139346822036</v>
      </c>
      <c r="AD68" s="406">
        <f>+AD67/AD30</f>
        <v>0.57391332938778217</v>
      </c>
      <c r="AE68" s="407">
        <f>+AE67/AE30</f>
        <v>1.9847819045562531</v>
      </c>
      <c r="AF68" s="24"/>
      <c r="AG68" s="405">
        <f>+AG67/AG30</f>
        <v>0.44532680387355639</v>
      </c>
      <c r="AH68" s="406">
        <f>+AH67/AH30</f>
        <v>0.54159442536415237</v>
      </c>
      <c r="AI68" s="406">
        <f>+AI67/AI30</f>
        <v>0.53973362187245555</v>
      </c>
      <c r="AJ68" s="406">
        <f>+AJ67/AJ30</f>
        <v>0.62982729268403026</v>
      </c>
      <c r="AK68" s="407">
        <f>+AK67/AK30</f>
        <v>2.1602262226823914</v>
      </c>
      <c r="AL68" s="24"/>
      <c r="AM68" s="405">
        <f>+AM67/AM30</f>
        <v>0.51512523650779329</v>
      </c>
      <c r="AN68" s="406">
        <f>+AN67/AN30</f>
        <v>0.61630365587486347</v>
      </c>
      <c r="AO68" s="406">
        <f>+AO67/AO30</f>
        <v>0.61426250514850667</v>
      </c>
      <c r="AP68" s="406">
        <f>+AP67/AP30</f>
        <v>0.71569756726871436</v>
      </c>
      <c r="AQ68" s="407">
        <f>+AQ67/AQ30</f>
        <v>2.4625893040560651</v>
      </c>
      <c r="AR68" s="24"/>
      <c r="AS68" s="405">
        <f>+AS67/AS30</f>
        <v>0.59004484615918162</v>
      </c>
      <c r="AT68" s="406">
        <f>+AT67/AT30</f>
        <v>0.6759478948592692</v>
      </c>
      <c r="AU68" s="406">
        <f>+AU67/AU30</f>
        <v>0.67159742539496614</v>
      </c>
      <c r="AV68" s="406">
        <f>+AV67/AV30</f>
        <v>0.78190457148905768</v>
      </c>
      <c r="AW68" s="407">
        <f>+AW67/AW30</f>
        <v>2.7179671098670388</v>
      </c>
      <c r="AX68" s="24"/>
      <c r="AY68" s="405">
        <f>+AY67/AY30</f>
        <v>0.61055893289264107</v>
      </c>
      <c r="AZ68" s="406">
        <f>+AZ67/AZ30</f>
        <v>0.69987774335600461</v>
      </c>
      <c r="BA68" s="406">
        <f>+BA67/BA30</f>
        <v>0.75956781313924271</v>
      </c>
      <c r="BB68" s="406">
        <f>+BB67/BB30</f>
        <v>0.78033724058415566</v>
      </c>
      <c r="BC68" s="407">
        <f>+BC67/BC30</f>
        <v>2.8472986627043024</v>
      </c>
      <c r="BD68" s="24"/>
      <c r="BE68" s="405">
        <f>+BE67/BE30</f>
        <v>0.68741464122118989</v>
      </c>
      <c r="BF68" s="406">
        <f>+BF67/BF30</f>
        <v>0.728796999781539</v>
      </c>
      <c r="BG68" s="406">
        <f>+BG67/BG30</f>
        <v>0.81676745464540967</v>
      </c>
      <c r="BH68" s="406">
        <f>+BH67/BH30</f>
        <v>0.86441646176390241</v>
      </c>
      <c r="BI68" s="407">
        <f>+BI67/BI30</f>
        <v>3.0946951886026253</v>
      </c>
      <c r="BJ68" s="24"/>
      <c r="BK68" s="405">
        <f>+BK67/BK30</f>
        <v>0.88100752387986891</v>
      </c>
      <c r="BL68" s="406">
        <f>+BL67/BL30</f>
        <v>0.85528300937916657</v>
      </c>
      <c r="BM68" s="406">
        <f>+BM67/BM30</f>
        <v>0.87211807595832525</v>
      </c>
      <c r="BN68" s="406">
        <f>+BN67/BN30</f>
        <v>-5.5027594388280282E-2</v>
      </c>
      <c r="BO68" s="407">
        <f>+BO67/BO30</f>
        <v>2.5706625498846134</v>
      </c>
      <c r="BP68" s="24"/>
      <c r="BQ68" s="405">
        <f>+BQ67/BQ30</f>
        <v>0.92055202855672613</v>
      </c>
      <c r="BR68" s="406">
        <f>+BR67/BR30</f>
        <v>0.99454190107596452</v>
      </c>
      <c r="BS68" s="406">
        <f>+BS67/BS30</f>
        <v>1.0117125968209264</v>
      </c>
      <c r="BT68" s="406">
        <f>+BT67/BT30</f>
        <v>1.1351671950785283</v>
      </c>
      <c r="BU68" s="407">
        <f>+BU67/BU30</f>
        <v>4.0587186698347635</v>
      </c>
      <c r="BV68" s="24"/>
      <c r="BW68" s="405">
        <f>+BW67/BW30</f>
        <v>0.94008174106649567</v>
      </c>
      <c r="BX68" s="406">
        <f>+BX67/BX30</f>
        <v>1.0419809899021157</v>
      </c>
      <c r="BY68" s="406">
        <f>+BY67/BY30</f>
        <v>1.0600183702098731</v>
      </c>
      <c r="BZ68" s="406">
        <f>+BZ67/BZ30</f>
        <v>1.1936278449116695</v>
      </c>
      <c r="CA68" s="407">
        <f>+CA67/CA30</f>
        <v>4.231433366681058</v>
      </c>
      <c r="CB68" s="24"/>
      <c r="CC68" s="405">
        <f>+CC67/CC30</f>
        <v>1.0118440436355616</v>
      </c>
      <c r="CD68" s="406">
        <f>+CD67/CD30</f>
        <v>1.1270479851337463</v>
      </c>
      <c r="CE68" s="406">
        <f>+CE67/CE30</f>
        <v>1.1408646936402402</v>
      </c>
      <c r="CF68" s="406">
        <f>+CF67/CF30</f>
        <v>1.2801816559492014</v>
      </c>
      <c r="CG68" s="407">
        <f>+CG67/CG30</f>
        <v>4.5549245254880262</v>
      </c>
      <c r="CH68" s="58"/>
      <c r="CI68" s="58"/>
      <c r="CJ68" s="58"/>
      <c r="CK68" s="58"/>
      <c r="CL68" s="58"/>
      <c r="CM68" s="12"/>
      <c r="CN68" s="12"/>
      <c r="CO68"/>
      <c r="CP68"/>
      <c r="CQ68"/>
      <c r="CR68"/>
      <c r="CS68"/>
      <c r="CT68"/>
    </row>
    <row r="69" spans="1:98 16384:16384" s="7" customFormat="1" ht="11.25" customHeight="1" x14ac:dyDescent="0.2">
      <c r="A69" s="14"/>
      <c r="B69" s="12"/>
      <c r="C69" s="21"/>
      <c r="D69" s="21"/>
      <c r="E69" s="21"/>
      <c r="F69" s="21"/>
      <c r="G69" s="22"/>
      <c r="H69" s="11"/>
      <c r="I69" s="21"/>
      <c r="J69" s="21"/>
      <c r="K69" s="21"/>
      <c r="L69" s="21"/>
      <c r="M69" s="22"/>
      <c r="N69" s="11"/>
      <c r="O69" s="21"/>
      <c r="P69" s="21"/>
      <c r="Q69" s="21"/>
      <c r="R69" s="21"/>
      <c r="S69" s="22"/>
      <c r="T69" s="11"/>
      <c r="U69" s="21"/>
      <c r="V69" s="21"/>
      <c r="W69" s="21"/>
      <c r="X69" s="21"/>
      <c r="Y69" s="22"/>
      <c r="Z69" s="11"/>
      <c r="AA69" s="21"/>
      <c r="AB69" s="21"/>
      <c r="AC69" s="21"/>
      <c r="AD69" s="21"/>
      <c r="AE69" s="22"/>
      <c r="AF69" s="11"/>
      <c r="AG69" s="21"/>
      <c r="AH69" s="21"/>
      <c r="AI69" s="21"/>
      <c r="AJ69" s="22"/>
      <c r="AK69" s="22"/>
      <c r="AL69" s="11"/>
      <c r="AM69" s="21"/>
      <c r="AN69" s="21"/>
      <c r="AO69" s="21"/>
      <c r="AP69" s="21"/>
      <c r="AQ69" s="22"/>
      <c r="AR69" s="11"/>
      <c r="AS69" s="21"/>
      <c r="AT69" s="21"/>
      <c r="AU69" s="22"/>
      <c r="AV69" s="22"/>
      <c r="AW69" s="22"/>
      <c r="AX69" s="11"/>
      <c r="AY69" s="21"/>
      <c r="AZ69" s="21"/>
      <c r="BA69" s="21"/>
      <c r="BB69" s="22"/>
      <c r="BC69" s="22"/>
      <c r="BD69" s="11"/>
      <c r="BE69" s="11"/>
      <c r="BF69" s="11"/>
      <c r="BG69" s="11"/>
      <c r="BH69" s="22"/>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22"/>
      <c r="CI69" s="22"/>
      <c r="CJ69" s="22"/>
      <c r="CK69" s="22"/>
      <c r="CL69" s="22"/>
      <c r="CM69" s="12"/>
      <c r="CN69" s="12"/>
      <c r="CO69"/>
      <c r="CP69"/>
      <c r="CQ69"/>
      <c r="CR69"/>
      <c r="CS69"/>
      <c r="CT69"/>
    </row>
    <row r="70" spans="1:98 16384:16384" s="7" customFormat="1" ht="11.25" customHeight="1" x14ac:dyDescent="0.2">
      <c r="B70" s="815" t="s">
        <v>260</v>
      </c>
      <c r="C70" s="822"/>
      <c r="D70" s="822"/>
      <c r="E70" s="822"/>
      <c r="F70" s="822"/>
      <c r="G70" s="822"/>
      <c r="H70" s="823"/>
      <c r="I70" s="822"/>
      <c r="J70" s="822"/>
      <c r="K70" s="822"/>
      <c r="L70" s="822"/>
      <c r="M70" s="822"/>
      <c r="N70" s="823"/>
      <c r="O70" s="822"/>
      <c r="P70" s="822"/>
      <c r="Q70" s="822"/>
      <c r="R70" s="822"/>
      <c r="S70" s="822"/>
      <c r="T70" s="823"/>
      <c r="U70" s="822"/>
      <c r="V70" s="822"/>
      <c r="W70" s="822"/>
      <c r="X70" s="822"/>
      <c r="Y70" s="824"/>
      <c r="Z70" s="823"/>
      <c r="AA70" s="822"/>
      <c r="AB70" s="818"/>
      <c r="AC70" s="818"/>
      <c r="AD70" s="822"/>
      <c r="AE70" s="822"/>
      <c r="AF70" s="823"/>
      <c r="AG70" s="818"/>
      <c r="AH70" s="818"/>
      <c r="AI70" s="818"/>
      <c r="AJ70" s="822"/>
      <c r="AK70" s="822"/>
      <c r="AL70" s="823"/>
      <c r="AM70" s="822"/>
      <c r="AN70" s="822"/>
      <c r="AO70" s="822"/>
      <c r="AP70" s="822"/>
      <c r="AQ70" s="822"/>
      <c r="AR70" s="823"/>
      <c r="AS70" s="822"/>
      <c r="AT70" s="822"/>
      <c r="AU70" s="822"/>
      <c r="AV70" s="822"/>
      <c r="AW70" s="822"/>
      <c r="AX70" s="823"/>
      <c r="AY70" s="822"/>
      <c r="AZ70" s="822"/>
      <c r="BA70" s="822"/>
      <c r="BB70" s="822"/>
      <c r="BC70" s="822"/>
      <c r="BD70" s="823"/>
      <c r="BE70" s="823"/>
      <c r="BF70" s="823"/>
      <c r="BG70" s="823"/>
      <c r="BH70" s="822"/>
      <c r="BI70" s="823"/>
      <c r="BJ70" s="823"/>
      <c r="BK70" s="823"/>
      <c r="BL70" s="823"/>
      <c r="BM70" s="823"/>
      <c r="BN70" s="823"/>
      <c r="BO70" s="823"/>
      <c r="BP70" s="823"/>
      <c r="BQ70" s="823"/>
      <c r="BR70" s="823"/>
      <c r="BS70" s="823"/>
      <c r="BT70" s="823"/>
      <c r="BU70" s="823"/>
      <c r="BV70" s="823"/>
      <c r="BW70" s="823"/>
      <c r="BX70" s="823"/>
      <c r="BY70" s="823"/>
      <c r="BZ70" s="823"/>
      <c r="CA70" s="823"/>
      <c r="CB70" s="823"/>
      <c r="CC70" s="823"/>
      <c r="CD70" s="823"/>
      <c r="CE70" s="823"/>
      <c r="CF70" s="823"/>
      <c r="CG70" s="823"/>
      <c r="CH70" s="17"/>
      <c r="CI70" s="17"/>
      <c r="CJ70" s="17"/>
      <c r="CK70" s="17"/>
      <c r="CL70" s="17"/>
      <c r="CM70" s="11"/>
      <c r="CN70" s="11"/>
      <c r="CO70"/>
      <c r="CP70"/>
      <c r="CQ70"/>
      <c r="CR70"/>
      <c r="CS70"/>
      <c r="CT70"/>
    </row>
    <row r="71" spans="1:98 16384:16384" s="7" customFormat="1" ht="11.25" customHeight="1" x14ac:dyDescent="0.2">
      <c r="A71" s="136"/>
      <c r="B71" s="436" t="s">
        <v>128</v>
      </c>
      <c r="C71" s="248">
        <v>88.806126000000006</v>
      </c>
      <c r="D71" s="154">
        <f>+C72</f>
        <v>177.61225200000001</v>
      </c>
      <c r="E71" s="154">
        <f>+D72</f>
        <v>178.12480400000001</v>
      </c>
      <c r="F71" s="154">
        <f>+E72</f>
        <v>179.00676799999999</v>
      </c>
      <c r="G71" s="410">
        <f>+C71</f>
        <v>88.806126000000006</v>
      </c>
      <c r="H71" s="32"/>
      <c r="I71" s="156">
        <f>+F72</f>
        <v>179.20732000000001</v>
      </c>
      <c r="J71" s="154">
        <f>+I72</f>
        <v>180.43687199999999</v>
      </c>
      <c r="K71" s="154">
        <f>+J72</f>
        <v>179.52544599999999</v>
      </c>
      <c r="L71" s="154">
        <f>+K72</f>
        <v>179.819514</v>
      </c>
      <c r="M71" s="410">
        <f>+I71</f>
        <v>179.20732000000001</v>
      </c>
      <c r="N71" s="32"/>
      <c r="O71" s="156">
        <f>+L72</f>
        <v>178.703698</v>
      </c>
      <c r="P71" s="154">
        <f>+O72</f>
        <v>180.30113600000001</v>
      </c>
      <c r="Q71" s="154">
        <f>+P72</f>
        <v>180.33531199999999</v>
      </c>
      <c r="R71" s="154">
        <f>+Q72</f>
        <v>180.89683400000001</v>
      </c>
      <c r="S71" s="410">
        <f>+O71</f>
        <v>178.703698</v>
      </c>
      <c r="T71" s="32"/>
      <c r="U71" s="156">
        <f>+R72</f>
        <v>181.26177799999999</v>
      </c>
      <c r="V71" s="154">
        <f>+U72</f>
        <v>182.63832400000001</v>
      </c>
      <c r="W71" s="154">
        <f>+V72</f>
        <v>183.02887999999999</v>
      </c>
      <c r="X71" s="154">
        <f>+W72</f>
        <v>184.732642</v>
      </c>
      <c r="Y71" s="410">
        <f>+U71</f>
        <v>181.26177799999999</v>
      </c>
      <c r="Z71" s="32"/>
      <c r="AA71" s="156">
        <f>+X72</f>
        <v>183.87895399999999</v>
      </c>
      <c r="AB71" s="154">
        <f>+AA72</f>
        <v>184.522988</v>
      </c>
      <c r="AC71" s="154">
        <f>+AB72</f>
        <v>184.76921999999999</v>
      </c>
      <c r="AD71" s="154">
        <f>+AC72</f>
        <v>181.762968</v>
      </c>
      <c r="AE71" s="410">
        <f>+AA71</f>
        <v>183.87895399999999</v>
      </c>
      <c r="AF71" s="32"/>
      <c r="AG71" s="156">
        <f>+AD72</f>
        <v>179.85616400000001</v>
      </c>
      <c r="AH71" s="154">
        <f>+AG72</f>
        <v>180.35921200000001</v>
      </c>
      <c r="AI71" s="154">
        <f>+AH72</f>
        <v>177.80927399999999</v>
      </c>
      <c r="AJ71" s="154">
        <f>+AI72</f>
        <v>176.529706</v>
      </c>
      <c r="AK71" s="410">
        <f>+AG71</f>
        <v>179.85616400000001</v>
      </c>
      <c r="AL71" s="32"/>
      <c r="AM71" s="156">
        <f>+AJ72</f>
        <v>175.70134200000001</v>
      </c>
      <c r="AN71" s="154">
        <f>+AM72</f>
        <v>174.76308599999999</v>
      </c>
      <c r="AO71" s="154">
        <f>+AN72</f>
        <v>173.452562</v>
      </c>
      <c r="AP71" s="154">
        <f>+AO72</f>
        <v>172.05834999999999</v>
      </c>
      <c r="AQ71" s="410">
        <f>+AM71</f>
        <v>175.70134200000001</v>
      </c>
      <c r="AR71" s="32"/>
      <c r="AS71" s="156">
        <f>+AP72</f>
        <v>171.24490399999999</v>
      </c>
      <c r="AT71" s="154">
        <f>+AS72</f>
        <v>171.12670600000001</v>
      </c>
      <c r="AU71" s="154">
        <f>+AT72</f>
        <v>170.04424599999999</v>
      </c>
      <c r="AV71" s="154">
        <f>+AU72</f>
        <v>168.91937799999999</v>
      </c>
      <c r="AW71" s="410">
        <f>+AS71</f>
        <v>171.24490399999999</v>
      </c>
      <c r="AX71" s="32"/>
      <c r="AY71" s="156">
        <f>+AV72</f>
        <v>168.01707400000001</v>
      </c>
      <c r="AZ71" s="154">
        <f>+AY72</f>
        <v>167.74146200000001</v>
      </c>
      <c r="BA71" s="154">
        <f>+AZ72</f>
        <v>167.30830800000001</v>
      </c>
      <c r="BB71" s="154">
        <f>+BA72</f>
        <v>166.76991200000001</v>
      </c>
      <c r="BC71" s="410">
        <f>+AY71</f>
        <v>168.01707400000001</v>
      </c>
      <c r="BD71" s="32"/>
      <c r="BE71" s="156">
        <f>+BB72</f>
        <v>164.83063999999999</v>
      </c>
      <c r="BF71" s="154">
        <f>+BE72</f>
        <v>164.12076400000001</v>
      </c>
      <c r="BG71" s="154">
        <f>+BF72</f>
        <v>163.631134</v>
      </c>
      <c r="BH71" s="154">
        <f>+BG72</f>
        <v>161.288578</v>
      </c>
      <c r="BI71" s="410">
        <f>+BE71</f>
        <v>164.83063999999999</v>
      </c>
      <c r="BJ71" s="32"/>
      <c r="BK71" s="156">
        <f>+BH72</f>
        <v>158.80501000000001</v>
      </c>
      <c r="BL71" s="154">
        <f>+BK72</f>
        <v>158.93604999999999</v>
      </c>
      <c r="BM71" s="154">
        <f>+BL72</f>
        <v>158.38958400000001</v>
      </c>
      <c r="BN71" s="154">
        <f>+BM72</f>
        <v>156.95273800000001</v>
      </c>
      <c r="BO71" s="410">
        <f>+BK71</f>
        <v>158.80501000000001</v>
      </c>
      <c r="BP71" s="32"/>
      <c r="BQ71" s="156">
        <f>+BN72</f>
        <v>153.80500000000001</v>
      </c>
      <c r="BR71" s="154">
        <f>+BQ72</f>
        <v>152.32236582236175</v>
      </c>
      <c r="BS71" s="154">
        <f>+BR72</f>
        <v>150.83873235695123</v>
      </c>
      <c r="BT71" s="154">
        <f>+BS72</f>
        <v>149.35401436214019</v>
      </c>
      <c r="BU71" s="410">
        <f>+BQ71</f>
        <v>153.80500000000001</v>
      </c>
      <c r="BV71" s="32"/>
      <c r="BW71" s="156">
        <f>+BT72</f>
        <v>147.86120211280831</v>
      </c>
      <c r="BX71" s="154">
        <f>+BW72</f>
        <v>146.27445791769611</v>
      </c>
      <c r="BY71" s="154">
        <f>+BX72</f>
        <v>144.68695093902778</v>
      </c>
      <c r="BZ71" s="154">
        <f>+BY72</f>
        <v>143.09861610954832</v>
      </c>
      <c r="CA71" s="410">
        <f>+BW71</f>
        <v>147.86120211280831</v>
      </c>
      <c r="CB71" s="32"/>
      <c r="CC71" s="156">
        <f>+BZ72</f>
        <v>141.50410271527616</v>
      </c>
      <c r="CD71" s="154">
        <f>+CC72</f>
        <v>139.81422123195583</v>
      </c>
      <c r="CE71" s="154">
        <f>+CD72</f>
        <v>138.12375749518495</v>
      </c>
      <c r="CF71" s="154">
        <f>+CE72</f>
        <v>136.4326618373567</v>
      </c>
      <c r="CG71" s="410">
        <f>+CC71</f>
        <v>141.50410271527616</v>
      </c>
      <c r="CH71" s="11"/>
      <c r="CI71" s="32"/>
      <c r="CJ71" s="32"/>
      <c r="CK71" s="32"/>
      <c r="CL71" s="32"/>
      <c r="CM71" s="48"/>
      <c r="CN71" s="48"/>
      <c r="CO71"/>
      <c r="CP71"/>
      <c r="CQ71"/>
      <c r="CR71"/>
      <c r="CS71"/>
      <c r="CT71"/>
    </row>
    <row r="72" spans="1:98 16384:16384" s="7" customFormat="1" ht="11.25" customHeight="1" x14ac:dyDescent="0.2">
      <c r="A72" s="48"/>
      <c r="B72" s="437" t="s">
        <v>129</v>
      </c>
      <c r="C72" s="244">
        <f>+C32</f>
        <v>177.61225200000001</v>
      </c>
      <c r="D72" s="245">
        <f>+D32</f>
        <v>178.12480400000001</v>
      </c>
      <c r="E72" s="245">
        <f>+E32</f>
        <v>179.00676799999999</v>
      </c>
      <c r="F72" s="245">
        <f>+F32</f>
        <v>179.20732000000001</v>
      </c>
      <c r="G72" s="439">
        <f>+G32</f>
        <v>179.20732000000001</v>
      </c>
      <c r="H72" s="32"/>
      <c r="I72" s="244">
        <f>+I32</f>
        <v>180.43687199999999</v>
      </c>
      <c r="J72" s="245">
        <f>+J32</f>
        <v>179.52544599999999</v>
      </c>
      <c r="K72" s="245">
        <f>+K32</f>
        <v>179.819514</v>
      </c>
      <c r="L72" s="245">
        <f>+L32</f>
        <v>178.703698</v>
      </c>
      <c r="M72" s="439">
        <f>+M32</f>
        <v>178.703698</v>
      </c>
      <c r="N72" s="32"/>
      <c r="O72" s="244">
        <f>+O32</f>
        <v>180.30113600000001</v>
      </c>
      <c r="P72" s="245">
        <f>+P32</f>
        <v>180.33531199999999</v>
      </c>
      <c r="Q72" s="245">
        <f>+Q32</f>
        <v>180.89683400000001</v>
      </c>
      <c r="R72" s="245">
        <f>+R32</f>
        <v>181.26177799999999</v>
      </c>
      <c r="S72" s="439">
        <f>+S32</f>
        <v>181.26177799999999</v>
      </c>
      <c r="T72" s="32"/>
      <c r="U72" s="244">
        <f>+U32</f>
        <v>182.63832400000001</v>
      </c>
      <c r="V72" s="245">
        <f>+V32</f>
        <v>183.02887999999999</v>
      </c>
      <c r="W72" s="245">
        <f>+W32</f>
        <v>184.732642</v>
      </c>
      <c r="X72" s="245">
        <f>+X32</f>
        <v>183.87895399999999</v>
      </c>
      <c r="Y72" s="439">
        <f>+Y32</f>
        <v>183.87895399999999</v>
      </c>
      <c r="Z72" s="32"/>
      <c r="AA72" s="244">
        <f>+AA32</f>
        <v>184.522988</v>
      </c>
      <c r="AB72" s="245">
        <f>+AB32</f>
        <v>184.76921999999999</v>
      </c>
      <c r="AC72" s="245">
        <f>+AC32</f>
        <v>181.762968</v>
      </c>
      <c r="AD72" s="245">
        <f>+AD32</f>
        <v>179.85616400000001</v>
      </c>
      <c r="AE72" s="439">
        <f>+AE32</f>
        <v>179.85616400000001</v>
      </c>
      <c r="AF72" s="32"/>
      <c r="AG72" s="244">
        <f>+AG32</f>
        <v>180.35921200000001</v>
      </c>
      <c r="AH72" s="245">
        <f>+AH32</f>
        <v>177.80927399999999</v>
      </c>
      <c r="AI72" s="245">
        <f>+AI32</f>
        <v>176.529706</v>
      </c>
      <c r="AJ72" s="245">
        <f>+AJ32</f>
        <v>175.70134200000001</v>
      </c>
      <c r="AK72" s="439">
        <f>+AK32</f>
        <v>175.70134200000001</v>
      </c>
      <c r="AL72" s="32"/>
      <c r="AM72" s="244">
        <f>+AM32</f>
        <v>174.76308599999999</v>
      </c>
      <c r="AN72" s="245">
        <f>+AN32</f>
        <v>173.452562</v>
      </c>
      <c r="AO72" s="245">
        <f>+AO32</f>
        <v>172.05834999999999</v>
      </c>
      <c r="AP72" s="245">
        <f>+AP32</f>
        <v>171.24490399999999</v>
      </c>
      <c r="AQ72" s="439">
        <f>+AQ32</f>
        <v>171.24490399999999</v>
      </c>
      <c r="AR72" s="32"/>
      <c r="AS72" s="244">
        <f>+AS32</f>
        <v>171.12670600000001</v>
      </c>
      <c r="AT72" s="245">
        <f>+AT32</f>
        <v>170.04424599999999</v>
      </c>
      <c r="AU72" s="245">
        <f>+AU32</f>
        <v>168.91937799999999</v>
      </c>
      <c r="AV72" s="245">
        <f>+AV32</f>
        <v>168.01707400000001</v>
      </c>
      <c r="AW72" s="439">
        <f>+AW32</f>
        <v>168.01707400000001</v>
      </c>
      <c r="AX72" s="32"/>
      <c r="AY72" s="244">
        <f>+AY32</f>
        <v>167.74146200000001</v>
      </c>
      <c r="AZ72" s="245">
        <f>+AZ32</f>
        <v>167.30830800000001</v>
      </c>
      <c r="BA72" s="245">
        <f>+BA32</f>
        <v>166.76991200000001</v>
      </c>
      <c r="BB72" s="245">
        <f>+BB32</f>
        <v>164.83063999999999</v>
      </c>
      <c r="BC72" s="439">
        <f>+BC32</f>
        <v>164.83063999999999</v>
      </c>
      <c r="BD72" s="32"/>
      <c r="BE72" s="244">
        <f>+BE32</f>
        <v>164.12076400000001</v>
      </c>
      <c r="BF72" s="245">
        <f>+BF32</f>
        <v>163.631134</v>
      </c>
      <c r="BG72" s="245">
        <f>+BG32</f>
        <v>161.288578</v>
      </c>
      <c r="BH72" s="245">
        <f>+BH32</f>
        <v>158.80501000000001</v>
      </c>
      <c r="BI72" s="439">
        <f>+BH72</f>
        <v>158.80501000000001</v>
      </c>
      <c r="BJ72" s="32"/>
      <c r="BK72" s="244">
        <f>+BK32</f>
        <v>158.93604999999999</v>
      </c>
      <c r="BL72" s="245">
        <f>+BL32</f>
        <v>158.38958400000001</v>
      </c>
      <c r="BM72" s="245">
        <f>+BM32</f>
        <v>156.95273800000001</v>
      </c>
      <c r="BN72" s="245">
        <f>+BN32</f>
        <v>153.80500000000001</v>
      </c>
      <c r="BO72" s="439">
        <f>+BN72</f>
        <v>153.80500000000001</v>
      </c>
      <c r="BP72" s="32"/>
      <c r="BQ72" s="244">
        <f>+BQ71+('Cash Flow'!BQ38+'Cash Flow'!BQ39)/'Cash Flow'!BQ64</f>
        <v>152.32236582236175</v>
      </c>
      <c r="BR72" s="245">
        <f>+BR71+('Cash Flow'!BR38+'Cash Flow'!BR39)/'Cash Flow'!BR64</f>
        <v>150.83873235695123</v>
      </c>
      <c r="BS72" s="245">
        <f>+BS71+('Cash Flow'!BS38+'Cash Flow'!BS39)/'Cash Flow'!BS64</f>
        <v>149.35401436214019</v>
      </c>
      <c r="BT72" s="245">
        <f>+BT71+('Cash Flow'!BT38+'Cash Flow'!BT39)/'Cash Flow'!BT64</f>
        <v>147.86120211280831</v>
      </c>
      <c r="BU72" s="439">
        <f>+BT72</f>
        <v>147.86120211280831</v>
      </c>
      <c r="BV72" s="32"/>
      <c r="BW72" s="244">
        <f>+BW71+('Cash Flow'!BW38+'Cash Flow'!BW39)/'Cash Flow'!BW64</f>
        <v>146.27445791769611</v>
      </c>
      <c r="BX72" s="245">
        <f>+BX71+('Cash Flow'!BX38+'Cash Flow'!BX39)/'Cash Flow'!BX64</f>
        <v>144.68695093902778</v>
      </c>
      <c r="BY72" s="245">
        <f>+BY71+('Cash Flow'!BY38+'Cash Flow'!BY39)/'Cash Flow'!BY64</f>
        <v>143.09861610954832</v>
      </c>
      <c r="BZ72" s="245">
        <f>+BZ71+('Cash Flow'!BZ38+'Cash Flow'!BZ39)/'Cash Flow'!BZ64</f>
        <v>141.50410271527616</v>
      </c>
      <c r="CA72" s="439">
        <f>+BZ72</f>
        <v>141.50410271527616</v>
      </c>
      <c r="CB72" s="32"/>
      <c r="CC72" s="244">
        <f>+CC71+('Cash Flow'!CC38+'Cash Flow'!CC39)/'Cash Flow'!CC64</f>
        <v>139.81422123195583</v>
      </c>
      <c r="CD72" s="245">
        <f>+CD71+('Cash Flow'!CD38+'Cash Flow'!CD39)/'Cash Flow'!CD64</f>
        <v>138.12375749518495</v>
      </c>
      <c r="CE72" s="245">
        <f>+CE71+('Cash Flow'!CE38+'Cash Flow'!CE39)/'Cash Flow'!CE64</f>
        <v>136.4326618373567</v>
      </c>
      <c r="CF72" s="245">
        <f>+CF71+('Cash Flow'!CF38+'Cash Flow'!CF39)/'Cash Flow'!CF64</f>
        <v>134.7368499128483</v>
      </c>
      <c r="CG72" s="439">
        <f>+CF72</f>
        <v>134.7368499128483</v>
      </c>
      <c r="CH72" s="11"/>
      <c r="CI72" s="32"/>
      <c r="CJ72" s="32"/>
      <c r="CK72" s="32"/>
      <c r="CL72" s="32"/>
      <c r="CM72" s="48"/>
      <c r="CN72" s="48"/>
      <c r="CO72"/>
      <c r="CP72"/>
      <c r="CQ72"/>
      <c r="CR72"/>
      <c r="CS72"/>
      <c r="CT72"/>
      <c r="XFD72" s="32"/>
    </row>
    <row r="73" spans="1:98 16384:16384" s="7" customFormat="1" ht="11.25" customHeight="1" x14ac:dyDescent="0.2">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1"/>
      <c r="CM73" s="11"/>
      <c r="CN73" s="11"/>
      <c r="CO73"/>
      <c r="CP73"/>
      <c r="CQ73"/>
      <c r="CR73"/>
      <c r="CS73"/>
      <c r="CT73"/>
    </row>
    <row r="74" spans="1:98 16384:16384" s="7" customFormat="1" ht="11.25" customHeight="1" x14ac:dyDescent="0.2">
      <c r="B74" s="819" t="s">
        <v>250</v>
      </c>
      <c r="C74" s="820"/>
      <c r="D74" s="820"/>
      <c r="E74" s="820"/>
      <c r="F74" s="820"/>
      <c r="G74" s="820"/>
      <c r="H74" s="821"/>
      <c r="I74" s="820"/>
      <c r="J74" s="820"/>
      <c r="K74" s="820"/>
      <c r="L74" s="820"/>
      <c r="M74" s="820"/>
      <c r="N74" s="821"/>
      <c r="O74" s="820"/>
      <c r="P74" s="820"/>
      <c r="Q74" s="820"/>
      <c r="R74" s="820"/>
      <c r="S74" s="820"/>
      <c r="T74" s="821"/>
      <c r="U74" s="820"/>
      <c r="V74" s="820"/>
      <c r="W74" s="820"/>
      <c r="X74" s="820"/>
      <c r="Y74" s="820"/>
      <c r="Z74" s="821"/>
      <c r="AA74" s="820"/>
      <c r="AB74" s="820"/>
      <c r="AC74" s="820"/>
      <c r="AD74" s="820"/>
      <c r="AE74" s="820"/>
      <c r="AF74" s="821"/>
      <c r="AG74" s="820"/>
      <c r="AH74" s="820"/>
      <c r="AI74" s="820"/>
      <c r="AJ74" s="820"/>
      <c r="AK74" s="820"/>
      <c r="AL74" s="821"/>
      <c r="AM74" s="820"/>
      <c r="AN74" s="820"/>
      <c r="AO74" s="820"/>
      <c r="AP74" s="820"/>
      <c r="AQ74" s="820"/>
      <c r="AR74" s="821"/>
      <c r="AS74" s="820"/>
      <c r="AT74" s="820"/>
      <c r="AU74" s="820"/>
      <c r="AV74" s="820"/>
      <c r="AW74" s="820"/>
      <c r="AX74" s="821"/>
      <c r="AY74" s="820"/>
      <c r="AZ74" s="820"/>
      <c r="BA74" s="820"/>
      <c r="BB74" s="820"/>
      <c r="BC74" s="820"/>
      <c r="BD74" s="821"/>
      <c r="BE74" s="820"/>
      <c r="BF74" s="820"/>
      <c r="BG74" s="820"/>
      <c r="BH74" s="820"/>
      <c r="BI74" s="820"/>
      <c r="BJ74" s="821"/>
      <c r="BK74" s="820"/>
      <c r="BL74" s="820"/>
      <c r="BM74" s="820"/>
      <c r="BN74" s="820"/>
      <c r="BO74" s="820"/>
      <c r="BP74" s="821"/>
      <c r="BQ74" s="820"/>
      <c r="BR74" s="820"/>
      <c r="BS74" s="820"/>
      <c r="BT74" s="820"/>
      <c r="BU74" s="820"/>
      <c r="BV74" s="821"/>
      <c r="BW74" s="820"/>
      <c r="BX74" s="820"/>
      <c r="BY74" s="820"/>
      <c r="BZ74" s="820"/>
      <c r="CA74" s="820"/>
      <c r="CB74" s="821"/>
      <c r="CC74" s="820"/>
      <c r="CD74" s="820"/>
      <c r="CE74" s="820"/>
      <c r="CF74" s="820"/>
      <c r="CG74" s="820"/>
      <c r="CH74" s="11"/>
      <c r="CI74" s="11"/>
      <c r="CJ74" s="11"/>
      <c r="CK74" s="11"/>
      <c r="CL74" s="11"/>
      <c r="CM74" s="11"/>
      <c r="CN74" s="11"/>
      <c r="CO74"/>
      <c r="CP74"/>
      <c r="CQ74"/>
      <c r="CR74"/>
      <c r="CS74"/>
      <c r="CT74"/>
    </row>
    <row r="75" spans="1:98 16384:16384" s="7" customFormat="1" ht="11.25" customHeight="1" x14ac:dyDescent="0.2">
      <c r="B75" s="432" t="s">
        <v>198</v>
      </c>
      <c r="C75" s="246">
        <f>G75</f>
        <v>0.37219203464284967</v>
      </c>
      <c r="D75" s="247">
        <f>G75</f>
        <v>0.37219203464284967</v>
      </c>
      <c r="E75" s="247">
        <f>G75</f>
        <v>0.37219203464284967</v>
      </c>
      <c r="F75" s="247">
        <f>G75</f>
        <v>0.37219203464284967</v>
      </c>
      <c r="G75" s="408">
        <f>+SUM(G76:G78)</f>
        <v>0.37219203464284967</v>
      </c>
      <c r="H75" s="51"/>
      <c r="I75" s="246">
        <f>M75</f>
        <v>0.34373838345779101</v>
      </c>
      <c r="J75" s="247">
        <f>M75</f>
        <v>0.34373838345779101</v>
      </c>
      <c r="K75" s="247">
        <f>M75</f>
        <v>0.34373838345779101</v>
      </c>
      <c r="L75" s="247">
        <f>M75</f>
        <v>0.34373838345779101</v>
      </c>
      <c r="M75" s="408">
        <f>+SUM(M76:M78)</f>
        <v>0.34373838345779101</v>
      </c>
      <c r="N75" s="51"/>
      <c r="O75" s="246">
        <f>S75</f>
        <v>0.33527787594981445</v>
      </c>
      <c r="P75" s="247">
        <f>S75</f>
        <v>0.33527787594981445</v>
      </c>
      <c r="Q75" s="247">
        <f>S75</f>
        <v>0.33527787594981445</v>
      </c>
      <c r="R75" s="247">
        <f>S75</f>
        <v>0.33527787594981445</v>
      </c>
      <c r="S75" s="408">
        <f>+SUM(S76:S78)</f>
        <v>0.33527787594981445</v>
      </c>
      <c r="T75" s="51"/>
      <c r="U75" s="246">
        <f>Y75</f>
        <v>0.34226298963219692</v>
      </c>
      <c r="V75" s="247">
        <f>Y75</f>
        <v>0.34226298963219692</v>
      </c>
      <c r="W75" s="247">
        <f>Y75</f>
        <v>0.34226298963219692</v>
      </c>
      <c r="X75" s="247">
        <f>Y75</f>
        <v>0.34226298963219692</v>
      </c>
      <c r="Y75" s="408">
        <f>+SUM(Y76:Y78)</f>
        <v>0.34226298963219692</v>
      </c>
      <c r="Z75" s="51"/>
      <c r="AA75" s="246">
        <f>AE75</f>
        <v>0.34624903610881297</v>
      </c>
      <c r="AB75" s="247">
        <f>AE75</f>
        <v>0.34624903610881297</v>
      </c>
      <c r="AC75" s="247">
        <f>AE75</f>
        <v>0.34624903610881297</v>
      </c>
      <c r="AD75" s="247">
        <f>AE75</f>
        <v>0.34624903610881297</v>
      </c>
      <c r="AE75" s="408">
        <f>+SUM(AE76:AE78)</f>
        <v>0.34624903610881297</v>
      </c>
      <c r="AF75" s="51"/>
      <c r="AG75" s="246">
        <f>AK75</f>
        <v>0.35610108112044597</v>
      </c>
      <c r="AH75" s="247">
        <f>AK75</f>
        <v>0.35610108112044597</v>
      </c>
      <c r="AI75" s="247">
        <f>AK75</f>
        <v>0.35610108112044597</v>
      </c>
      <c r="AJ75" s="247">
        <f>AK75</f>
        <v>0.35610108112044597</v>
      </c>
      <c r="AK75" s="408">
        <f>+SUM(AK76:AK78)</f>
        <v>0.35610108112044597</v>
      </c>
      <c r="AL75" s="51"/>
      <c r="AM75" s="246">
        <f>AQ75</f>
        <v>0.3507523762814167</v>
      </c>
      <c r="AN75" s="247">
        <f>AQ75</f>
        <v>0.3507523762814167</v>
      </c>
      <c r="AO75" s="247">
        <f>AQ75</f>
        <v>0.3507523762814167</v>
      </c>
      <c r="AP75" s="247">
        <f>AQ75</f>
        <v>0.3507523762814167</v>
      </c>
      <c r="AQ75" s="408">
        <f>+SUM(AQ76:AQ78)</f>
        <v>0.3507523762814167</v>
      </c>
      <c r="AR75" s="51"/>
      <c r="AS75" s="246">
        <f>AW75</f>
        <v>0.33367685870251734</v>
      </c>
      <c r="AT75" s="247">
        <f>AW75</f>
        <v>0.33367685870251734</v>
      </c>
      <c r="AU75" s="247">
        <f>AW75</f>
        <v>0.33367685870251734</v>
      </c>
      <c r="AV75" s="247">
        <f>AW75</f>
        <v>0.33367685870251734</v>
      </c>
      <c r="AW75" s="408">
        <f>+SUM(AW76:AW78)</f>
        <v>0.33367685870251734</v>
      </c>
      <c r="AX75" s="51"/>
      <c r="AY75" s="246">
        <f>BC75</f>
        <v>0.33430083328939808</v>
      </c>
      <c r="AZ75" s="247">
        <f>BC75</f>
        <v>0.33430083328939808</v>
      </c>
      <c r="BA75" s="247">
        <f>BC75</f>
        <v>0.33430083328939808</v>
      </c>
      <c r="BB75" s="247">
        <f>BC75</f>
        <v>0.33430083328939808</v>
      </c>
      <c r="BC75" s="408">
        <f>+SUM(BC76:BC78)</f>
        <v>0.33430083328939808</v>
      </c>
      <c r="BD75" s="51"/>
      <c r="BE75" s="246">
        <f>+BC75</f>
        <v>0.33430083328939808</v>
      </c>
      <c r="BF75" s="247">
        <f>+BC75</f>
        <v>0.33430083328939808</v>
      </c>
      <c r="BG75" s="247">
        <f>+BC75</f>
        <v>0.33430083328939808</v>
      </c>
      <c r="BH75" s="247">
        <f>BI75</f>
        <v>0.34100299668578449</v>
      </c>
      <c r="BI75" s="408">
        <f>+SUM(BI76:BI78)</f>
        <v>0.34100299668578449</v>
      </c>
      <c r="BJ75" s="51"/>
      <c r="BK75" s="246">
        <f>+BI75</f>
        <v>0.34100299668578449</v>
      </c>
      <c r="BL75" s="247">
        <f>+BK75</f>
        <v>0.34100299668578449</v>
      </c>
      <c r="BM75" s="247">
        <f>+BL75</f>
        <v>0.34100299668578449</v>
      </c>
      <c r="BN75" s="247">
        <f>BO75</f>
        <v>0.33544469938554866</v>
      </c>
      <c r="BO75" s="408">
        <f>+SUM(BO76:BO78)</f>
        <v>0.33544469938554866</v>
      </c>
      <c r="BP75" s="51"/>
      <c r="BQ75" s="246">
        <f>+BN75</f>
        <v>0.33544469938554866</v>
      </c>
      <c r="BR75" s="247">
        <f>+BQ75</f>
        <v>0.33544469938554866</v>
      </c>
      <c r="BS75" s="247">
        <f>+BR75</f>
        <v>0.33544469938554866</v>
      </c>
      <c r="BT75" s="247">
        <f>+BS75</f>
        <v>0.33544469938554866</v>
      </c>
      <c r="BU75" s="408">
        <f>BU21</f>
        <v>0.2412331118440644</v>
      </c>
      <c r="BV75" s="51"/>
      <c r="BW75" s="246">
        <f>+BT75</f>
        <v>0.33544469938554866</v>
      </c>
      <c r="BX75" s="247">
        <f>+BW75</f>
        <v>0.33544469938554866</v>
      </c>
      <c r="BY75" s="247">
        <f>+BX75</f>
        <v>0.33544469938554866</v>
      </c>
      <c r="BZ75" s="247">
        <f>+BY75</f>
        <v>0.33544469938554866</v>
      </c>
      <c r="CA75" s="408">
        <f>CA21</f>
        <v>0.2399999999999998</v>
      </c>
      <c r="CB75" s="51"/>
      <c r="CC75" s="246">
        <f>+BZ75</f>
        <v>0.33544469938554866</v>
      </c>
      <c r="CD75" s="247">
        <f>+CC75</f>
        <v>0.33544469938554866</v>
      </c>
      <c r="CE75" s="247">
        <f>+CD75</f>
        <v>0.33544469938554866</v>
      </c>
      <c r="CF75" s="247">
        <f>+CE75</f>
        <v>0.33544469938554866</v>
      </c>
      <c r="CG75" s="408">
        <f>CG21</f>
        <v>0.23999999999999996</v>
      </c>
      <c r="CH75" s="11"/>
      <c r="CI75" s="11"/>
      <c r="CJ75" s="11"/>
      <c r="CK75" s="11"/>
      <c r="CL75" s="11"/>
      <c r="CM75" s="11"/>
      <c r="CN75" s="11"/>
      <c r="CO75"/>
      <c r="CP75"/>
      <c r="CQ75"/>
      <c r="CR75"/>
      <c r="CS75"/>
      <c r="CT75"/>
    </row>
    <row r="76" spans="1:98 16384:16384" s="7" customFormat="1" ht="11.25" customHeight="1" x14ac:dyDescent="0.2">
      <c r="B76" s="113" t="s">
        <v>200</v>
      </c>
      <c r="C76" s="235"/>
      <c r="D76" s="43"/>
      <c r="E76" s="43"/>
      <c r="F76" s="43"/>
      <c r="G76" s="440">
        <f>134.493/384.264</f>
        <v>0.35000156142651923</v>
      </c>
      <c r="H76" s="231"/>
      <c r="I76" s="235"/>
      <c r="J76" s="43"/>
      <c r="K76" s="43"/>
      <c r="L76" s="43"/>
      <c r="M76" s="440">
        <f>138.407/395.449</f>
        <v>0.34999962068433604</v>
      </c>
      <c r="N76" s="231"/>
      <c r="O76" s="235"/>
      <c r="P76" s="43"/>
      <c r="Q76" s="43"/>
      <c r="R76" s="43"/>
      <c r="S76" s="440">
        <f>158.452/452.72</f>
        <v>0.35</v>
      </c>
      <c r="T76" s="231"/>
      <c r="U76" s="235"/>
      <c r="V76" s="43"/>
      <c r="W76" s="43"/>
      <c r="X76" s="43"/>
      <c r="Y76" s="440">
        <f>175.713/502.035</f>
        <v>0.35000149391974661</v>
      </c>
      <c r="Z76" s="231"/>
      <c r="AA76" s="235"/>
      <c r="AB76" s="43"/>
      <c r="AC76" s="43"/>
      <c r="AD76" s="43"/>
      <c r="AE76" s="440">
        <f>199.256/569.307</f>
        <v>0.34999745304378832</v>
      </c>
      <c r="AF76" s="231"/>
      <c r="AG76" s="235"/>
      <c r="AH76" s="43"/>
      <c r="AI76" s="43"/>
      <c r="AJ76" s="43"/>
      <c r="AK76" s="440">
        <f>211.466/604.188</f>
        <v>0.35000033102279426</v>
      </c>
      <c r="AL76" s="231"/>
      <c r="AM76" s="235"/>
      <c r="AN76" s="43"/>
      <c r="AO76" s="43"/>
      <c r="AP76" s="43"/>
      <c r="AQ76" s="440">
        <f>232.644/664.694</f>
        <v>0.35000165489683976</v>
      </c>
      <c r="AR76" s="231"/>
      <c r="AS76" s="235"/>
      <c r="AT76" s="43"/>
      <c r="AU76" s="43"/>
      <c r="AV76" s="43"/>
      <c r="AW76" s="440">
        <f>248.26/709.312</f>
        <v>0.35000112785346926</v>
      </c>
      <c r="AX76" s="231"/>
      <c r="AY76" s="235"/>
      <c r="AZ76" s="43"/>
      <c r="BA76" s="43"/>
      <c r="BB76" s="43"/>
      <c r="BC76" s="440">
        <f>252.265/720.758</f>
        <v>0.3499995837715294</v>
      </c>
      <c r="BD76" s="231"/>
      <c r="BE76" s="235"/>
      <c r="BF76" s="43"/>
      <c r="BG76" s="43"/>
      <c r="BH76" s="43"/>
      <c r="BI76" s="440">
        <f>264.542/755.835</f>
        <v>0.34999966923997955</v>
      </c>
      <c r="BJ76" s="231"/>
      <c r="BK76" s="235"/>
      <c r="BL76" s="43"/>
      <c r="BM76" s="43"/>
      <c r="BN76" s="43"/>
      <c r="BO76" s="440">
        <f>287.996/822.848</f>
        <v>0.34999902776697517</v>
      </c>
      <c r="BP76" s="231"/>
      <c r="BQ76" s="235"/>
      <c r="BR76" s="43"/>
      <c r="BS76" s="43"/>
      <c r="BT76" s="43"/>
      <c r="BU76" s="440"/>
      <c r="BV76" s="231"/>
      <c r="BW76" s="235"/>
      <c r="BX76" s="43"/>
      <c r="BY76" s="43"/>
      <c r="BZ76" s="43"/>
      <c r="CA76" s="440"/>
      <c r="CB76" s="231"/>
      <c r="CC76" s="235"/>
      <c r="CD76" s="43"/>
      <c r="CE76" s="43"/>
      <c r="CF76" s="43"/>
      <c r="CG76" s="440"/>
      <c r="CH76" s="11"/>
      <c r="CI76" s="11"/>
      <c r="CJ76" s="11"/>
      <c r="CK76" s="11"/>
      <c r="CL76" s="11"/>
      <c r="CM76" s="11"/>
      <c r="CN76" s="11"/>
      <c r="CO76"/>
      <c r="CP76"/>
      <c r="CQ76"/>
      <c r="CR76"/>
      <c r="CS76"/>
      <c r="CT76"/>
    </row>
    <row r="77" spans="1:98 16384:16384" s="7" customFormat="1" ht="11.25" customHeight="1" x14ac:dyDescent="0.2">
      <c r="B77" s="113" t="s">
        <v>199</v>
      </c>
      <c r="C77" s="235"/>
      <c r="D77" s="43"/>
      <c r="E77" s="43"/>
      <c r="F77" s="43"/>
      <c r="G77" s="440">
        <f>15.03/384.264</f>
        <v>3.9113734307663475E-2</v>
      </c>
      <c r="H77" s="231"/>
      <c r="I77" s="235"/>
      <c r="J77" s="43"/>
      <c r="K77" s="43"/>
      <c r="L77" s="43"/>
      <c r="M77" s="440">
        <f>9.426/395.449</f>
        <v>2.3836196323672586E-2</v>
      </c>
      <c r="N77" s="231"/>
      <c r="O77" s="235"/>
      <c r="P77" s="43"/>
      <c r="Q77" s="43"/>
      <c r="R77" s="43"/>
      <c r="S77" s="440">
        <f>10.078/452.72</f>
        <v>2.2261000176709664E-2</v>
      </c>
      <c r="T77" s="231"/>
      <c r="U77" s="235"/>
      <c r="V77" s="43"/>
      <c r="W77" s="43"/>
      <c r="X77" s="43"/>
      <c r="Y77" s="440">
        <f>13.224/502.035</f>
        <v>2.6340792972601512E-2</v>
      </c>
      <c r="Z77" s="231"/>
      <c r="AA77" s="235"/>
      <c r="AB77" s="43"/>
      <c r="AC77" s="43"/>
      <c r="AD77" s="43"/>
      <c r="AE77" s="440">
        <f>18.035/569.307</f>
        <v>3.1678865708659826E-2</v>
      </c>
      <c r="AF77" s="231"/>
      <c r="AG77" s="235"/>
      <c r="AH77" s="43"/>
      <c r="AI77" s="43"/>
      <c r="AJ77" s="43"/>
      <c r="AK77" s="440">
        <f>21.665/604.188</f>
        <v>3.5858044184922576E-2</v>
      </c>
      <c r="AL77" s="231"/>
      <c r="AM77" s="235"/>
      <c r="AN77" s="43"/>
      <c r="AO77" s="43"/>
      <c r="AP77" s="43"/>
      <c r="AQ77" s="440">
        <f>20.134/664.694</f>
        <v>3.0290629974093344E-2</v>
      </c>
      <c r="AR77" s="231"/>
      <c r="AS77" s="235"/>
      <c r="AT77" s="43"/>
      <c r="AU77" s="43"/>
      <c r="AV77" s="43"/>
      <c r="AW77" s="440">
        <f>11.381/709.312</f>
        <v>1.6045125417305784E-2</v>
      </c>
      <c r="AX77" s="231"/>
      <c r="AY77" s="235"/>
      <c r="AZ77" s="43"/>
      <c r="BA77" s="43"/>
      <c r="BB77" s="43"/>
      <c r="BC77" s="440">
        <f>14.627/720.758</f>
        <v>2.0293912797360557E-2</v>
      </c>
      <c r="BD77" s="231"/>
      <c r="BE77" s="235"/>
      <c r="BF77" s="43"/>
      <c r="BG77" s="43"/>
      <c r="BH77" s="43"/>
      <c r="BI77" s="440">
        <f>11.236/755.835</f>
        <v>1.4865678355725788E-2</v>
      </c>
      <c r="BJ77" s="231"/>
      <c r="BK77" s="235"/>
      <c r="BL77" s="43"/>
      <c r="BM77" s="43"/>
      <c r="BN77" s="43"/>
      <c r="BO77" s="440">
        <f>12.457/822.848</f>
        <v>1.5138883487594307E-2</v>
      </c>
      <c r="BP77" s="231"/>
      <c r="BQ77" s="235"/>
      <c r="BR77" s="43"/>
      <c r="BS77" s="43"/>
      <c r="BT77" s="43"/>
      <c r="BU77" s="440"/>
      <c r="BV77" s="231"/>
      <c r="BW77" s="235"/>
      <c r="BX77" s="43"/>
      <c r="BY77" s="43"/>
      <c r="BZ77" s="43"/>
      <c r="CA77" s="440"/>
      <c r="CB77" s="231"/>
      <c r="CC77" s="235"/>
      <c r="CD77" s="43"/>
      <c r="CE77" s="43"/>
      <c r="CF77" s="43"/>
      <c r="CG77" s="440"/>
      <c r="CH77" s="11"/>
      <c r="CI77" s="11"/>
      <c r="CJ77" s="11"/>
      <c r="CK77" s="11"/>
      <c r="CL77" s="11"/>
      <c r="CM77" s="11"/>
      <c r="CN77" s="11"/>
      <c r="CO77"/>
      <c r="CP77"/>
      <c r="CQ77"/>
      <c r="CR77"/>
      <c r="CS77"/>
      <c r="CT77"/>
    </row>
    <row r="78" spans="1:98 16384:16384" s="7" customFormat="1" ht="11.25" customHeight="1" x14ac:dyDescent="0.2">
      <c r="B78" s="113" t="s">
        <v>201</v>
      </c>
      <c r="C78" s="235"/>
      <c r="D78" s="43"/>
      <c r="E78" s="43"/>
      <c r="F78" s="43"/>
      <c r="G78" s="440">
        <f>-6.503/384.264</f>
        <v>-1.692326109133304E-2</v>
      </c>
      <c r="H78" s="231"/>
      <c r="I78" s="235"/>
      <c r="J78" s="43"/>
      <c r="K78" s="43"/>
      <c r="L78" s="43"/>
      <c r="M78" s="440">
        <f>-11.902/395.449</f>
        <v>-3.0097433550217597E-2</v>
      </c>
      <c r="N78" s="231"/>
      <c r="O78" s="235"/>
      <c r="P78" s="43"/>
      <c r="Q78" s="43"/>
      <c r="R78" s="43"/>
      <c r="S78" s="440">
        <f>-16.743/452.72</f>
        <v>-3.6983124226895203E-2</v>
      </c>
      <c r="T78" s="231"/>
      <c r="U78" s="235"/>
      <c r="V78" s="43"/>
      <c r="W78" s="43"/>
      <c r="X78" s="43"/>
      <c r="Y78" s="440">
        <f>-17.109/502.035</f>
        <v>-3.4079297260151187E-2</v>
      </c>
      <c r="Z78" s="231"/>
      <c r="AA78" s="235"/>
      <c r="AB78" s="43"/>
      <c r="AC78" s="43"/>
      <c r="AD78" s="43"/>
      <c r="AE78" s="440">
        <f>-20.169/569.307</f>
        <v>-3.5427282643635157E-2</v>
      </c>
      <c r="AF78" s="231"/>
      <c r="AG78" s="235"/>
      <c r="AH78" s="43"/>
      <c r="AI78" s="43"/>
      <c r="AJ78" s="43"/>
      <c r="AK78" s="440">
        <f>-17.979/604.188</f>
        <v>-2.975729408727085E-2</v>
      </c>
      <c r="AL78" s="231"/>
      <c r="AM78" s="235"/>
      <c r="AN78" s="43"/>
      <c r="AO78" s="43"/>
      <c r="AP78" s="43"/>
      <c r="AQ78" s="440">
        <f>-19.635/664.694</f>
        <v>-2.9539908589516384E-2</v>
      </c>
      <c r="AR78" s="231"/>
      <c r="AS78" s="235"/>
      <c r="AT78" s="43"/>
      <c r="AU78" s="43"/>
      <c r="AV78" s="43"/>
      <c r="AW78" s="440">
        <f>-22.96/709.312</f>
        <v>-3.2369394568257694E-2</v>
      </c>
      <c r="AX78" s="231"/>
      <c r="AY78" s="235"/>
      <c r="AZ78" s="43"/>
      <c r="BA78" s="43"/>
      <c r="BB78" s="43"/>
      <c r="BC78" s="440">
        <f>-25.942/720.758</f>
        <v>-3.5992663279491868E-2</v>
      </c>
      <c r="BD78" s="231"/>
      <c r="BE78" s="235"/>
      <c r="BF78" s="43"/>
      <c r="BG78" s="43"/>
      <c r="BH78" s="43"/>
      <c r="BI78" s="440">
        <f>-18.036/755.835</f>
        <v>-2.3862350909920817E-2</v>
      </c>
      <c r="BJ78" s="231"/>
      <c r="BK78" s="235"/>
      <c r="BL78" s="43"/>
      <c r="BM78" s="43"/>
      <c r="BN78" s="43"/>
      <c r="BO78" s="440">
        <f>-24.433/822.848</f>
        <v>-2.9693211869020769E-2</v>
      </c>
      <c r="BP78" s="231"/>
      <c r="BQ78" s="235"/>
      <c r="BR78" s="43"/>
      <c r="BS78" s="43"/>
      <c r="BT78" s="43"/>
      <c r="BU78" s="440"/>
      <c r="BV78" s="231"/>
      <c r="BW78" s="235"/>
      <c r="BX78" s="43"/>
      <c r="BY78" s="43"/>
      <c r="BZ78" s="43"/>
      <c r="CA78" s="440"/>
      <c r="CB78" s="231"/>
      <c r="CC78" s="235"/>
      <c r="CD78" s="43"/>
      <c r="CE78" s="43"/>
      <c r="CF78" s="43"/>
      <c r="CG78" s="440"/>
      <c r="CH78" s="11"/>
      <c r="CI78" s="11"/>
      <c r="CJ78" s="11"/>
      <c r="CK78" s="11"/>
      <c r="CL78" s="11"/>
      <c r="CM78" s="11"/>
      <c r="CN78" s="11"/>
      <c r="CO78"/>
      <c r="CP78"/>
      <c r="CQ78"/>
      <c r="CR78"/>
      <c r="CS78"/>
      <c r="CT78"/>
    </row>
    <row r="79" spans="1:98 16384:16384" s="7" customFormat="1" ht="11.25" customHeight="1" x14ac:dyDescent="0.2">
      <c r="B79" s="433" t="s">
        <v>135</v>
      </c>
      <c r="C79" s="155" t="s">
        <v>246</v>
      </c>
      <c r="D79" s="32" t="s">
        <v>246</v>
      </c>
      <c r="E79" s="32" t="s">
        <v>246</v>
      </c>
      <c r="F79" s="32" t="s">
        <v>246</v>
      </c>
      <c r="G79" s="384" t="s">
        <v>246</v>
      </c>
      <c r="H79" s="116"/>
      <c r="I79" s="155" t="s">
        <v>246</v>
      </c>
      <c r="J79" s="32" t="s">
        <v>246</v>
      </c>
      <c r="K79" s="32" t="s">
        <v>246</v>
      </c>
      <c r="L79" s="32" t="s">
        <v>246</v>
      </c>
      <c r="M79" s="384" t="s">
        <v>246</v>
      </c>
      <c r="N79" s="116"/>
      <c r="O79" s="155" t="s">
        <v>246</v>
      </c>
      <c r="P79" s="32" t="s">
        <v>246</v>
      </c>
      <c r="Q79" s="32" t="s">
        <v>246</v>
      </c>
      <c r="R79" s="32" t="s">
        <v>246</v>
      </c>
      <c r="S79" s="384" t="s">
        <v>246</v>
      </c>
      <c r="T79" s="116"/>
      <c r="U79" s="155" t="s">
        <v>246</v>
      </c>
      <c r="V79" s="32" t="s">
        <v>246</v>
      </c>
      <c r="W79" s="32" t="s">
        <v>246</v>
      </c>
      <c r="X79" s="32" t="s">
        <v>246</v>
      </c>
      <c r="Y79" s="384" t="s">
        <v>246</v>
      </c>
      <c r="Z79" s="116"/>
      <c r="AA79" s="155" t="s">
        <v>246</v>
      </c>
      <c r="AB79" s="32" t="s">
        <v>246</v>
      </c>
      <c r="AC79" s="32" t="s">
        <v>246</v>
      </c>
      <c r="AD79" s="32" t="s">
        <v>246</v>
      </c>
      <c r="AE79" s="384" t="s">
        <v>246</v>
      </c>
      <c r="AF79" s="116"/>
      <c r="AG79" s="155" t="s">
        <v>246</v>
      </c>
      <c r="AH79" s="32" t="s">
        <v>246</v>
      </c>
      <c r="AI79" s="32" t="s">
        <v>246</v>
      </c>
      <c r="AJ79" s="32" t="s">
        <v>246</v>
      </c>
      <c r="AK79" s="384" t="s">
        <v>246</v>
      </c>
      <c r="AL79" s="116"/>
      <c r="AM79" s="155" t="s">
        <v>246</v>
      </c>
      <c r="AN79" s="32" t="s">
        <v>246</v>
      </c>
      <c r="AO79" s="32" t="s">
        <v>246</v>
      </c>
      <c r="AP79" s="32" t="s">
        <v>246</v>
      </c>
      <c r="AQ79" s="384" t="s">
        <v>246</v>
      </c>
      <c r="AR79" s="116"/>
      <c r="AS79" s="155" t="s">
        <v>246</v>
      </c>
      <c r="AT79" s="32" t="s">
        <v>246</v>
      </c>
      <c r="AU79" s="32" t="s">
        <v>246</v>
      </c>
      <c r="AV79" s="32" t="s">
        <v>246</v>
      </c>
      <c r="AW79" s="384" t="s">
        <v>246</v>
      </c>
      <c r="AX79" s="116"/>
      <c r="AY79" s="155" t="s">
        <v>246</v>
      </c>
      <c r="AZ79" s="32" t="s">
        <v>246</v>
      </c>
      <c r="BA79" s="32" t="s">
        <v>246</v>
      </c>
      <c r="BB79" s="32" t="s">
        <v>246</v>
      </c>
      <c r="BC79" s="384" t="s">
        <v>246</v>
      </c>
      <c r="BD79" s="116"/>
      <c r="BE79" s="155" t="s">
        <v>246</v>
      </c>
      <c r="BF79" s="32" t="s">
        <v>246</v>
      </c>
      <c r="BG79" s="32" t="s">
        <v>246</v>
      </c>
      <c r="BH79" s="32" t="s">
        <v>246</v>
      </c>
      <c r="BI79" s="384" t="s">
        <v>246</v>
      </c>
      <c r="BJ79" s="116"/>
      <c r="BK79" s="155" t="s">
        <v>246</v>
      </c>
      <c r="BL79" s="32" t="s">
        <v>246</v>
      </c>
      <c r="BM79" s="32" t="s">
        <v>246</v>
      </c>
      <c r="BN79" s="32" t="s">
        <v>246</v>
      </c>
      <c r="BO79" s="384" t="s">
        <v>246</v>
      </c>
      <c r="BP79" s="116"/>
      <c r="BQ79" s="155" t="s">
        <v>246</v>
      </c>
      <c r="BR79" s="32" t="s">
        <v>246</v>
      </c>
      <c r="BS79" s="32" t="s">
        <v>246</v>
      </c>
      <c r="BT79" s="32" t="s">
        <v>246</v>
      </c>
      <c r="BU79" s="384" t="s">
        <v>246</v>
      </c>
      <c r="BV79" s="116"/>
      <c r="BW79" s="155" t="s">
        <v>246</v>
      </c>
      <c r="BX79" s="32" t="s">
        <v>246</v>
      </c>
      <c r="BY79" s="32" t="s">
        <v>246</v>
      </c>
      <c r="BZ79" s="32" t="s">
        <v>246</v>
      </c>
      <c r="CA79" s="384" t="s">
        <v>246</v>
      </c>
      <c r="CB79" s="116"/>
      <c r="CC79" s="155" t="s">
        <v>246</v>
      </c>
      <c r="CD79" s="32" t="s">
        <v>246</v>
      </c>
      <c r="CE79" s="32" t="s">
        <v>246</v>
      </c>
      <c r="CF79" s="32" t="s">
        <v>246</v>
      </c>
      <c r="CG79" s="384" t="s">
        <v>246</v>
      </c>
      <c r="CH79" s="11"/>
      <c r="CI79" s="11"/>
      <c r="CJ79" s="11"/>
      <c r="CK79" s="11"/>
      <c r="CL79" s="11"/>
      <c r="CM79" s="11"/>
      <c r="CN79" s="11"/>
      <c r="CO79"/>
      <c r="CP79"/>
      <c r="CQ79"/>
      <c r="CR79"/>
      <c r="CS79"/>
      <c r="CT79"/>
    </row>
    <row r="80" spans="1:98 16384:16384" s="7" customFormat="1" ht="11.25" customHeight="1" x14ac:dyDescent="0.2">
      <c r="B80" s="434" t="s">
        <v>195</v>
      </c>
      <c r="C80" s="155">
        <f>C67+C25</f>
        <v>46.408999999999956</v>
      </c>
      <c r="D80" s="32">
        <f>D67+D25</f>
        <v>37.679000000000045</v>
      </c>
      <c r="E80" s="32">
        <f>E67+E25</f>
        <v>63.820000000000149</v>
      </c>
      <c r="F80" s="32">
        <f>F67+F25</f>
        <v>84.707000000000278</v>
      </c>
      <c r="G80" s="384">
        <f>G67+G25</f>
        <v>232.61500000000052</v>
      </c>
      <c r="H80" s="64"/>
      <c r="I80" s="155">
        <f>I67+I25</f>
        <v>54.690000000000097</v>
      </c>
      <c r="J80" s="32">
        <f>J67+J25</f>
        <v>71.701000000000136</v>
      </c>
      <c r="K80" s="32">
        <f>K67+K25</f>
        <v>72.766000000000048</v>
      </c>
      <c r="L80" s="32">
        <f>L67+L25</f>
        <v>62.228999999998209</v>
      </c>
      <c r="M80" s="384">
        <f>M67+M25</f>
        <v>261.38599999999917</v>
      </c>
      <c r="N80" s="64"/>
      <c r="O80" s="155">
        <f>O67+O25</f>
        <v>59.259999999999792</v>
      </c>
      <c r="P80" s="32">
        <f>P67+P25</f>
        <v>80.348999999999918</v>
      </c>
      <c r="Q80" s="32">
        <f>Q67+Q25</f>
        <v>100.75100000000005</v>
      </c>
      <c r="R80" s="32">
        <f>R67+R25</f>
        <v>92.684000000001035</v>
      </c>
      <c r="S80" s="384">
        <f>S67+S25</f>
        <v>333.04400000000066</v>
      </c>
      <c r="T80" s="64"/>
      <c r="U80" s="155">
        <f>U67+U25</f>
        <v>67.251999999999938</v>
      </c>
      <c r="V80" s="32">
        <f>V67+V25</f>
        <v>93.163000000000025</v>
      </c>
      <c r="W80" s="32">
        <f>W67+W25</f>
        <v>94.489999999999895</v>
      </c>
      <c r="X80" s="32">
        <f>X67+X25</f>
        <v>97.226000000000298</v>
      </c>
      <c r="Y80" s="384">
        <f>Y67+Y25</f>
        <v>352.1310000000002</v>
      </c>
      <c r="Z80" s="64"/>
      <c r="AA80" s="155">
        <f>AA67+AA25</f>
        <v>82.970999999999904</v>
      </c>
      <c r="AB80" s="32">
        <f>AB67+AB25</f>
        <v>105.05599999999991</v>
      </c>
      <c r="AC80" s="32">
        <f>AC67+AC25</f>
        <v>100.80800000000031</v>
      </c>
      <c r="AD80" s="32">
        <f>AD67+AD25</f>
        <v>115.82100000000005</v>
      </c>
      <c r="AE80" s="384">
        <f>AE67+AE25</f>
        <v>404.65600000000035</v>
      </c>
      <c r="AF80" s="64"/>
      <c r="AG80" s="155">
        <f>AG67+AG25</f>
        <v>89.060999999999723</v>
      </c>
      <c r="AH80" s="32">
        <f>AH67+AH25</f>
        <v>107.30200000000018</v>
      </c>
      <c r="AI80" s="32">
        <f>AI67+AI25</f>
        <v>105.31000000000006</v>
      </c>
      <c r="AJ80" s="32">
        <f>AJ67+AJ25</f>
        <v>121.71500000000191</v>
      </c>
      <c r="AK80" s="384">
        <f>AK67+AK25</f>
        <v>423.38800000000089</v>
      </c>
      <c r="AL80" s="64"/>
      <c r="AM80" s="155">
        <f>AM67+AM25</f>
        <v>98.685999999999964</v>
      </c>
      <c r="AN80" s="32">
        <f>AN67+AN25</f>
        <v>121.43499999999999</v>
      </c>
      <c r="AO80" s="32">
        <f>AO67+AO25</f>
        <v>116.37200000000016</v>
      </c>
      <c r="AP80" s="32">
        <f>AP67+AP25</f>
        <v>134.96900000000142</v>
      </c>
      <c r="AQ80" s="384">
        <f>AQ67+AQ25</f>
        <v>471.46200000000107</v>
      </c>
      <c r="AR80" s="64"/>
      <c r="AS80" s="155">
        <f>AS67+AS25</f>
        <v>110.12800000000014</v>
      </c>
      <c r="AT80" s="32">
        <f>AT67+AT25</f>
        <v>127.11699999999993</v>
      </c>
      <c r="AU80" s="32">
        <f>AU67+AU25</f>
        <v>124.23599999999973</v>
      </c>
      <c r="AV80" s="32">
        <f>AV67+AV25</f>
        <v>143.95500000000021</v>
      </c>
      <c r="AW80" s="384">
        <f>AW67+AW25</f>
        <v>505.43599999999975</v>
      </c>
      <c r="AX80" s="64"/>
      <c r="AY80" s="155">
        <f>AY67+AY25</f>
        <v>111.58000000000018</v>
      </c>
      <c r="AZ80" s="32">
        <f>AZ67+AZ25</f>
        <v>129.60800000000006</v>
      </c>
      <c r="BA80" s="32">
        <f>BA67+BA25</f>
        <v>141.39600000000016</v>
      </c>
      <c r="BB80" s="32">
        <f>BB67+BB25</f>
        <v>140.84299999999828</v>
      </c>
      <c r="BC80" s="384">
        <f>BC67+BC25</f>
        <v>523.42699999999888</v>
      </c>
      <c r="BD80" s="64"/>
      <c r="BE80" s="155">
        <f>BE67+BE25</f>
        <v>124.53300000000007</v>
      </c>
      <c r="BF80" s="32">
        <f>BF67+BF25</f>
        <v>133.09800000000027</v>
      </c>
      <c r="BG80" s="32">
        <f>BG67+BG25</f>
        <v>145.29100000000003</v>
      </c>
      <c r="BH80" s="32">
        <f>BH67+BH25</f>
        <v>153.47300000000001</v>
      </c>
      <c r="BI80" s="384">
        <f>BI67+BI25</f>
        <v>556.3950000000001</v>
      </c>
      <c r="BJ80" s="64"/>
      <c r="BK80" s="155">
        <f>BK67+BK25</f>
        <v>150.2530000000001</v>
      </c>
      <c r="BL80" s="32">
        <f>BL67+BL25</f>
        <v>149.58200000000028</v>
      </c>
      <c r="BM80" s="32">
        <f>BM67+BM25</f>
        <v>150.94800000000009</v>
      </c>
      <c r="BN80" s="32">
        <f>BN67+BN25</f>
        <v>8.5100000000001756</v>
      </c>
      <c r="BO80" s="384">
        <f>BO67+BO25</f>
        <v>459.29300000000046</v>
      </c>
      <c r="BP80" s="64"/>
      <c r="BQ80" s="155">
        <f>BQ67+BQ25</f>
        <v>156.69818855789129</v>
      </c>
      <c r="BR80" s="32">
        <f>BR67+BR25</f>
        <v>169.00583795713624</v>
      </c>
      <c r="BS80" s="32">
        <f>BS67+BS25</f>
        <v>170.24034940021221</v>
      </c>
      <c r="BT80" s="32">
        <f>BT67+BT25</f>
        <v>189.11937422675163</v>
      </c>
      <c r="BU80" s="384">
        <f>BU67+BU25</f>
        <v>685.06375014199193</v>
      </c>
      <c r="BV80" s="64"/>
      <c r="BW80" s="155">
        <f>BW67+BW25</f>
        <v>154.99527095920374</v>
      </c>
      <c r="BX80" s="32">
        <f>BX67+BX25</f>
        <v>169.94184799542791</v>
      </c>
      <c r="BY80" s="32">
        <f>BY67+BY25</f>
        <v>170.99662990625325</v>
      </c>
      <c r="BZ80" s="32">
        <f>BZ67+BZ25</f>
        <v>190.42025220116426</v>
      </c>
      <c r="CA80" s="384">
        <f>CA67+CA25</f>
        <v>686.35400106204975</v>
      </c>
      <c r="CB80" s="64"/>
      <c r="CC80" s="155">
        <f>CC67+CC25</f>
        <v>159.55732648629265</v>
      </c>
      <c r="CD80" s="32">
        <f>CD67+CD25</f>
        <v>175.58825051377244</v>
      </c>
      <c r="CE80" s="32">
        <f>CE67+CE25</f>
        <v>175.57832131658154</v>
      </c>
      <c r="CF80" s="32">
        <f>CF67+CF25</f>
        <v>194.58869652203694</v>
      </c>
      <c r="CG80" s="384">
        <f>CG67+CG25</f>
        <v>705.31259483868371</v>
      </c>
      <c r="CH80" s="11"/>
      <c r="CI80" s="11"/>
      <c r="CJ80" s="11"/>
      <c r="CK80" s="11"/>
      <c r="CL80" s="11"/>
      <c r="CM80" s="11"/>
      <c r="CN80" s="11"/>
      <c r="CO80"/>
      <c r="CP80"/>
      <c r="CQ80"/>
      <c r="CR80"/>
      <c r="CS80"/>
      <c r="CT80"/>
    </row>
    <row r="81" spans="1:98" s="7" customFormat="1" ht="11.25" customHeight="1" x14ac:dyDescent="0.2">
      <c r="B81" s="435" t="s">
        <v>360</v>
      </c>
      <c r="C81" s="244">
        <f>'Cash Flow'!C38+'Cash Flow'!C39</f>
        <v>-19.997999999999998</v>
      </c>
      <c r="D81" s="245">
        <f>'Cash Flow'!D38+'Cash Flow'!D39</f>
        <v>12.929</v>
      </c>
      <c r="E81" s="245">
        <f>'Cash Flow'!E38+'Cash Flow'!E39</f>
        <v>9.0989999999999984</v>
      </c>
      <c r="F81" s="245">
        <f>'Cash Flow'!F38+'Cash Flow'!F39</f>
        <v>2.7400000000000055</v>
      </c>
      <c r="G81" s="439">
        <f>'Cash Flow'!G38+'Cash Flow'!G39</f>
        <v>4.7700000000000031</v>
      </c>
      <c r="H81" s="82"/>
      <c r="I81" s="244">
        <f>'Cash Flow'!I38+'Cash Flow'!I39</f>
        <v>7.1719999999999997</v>
      </c>
      <c r="J81" s="245">
        <f>'Cash Flow'!J38+'Cash Flow'!J39</f>
        <v>-26.123999999999999</v>
      </c>
      <c r="K81" s="245">
        <f>'Cash Flow'!K38+'Cash Flow'!K39</f>
        <v>-10.952000000000002</v>
      </c>
      <c r="L81" s="245">
        <f>'Cash Flow'!L38+'Cash Flow'!L39</f>
        <v>-27.234999999999996</v>
      </c>
      <c r="M81" s="439">
        <f>'Cash Flow'!M38+'Cash Flow'!M39</f>
        <v>-57.138999999999996</v>
      </c>
      <c r="N81" s="82"/>
      <c r="O81" s="244">
        <f>'Cash Flow'!O38+'Cash Flow'!O39</f>
        <v>0.377</v>
      </c>
      <c r="P81" s="245">
        <f>'Cash Flow'!P38+'Cash Flow'!P39</f>
        <v>3.5510000000000002</v>
      </c>
      <c r="Q81" s="245">
        <f>'Cash Flow'!Q38+'Cash Flow'!Q39</f>
        <v>5.7610000000000001</v>
      </c>
      <c r="R81" s="245">
        <f>'Cash Flow'!R38+'Cash Flow'!R39</f>
        <v>2.1809999999999992</v>
      </c>
      <c r="S81" s="439">
        <f>'Cash Flow'!S38+'Cash Flow'!S39</f>
        <v>11.87</v>
      </c>
      <c r="T81" s="82"/>
      <c r="U81" s="244">
        <f>'Cash Flow'!U38+'Cash Flow'!U39</f>
        <v>15.28</v>
      </c>
      <c r="V81" s="245">
        <f>'Cash Flow'!V38+'Cash Flow'!V39</f>
        <v>5.756000000000002</v>
      </c>
      <c r="W81" s="245">
        <f>'Cash Flow'!W38+'Cash Flow'!W39</f>
        <v>-0.50499999999999812</v>
      </c>
      <c r="X81" s="245">
        <f>'Cash Flow'!X38+'Cash Flow'!X39</f>
        <v>-39.829000000000001</v>
      </c>
      <c r="Y81" s="439">
        <f>'Cash Flow'!Y38+'Cash Flow'!Y39</f>
        <v>-19.298000000000002</v>
      </c>
      <c r="Z81" s="82"/>
      <c r="AA81" s="244">
        <f>'Cash Flow'!AA38+'Cash Flow'!AA39</f>
        <v>-8.2839999999999989</v>
      </c>
      <c r="AB81" s="245">
        <f>'Cash Flow'!AB38+'Cash Flow'!AB39</f>
        <v>4.1239999999999988</v>
      </c>
      <c r="AC81" s="245">
        <f>'Cash Flow'!AC38+'Cash Flow'!AC39</f>
        <v>-98.064999999999998</v>
      </c>
      <c r="AD81" s="245">
        <f>'Cash Flow'!AD38+'Cash Flow'!AD39</f>
        <v>-63.258000000000024</v>
      </c>
      <c r="AE81" s="439">
        <f>'Cash Flow'!AE38+'Cash Flow'!AE39</f>
        <v>-165.483</v>
      </c>
      <c r="AF81" s="82"/>
      <c r="AG81" s="244">
        <f>'Cash Flow'!AG38+'Cash Flow'!AG39</f>
        <v>-8.5259999999999962</v>
      </c>
      <c r="AH81" s="245">
        <f>'Cash Flow'!AH38+'Cash Flow'!AH39</f>
        <v>-107.64999999999999</v>
      </c>
      <c r="AI81" s="245">
        <f>'Cash Flow'!AI38+'Cash Flow'!AI39</f>
        <v>-55.74</v>
      </c>
      <c r="AJ81" s="245">
        <f>'Cash Flow'!AJ38+'Cash Flow'!AJ39</f>
        <v>-55.481999999999999</v>
      </c>
      <c r="AK81" s="439">
        <f>'Cash Flow'!AK38+'Cash Flow'!AK39</f>
        <v>-227.398</v>
      </c>
      <c r="AL81" s="82"/>
      <c r="AM81" s="244">
        <f>'Cash Flow'!AM38+'Cash Flow'!AM39</f>
        <v>-61.65</v>
      </c>
      <c r="AN81" s="245">
        <f>'Cash Flow'!AN38+'Cash Flow'!AN39</f>
        <v>-70.408999999999992</v>
      </c>
      <c r="AO81" s="245">
        <f>'Cash Flow'!AO38+'Cash Flow'!AO39</f>
        <v>-71.783000000000001</v>
      </c>
      <c r="AP81" s="245">
        <f>'Cash Flow'!AP38+'Cash Flow'!AP39</f>
        <v>-60.85599999999998</v>
      </c>
      <c r="AQ81" s="439">
        <f>'Cash Flow'!AQ38+'Cash Flow'!AQ39</f>
        <v>-264.69799999999998</v>
      </c>
      <c r="AR81" s="82"/>
      <c r="AS81" s="244">
        <f>'Cash Flow'!AS38+'Cash Flow'!AS39</f>
        <v>-58.855999999999995</v>
      </c>
      <c r="AT81" s="245">
        <f>'Cash Flow'!AT38+'Cash Flow'!AT39</f>
        <v>-71.310000000000016</v>
      </c>
      <c r="AU81" s="245">
        <f>'Cash Flow'!AU38+'Cash Flow'!AU39</f>
        <v>-72.000999999999991</v>
      </c>
      <c r="AV81" s="245">
        <f>'Cash Flow'!AV38+'Cash Flow'!AV39</f>
        <v>-66.330999999999975</v>
      </c>
      <c r="AW81" s="439">
        <f>'Cash Flow'!AW38+'Cash Flow'!AW39</f>
        <v>-268.49799999999999</v>
      </c>
      <c r="AX81" s="82"/>
      <c r="AY81" s="244">
        <f>'Cash Flow'!AY38+'Cash Flow'!AY39</f>
        <v>-68.13</v>
      </c>
      <c r="AZ81" s="245">
        <f>'Cash Flow'!AZ38+'Cash Flow'!AZ39</f>
        <v>-34.219000000000001</v>
      </c>
      <c r="BA81" s="245">
        <f>'Cash Flow'!BA38+'Cash Flow'!BA39</f>
        <v>-36.88900000000001</v>
      </c>
      <c r="BB81" s="245">
        <f>'Cash Flow'!BB38+'Cash Flow'!BB39</f>
        <v>-145.74399999999997</v>
      </c>
      <c r="BC81" s="439">
        <f>'Cash Flow'!BC38+'Cash Flow'!BC39</f>
        <v>-284.98199999999997</v>
      </c>
      <c r="BD81" s="82"/>
      <c r="BE81" s="244">
        <f>'Cash Flow'!BE38+'Cash Flow'!BE39</f>
        <v>-93.599000000000004</v>
      </c>
      <c r="BF81" s="245">
        <f>'Cash Flow'!BF38+'Cash Flow'!BF39</f>
        <v>-54.350999999999985</v>
      </c>
      <c r="BG81" s="245">
        <f>'Cash Flow'!BG38+'Cash Flow'!BG39</f>
        <v>-192.29699999999997</v>
      </c>
      <c r="BH81" s="245">
        <f>'Cash Flow'!BH38+'Cash Flow'!BH39</f>
        <v>-198.37300000000002</v>
      </c>
      <c r="BI81" s="439">
        <f>'Cash Flow'!BI38+'Cash Flow'!BI39</f>
        <v>-538.62</v>
      </c>
      <c r="BJ81" s="82"/>
      <c r="BK81" s="244">
        <f>'Cash Flow'!BK38+'Cash Flow'!BK39</f>
        <v>-46.054000000000002</v>
      </c>
      <c r="BL81" s="245">
        <f>'Cash Flow'!BL38+'Cash Flow'!BL39</f>
        <v>-49.250999999999998</v>
      </c>
      <c r="BM81" s="245">
        <f>'Cash Flow'!BM38+'Cash Flow'!BM39</f>
        <v>-124.759</v>
      </c>
      <c r="BN81" s="245">
        <f>'Cash Flow'!BN38+'Cash Flow'!BN39</f>
        <v>-224.67</v>
      </c>
      <c r="BO81" s="439">
        <f>'Cash Flow'!BO38+'Cash Flow'!BO39</f>
        <v>-444.73399999999998</v>
      </c>
      <c r="BP81" s="82"/>
      <c r="BQ81" s="244">
        <f>'Cash Flow'!BQ38+'Cash Flow'!BQ39</f>
        <v>-102.9841253524305</v>
      </c>
      <c r="BR81" s="245">
        <f>'Cash Flow'!BR38+'Cash Flow'!BR39</f>
        <v>-103.05353612061255</v>
      </c>
      <c r="BS81" s="245">
        <f>'Cash Flow'!BS38+'Cash Flow'!BS39</f>
        <v>-103.12886779272343</v>
      </c>
      <c r="BT81" s="245">
        <f>'Cash Flow'!BT38+'Cash Flow'!BT39</f>
        <v>-103.69109665185955</v>
      </c>
      <c r="BU81" s="439">
        <f>'Cash Flow'!BU38+'Cash Flow'!BU39</f>
        <v>-412.85762591762602</v>
      </c>
      <c r="BV81" s="82"/>
      <c r="BW81" s="244">
        <f>'Cash Flow'!BW38+'Cash Flow'!BW39</f>
        <v>-110.21563212037788</v>
      </c>
      <c r="BX81" s="245">
        <f>'Cash Flow'!BX38+'Cash Flow'!BX39</f>
        <v>-110.26861524901796</v>
      </c>
      <c r="BY81" s="245">
        <f>'Cash Flow'!BY38+'Cash Flow'!BY39</f>
        <v>-110.32611796478757</v>
      </c>
      <c r="BZ81" s="245">
        <f>'Cash Flow'!BZ38+'Cash Flow'!BZ39</f>
        <v>-110.75528255623317</v>
      </c>
      <c r="CA81" s="439">
        <f>'Cash Flow'!CA38+'Cash Flow'!CA39</f>
        <v>-441.56564789041659</v>
      </c>
      <c r="CB81" s="82"/>
      <c r="CC81" s="244">
        <f>'Cash Flow'!CC38+'Cash Flow'!CC39</f>
        <v>-117.37957288036766</v>
      </c>
      <c r="CD81" s="245">
        <f>'Cash Flow'!CD38+'Cash Flow'!CD39</f>
        <v>-117.42001634460262</v>
      </c>
      <c r="CE81" s="245">
        <f>'Cash Flow'!CE38+'Cash Flow'!CE39</f>
        <v>-117.46390973271185</v>
      </c>
      <c r="CF81" s="245">
        <f>'Cash Flow'!CF38+'Cash Flow'!CF39</f>
        <v>-117.79150274676252</v>
      </c>
      <c r="CG81" s="439">
        <f>'Cash Flow'!CG38+'Cash Flow'!CG39</f>
        <v>-470.05500170444463</v>
      </c>
      <c r="CH81" s="11"/>
      <c r="CI81" s="11"/>
      <c r="CJ81" s="11"/>
      <c r="CK81" s="11"/>
      <c r="CL81" s="11"/>
      <c r="CM81" s="11"/>
      <c r="CN81" s="11"/>
      <c r="CO81"/>
      <c r="CP81"/>
      <c r="CQ81"/>
      <c r="CR81"/>
      <c r="CS81"/>
      <c r="CT81"/>
    </row>
    <row r="82" spans="1:98" s="7" customFormat="1" ht="11.25" customHeight="1" x14ac:dyDescent="0.2">
      <c r="B82" s="11"/>
      <c r="C82" s="11"/>
      <c r="D82" s="11"/>
      <c r="E82" s="11"/>
      <c r="F82" s="11"/>
      <c r="G82" s="11"/>
      <c r="H82" s="232"/>
      <c r="I82" s="11"/>
      <c r="J82" s="11"/>
      <c r="K82" s="11"/>
      <c r="L82" s="11"/>
      <c r="M82" s="11"/>
      <c r="N82" s="232"/>
      <c r="O82" s="11"/>
      <c r="P82" s="11"/>
      <c r="Q82" s="11"/>
      <c r="R82" s="11"/>
      <c r="S82" s="11"/>
      <c r="T82" s="232"/>
      <c r="U82" s="11"/>
      <c r="V82" s="11"/>
      <c r="W82" s="11"/>
      <c r="X82" s="11"/>
      <c r="Y82" s="11"/>
      <c r="Z82" s="232"/>
      <c r="AA82" s="11"/>
      <c r="AB82" s="11"/>
      <c r="AC82" s="11"/>
      <c r="AD82" s="11"/>
      <c r="AE82" s="11"/>
      <c r="AF82" s="232"/>
      <c r="AG82" s="11"/>
      <c r="AH82" s="11"/>
      <c r="AI82" s="11"/>
      <c r="AJ82" s="11"/>
      <c r="AK82" s="11"/>
      <c r="AL82" s="232"/>
      <c r="AM82" s="11"/>
      <c r="AN82" s="11"/>
      <c r="AO82" s="11"/>
      <c r="AP82" s="11"/>
      <c r="AQ82" s="11"/>
      <c r="AR82" s="232"/>
      <c r="AS82" s="11"/>
      <c r="AT82" s="11"/>
      <c r="AU82" s="11"/>
      <c r="AV82" s="11"/>
      <c r="AW82" s="11"/>
      <c r="AX82" s="232"/>
      <c r="AY82" s="11"/>
      <c r="AZ82" s="11"/>
      <c r="BA82" s="11"/>
      <c r="BB82" s="11"/>
      <c r="BC82" s="11"/>
      <c r="BD82" s="232"/>
      <c r="BE82" s="232"/>
      <c r="BF82" s="232"/>
      <c r="BG82" s="232"/>
      <c r="BH82" s="232"/>
      <c r="BI82" s="232"/>
      <c r="BJ82" s="232"/>
      <c r="BK82" s="232"/>
      <c r="BL82" s="232"/>
      <c r="BM82" s="232"/>
      <c r="BN82" s="232"/>
      <c r="BO82" s="232"/>
      <c r="BP82" s="232"/>
      <c r="BQ82" s="232"/>
      <c r="BR82" s="232"/>
      <c r="BS82" s="232"/>
      <c r="BT82" s="232"/>
      <c r="BU82" s="232"/>
      <c r="BV82" s="232"/>
      <c r="BW82" s="232"/>
      <c r="BX82" s="232"/>
      <c r="BY82" s="232"/>
      <c r="BZ82" s="232"/>
      <c r="CA82" s="232"/>
      <c r="CB82" s="232"/>
      <c r="CC82" s="232"/>
      <c r="CD82" s="232"/>
      <c r="CE82" s="232"/>
      <c r="CF82" s="232"/>
      <c r="CG82" s="232"/>
      <c r="CH82" s="11"/>
      <c r="CI82" s="11"/>
      <c r="CJ82" s="11"/>
      <c r="CK82" s="11"/>
      <c r="CL82" s="11"/>
      <c r="CM82" s="11"/>
      <c r="CN82" s="11"/>
      <c r="CO82"/>
      <c r="CP82"/>
      <c r="CQ82"/>
      <c r="CR82"/>
      <c r="CS82"/>
      <c r="CT82"/>
    </row>
    <row r="83" spans="1:98" s="7" customFormat="1" ht="11.25" customHeight="1" outlineLevel="1" x14ac:dyDescent="0.2">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c r="CP83"/>
      <c r="CQ83"/>
      <c r="CR83"/>
      <c r="CS83"/>
      <c r="CT83"/>
    </row>
    <row r="84" spans="1:98" s="7" customFormat="1" ht="11.25" customHeight="1" outlineLevel="1" x14ac:dyDescent="0.2">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1"/>
      <c r="CM84" s="11"/>
      <c r="CN84" s="11"/>
      <c r="CO84"/>
      <c r="CP84"/>
      <c r="CQ84"/>
      <c r="CR84"/>
      <c r="CS84"/>
      <c r="CT84"/>
    </row>
    <row r="85" spans="1:98" s="7" customFormat="1" ht="11.25" customHeight="1" outlineLevel="1" x14ac:dyDescent="0.2">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1"/>
      <c r="CM85" s="11"/>
      <c r="CN85" s="11"/>
      <c r="CO85"/>
      <c r="CP85"/>
      <c r="CQ85"/>
      <c r="CR85"/>
      <c r="CS85"/>
      <c r="CT85"/>
    </row>
    <row r="86" spans="1:98" s="7" customFormat="1" ht="11.25" customHeight="1" outlineLevel="1" x14ac:dyDescent="0.2">
      <c r="CJ86" s="11"/>
      <c r="CK86" s="11"/>
      <c r="CL86" s="11"/>
      <c r="CM86" s="11"/>
      <c r="CN86" s="11"/>
      <c r="CO86"/>
      <c r="CP86"/>
      <c r="CQ86"/>
      <c r="CR86"/>
      <c r="CS86"/>
      <c r="CT86"/>
    </row>
    <row r="87" spans="1:98" customFormat="1" ht="11.25" customHeight="1" outlineLevel="1" x14ac:dyDescent="0.2"/>
    <row r="88" spans="1:98" s="7" customFormat="1" ht="11.25" customHeight="1" x14ac:dyDescent="0.2">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829"/>
      <c r="AT88" s="829"/>
      <c r="AU88" s="829"/>
      <c r="AV88" s="829"/>
      <c r="AW88" s="829"/>
      <c r="AX88" s="829"/>
      <c r="AY88" s="829"/>
      <c r="AZ88" s="829"/>
      <c r="BA88" s="829"/>
      <c r="BB88" s="829"/>
      <c r="BC88" s="829"/>
      <c r="BD88" s="829"/>
      <c r="BE88" s="829"/>
      <c r="BF88" s="829"/>
      <c r="BG88" s="829"/>
      <c r="BH88" s="829"/>
      <c r="BI88" s="829"/>
      <c r="BJ88" s="829"/>
      <c r="BK88" s="829"/>
      <c r="BL88" s="829"/>
      <c r="BM88" s="829"/>
      <c r="BN88" s="829"/>
      <c r="BO88" s="829"/>
      <c r="BP88" s="829"/>
      <c r="BQ88" s="829"/>
      <c r="BR88" s="829"/>
      <c r="BS88" s="829"/>
      <c r="BT88" s="829"/>
      <c r="BU88" s="829"/>
      <c r="BV88" s="829"/>
      <c r="BW88" s="829"/>
      <c r="BX88" s="829"/>
      <c r="BY88" s="829"/>
      <c r="BZ88" s="829"/>
      <c r="CA88" s="829"/>
      <c r="CB88" s="829"/>
      <c r="CC88" s="829"/>
      <c r="CD88" s="829"/>
      <c r="CE88" s="829"/>
      <c r="CF88" s="829"/>
      <c r="CG88" s="829"/>
      <c r="CO88"/>
      <c r="CP88"/>
      <c r="CQ88"/>
      <c r="CR88"/>
      <c r="CS88"/>
      <c r="CT88"/>
    </row>
    <row r="89" spans="1:98" s="7" customFormat="1" ht="11.25" customHeight="1" x14ac:dyDescent="0.2">
      <c r="B89" s="994" t="s">
        <v>373</v>
      </c>
      <c r="C89" s="995"/>
      <c r="D89" s="995"/>
      <c r="E89" s="995"/>
      <c r="F89" s="995"/>
      <c r="G89" s="995"/>
      <c r="H89" s="994"/>
      <c r="I89" s="995"/>
      <c r="J89" s="995"/>
      <c r="K89" s="995"/>
      <c r="L89" s="995"/>
      <c r="M89" s="995"/>
      <c r="N89" s="994"/>
      <c r="O89" s="995"/>
      <c r="P89" s="995"/>
      <c r="Q89" s="995"/>
      <c r="R89" s="995"/>
      <c r="S89" s="995"/>
      <c r="T89" s="994"/>
      <c r="U89" s="995"/>
      <c r="V89" s="995"/>
      <c r="W89" s="995"/>
      <c r="X89" s="995"/>
      <c r="Y89" s="995"/>
      <c r="Z89" s="994"/>
      <c r="AA89" s="995"/>
      <c r="AB89" s="995"/>
      <c r="AC89" s="995"/>
      <c r="AD89" s="995"/>
      <c r="AE89" s="995"/>
      <c r="AF89" s="994"/>
      <c r="AG89" s="995"/>
      <c r="AH89" s="995"/>
      <c r="AI89" s="995"/>
      <c r="AJ89" s="995"/>
      <c r="AK89" s="995"/>
      <c r="AL89" s="994"/>
      <c r="AM89" s="995"/>
      <c r="AN89" s="995"/>
      <c r="AO89" s="995"/>
      <c r="AP89" s="995"/>
      <c r="AQ89" s="995"/>
      <c r="AR89" s="994"/>
      <c r="AS89" s="995"/>
      <c r="AT89" s="995"/>
      <c r="AU89" s="995"/>
      <c r="AV89" s="995"/>
      <c r="AW89" s="995"/>
      <c r="AX89" s="994"/>
      <c r="AY89" s="995"/>
      <c r="AZ89" s="995"/>
      <c r="BA89" s="995"/>
      <c r="BB89" s="995"/>
      <c r="BC89" s="995"/>
      <c r="BD89" s="994"/>
      <c r="BE89" s="995"/>
      <c r="BF89" s="995"/>
      <c r="BG89" s="995"/>
      <c r="BH89" s="995"/>
      <c r="BI89" s="995"/>
      <c r="BJ89" s="994"/>
      <c r="BK89" s="995"/>
      <c r="BL89" s="995"/>
      <c r="BM89" s="995"/>
      <c r="BN89" s="995"/>
      <c r="BO89" s="995"/>
      <c r="BP89" s="994"/>
      <c r="BQ89" s="995"/>
      <c r="BR89" s="995"/>
      <c r="BS89" s="995"/>
      <c r="BT89" s="995"/>
      <c r="BU89" s="995"/>
      <c r="BV89" s="994"/>
      <c r="BW89" s="995"/>
      <c r="BX89" s="995"/>
      <c r="BY89" s="995"/>
      <c r="BZ89" s="995"/>
      <c r="CA89" s="995"/>
      <c r="CB89" s="994"/>
      <c r="CC89" s="995"/>
      <c r="CD89" s="995"/>
      <c r="CE89" s="995"/>
      <c r="CF89" s="995"/>
      <c r="CG89" s="996"/>
      <c r="CO89"/>
      <c r="CP89"/>
      <c r="CQ89"/>
      <c r="CR89"/>
      <c r="CS89"/>
      <c r="CT89"/>
    </row>
    <row r="90" spans="1:98" ht="11.25" customHeight="1" x14ac:dyDescent="0.2">
      <c r="B90" s="812" t="s">
        <v>537</v>
      </c>
      <c r="C90" s="813"/>
      <c r="D90" s="813"/>
      <c r="E90" s="813"/>
      <c r="F90" s="813"/>
      <c r="G90" s="813"/>
      <c r="H90" s="812"/>
      <c r="I90" s="813"/>
      <c r="J90" s="813"/>
      <c r="K90" s="813"/>
      <c r="L90" s="813"/>
      <c r="M90" s="813"/>
      <c r="N90" s="812"/>
      <c r="O90" s="813"/>
      <c r="P90" s="813"/>
      <c r="Q90" s="813"/>
      <c r="R90" s="813"/>
      <c r="S90" s="813"/>
      <c r="T90" s="812"/>
      <c r="U90" s="813"/>
      <c r="V90" s="813"/>
      <c r="W90" s="813"/>
      <c r="X90" s="813"/>
      <c r="Y90" s="813"/>
      <c r="Z90" s="812"/>
      <c r="AA90" s="813"/>
      <c r="AB90" s="813"/>
      <c r="AC90" s="813"/>
      <c r="AD90" s="813"/>
      <c r="AE90" s="813"/>
      <c r="AF90" s="812"/>
      <c r="AG90" s="813"/>
      <c r="AH90" s="813"/>
      <c r="AI90" s="813"/>
      <c r="AJ90" s="813"/>
      <c r="AK90" s="813"/>
      <c r="AL90" s="812"/>
      <c r="AM90" s="813"/>
      <c r="AN90" s="813"/>
      <c r="AO90" s="813"/>
      <c r="AP90" s="813"/>
      <c r="AQ90" s="813"/>
      <c r="AR90" s="812"/>
      <c r="AS90" s="813"/>
      <c r="AT90" s="813"/>
      <c r="AU90" s="813"/>
      <c r="AV90" s="813"/>
      <c r="AW90" s="813"/>
      <c r="AX90" s="812"/>
      <c r="AY90" s="813"/>
      <c r="AZ90" s="813"/>
      <c r="BA90" s="813"/>
      <c r="BB90" s="813"/>
      <c r="BC90" s="813"/>
      <c r="BD90" s="812"/>
      <c r="BE90" s="813"/>
      <c r="BF90" s="813"/>
      <c r="BG90" s="813"/>
      <c r="BH90" s="813"/>
      <c r="BI90" s="813"/>
      <c r="BJ90" s="812"/>
      <c r="BK90" s="813"/>
      <c r="BL90" s="813"/>
      <c r="BM90" s="813"/>
      <c r="BN90" s="813"/>
      <c r="BO90" s="813"/>
      <c r="BP90" s="812"/>
      <c r="BQ90" s="813"/>
      <c r="BR90" s="813"/>
      <c r="BS90" s="813"/>
      <c r="BT90" s="813"/>
      <c r="BU90" s="813"/>
      <c r="BV90" s="812"/>
      <c r="BW90" s="813"/>
      <c r="BX90" s="813"/>
      <c r="BY90" s="813"/>
      <c r="BZ90" s="813"/>
      <c r="CA90" s="813"/>
      <c r="CB90" s="812"/>
      <c r="CC90" s="813"/>
      <c r="CD90" s="813"/>
      <c r="CE90" s="813"/>
      <c r="CF90" s="813"/>
      <c r="CG90" s="814"/>
      <c r="CI90" s="1017" t="s">
        <v>541</v>
      </c>
      <c r="CJ90" s="1154"/>
      <c r="CK90" s="9"/>
      <c r="CL90" s="9"/>
      <c r="CM90" s="9"/>
      <c r="CN90" s="9"/>
    </row>
    <row r="91" spans="1:98" s="877" customFormat="1" ht="11.25" customHeight="1" x14ac:dyDescent="0.2">
      <c r="A91" s="120"/>
      <c r="B91" s="891" t="s">
        <v>481</v>
      </c>
      <c r="C91" s="892"/>
      <c r="D91" s="893"/>
      <c r="E91" s="893"/>
      <c r="F91" s="893"/>
      <c r="G91" s="852">
        <v>0.32</v>
      </c>
      <c r="H91" s="897"/>
      <c r="I91" s="898"/>
      <c r="J91" s="899"/>
      <c r="K91" s="899"/>
      <c r="L91" s="899"/>
      <c r="M91" s="852">
        <v>0.33</v>
      </c>
      <c r="N91" s="897"/>
      <c r="O91" s="898"/>
      <c r="P91" s="899"/>
      <c r="Q91" s="899"/>
      <c r="R91" s="899"/>
      <c r="S91" s="852">
        <v>0.31</v>
      </c>
      <c r="T91" s="897"/>
      <c r="U91" s="898"/>
      <c r="V91" s="899"/>
      <c r="W91" s="899"/>
      <c r="X91" s="899"/>
      <c r="Y91" s="852">
        <v>0.31</v>
      </c>
      <c r="Z91" s="897"/>
      <c r="AA91" s="898"/>
      <c r="AB91" s="899"/>
      <c r="AC91" s="899"/>
      <c r="AD91" s="899"/>
      <c r="AE91" s="852">
        <v>0.33</v>
      </c>
      <c r="AF91" s="897"/>
      <c r="AG91" s="898"/>
      <c r="AH91" s="899"/>
      <c r="AI91" s="899"/>
      <c r="AJ91" s="899"/>
      <c r="AK91" s="852">
        <v>0.37</v>
      </c>
      <c r="AL91" s="897"/>
      <c r="AM91" s="898"/>
      <c r="AN91" s="899"/>
      <c r="AO91" s="899"/>
      <c r="AP91" s="899"/>
      <c r="AQ91" s="852">
        <v>0.37</v>
      </c>
      <c r="AR91" s="897"/>
      <c r="AS91" s="898"/>
      <c r="AT91" s="899"/>
      <c r="AU91" s="899"/>
      <c r="AV91" s="899"/>
      <c r="AW91" s="852">
        <v>0.36</v>
      </c>
      <c r="AX91" s="897"/>
      <c r="AY91" s="898"/>
      <c r="AZ91" s="899"/>
      <c r="BA91" s="899"/>
      <c r="BB91" s="899"/>
      <c r="BC91" s="852">
        <v>0.34</v>
      </c>
      <c r="BD91" s="897"/>
      <c r="BE91" s="898"/>
      <c r="BF91" s="899"/>
      <c r="BG91" s="899"/>
      <c r="BH91" s="899"/>
      <c r="BI91" s="852">
        <v>0.34</v>
      </c>
      <c r="BJ91" s="897"/>
      <c r="BK91" s="898"/>
      <c r="BL91" s="899"/>
      <c r="BM91" s="899"/>
      <c r="BN91" s="899"/>
      <c r="BO91" s="852">
        <v>0.34</v>
      </c>
      <c r="BP91" s="897"/>
      <c r="BQ91" s="898"/>
      <c r="BR91" s="899"/>
      <c r="BS91" s="899"/>
      <c r="BT91" s="899"/>
      <c r="BU91" s="852"/>
      <c r="BV91" s="897"/>
      <c r="BW91" s="898"/>
      <c r="BX91" s="899"/>
      <c r="BY91" s="899"/>
      <c r="BZ91" s="899"/>
      <c r="CA91" s="852"/>
      <c r="CB91" s="897"/>
      <c r="CC91" s="898"/>
      <c r="CD91" s="899"/>
      <c r="CE91" s="899"/>
      <c r="CF91" s="899"/>
      <c r="CG91" s="852"/>
      <c r="CH91" s="900"/>
      <c r="CI91" s="1000">
        <f>+(BI91-G91)/10</f>
        <v>2.0000000000000018E-3</v>
      </c>
      <c r="CJ91" s="1000"/>
      <c r="CO91"/>
      <c r="CP91"/>
      <c r="CQ91"/>
      <c r="CR91"/>
      <c r="CS91"/>
      <c r="CT91"/>
    </row>
    <row r="92" spans="1:98" s="877" customFormat="1" ht="11.25" customHeight="1" x14ac:dyDescent="0.2">
      <c r="A92" s="120"/>
      <c r="B92" s="891" t="s">
        <v>482</v>
      </c>
      <c r="C92" s="792"/>
      <c r="D92" s="278"/>
      <c r="E92" s="278"/>
      <c r="F92" s="278"/>
      <c r="G92" s="852">
        <v>0.09</v>
      </c>
      <c r="H92" s="897"/>
      <c r="I92" s="898"/>
      <c r="J92" s="899"/>
      <c r="K92" s="899"/>
      <c r="L92" s="899"/>
      <c r="M92" s="852">
        <v>0.1</v>
      </c>
      <c r="N92" s="897"/>
      <c r="O92" s="898"/>
      <c r="P92" s="899"/>
      <c r="Q92" s="899"/>
      <c r="R92" s="899"/>
      <c r="S92" s="852">
        <v>0.08</v>
      </c>
      <c r="T92" s="897"/>
      <c r="U92" s="898"/>
      <c r="V92" s="899"/>
      <c r="W92" s="899"/>
      <c r="X92" s="899"/>
      <c r="Y92" s="852">
        <v>0.08</v>
      </c>
      <c r="Z92" s="897"/>
      <c r="AA92" s="898"/>
      <c r="AB92" s="899"/>
      <c r="AC92" s="899"/>
      <c r="AD92" s="899"/>
      <c r="AE92" s="852">
        <v>0.08</v>
      </c>
      <c r="AF92" s="897"/>
      <c r="AG92" s="898"/>
      <c r="AH92" s="899"/>
      <c r="AI92" s="899"/>
      <c r="AJ92" s="899"/>
      <c r="AK92" s="852">
        <v>7.0000000000000007E-2</v>
      </c>
      <c r="AL92" s="897"/>
      <c r="AM92" s="898"/>
      <c r="AN92" s="899"/>
      <c r="AO92" s="899"/>
      <c r="AP92" s="899"/>
      <c r="AQ92" s="852">
        <v>0.08</v>
      </c>
      <c r="AR92" s="897"/>
      <c r="AS92" s="898"/>
      <c r="AT92" s="899"/>
      <c r="AU92" s="899"/>
      <c r="AV92" s="899"/>
      <c r="AW92" s="852">
        <v>7.0000000000000007E-2</v>
      </c>
      <c r="AX92" s="897"/>
      <c r="AY92" s="898"/>
      <c r="AZ92" s="899"/>
      <c r="BA92" s="899"/>
      <c r="BB92" s="899"/>
      <c r="BC92" s="852">
        <v>7.0000000000000007E-2</v>
      </c>
      <c r="BD92" s="897"/>
      <c r="BE92" s="898"/>
      <c r="BF92" s="899"/>
      <c r="BG92" s="899"/>
      <c r="BH92" s="899"/>
      <c r="BI92" s="852">
        <v>0.06</v>
      </c>
      <c r="BJ92" s="897"/>
      <c r="BK92" s="898"/>
      <c r="BL92" s="899"/>
      <c r="BM92" s="899"/>
      <c r="BN92" s="899"/>
      <c r="BO92" s="852">
        <v>0.05</v>
      </c>
      <c r="BP92" s="897"/>
      <c r="BQ92" s="898"/>
      <c r="BR92" s="899"/>
      <c r="BS92" s="899"/>
      <c r="BT92" s="899"/>
      <c r="BU92" s="852"/>
      <c r="BV92" s="897"/>
      <c r="BW92" s="898"/>
      <c r="BX92" s="899"/>
      <c r="BY92" s="899"/>
      <c r="BZ92" s="899"/>
      <c r="CA92" s="852"/>
      <c r="CB92" s="897"/>
      <c r="CC92" s="898"/>
      <c r="CD92" s="899"/>
      <c r="CE92" s="899"/>
      <c r="CF92" s="899"/>
      <c r="CG92" s="852"/>
      <c r="CH92" s="900"/>
      <c r="CI92" s="1000">
        <f>+(BI92-G92)/10</f>
        <v>-3.0000000000000001E-3</v>
      </c>
      <c r="CJ92" s="120"/>
      <c r="CO92"/>
      <c r="CP92"/>
      <c r="CQ92"/>
      <c r="CR92"/>
      <c r="CS92"/>
      <c r="CT92"/>
    </row>
    <row r="93" spans="1:98" s="885" customFormat="1" ht="11.25" customHeight="1" x14ac:dyDescent="0.2">
      <c r="B93" s="901" t="s">
        <v>499</v>
      </c>
      <c r="C93" s="886"/>
      <c r="D93" s="887"/>
      <c r="E93" s="887"/>
      <c r="F93" s="887"/>
      <c r="G93" s="888">
        <f>+RevBuild!G160-'P&amp;L'!G98</f>
        <v>4154.0740000000005</v>
      </c>
      <c r="H93" s="889"/>
      <c r="I93" s="886"/>
      <c r="J93" s="887"/>
      <c r="K93" s="887"/>
      <c r="L93" s="887"/>
      <c r="M93" s="888">
        <f>+RevBuild!M160-'P&amp;L'!M98</f>
        <v>4463.4690000000001</v>
      </c>
      <c r="N93" s="889"/>
      <c r="O93" s="886"/>
      <c r="P93" s="887"/>
      <c r="Q93" s="887"/>
      <c r="R93" s="887"/>
      <c r="S93" s="888">
        <f>+RevBuild!S160-'P&amp;L'!S98</f>
        <v>4572.612000000001</v>
      </c>
      <c r="T93" s="889"/>
      <c r="U93" s="886"/>
      <c r="V93" s="887"/>
      <c r="W93" s="887"/>
      <c r="X93" s="887"/>
      <c r="Y93" s="888">
        <f>+RevBuild!Y160-'P&amp;L'!Y98</f>
        <v>5292.9779999999992</v>
      </c>
      <c r="Z93" s="889"/>
      <c r="AA93" s="886"/>
      <c r="AB93" s="887"/>
      <c r="AC93" s="887"/>
      <c r="AD93" s="887"/>
      <c r="AE93" s="888">
        <f>+RevBuild!AE160-'P&amp;L'!AE98</f>
        <v>6025.8079999999991</v>
      </c>
      <c r="AF93" s="889"/>
      <c r="AG93" s="886"/>
      <c r="AH93" s="887"/>
      <c r="AI93" s="887"/>
      <c r="AJ93" s="887"/>
      <c r="AK93" s="888">
        <f>+RevBuild!AK160-'P&amp;L'!AK98</f>
        <v>6332.6409999999996</v>
      </c>
      <c r="AL93" s="889"/>
      <c r="AM93" s="886"/>
      <c r="AN93" s="887"/>
      <c r="AO93" s="887"/>
      <c r="AP93" s="887"/>
      <c r="AQ93" s="888">
        <f>+RevBuild!AQ160-'P&amp;L'!AQ98</f>
        <v>6789.2660000000005</v>
      </c>
      <c r="AR93" s="889"/>
      <c r="AS93" s="886"/>
      <c r="AT93" s="887"/>
      <c r="AU93" s="887"/>
      <c r="AV93" s="887"/>
      <c r="AW93" s="888">
        <f>+RevBuild!AW160-'P&amp;L'!AW98</f>
        <v>7342.322000000001</v>
      </c>
      <c r="AX93" s="889"/>
      <c r="AY93" s="886"/>
      <c r="AZ93" s="887"/>
      <c r="BA93" s="887"/>
      <c r="BB93" s="887"/>
      <c r="BC93" s="888">
        <f>+RevBuild!BC160-'P&amp;L'!BC98</f>
        <v>7502.27</v>
      </c>
      <c r="BD93" s="889"/>
      <c r="BE93" s="886"/>
      <c r="BF93" s="887"/>
      <c r="BG93" s="887"/>
      <c r="BH93" s="887"/>
      <c r="BI93" s="888">
        <f>+RevBuild!BI160-'P&amp;L'!BI98</f>
        <v>8192.9150000000009</v>
      </c>
      <c r="BJ93" s="889"/>
      <c r="BK93" s="886"/>
      <c r="BL93" s="887"/>
      <c r="BM93" s="887"/>
      <c r="BN93" s="887"/>
      <c r="BO93" s="888">
        <f>+RevBuild!BO160-'P&amp;L'!BO98</f>
        <v>8911.0459999999985</v>
      </c>
      <c r="BP93" s="889"/>
      <c r="BQ93" s="886"/>
      <c r="BR93" s="887"/>
      <c r="BS93" s="887"/>
      <c r="BT93" s="887"/>
      <c r="BU93" s="888">
        <f>+RevBuild!BU160-'P&amp;L'!BU98</f>
        <v>9373.9010683361685</v>
      </c>
      <c r="BV93" s="889"/>
      <c r="BW93" s="886"/>
      <c r="BX93" s="887"/>
      <c r="BY93" s="887"/>
      <c r="BZ93" s="887"/>
      <c r="CA93" s="888">
        <f>+RevBuild!CA160-'P&amp;L'!CA98</f>
        <v>9837.1231277218667</v>
      </c>
      <c r="CB93" s="889"/>
      <c r="CC93" s="886"/>
      <c r="CD93" s="887"/>
      <c r="CE93" s="887"/>
      <c r="CF93" s="887"/>
      <c r="CG93" s="888">
        <f>+RevBuild!CG160-'P&amp;L'!CG98</f>
        <v>10288.241146880313</v>
      </c>
      <c r="CH93" s="890"/>
      <c r="CO93"/>
      <c r="CP93"/>
      <c r="CQ93"/>
      <c r="CR93"/>
      <c r="CS93"/>
      <c r="CT93"/>
    </row>
    <row r="94" spans="1:98" s="885" customFormat="1" ht="11.25" customHeight="1" x14ac:dyDescent="0.2">
      <c r="A94" s="1003"/>
      <c r="B94" s="1004" t="s">
        <v>536</v>
      </c>
      <c r="C94" s="1005"/>
      <c r="D94" s="1006"/>
      <c r="E94" s="1006"/>
      <c r="F94" s="1006"/>
      <c r="G94" s="1007">
        <f>+G93/RevBuild!G160</f>
        <v>0.71962883474002626</v>
      </c>
      <c r="H94" s="1008"/>
      <c r="I94" s="1005"/>
      <c r="J94" s="1006"/>
      <c r="K94" s="1006"/>
      <c r="L94" s="1006"/>
      <c r="M94" s="1007">
        <f>+M93/RevBuild!M160</f>
        <v>0.71793147442450889</v>
      </c>
      <c r="N94" s="1008"/>
      <c r="O94" s="1005"/>
      <c r="P94" s="1006"/>
      <c r="Q94" s="1006"/>
      <c r="R94" s="1006"/>
      <c r="S94" s="1007">
        <f>+S93/RevBuild!S160</f>
        <v>0.71838492485932737</v>
      </c>
      <c r="T94" s="1008"/>
      <c r="U94" s="1005"/>
      <c r="V94" s="1006"/>
      <c r="W94" s="1006"/>
      <c r="X94" s="1006"/>
      <c r="Y94" s="1007">
        <f>+Y93/RevBuild!Y160</f>
        <v>0.72240958514436915</v>
      </c>
      <c r="Z94" s="1008"/>
      <c r="AA94" s="1005"/>
      <c r="AB94" s="1006"/>
      <c r="AC94" s="1006"/>
      <c r="AD94" s="1006"/>
      <c r="AE94" s="1007">
        <f>+AE93/RevBuild!AE160</f>
        <v>0.72778781446785845</v>
      </c>
      <c r="AF94" s="1008"/>
      <c r="AG94" s="1005"/>
      <c r="AH94" s="1006"/>
      <c r="AI94" s="1006"/>
      <c r="AJ94" s="1006"/>
      <c r="AK94" s="1007">
        <f>+AK93/RevBuild!AK160</f>
        <v>0.73154294422468802</v>
      </c>
      <c r="AL94" s="1008"/>
      <c r="AM94" s="1005"/>
      <c r="AN94" s="1006"/>
      <c r="AO94" s="1006"/>
      <c r="AP94" s="1006"/>
      <c r="AQ94" s="1007">
        <f>+AQ93/RevBuild!AQ160</f>
        <v>0.73472133844122678</v>
      </c>
      <c r="AR94" s="1008"/>
      <c r="AS94" s="1005"/>
      <c r="AT94" s="1006"/>
      <c r="AU94" s="1006"/>
      <c r="AV94" s="1006"/>
      <c r="AW94" s="1007">
        <f>+AW93/RevBuild!AW160</f>
        <v>0.73258300912984697</v>
      </c>
      <c r="AX94" s="1008"/>
      <c r="AY94" s="1005"/>
      <c r="AZ94" s="1006"/>
      <c r="BA94" s="1006"/>
      <c r="BB94" s="1006"/>
      <c r="BC94" s="1007">
        <f>+BC93/RevBuild!BC160</f>
        <v>0.7304361253578785</v>
      </c>
      <c r="BD94" s="1008"/>
      <c r="BE94" s="1005"/>
      <c r="BF94" s="1006"/>
      <c r="BG94" s="1006"/>
      <c r="BH94" s="1006"/>
      <c r="BI94" s="1007">
        <f>+BI93/RevBuild!BI160</f>
        <v>0.73505065245057566</v>
      </c>
      <c r="BJ94" s="1008"/>
      <c r="BK94" s="1005"/>
      <c r="BL94" s="1006"/>
      <c r="BM94" s="1006"/>
      <c r="BN94" s="1006"/>
      <c r="BO94" s="1007">
        <f>+BO93/RevBuild!BO160</f>
        <v>0.74113688530493904</v>
      </c>
      <c r="BP94" s="1008"/>
      <c r="BQ94" s="1005"/>
      <c r="BR94" s="1006"/>
      <c r="BS94" s="1006"/>
      <c r="BT94" s="1006"/>
      <c r="BU94" s="1007">
        <f>+BU93/RevBuild!BU160</f>
        <v>0.74396075988146759</v>
      </c>
      <c r="BV94" s="1008"/>
      <c r="BW94" s="1005"/>
      <c r="BX94" s="1006"/>
      <c r="BY94" s="1006"/>
      <c r="BZ94" s="1006"/>
      <c r="CA94" s="1007">
        <f>+CA93/RevBuild!CA160</f>
        <v>0.74896141247987458</v>
      </c>
      <c r="CB94" s="1008"/>
      <c r="CC94" s="1005"/>
      <c r="CD94" s="1006"/>
      <c r="CE94" s="1006"/>
      <c r="CF94" s="1006"/>
      <c r="CG94" s="1007">
        <f>+CG93/RevBuild!CG160</f>
        <v>0.75396181747349744</v>
      </c>
      <c r="CH94" s="890"/>
      <c r="CI94" s="1000">
        <f>+(BI94-G94)/10</f>
        <v>1.5421817710549401E-3</v>
      </c>
      <c r="CJ94" s="252"/>
      <c r="CO94"/>
      <c r="CP94"/>
      <c r="CQ94"/>
      <c r="CR94"/>
      <c r="CS94"/>
      <c r="CT94"/>
    </row>
    <row r="95" spans="1:98" s="252" customFormat="1" ht="11.25" customHeight="1" x14ac:dyDescent="0.2">
      <c r="B95" s="880" t="s">
        <v>535</v>
      </c>
      <c r="C95" s="881"/>
      <c r="D95" s="882"/>
      <c r="E95" s="882"/>
      <c r="F95" s="882"/>
      <c r="G95" s="883"/>
      <c r="H95" s="226"/>
      <c r="I95" s="881"/>
      <c r="J95" s="882"/>
      <c r="K95" s="882"/>
      <c r="L95" s="882"/>
      <c r="M95" s="1002">
        <f>+(M94-G94)*10000</f>
        <v>-16.973603155173713</v>
      </c>
      <c r="N95" s="226"/>
      <c r="O95" s="881"/>
      <c r="P95" s="882"/>
      <c r="Q95" s="882"/>
      <c r="R95" s="882"/>
      <c r="S95" s="1002">
        <f>+(S94-M94)*10000</f>
        <v>4.5345043481848091</v>
      </c>
      <c r="T95" s="226"/>
      <c r="U95" s="881"/>
      <c r="V95" s="882"/>
      <c r="W95" s="882"/>
      <c r="X95" s="882"/>
      <c r="Y95" s="1002">
        <f>+(Y94-S94)*10000</f>
        <v>40.246602850417815</v>
      </c>
      <c r="Z95" s="226"/>
      <c r="AA95" s="881"/>
      <c r="AB95" s="882"/>
      <c r="AC95" s="882"/>
      <c r="AD95" s="882"/>
      <c r="AE95" s="1002">
        <f>+(AE94-Y94)*10000</f>
        <v>53.782293234893032</v>
      </c>
      <c r="AF95" s="226"/>
      <c r="AG95" s="881"/>
      <c r="AH95" s="882"/>
      <c r="AI95" s="882"/>
      <c r="AJ95" s="882"/>
      <c r="AK95" s="1002">
        <f>+(AK94-AE94)*10000</f>
        <v>37.551297568295674</v>
      </c>
      <c r="AL95" s="226"/>
      <c r="AM95" s="881"/>
      <c r="AN95" s="882"/>
      <c r="AO95" s="882"/>
      <c r="AP95" s="882"/>
      <c r="AQ95" s="1002">
        <f>+(AQ94-AK94)*10000</f>
        <v>31.7839421653876</v>
      </c>
      <c r="AR95" s="226"/>
      <c r="AS95" s="881"/>
      <c r="AT95" s="882"/>
      <c r="AU95" s="882"/>
      <c r="AV95" s="882"/>
      <c r="AW95" s="1002">
        <f>+(AW94-AQ94)*10000</f>
        <v>-21.383293113798054</v>
      </c>
      <c r="AX95" s="226"/>
      <c r="AY95" s="881"/>
      <c r="AZ95" s="882"/>
      <c r="BA95" s="882"/>
      <c r="BB95" s="882"/>
      <c r="BC95" s="1002">
        <f>+(BC94-AW94)*10000</f>
        <v>-21.468837719684775</v>
      </c>
      <c r="BD95" s="226"/>
      <c r="BE95" s="881"/>
      <c r="BF95" s="882"/>
      <c r="BG95" s="882"/>
      <c r="BH95" s="882"/>
      <c r="BI95" s="1002">
        <f>+(BI94-BC94)*10000</f>
        <v>46.145270926971627</v>
      </c>
      <c r="BJ95" s="226"/>
      <c r="BK95" s="881"/>
      <c r="BL95" s="882"/>
      <c r="BM95" s="882"/>
      <c r="BN95" s="882"/>
      <c r="BO95" s="1002">
        <f>+(BO94-BI94)*10000</f>
        <v>60.862328543633822</v>
      </c>
      <c r="BP95" s="226"/>
      <c r="BQ95" s="881"/>
      <c r="BR95" s="882"/>
      <c r="BS95" s="882"/>
      <c r="BT95" s="882"/>
      <c r="BU95" s="1002">
        <f>+(BU94-BO94)*10000</f>
        <v>28.238745765285511</v>
      </c>
      <c r="BV95" s="226"/>
      <c r="BW95" s="881"/>
      <c r="BX95" s="882"/>
      <c r="BY95" s="882"/>
      <c r="BZ95" s="882"/>
      <c r="CA95" s="1002">
        <f>+(CA94-BU94)*10000</f>
        <v>50.006525984069853</v>
      </c>
      <c r="CB95" s="226"/>
      <c r="CC95" s="881"/>
      <c r="CD95" s="882"/>
      <c r="CE95" s="882"/>
      <c r="CF95" s="882"/>
      <c r="CG95" s="1002">
        <f>+(CG94-CA94)*10000</f>
        <v>50.004049936228647</v>
      </c>
      <c r="CH95" s="971"/>
      <c r="CI95" s="184"/>
      <c r="CO95"/>
      <c r="CP95"/>
      <c r="CQ95"/>
      <c r="CR95"/>
      <c r="CS95"/>
      <c r="CT95"/>
    </row>
    <row r="96" spans="1:98" ht="11.25" customHeight="1" x14ac:dyDescent="0.2">
      <c r="CH96" s="162"/>
      <c r="CJ96" s="9"/>
      <c r="CK96" s="9"/>
      <c r="CL96" s="9"/>
      <c r="CM96" s="9"/>
      <c r="CN96" s="9"/>
    </row>
    <row r="97" spans="2:98" s="7" customFormat="1" ht="11.25" customHeight="1" x14ac:dyDescent="0.2">
      <c r="B97" s="812" t="s">
        <v>312</v>
      </c>
      <c r="C97" s="813"/>
      <c r="D97" s="813"/>
      <c r="E97" s="813"/>
      <c r="F97" s="813"/>
      <c r="G97" s="813"/>
      <c r="H97" s="812"/>
      <c r="I97" s="813"/>
      <c r="J97" s="813"/>
      <c r="K97" s="813"/>
      <c r="L97" s="813"/>
      <c r="M97" s="813"/>
      <c r="N97" s="812"/>
      <c r="O97" s="813"/>
      <c r="P97" s="813"/>
      <c r="Q97" s="813"/>
      <c r="R97" s="813"/>
      <c r="S97" s="813"/>
      <c r="T97" s="812"/>
      <c r="U97" s="813"/>
      <c r="V97" s="813"/>
      <c r="W97" s="813"/>
      <c r="X97" s="813"/>
      <c r="Y97" s="813"/>
      <c r="Z97" s="812"/>
      <c r="AA97" s="813"/>
      <c r="AB97" s="813"/>
      <c r="AC97" s="813"/>
      <c r="AD97" s="813"/>
      <c r="AE97" s="813"/>
      <c r="AF97" s="812"/>
      <c r="AG97" s="813"/>
      <c r="AH97" s="813"/>
      <c r="AI97" s="813"/>
      <c r="AJ97" s="813"/>
      <c r="AK97" s="813"/>
      <c r="AL97" s="812"/>
      <c r="AM97" s="813"/>
      <c r="AN97" s="813"/>
      <c r="AO97" s="813"/>
      <c r="AP97" s="813"/>
      <c r="AQ97" s="813"/>
      <c r="AR97" s="812"/>
      <c r="AS97" s="813"/>
      <c r="AT97" s="813"/>
      <c r="AU97" s="813"/>
      <c r="AV97" s="813"/>
      <c r="AW97" s="813"/>
      <c r="AX97" s="812"/>
      <c r="AY97" s="813"/>
      <c r="AZ97" s="813"/>
      <c r="BA97" s="813"/>
      <c r="BB97" s="813"/>
      <c r="BC97" s="813"/>
      <c r="BD97" s="812"/>
      <c r="BE97" s="813"/>
      <c r="BF97" s="813"/>
      <c r="BG97" s="813"/>
      <c r="BH97" s="813"/>
      <c r="BI97" s="813"/>
      <c r="BJ97" s="812"/>
      <c r="BK97" s="813"/>
      <c r="BL97" s="813"/>
      <c r="BM97" s="813"/>
      <c r="BN97" s="813"/>
      <c r="BO97" s="813"/>
      <c r="BP97" s="812"/>
      <c r="BQ97" s="813"/>
      <c r="BR97" s="813"/>
      <c r="BS97" s="813"/>
      <c r="BT97" s="813"/>
      <c r="BU97" s="813"/>
      <c r="BV97" s="812"/>
      <c r="BW97" s="813"/>
      <c r="BX97" s="813"/>
      <c r="BY97" s="813"/>
      <c r="BZ97" s="813"/>
      <c r="CA97" s="813"/>
      <c r="CB97" s="812"/>
      <c r="CC97" s="813"/>
      <c r="CD97" s="813"/>
      <c r="CE97" s="813"/>
      <c r="CF97" s="813"/>
      <c r="CG97" s="814"/>
      <c r="CJ97" s="11"/>
      <c r="CK97" s="11"/>
      <c r="CL97" s="11"/>
      <c r="CM97" s="11"/>
      <c r="CN97" s="11"/>
      <c r="CO97"/>
      <c r="CP97"/>
      <c r="CQ97"/>
      <c r="CR97"/>
      <c r="CS97"/>
      <c r="CT97"/>
    </row>
    <row r="98" spans="2:98" s="7" customFormat="1" ht="11.25" customHeight="1" x14ac:dyDescent="0.2">
      <c r="B98" s="98" t="s">
        <v>313</v>
      </c>
      <c r="C98" s="271">
        <v>369.33600000000001</v>
      </c>
      <c r="D98" s="272">
        <v>390.18700000000001</v>
      </c>
      <c r="E98" s="272">
        <v>405.536</v>
      </c>
      <c r="F98" s="272">
        <f>1618.449-E98-D98-C98</f>
        <v>453.39</v>
      </c>
      <c r="G98" s="456">
        <f>+SUM(C98:F98)</f>
        <v>1618.4490000000001</v>
      </c>
      <c r="H98" s="62"/>
      <c r="I98" s="271">
        <v>422.21</v>
      </c>
      <c r="J98" s="272">
        <v>457.28399999999999</v>
      </c>
      <c r="K98" s="272">
        <v>445.245</v>
      </c>
      <c r="L98" s="272">
        <f>1753.655-K98-J98-I98</f>
        <v>428.91599999999988</v>
      </c>
      <c r="M98" s="456">
        <f>+SUM(I98:L98)</f>
        <v>1753.655</v>
      </c>
      <c r="N98" s="62"/>
      <c r="O98" s="271">
        <v>409.202</v>
      </c>
      <c r="P98" s="272">
        <v>445.13499999999999</v>
      </c>
      <c r="Q98" s="272">
        <v>445.06</v>
      </c>
      <c r="R98" s="272">
        <f>1792.516-Q98-P98-O98</f>
        <v>493.11900000000014</v>
      </c>
      <c r="S98" s="456">
        <f>+SUM(O98:R98)</f>
        <v>1792.5160000000001</v>
      </c>
      <c r="T98" s="62"/>
      <c r="U98" s="271">
        <v>482.01</v>
      </c>
      <c r="V98" s="272">
        <v>512.14700000000005</v>
      </c>
      <c r="W98" s="272">
        <v>503.86700000000002</v>
      </c>
      <c r="X98" s="272">
        <f>2033.86-W98-V98-U98</f>
        <v>535.8359999999999</v>
      </c>
      <c r="Y98" s="456">
        <f>+SUM(U98:X98)</f>
        <v>2033.8600000000001</v>
      </c>
      <c r="Z98" s="62"/>
      <c r="AA98" s="271">
        <v>529.04</v>
      </c>
      <c r="AB98" s="272">
        <v>571.99</v>
      </c>
      <c r="AC98" s="272">
        <v>546.75199999999995</v>
      </c>
      <c r="AD98" s="272">
        <f>2253.814-AC98-AB98-AA98</f>
        <v>606.03199999999993</v>
      </c>
      <c r="AE98" s="456">
        <f>+SUM(AA98:AD98)</f>
        <v>2253.8139999999999</v>
      </c>
      <c r="AF98" s="62"/>
      <c r="AG98" s="271">
        <v>569.54200000000003</v>
      </c>
      <c r="AH98" s="272">
        <v>580.07899999999995</v>
      </c>
      <c r="AI98" s="272">
        <v>563.32399999999996</v>
      </c>
      <c r="AJ98" s="272">
        <f>2323.913-AI98-AH98-AG98</f>
        <v>610.96799999999996</v>
      </c>
      <c r="AK98" s="456">
        <f>+SUM(AG98:AJ98)</f>
        <v>2323.913</v>
      </c>
      <c r="AL98" s="62"/>
      <c r="AM98" s="271">
        <v>599.19100000000003</v>
      </c>
      <c r="AN98" s="272">
        <v>619.52200000000005</v>
      </c>
      <c r="AO98" s="272">
        <v>589.91200000000003</v>
      </c>
      <c r="AP98" s="272">
        <f>2451.334-AO98-AN98-AM98</f>
        <v>642.70899999999961</v>
      </c>
      <c r="AQ98" s="456">
        <f>+SUM(AM98:AP98)</f>
        <v>2451.3339999999998</v>
      </c>
      <c r="AR98" s="62"/>
      <c r="AS98" s="271">
        <v>641.81700000000001</v>
      </c>
      <c r="AT98" s="272">
        <v>669.95500000000004</v>
      </c>
      <c r="AU98" s="272">
        <v>664.13300000000004</v>
      </c>
      <c r="AV98" s="272">
        <f>2680.19-AU98-AT98-AS98</f>
        <v>704.28499999999985</v>
      </c>
      <c r="AW98" s="456">
        <f>+SUM(AS98:AV98)</f>
        <v>2680.1899999999996</v>
      </c>
      <c r="AX98" s="62"/>
      <c r="AY98" s="271">
        <v>655.54499999999996</v>
      </c>
      <c r="AZ98" s="272">
        <v>689.64800000000002</v>
      </c>
      <c r="BA98" s="272">
        <v>687.18399999999997</v>
      </c>
      <c r="BB98" s="272">
        <f>2768.676-BA98-AZ98-AY98</f>
        <v>736.29900000000009</v>
      </c>
      <c r="BC98" s="456">
        <f>+SUM(AY98:BB98)</f>
        <v>2768.6759999999999</v>
      </c>
      <c r="BD98" s="62"/>
      <c r="BE98" s="271">
        <v>711.44100000000003</v>
      </c>
      <c r="BF98" s="272">
        <v>732.56100000000004</v>
      </c>
      <c r="BG98" s="272">
        <v>719.24599999999998</v>
      </c>
      <c r="BH98" s="272">
        <f>2953.14-BG98-BF98-BE98</f>
        <v>789.8919999999996</v>
      </c>
      <c r="BI98" s="456">
        <f>+SUM(BE98:BH98)</f>
        <v>2953.1399999999994</v>
      </c>
      <c r="BJ98" s="62"/>
      <c r="BK98" s="271">
        <v>753.73</v>
      </c>
      <c r="BL98" s="272">
        <v>767.60500000000002</v>
      </c>
      <c r="BM98" s="272">
        <v>765.52800000000002</v>
      </c>
      <c r="BN98" s="272">
        <f>3112.436-BM98-BL98-BK98</f>
        <v>825.57300000000032</v>
      </c>
      <c r="BO98" s="456">
        <f>+SUM(BK98:BN98)</f>
        <v>3112.4360000000006</v>
      </c>
      <c r="BP98" s="62"/>
      <c r="BQ98" s="146">
        <f>+RevBuild!BQ$160*BQ99</f>
        <v>778.16399787365401</v>
      </c>
      <c r="BR98" s="145">
        <f>+RevBuild!BR$160*BR99</f>
        <v>804.07304429368571</v>
      </c>
      <c r="BS98" s="145">
        <f>+RevBuild!BS$160*BS99</f>
        <v>795.89330276207966</v>
      </c>
      <c r="BT98" s="145">
        <f>+RevBuild!BT$160*BT99</f>
        <v>847.96252973441187</v>
      </c>
      <c r="BU98" s="456">
        <f>+SUM(BQ98:BT98)</f>
        <v>3226.092874663831</v>
      </c>
      <c r="BV98" s="62"/>
      <c r="BW98" s="146">
        <f>+RevBuild!BW$160*BW99</f>
        <v>795.67395630623048</v>
      </c>
      <c r="BX98" s="145">
        <f>+RevBuild!BX$160*BX99</f>
        <v>822.06033196765202</v>
      </c>
      <c r="BY98" s="145">
        <f>+RevBuild!BY$160*BY99</f>
        <v>813.2409133836519</v>
      </c>
      <c r="BZ98" s="145">
        <f>+RevBuild!BZ$160*BZ99</f>
        <v>866.25407357059873</v>
      </c>
      <c r="CA98" s="456">
        <f>+SUM(BW98:BZ98)</f>
        <v>3297.2292752281332</v>
      </c>
      <c r="CB98" s="62"/>
      <c r="CC98" s="146">
        <f>+RevBuild!CC$160*CC99</f>
        <v>810.53967992083255</v>
      </c>
      <c r="CD98" s="145">
        <f>+RevBuild!CD$160*CD99</f>
        <v>837.29199843200331</v>
      </c>
      <c r="CE98" s="145">
        <f>+RevBuild!CE$160*CE99</f>
        <v>827.70560435713651</v>
      </c>
      <c r="CF98" s="145">
        <f>+RevBuild!CF$160*CF99</f>
        <v>881.79473929496157</v>
      </c>
      <c r="CG98" s="456">
        <f>+SUM(CC98:CF98)</f>
        <v>3357.3320220049336</v>
      </c>
      <c r="CI98" s="1154" t="s">
        <v>597</v>
      </c>
      <c r="CJ98" s="1240" t="s">
        <v>626</v>
      </c>
      <c r="CK98" s="11"/>
      <c r="CL98" s="11"/>
      <c r="CM98" s="11"/>
      <c r="CN98" s="11"/>
      <c r="CO98"/>
      <c r="CP98"/>
      <c r="CQ98"/>
      <c r="CR98"/>
      <c r="CS98"/>
      <c r="CT98"/>
    </row>
    <row r="99" spans="2:98" ht="11.25" customHeight="1" x14ac:dyDescent="0.2">
      <c r="B99" s="113" t="s">
        <v>259</v>
      </c>
      <c r="C99" s="259">
        <f>+C98/RevBuild!C$160</f>
        <v>0.28815811339980169</v>
      </c>
      <c r="D99" s="260">
        <f>+D98/RevBuild!D$160</f>
        <v>0.28793071132028975</v>
      </c>
      <c r="E99" s="260">
        <f>+E98/RevBuild!E$160</f>
        <v>0.27517584584463683</v>
      </c>
      <c r="F99" s="260">
        <f>+F98/RevBuild!F$160</f>
        <v>0.27280866749221078</v>
      </c>
      <c r="G99" s="449">
        <f>+G98/RevBuild!G$160</f>
        <v>0.28037116525997385</v>
      </c>
      <c r="H99" s="268"/>
      <c r="I99" s="259">
        <f>+I98/RevBuild!I$160</f>
        <v>0.28470338817328866</v>
      </c>
      <c r="J99" s="260">
        <f>+J98/RevBuild!J$160</f>
        <v>0.28585020125233401</v>
      </c>
      <c r="K99" s="260">
        <f>+K98/RevBuild!K$160</f>
        <v>0.2777235457944916</v>
      </c>
      <c r="L99" s="260">
        <f>+L98/RevBuild!L$160</f>
        <v>0.28011499372393395</v>
      </c>
      <c r="M99" s="449">
        <f>+M98/RevBuild!M$160</f>
        <v>0.28206852557549117</v>
      </c>
      <c r="N99" s="268"/>
      <c r="O99" s="259">
        <f>+O98/RevBuild!O$160</f>
        <v>0.28317242916052793</v>
      </c>
      <c r="P99" s="260">
        <f>+P98/RevBuild!P$160</f>
        <v>0.284452575687767</v>
      </c>
      <c r="Q99" s="260">
        <f>+Q98/RevBuild!Q$160</f>
        <v>0.27537058646646317</v>
      </c>
      <c r="R99" s="260">
        <f>+R98/RevBuild!R$160</f>
        <v>0.28357121497906806</v>
      </c>
      <c r="S99" s="449">
        <f>+S98/RevBuild!S$160</f>
        <v>0.28161507514067274</v>
      </c>
      <c r="T99" s="268"/>
      <c r="U99" s="259">
        <f>+U98/RevBuild!U$160</f>
        <v>0.28100017664167448</v>
      </c>
      <c r="V99" s="260">
        <f>+V98/RevBuild!V$160</f>
        <v>0.28436497096089997</v>
      </c>
      <c r="W99" s="260">
        <f>+W98/RevBuild!W$160</f>
        <v>0.27319252252535559</v>
      </c>
      <c r="X99" s="260">
        <f>+X98/RevBuild!X$160</f>
        <v>0.27253543154901921</v>
      </c>
      <c r="Y99" s="449">
        <f>+Y98/RevBuild!Y$160</f>
        <v>0.2775904148556308</v>
      </c>
      <c r="Z99" s="268"/>
      <c r="AA99" s="259">
        <f>+AA98/RevBuild!AA$160</f>
        <v>0.27960245545328904</v>
      </c>
      <c r="AB99" s="260">
        <f>+AB98/RevBuild!AB$160</f>
        <v>0.27651295597034303</v>
      </c>
      <c r="AC99" s="260">
        <f>+AC98/RevBuild!AC$160</f>
        <v>0.26677322919091034</v>
      </c>
      <c r="AD99" s="260">
        <f>+AD98/RevBuild!AD$160</f>
        <v>0.26704232749910439</v>
      </c>
      <c r="AE99" s="449">
        <f>+AE98/RevBuild!AE$160</f>
        <v>0.27221218553214144</v>
      </c>
      <c r="AF99" s="268"/>
      <c r="AG99" s="259">
        <f>+AG98/RevBuild!AG$160</f>
        <v>0.27972449046747627</v>
      </c>
      <c r="AH99" s="260">
        <f>+AH98/RevBuild!AH$160</f>
        <v>0.27191640740468165</v>
      </c>
      <c r="AI99" s="260">
        <f>+AI98/RevBuild!AI$160</f>
        <v>0.26078704055197643</v>
      </c>
      <c r="AJ99" s="260">
        <f>+AJ98/RevBuild!AJ$160</f>
        <v>0.26254694185548327</v>
      </c>
      <c r="AK99" s="449">
        <f>+AK98/RevBuild!AK$160</f>
        <v>0.26845705577531198</v>
      </c>
      <c r="AL99" s="268"/>
      <c r="AM99" s="259">
        <f>+AM98/RevBuild!AM$160</f>
        <v>0.27005195152873246</v>
      </c>
      <c r="AN99" s="260">
        <f>+AN98/RevBuild!AN$160</f>
        <v>0.26775493621867391</v>
      </c>
      <c r="AO99" s="260">
        <f>+AO98/RevBuild!AO$160</f>
        <v>0.25987049470423867</v>
      </c>
      <c r="AP99" s="260">
        <f>+AP98/RevBuild!AP$160</f>
        <v>0.26362000530760077</v>
      </c>
      <c r="AQ99" s="449">
        <f>+AQ98/RevBuild!AQ$160</f>
        <v>0.26527866155877322</v>
      </c>
      <c r="AR99" s="268"/>
      <c r="AS99" s="259">
        <f>+AS98/RevBuild!AS$160</f>
        <v>0.27324966046925492</v>
      </c>
      <c r="AT99" s="260">
        <f>+AT98/RevBuild!AT$160</f>
        <v>0.26519354293474973</v>
      </c>
      <c r="AU99" s="260">
        <f>+AU98/RevBuild!AU$160</f>
        <v>0.26181953366033195</v>
      </c>
      <c r="AV99" s="260">
        <f>+AV98/RevBuild!AV$160</f>
        <v>0.26975944819746056</v>
      </c>
      <c r="AW99" s="449">
        <f>+AW98/RevBuild!AW$160</f>
        <v>0.26741699087015308</v>
      </c>
      <c r="AX99" s="268"/>
      <c r="AY99" s="259">
        <f>+AY98/RevBuild!AY$160</f>
        <v>0.27567884672803655</v>
      </c>
      <c r="AZ99" s="260">
        <f>+AZ98/RevBuild!AZ$160</f>
        <v>0.27153420321125121</v>
      </c>
      <c r="BA99" s="260">
        <f>+BA98/RevBuild!BA$160</f>
        <v>0.2646988922216697</v>
      </c>
      <c r="BB99" s="260">
        <f>+BB98/RevBuild!BB$160</f>
        <v>0.26705569876163315</v>
      </c>
      <c r="BC99" s="449">
        <f>+BC98/RevBuild!BC$160</f>
        <v>0.26956387464212156</v>
      </c>
      <c r="BD99" s="268"/>
      <c r="BE99" s="259">
        <f>+BE98/RevBuild!BE$160</f>
        <v>0.27244862203857484</v>
      </c>
      <c r="BF99" s="260">
        <f>+BF98/RevBuild!BF$160</f>
        <v>0.26488215443169705</v>
      </c>
      <c r="BG99" s="260">
        <f>+BG98/RevBuild!BG$160</f>
        <v>0.26055370642199172</v>
      </c>
      <c r="BH99" s="260">
        <f>+BH98/RevBuild!BH$160</f>
        <v>0.26253536818307655</v>
      </c>
      <c r="BI99" s="449">
        <f>+BI98/RevBuild!BI$160</f>
        <v>0.2649493475494244</v>
      </c>
      <c r="BJ99" s="268"/>
      <c r="BK99" s="259">
        <f>+BK98/RevBuild!BK$160</f>
        <v>0.26756639993922582</v>
      </c>
      <c r="BL99" s="260">
        <f>+BL98/RevBuild!BL$160</f>
        <v>0.26012352059100113</v>
      </c>
      <c r="BM99" s="260">
        <f>+BM98/RevBuild!BM$160</f>
        <v>0.25082247431334331</v>
      </c>
      <c r="BN99" s="260">
        <f>+BN98/RevBuild!BN$160</f>
        <v>0.25770945118515587</v>
      </c>
      <c r="BO99" s="449">
        <f>+BO98/RevBuild!BO$160</f>
        <v>0.25886311469506096</v>
      </c>
      <c r="BP99" s="268"/>
      <c r="BQ99" s="263">
        <f>+BK99-0.45%</f>
        <v>0.26306639993922581</v>
      </c>
      <c r="BR99" s="262">
        <f>+BL99-0.3%</f>
        <v>0.25712352059100113</v>
      </c>
      <c r="BS99" s="262">
        <f>+BM99-0.2%</f>
        <v>0.24882247431334331</v>
      </c>
      <c r="BT99" s="262">
        <f>+BN99-0.2%</f>
        <v>0.25570945118515587</v>
      </c>
      <c r="BU99" s="449">
        <f>+BU98/RevBuild!BU$160</f>
        <v>0.25603924011853241</v>
      </c>
      <c r="BV99" s="268"/>
      <c r="BW99" s="263">
        <f>+BQ99-0.5%</f>
        <v>0.25806639993922581</v>
      </c>
      <c r="BX99" s="262">
        <f>+BR99-0.5%</f>
        <v>0.25212352059100113</v>
      </c>
      <c r="BY99" s="262">
        <f>+BS99-0.5%</f>
        <v>0.24382247431334331</v>
      </c>
      <c r="BZ99" s="262">
        <f>+BT99-0.5%</f>
        <v>0.25070945118515586</v>
      </c>
      <c r="CA99" s="449">
        <f>+CA98/RevBuild!CA$160</f>
        <v>0.25103858752012542</v>
      </c>
      <c r="CB99" s="268"/>
      <c r="CC99" s="263">
        <f t="shared" ref="CC99:CF99" si="42">+BW99-0.5%</f>
        <v>0.25306639993922581</v>
      </c>
      <c r="CD99" s="262">
        <f t="shared" si="42"/>
        <v>0.24712352059100112</v>
      </c>
      <c r="CE99" s="262">
        <f t="shared" si="42"/>
        <v>0.2388224743133433</v>
      </c>
      <c r="CF99" s="262">
        <f t="shared" si="42"/>
        <v>0.24570945118515586</v>
      </c>
      <c r="CG99" s="449">
        <f>+CG98/RevBuild!CG$160</f>
        <v>0.2460381825265025</v>
      </c>
      <c r="CI99" s="1000">
        <f>+(BI99-G99)/10</f>
        <v>-1.5421817710549457E-3</v>
      </c>
      <c r="CJ99" s="1000">
        <f>+(BO99-AK99)/5</f>
        <v>-1.9187882160502045E-3</v>
      </c>
    </row>
    <row r="100" spans="2:98" ht="11.25" customHeight="1" x14ac:dyDescent="0.2">
      <c r="B100" s="98" t="s">
        <v>314</v>
      </c>
      <c r="C100" s="271">
        <v>21.71</v>
      </c>
      <c r="D100" s="272">
        <v>23.59</v>
      </c>
      <c r="E100" s="272">
        <v>23.794</v>
      </c>
      <c r="F100" s="272">
        <f>98.125-E100-D100-C100</f>
        <v>29.030999999999999</v>
      </c>
      <c r="G100" s="456">
        <f>+SUM(C100:F100)</f>
        <v>98.125</v>
      </c>
      <c r="H100" s="62"/>
      <c r="I100" s="271">
        <v>28.420999999999999</v>
      </c>
      <c r="J100" s="272">
        <v>30.826000000000001</v>
      </c>
      <c r="K100" s="272">
        <v>30.349</v>
      </c>
      <c r="L100" s="272">
        <f>120.64-K100-J100-I100</f>
        <v>31.043999999999997</v>
      </c>
      <c r="M100" s="456">
        <f>+SUM(I100:L100)</f>
        <v>120.64</v>
      </c>
      <c r="N100" s="62"/>
      <c r="O100" s="271">
        <v>29.161000000000001</v>
      </c>
      <c r="P100" s="272">
        <v>30.783000000000001</v>
      </c>
      <c r="Q100" s="272">
        <v>31.207000000000001</v>
      </c>
      <c r="R100" s="272">
        <f>124.304-Q100-P100-O100</f>
        <v>33.153000000000006</v>
      </c>
      <c r="S100" s="456">
        <f>+SUM(O100:R100)</f>
        <v>124.30400000000002</v>
      </c>
      <c r="T100" s="62"/>
      <c r="U100" s="271">
        <v>31.023</v>
      </c>
      <c r="V100" s="272">
        <v>33.497</v>
      </c>
      <c r="W100" s="272">
        <v>33.588999999999999</v>
      </c>
      <c r="X100" s="272">
        <f>137.016-W100-V100-U100</f>
        <v>38.906999999999996</v>
      </c>
      <c r="Y100" s="456">
        <f>+SUM(U100:X100)</f>
        <v>137.01599999999999</v>
      </c>
      <c r="Z100" s="62"/>
      <c r="AA100" s="271">
        <v>36.781999999999996</v>
      </c>
      <c r="AB100" s="272">
        <v>40.234000000000002</v>
      </c>
      <c r="AC100" s="272">
        <v>40.667999999999999</v>
      </c>
      <c r="AD100" s="272">
        <f>164.241-AC100-AB100-AA100</f>
        <v>46.557000000000002</v>
      </c>
      <c r="AE100" s="456">
        <f>+SUM(AA100:AD100)</f>
        <v>164.24099999999999</v>
      </c>
      <c r="AF100" s="62"/>
      <c r="AG100" s="271">
        <v>41.036999999999999</v>
      </c>
      <c r="AH100" s="272">
        <v>44.316000000000003</v>
      </c>
      <c r="AI100" s="272">
        <v>45.72</v>
      </c>
      <c r="AJ100" s="272">
        <f>183.6-AI100-AH100-AG100</f>
        <v>52.526999999999994</v>
      </c>
      <c r="AK100" s="456">
        <f>+SUM(AG100:AJ100)</f>
        <v>183.6</v>
      </c>
      <c r="AL100" s="62"/>
      <c r="AM100" s="271">
        <v>47.8</v>
      </c>
      <c r="AN100" s="272">
        <v>50.334000000000003</v>
      </c>
      <c r="AO100" s="272">
        <v>49.734999999999999</v>
      </c>
      <c r="AP100" s="272">
        <f>204.68-AO100-AN100-AM100</f>
        <v>56.810999999999993</v>
      </c>
      <c r="AQ100" s="456">
        <f>+SUM(AM100:AP100)</f>
        <v>204.68</v>
      </c>
      <c r="AR100" s="62"/>
      <c r="AS100" s="271">
        <v>54.896000000000001</v>
      </c>
      <c r="AT100" s="272">
        <v>58.517000000000003</v>
      </c>
      <c r="AU100" s="272">
        <v>57.533000000000001</v>
      </c>
      <c r="AV100" s="272">
        <f>231.125-AU100-AT100-AS100</f>
        <v>60.178999999999988</v>
      </c>
      <c r="AW100" s="456">
        <f>+SUM(AS100:AV100)</f>
        <v>231.125</v>
      </c>
      <c r="AX100" s="62"/>
      <c r="AY100" s="271">
        <v>57.85</v>
      </c>
      <c r="AZ100" s="272">
        <v>61.03</v>
      </c>
      <c r="BA100" s="272">
        <v>61.723999999999997</v>
      </c>
      <c r="BB100" s="272">
        <f>243.583-BA100-AZ100-AY100</f>
        <v>62.979000000000006</v>
      </c>
      <c r="BC100" s="456">
        <f>+SUM(AY100:BB100)</f>
        <v>243.583</v>
      </c>
      <c r="BD100" s="62"/>
      <c r="BE100" s="271">
        <v>67.864000000000004</v>
      </c>
      <c r="BF100" s="272">
        <v>70.754999999999995</v>
      </c>
      <c r="BG100" s="272">
        <v>70.245000000000005</v>
      </c>
      <c r="BH100" s="272">
        <f>280.829-BG100-BF100-BE100</f>
        <v>71.965000000000003</v>
      </c>
      <c r="BI100" s="456">
        <f>+SUM(BE100:BH100)</f>
        <v>280.82900000000001</v>
      </c>
      <c r="BJ100" s="62"/>
      <c r="BK100" s="271">
        <v>69.19</v>
      </c>
      <c r="BL100" s="272">
        <v>71.567999999999998</v>
      </c>
      <c r="BM100" s="272">
        <v>70.525999999999996</v>
      </c>
      <c r="BN100" s="272">
        <f>286.667-BM100-BL100-BK100</f>
        <v>75.382999999999981</v>
      </c>
      <c r="BO100" s="456">
        <f>+SUM(BK100:BN100)</f>
        <v>286.66699999999997</v>
      </c>
      <c r="BP100" s="62"/>
      <c r="BQ100" s="146">
        <f>+RevBuild!BQ$167*BQ101</f>
        <v>75.351697523080006</v>
      </c>
      <c r="BR100" s="145">
        <f>+RevBuild!BR$167*BR101</f>
        <v>94.187672238236487</v>
      </c>
      <c r="BS100" s="145">
        <f>+RevBuild!BS$167*BS101</f>
        <v>93.492841789401623</v>
      </c>
      <c r="BT100" s="145">
        <f>+RevBuild!BT$167*BT101</f>
        <v>97.261576786673004</v>
      </c>
      <c r="BU100" s="456">
        <f>+SUM(BQ100:BT100)</f>
        <v>360.29378833739111</v>
      </c>
      <c r="BV100" s="62"/>
      <c r="BW100" s="146">
        <f>+RevBuild!BW$167*BW101</f>
        <v>96.566734279956975</v>
      </c>
      <c r="BX100" s="145">
        <f>+RevBuild!BX$167*BX101</f>
        <v>99.379471501552487</v>
      </c>
      <c r="BY100" s="145">
        <f>+RevBuild!BY$167*BY101</f>
        <v>98.675332117537138</v>
      </c>
      <c r="BZ100" s="145">
        <f>+RevBuild!BZ$167*BZ101</f>
        <v>102.65474134454834</v>
      </c>
      <c r="CA100" s="456">
        <f>+SUM(BW100:BZ100)</f>
        <v>397.2762792435949</v>
      </c>
      <c r="CB100" s="62"/>
      <c r="CC100" s="146">
        <f>+RevBuild!CC$167*CC101</f>
        <v>101.89474460411115</v>
      </c>
      <c r="CD100" s="145">
        <f>+RevBuild!CD$167*CD101</f>
        <v>104.86945398014662</v>
      </c>
      <c r="CE100" s="145">
        <f>+RevBuild!CE$167*CE101</f>
        <v>104.15757482117266</v>
      </c>
      <c r="CF100" s="145">
        <f>+RevBuild!CF$167*CF101</f>
        <v>108.35997098780079</v>
      </c>
      <c r="CG100" s="456">
        <f>+SUM(CC100:CF100)</f>
        <v>419.28174439323124</v>
      </c>
    </row>
    <row r="101" spans="2:98" ht="11.25" customHeight="1" x14ac:dyDescent="0.2">
      <c r="B101" s="113" t="s">
        <v>259</v>
      </c>
      <c r="C101" s="259">
        <f>+C100/RevBuild!C$167</f>
        <v>0.76403308111912727</v>
      </c>
      <c r="D101" s="260">
        <f>+D100/RevBuild!D$167</f>
        <v>0.74007843137254903</v>
      </c>
      <c r="E101" s="260">
        <f>+E100/RevBuild!E$167</f>
        <v>0.74727552526616625</v>
      </c>
      <c r="F101" s="260">
        <f>+F100/RevBuild!F$167</f>
        <v>0.73011920929530716</v>
      </c>
      <c r="G101" s="449">
        <f>+G100/RevBuild!G$167</f>
        <v>0.74397428218328499</v>
      </c>
      <c r="H101" s="268"/>
      <c r="I101" s="259">
        <f>+I100/RevBuild!I$167</f>
        <v>0.73259440649568242</v>
      </c>
      <c r="J101" s="260">
        <f>+J100/RevBuild!J$167</f>
        <v>0.74969599688700805</v>
      </c>
      <c r="K101" s="260">
        <f>+K100/RevBuild!K$167</f>
        <v>0.73996684059101769</v>
      </c>
      <c r="L101" s="260">
        <f>+L100/RevBuild!L$167</f>
        <v>0.73282658986827842</v>
      </c>
      <c r="M101" s="449">
        <f>+M100/RevBuild!M$167</f>
        <v>0.73881277979533222</v>
      </c>
      <c r="N101" s="268"/>
      <c r="O101" s="259">
        <f>+O100/RevBuild!O$167</f>
        <v>0.72314941103533781</v>
      </c>
      <c r="P101" s="260">
        <f>+P100/RevBuild!P$167</f>
        <v>0.72343775704448776</v>
      </c>
      <c r="Q101" s="260">
        <f>+Q100/RevBuild!Q$167</f>
        <v>0.72220036564763601</v>
      </c>
      <c r="R101" s="260">
        <f>+R100/RevBuild!R$167</f>
        <v>0.7035716559495766</v>
      </c>
      <c r="S101" s="449">
        <f>+S100/RevBuild!S$167</f>
        <v>0.71765738303080684</v>
      </c>
      <c r="T101" s="268"/>
      <c r="U101" s="259">
        <f>+U100/RevBuild!U$167</f>
        <v>0.68981388833299984</v>
      </c>
      <c r="V101" s="260">
        <f>+V100/RevBuild!V$167</f>
        <v>0.69235857051321803</v>
      </c>
      <c r="W101" s="260">
        <f>+W100/RevBuild!W$167</f>
        <v>0.68346729067046486</v>
      </c>
      <c r="X101" s="260">
        <f>+X100/RevBuild!X$167</f>
        <v>0.6771970132107985</v>
      </c>
      <c r="Y101" s="449">
        <f>+Y100/RevBuild!Y$167</f>
        <v>0.68524445867008077</v>
      </c>
      <c r="Z101" s="268"/>
      <c r="AA101" s="259">
        <f>+AA100/RevBuild!AA$167</f>
        <v>0.66099989217553812</v>
      </c>
      <c r="AB101" s="260">
        <f>+AB100/RevBuild!AB$167</f>
        <v>0.64833942987898219</v>
      </c>
      <c r="AC101" s="260">
        <f>+AC100/RevBuild!AC$167</f>
        <v>0.65391047080010289</v>
      </c>
      <c r="AD101" s="260">
        <f>+AD100/RevBuild!AD$167</f>
        <v>0.65828207847295872</v>
      </c>
      <c r="AE101" s="449">
        <f>+AE100/RevBuild!AE$167</f>
        <v>0.65533875987550871</v>
      </c>
      <c r="AF101" s="268"/>
      <c r="AG101" s="259">
        <f>+AG100/RevBuild!AG$167</f>
        <v>0.65203298536631871</v>
      </c>
      <c r="AH101" s="260">
        <f>+AH100/RevBuild!AH$167</f>
        <v>0.65024283597200416</v>
      </c>
      <c r="AI101" s="260">
        <f>+AI100/RevBuild!AI$167</f>
        <v>0.64425217709889249</v>
      </c>
      <c r="AJ101" s="260">
        <f>+AJ100/RevBuild!AJ$167</f>
        <v>0.64563590102879898</v>
      </c>
      <c r="AK101" s="449">
        <f>+AK100/RevBuild!AK$167</f>
        <v>0.64781784886367244</v>
      </c>
      <c r="AL101" s="268"/>
      <c r="AM101" s="259">
        <f>+AM100/RevBuild!AM$167</f>
        <v>0.63979012742263619</v>
      </c>
      <c r="AN101" s="260">
        <f>+AN100/RevBuild!AN$167</f>
        <v>0.64493561406880651</v>
      </c>
      <c r="AO101" s="260">
        <f>+AO100/RevBuild!AO$167</f>
        <v>0.63009134329114558</v>
      </c>
      <c r="AP101" s="260">
        <f>+AP100/RevBuild!AP$167</f>
        <v>0.64297112849010263</v>
      </c>
      <c r="AQ101" s="449">
        <f>+AQ100/RevBuild!AQ$167</f>
        <v>0.63953106887425903</v>
      </c>
      <c r="AR101" s="268"/>
      <c r="AS101" s="259">
        <f>+AS100/RevBuild!AS$167</f>
        <v>0.67498678208265184</v>
      </c>
      <c r="AT101" s="260">
        <f>+AT100/RevBuild!AT$167</f>
        <v>0.6566164342059494</v>
      </c>
      <c r="AU101" s="260">
        <f>+AU100/RevBuild!AU$167</f>
        <v>0.66036523076569908</v>
      </c>
      <c r="AV101" s="260">
        <f>+AV100/RevBuild!AV$167</f>
        <v>0.65908418850690509</v>
      </c>
      <c r="AW101" s="449">
        <f>+AW100/RevBuild!AW$167</f>
        <v>0.66248086723725763</v>
      </c>
      <c r="AX101" s="268"/>
      <c r="AY101" s="259">
        <f>+AY100/RevBuild!AY$167</f>
        <v>0.67490316860329458</v>
      </c>
      <c r="AZ101" s="260">
        <f>+AZ100/RevBuild!AZ$167</f>
        <v>0.68189944134078218</v>
      </c>
      <c r="BA101" s="260">
        <f>+BA100/RevBuild!BA$167</f>
        <v>0.68782455592948355</v>
      </c>
      <c r="BB101" s="260">
        <f>+BB100/RevBuild!BB$167</f>
        <v>0.67128193649473988</v>
      </c>
      <c r="BC101" s="449">
        <f>+BC100/RevBuild!BC$167</f>
        <v>0.67893347604195409</v>
      </c>
      <c r="BD101" s="268"/>
      <c r="BE101" s="259">
        <f>+BE100/RevBuild!BE$167</f>
        <v>0.66759793023393088</v>
      </c>
      <c r="BF101" s="260">
        <f>+BF100/RevBuild!BF$167</f>
        <v>0.6611442827909062</v>
      </c>
      <c r="BG101" s="260">
        <f>+BG100/RevBuild!BG$167</f>
        <v>0.67094253839688245</v>
      </c>
      <c r="BH101" s="260">
        <f>+BH100/RevBuild!BH$167</f>
        <v>0.64124497669901181</v>
      </c>
      <c r="BI101" s="449">
        <f>+BI100/RevBuild!BI$167</f>
        <v>0.65984877677421783</v>
      </c>
      <c r="BJ101" s="268"/>
      <c r="BK101" s="259">
        <f>+BK100/RevBuild!BK$167</f>
        <v>0.65295144623224644</v>
      </c>
      <c r="BL101" s="260">
        <f>+BL100/RevBuild!BL$167</f>
        <v>0.65941234463250809</v>
      </c>
      <c r="BM101" s="260">
        <f>+BM100/RevBuild!BM$167</f>
        <v>0.64695629838916813</v>
      </c>
      <c r="BN101" s="260">
        <f>+BN100/RevBuild!BN$167</f>
        <v>0.65784398425705315</v>
      </c>
      <c r="BO101" s="449">
        <f>+BO100/RevBuild!BO$167</f>
        <v>0.65433998096329382</v>
      </c>
      <c r="BP101" s="268"/>
      <c r="BQ101" s="263">
        <f>+BN101+0.25%</f>
        <v>0.6603439842570531</v>
      </c>
      <c r="BR101" s="262">
        <f>+BQ101</f>
        <v>0.6603439842570531</v>
      </c>
      <c r="BS101" s="262">
        <f>+BR101</f>
        <v>0.6603439842570531</v>
      </c>
      <c r="BT101" s="262">
        <f>+BS101</f>
        <v>0.6603439842570531</v>
      </c>
      <c r="BU101" s="449">
        <f>+BU100/RevBuild!BU$167</f>
        <v>0.66034398425705298</v>
      </c>
      <c r="BV101" s="268"/>
      <c r="BW101" s="263">
        <f>+BT101</f>
        <v>0.6603439842570531</v>
      </c>
      <c r="BX101" s="262">
        <f>+BW101</f>
        <v>0.6603439842570531</v>
      </c>
      <c r="BY101" s="262">
        <f>+BX101</f>
        <v>0.6603439842570531</v>
      </c>
      <c r="BZ101" s="262">
        <f>+BY101</f>
        <v>0.6603439842570531</v>
      </c>
      <c r="CA101" s="449">
        <f>+CA100/RevBuild!CA$167</f>
        <v>0.66034398425705298</v>
      </c>
      <c r="CB101" s="268"/>
      <c r="CC101" s="263">
        <f>+BZ101</f>
        <v>0.6603439842570531</v>
      </c>
      <c r="CD101" s="262">
        <f>+CC101</f>
        <v>0.6603439842570531</v>
      </c>
      <c r="CE101" s="262">
        <f>+CD101</f>
        <v>0.6603439842570531</v>
      </c>
      <c r="CF101" s="262">
        <f>+CE101</f>
        <v>0.6603439842570531</v>
      </c>
      <c r="CG101" s="449">
        <f>+CG100/RevBuild!CG$167</f>
        <v>0.6603439842570531</v>
      </c>
      <c r="CI101" s="1000">
        <f>+(BI101-G101)/10</f>
        <v>-8.4125505409067165E-3</v>
      </c>
      <c r="CJ101" s="1000">
        <f>+(BO101-AK101)/5</f>
        <v>1.3044264199242761E-3</v>
      </c>
    </row>
    <row r="102" spans="2:98" ht="11.25" customHeight="1" x14ac:dyDescent="0.2">
      <c r="B102" s="130" t="s">
        <v>261</v>
      </c>
      <c r="C102" s="147">
        <f>+C98+C100</f>
        <v>391.04599999999999</v>
      </c>
      <c r="D102" s="148">
        <f>+D98+D100</f>
        <v>413.77699999999999</v>
      </c>
      <c r="E102" s="148">
        <f>+E98+E100</f>
        <v>429.33</v>
      </c>
      <c r="F102" s="148">
        <f>+F98+F100</f>
        <v>482.42099999999999</v>
      </c>
      <c r="G102" s="448">
        <f>+SUM(C102:F102)</f>
        <v>1716.5740000000001</v>
      </c>
      <c r="H102" s="153"/>
      <c r="I102" s="147">
        <f>+I98+I100</f>
        <v>450.63099999999997</v>
      </c>
      <c r="J102" s="148">
        <f>+J98+J100</f>
        <v>488.11</v>
      </c>
      <c r="K102" s="148">
        <f>+K98+K100</f>
        <v>475.59399999999999</v>
      </c>
      <c r="L102" s="148">
        <f>+L98+L100</f>
        <v>459.95999999999987</v>
      </c>
      <c r="M102" s="448">
        <f>+SUM(I102:L102)</f>
        <v>1874.2949999999998</v>
      </c>
      <c r="N102" s="153"/>
      <c r="O102" s="147">
        <f>+O98+O100</f>
        <v>438.363</v>
      </c>
      <c r="P102" s="148">
        <f>+P98+P100</f>
        <v>475.91800000000001</v>
      </c>
      <c r="Q102" s="148">
        <f>+Q98+Q100</f>
        <v>476.267</v>
      </c>
      <c r="R102" s="148">
        <f>+R98+R100</f>
        <v>526.27200000000016</v>
      </c>
      <c r="S102" s="448">
        <f>+SUM(O102:R102)</f>
        <v>1916.8200000000002</v>
      </c>
      <c r="T102" s="153"/>
      <c r="U102" s="147">
        <f>+U98+U100</f>
        <v>513.03300000000002</v>
      </c>
      <c r="V102" s="148">
        <f>+V98+V100</f>
        <v>545.64400000000001</v>
      </c>
      <c r="W102" s="148">
        <f>+W98+W100</f>
        <v>537.45600000000002</v>
      </c>
      <c r="X102" s="148">
        <f>+X98+X100</f>
        <v>574.74299999999994</v>
      </c>
      <c r="Y102" s="448">
        <f>+SUM(U102:X102)</f>
        <v>2170.8760000000002</v>
      </c>
      <c r="Z102" s="153"/>
      <c r="AA102" s="147">
        <f>+AA98+AA100</f>
        <v>565.822</v>
      </c>
      <c r="AB102" s="148">
        <f>+AB98+AB100</f>
        <v>612.22400000000005</v>
      </c>
      <c r="AC102" s="148">
        <f>+AC98+AC100</f>
        <v>587.41999999999996</v>
      </c>
      <c r="AD102" s="148">
        <f>+AD98+AD100</f>
        <v>652.58899999999994</v>
      </c>
      <c r="AE102" s="448">
        <f>+SUM(AA102:AD102)</f>
        <v>2418.0549999999998</v>
      </c>
      <c r="AF102" s="153"/>
      <c r="AG102" s="147">
        <f>+AG98+AG100</f>
        <v>610.57900000000006</v>
      </c>
      <c r="AH102" s="148">
        <f>+AH98+AH100</f>
        <v>624.39499999999998</v>
      </c>
      <c r="AI102" s="148">
        <f>+AI98+AI100</f>
        <v>609.04399999999998</v>
      </c>
      <c r="AJ102" s="148">
        <f>+AJ98+AJ100</f>
        <v>663.495</v>
      </c>
      <c r="AK102" s="448">
        <f>+SUM(AG102:AJ102)</f>
        <v>2507.5129999999999</v>
      </c>
      <c r="AL102" s="153"/>
      <c r="AM102" s="147">
        <f>+AM98+AM100</f>
        <v>646.99099999999999</v>
      </c>
      <c r="AN102" s="148">
        <f>+AN98+AN100</f>
        <v>669.85599999999999</v>
      </c>
      <c r="AO102" s="148">
        <f>+AO98+AO100</f>
        <v>639.64700000000005</v>
      </c>
      <c r="AP102" s="148">
        <f>+AP98+AP100</f>
        <v>699.51999999999964</v>
      </c>
      <c r="AQ102" s="448">
        <f>+SUM(AM102:AP102)</f>
        <v>2656.0139999999997</v>
      </c>
      <c r="AR102" s="153"/>
      <c r="AS102" s="147">
        <f>+AS98+AS100</f>
        <v>696.71299999999997</v>
      </c>
      <c r="AT102" s="148">
        <f>+AT98+AT100</f>
        <v>728.47200000000009</v>
      </c>
      <c r="AU102" s="148">
        <f>+AU98+AU100</f>
        <v>721.66600000000005</v>
      </c>
      <c r="AV102" s="148">
        <f>+AV98+AV100</f>
        <v>764.46399999999983</v>
      </c>
      <c r="AW102" s="448">
        <f>+SUM(AS102:AV102)</f>
        <v>2911.3150000000001</v>
      </c>
      <c r="AX102" s="153"/>
      <c r="AY102" s="147">
        <f>+AY98+AY100</f>
        <v>713.39499999999998</v>
      </c>
      <c r="AZ102" s="148">
        <f>+AZ98+AZ100</f>
        <v>750.678</v>
      </c>
      <c r="BA102" s="148">
        <f>+BA98+BA100</f>
        <v>748.90800000000002</v>
      </c>
      <c r="BB102" s="148">
        <f>+BB98+BB100</f>
        <v>799.27800000000013</v>
      </c>
      <c r="BC102" s="448">
        <f>+SUM(AY102:BB102)</f>
        <v>3012.259</v>
      </c>
      <c r="BD102" s="153"/>
      <c r="BE102" s="147">
        <f>+BE98+BE100</f>
        <v>779.30500000000006</v>
      </c>
      <c r="BF102" s="148">
        <f>+BF98+BF100</f>
        <v>803.31600000000003</v>
      </c>
      <c r="BG102" s="148">
        <f>+BG98+BG100</f>
        <v>789.49099999999999</v>
      </c>
      <c r="BH102" s="148">
        <f>+BH98+BH100</f>
        <v>861.85699999999963</v>
      </c>
      <c r="BI102" s="448">
        <f>+SUM(BE102:BH102)</f>
        <v>3233.9689999999996</v>
      </c>
      <c r="BJ102" s="153"/>
      <c r="BK102" s="147">
        <f>+BK98+BK100</f>
        <v>822.92000000000007</v>
      </c>
      <c r="BL102" s="148">
        <f>+BL98+BL100</f>
        <v>839.173</v>
      </c>
      <c r="BM102" s="148">
        <f>+BM98+BM100</f>
        <v>836.05399999999997</v>
      </c>
      <c r="BN102" s="148">
        <f>+BN98+BN100</f>
        <v>900.95600000000036</v>
      </c>
      <c r="BO102" s="448">
        <f>+SUM(BK102:BN102)</f>
        <v>3399.1030000000001</v>
      </c>
      <c r="BP102" s="153"/>
      <c r="BQ102" s="147">
        <f>+BQ98+BQ100</f>
        <v>853.51569539673403</v>
      </c>
      <c r="BR102" s="148">
        <f>+BR98+BR100</f>
        <v>898.26071653192218</v>
      </c>
      <c r="BS102" s="148">
        <f>+BS98+BS100</f>
        <v>889.38614455148127</v>
      </c>
      <c r="BT102" s="148">
        <f>+BT98+BT100</f>
        <v>945.22410652108488</v>
      </c>
      <c r="BU102" s="448">
        <f>+SUM(BQ102:BT102)</f>
        <v>3586.3866630012226</v>
      </c>
      <c r="BV102" s="153"/>
      <c r="BW102" s="147">
        <f>+BW98+BW100</f>
        <v>892.2406905861875</v>
      </c>
      <c r="BX102" s="148">
        <f>+BX98+BX100</f>
        <v>921.43980346920455</v>
      </c>
      <c r="BY102" s="148">
        <f>+BY98+BY100</f>
        <v>911.916245501189</v>
      </c>
      <c r="BZ102" s="148">
        <f>+BZ98+BZ100</f>
        <v>968.9088149151471</v>
      </c>
      <c r="CA102" s="448">
        <f>+SUM(BW102:BZ102)</f>
        <v>3694.5055544717284</v>
      </c>
      <c r="CB102" s="153"/>
      <c r="CC102" s="147">
        <f>+CC98+CC100</f>
        <v>912.43442452494367</v>
      </c>
      <c r="CD102" s="148">
        <f>+CD98+CD100</f>
        <v>942.16145241214997</v>
      </c>
      <c r="CE102" s="148">
        <f>+CE98+CE100</f>
        <v>931.86317917830911</v>
      </c>
      <c r="CF102" s="148">
        <f>+CF98+CF100</f>
        <v>990.15471028276238</v>
      </c>
      <c r="CG102" s="448">
        <f>+SUM(CC102:CF102)</f>
        <v>3776.6137663981654</v>
      </c>
    </row>
    <row r="103" spans="2:98" ht="11.25" customHeight="1" x14ac:dyDescent="0.2">
      <c r="B103" s="113" t="s">
        <v>259</v>
      </c>
      <c r="C103" s="259">
        <f>+C102/RevBuild!C$174</f>
        <v>0.29847923256353581</v>
      </c>
      <c r="D103" s="260">
        <f>+D102/RevBuild!D$174</f>
        <v>0.2983215057926471</v>
      </c>
      <c r="E103" s="260">
        <f>+E102/RevBuild!E$174</f>
        <v>0.28516015475814893</v>
      </c>
      <c r="F103" s="260">
        <f>+F102/RevBuild!F$174</f>
        <v>0.2834942316371431</v>
      </c>
      <c r="G103" s="449">
        <f>+G102/RevBuild!G$174</f>
        <v>0.29072714388688065</v>
      </c>
      <c r="H103" s="268"/>
      <c r="I103" s="259">
        <f>+I102/RevBuild!I$174</f>
        <v>0.29612157366026687</v>
      </c>
      <c r="J103" s="260">
        <f>+J102/RevBuild!J$174</f>
        <v>0.29747368895774207</v>
      </c>
      <c r="K103" s="260">
        <f>+K102/RevBuild!K$174</f>
        <v>0.28925398170183958</v>
      </c>
      <c r="L103" s="260">
        <f>+L102/RevBuild!L$174</f>
        <v>0.2923023737016831</v>
      </c>
      <c r="M103" s="449">
        <f>+M102/RevBuild!M$174</f>
        <v>0.2937576297960649</v>
      </c>
      <c r="N103" s="268"/>
      <c r="O103" s="259">
        <f>+O102/RevBuild!O$174</f>
        <v>0.29511683142720957</v>
      </c>
      <c r="P103" s="260">
        <f>+P102/RevBuild!P$174</f>
        <v>0.29607312026496885</v>
      </c>
      <c r="Q103" s="260">
        <f>+Q102/RevBuild!Q$174</f>
        <v>0.28700586284592389</v>
      </c>
      <c r="R103" s="260">
        <f>+R102/RevBuild!R$174</f>
        <v>0.29465181030423604</v>
      </c>
      <c r="S103" s="449">
        <f>+S102/RevBuild!S$174</f>
        <v>0.29316633467597875</v>
      </c>
      <c r="T103" s="268"/>
      <c r="U103" s="259">
        <f>+U102/RevBuild!U$174</f>
        <v>0.29144468871960055</v>
      </c>
      <c r="V103" s="260">
        <f>+V102/RevBuild!V$174</f>
        <v>0.2950382312975931</v>
      </c>
      <c r="W103" s="260">
        <f>+W102/RevBuild!W$174</f>
        <v>0.28384097055681218</v>
      </c>
      <c r="X103" s="260">
        <f>+X102/RevBuild!X$174</f>
        <v>0.28402455464802762</v>
      </c>
      <c r="Y103" s="449">
        <f>+Y102/RevBuild!Y$174</f>
        <v>0.28841989745960767</v>
      </c>
      <c r="Z103" s="268"/>
      <c r="AA103" s="259">
        <f>+AA102/RevBuild!AA$174</f>
        <v>0.29049868027956205</v>
      </c>
      <c r="AB103" s="260">
        <f>+AB102/RevBuild!AB$174</f>
        <v>0.28734277024743748</v>
      </c>
      <c r="AC103" s="260">
        <f>+AC102/RevBuild!AC$174</f>
        <v>0.27817490515903587</v>
      </c>
      <c r="AD103" s="260">
        <f>+AD102/RevBuild!AD$174</f>
        <v>0.27886655032074897</v>
      </c>
      <c r="AE103" s="449">
        <f>+AE102/RevBuild!AE$174</f>
        <v>0.28346851120988131</v>
      </c>
      <c r="AF103" s="268"/>
      <c r="AG103" s="259">
        <f>+AG102/RevBuild!AG$174</f>
        <v>0.29088779091566114</v>
      </c>
      <c r="AH103" s="260">
        <f>+AH102/RevBuild!AH$174</f>
        <v>0.28362871413957697</v>
      </c>
      <c r="AI103" s="260">
        <f>+AI102/RevBuild!AI$174</f>
        <v>0.27298438677972514</v>
      </c>
      <c r="AJ103" s="260">
        <f>+AJ102/RevBuild!AJ$174</f>
        <v>0.2754876812274179</v>
      </c>
      <c r="AK103" s="449">
        <f>+AK102/RevBuild!AK$174</f>
        <v>0.28048347382042904</v>
      </c>
      <c r="AL103" s="268"/>
      <c r="AM103" s="259">
        <f>+AM102/RevBuild!AM$174</f>
        <v>0.28209631434076399</v>
      </c>
      <c r="AN103" s="260">
        <f>+AN102/RevBuild!AN$174</f>
        <v>0.2800623795368361</v>
      </c>
      <c r="AO103" s="260">
        <f>+AO102/RevBuild!AO$174</f>
        <v>0.27231118845989455</v>
      </c>
      <c r="AP103" s="260">
        <f>+AP102/RevBuild!AP$174</f>
        <v>0.27688739179138433</v>
      </c>
      <c r="AQ103" s="449">
        <f>+AQ102/RevBuild!AQ$174</f>
        <v>0.27780693084892677</v>
      </c>
      <c r="AR103" s="268"/>
      <c r="AS103" s="259">
        <f>+AS102/RevBuild!AS$174</f>
        <v>0.28669440970734833</v>
      </c>
      <c r="AT103" s="260">
        <f>+AT102/RevBuild!AT$174</f>
        <v>0.27853113436307791</v>
      </c>
      <c r="AU103" s="260">
        <f>+AU102/RevBuild!AU$174</f>
        <v>0.27505355926621994</v>
      </c>
      <c r="AV103" s="260">
        <f>+AV102/RevBuild!AV$174</f>
        <v>0.28291518880158212</v>
      </c>
      <c r="AW103" s="449">
        <f>+AW102/RevBuild!AW$174</f>
        <v>0.28070634697952729</v>
      </c>
      <c r="AX103" s="268"/>
      <c r="AY103" s="259">
        <f>+AY102/RevBuild!AY$174</f>
        <v>0.28956879356855653</v>
      </c>
      <c r="AZ103" s="260">
        <f>+AZ102/RevBuild!AZ$174</f>
        <v>0.28550271553101186</v>
      </c>
      <c r="BA103" s="260">
        <f>+BA102/RevBuild!BA$174</f>
        <v>0.27883619060739029</v>
      </c>
      <c r="BB103" s="260">
        <f>+BB102/RevBuild!BB$174</f>
        <v>0.28035811622782558</v>
      </c>
      <c r="BC103" s="449">
        <f>+BC102/RevBuild!BC$174</f>
        <v>0.28338086829952891</v>
      </c>
      <c r="BD103" s="268"/>
      <c r="BE103" s="259">
        <f>+BE102/RevBuild!BE$174</f>
        <v>0.28725489220362121</v>
      </c>
      <c r="BF103" s="260">
        <f>+BF102/RevBuild!BF$174</f>
        <v>0.27964478544051968</v>
      </c>
      <c r="BG103" s="260">
        <f>+BG102/RevBuild!BG$174</f>
        <v>0.27554981452965083</v>
      </c>
      <c r="BH103" s="260">
        <f>+BH102/RevBuild!BH$174</f>
        <v>0.27615354890555188</v>
      </c>
      <c r="BI103" s="449">
        <f>+BI102/RevBuild!BI$174</f>
        <v>0.279473430368752</v>
      </c>
      <c r="BJ103" s="268"/>
      <c r="BK103" s="259">
        <f>+BK102/RevBuild!BK$174</f>
        <v>0.28153768045137995</v>
      </c>
      <c r="BL103" s="260">
        <f>+BL102/RevBuild!BL$174</f>
        <v>0.27428812554380544</v>
      </c>
      <c r="BM103" s="260">
        <f>+BM102/RevBuild!BM$174</f>
        <v>0.26448340647809626</v>
      </c>
      <c r="BN103" s="260">
        <f>+BN102/RevBuild!BN$174</f>
        <v>0.27152817249903122</v>
      </c>
      <c r="BO103" s="449">
        <f>+BO102/RevBuild!BO$174</f>
        <v>0.27276654980350412</v>
      </c>
      <c r="BP103" s="268"/>
      <c r="BQ103" s="259">
        <f>+BQ102/RevBuild!BQ$174</f>
        <v>0.27782254262657502</v>
      </c>
      <c r="BR103" s="260">
        <f>+BR102/RevBuild!BR$174</f>
        <v>0.27471257686116096</v>
      </c>
      <c r="BS103" s="260">
        <f>+BS102/RevBuild!BS$174</f>
        <v>0.2662656458806103</v>
      </c>
      <c r="BT103" s="260">
        <f>+BT102/RevBuild!BT$174</f>
        <v>0.27291745730811173</v>
      </c>
      <c r="BU103" s="449">
        <f>+BU102/RevBuild!BU$174</f>
        <v>0.27282011763052688</v>
      </c>
      <c r="BV103" s="268"/>
      <c r="BW103" s="259">
        <f>+BW102/RevBuild!BW$174</f>
        <v>0.27628245962862769</v>
      </c>
      <c r="BX103" s="260">
        <f>+BX102/RevBuild!BX$174</f>
        <v>0.27013436597477058</v>
      </c>
      <c r="BY103" s="260">
        <f>+BY102/RevBuild!BY$174</f>
        <v>0.2616830938049341</v>
      </c>
      <c r="BZ103" s="260">
        <f>+BZ102/RevBuild!BZ$174</f>
        <v>0.26834617225764296</v>
      </c>
      <c r="CA103" s="449">
        <f>+CA102/RevBuild!CA$174</f>
        <v>0.26896570497938288</v>
      </c>
      <c r="CB103" s="268"/>
      <c r="CC103" s="259">
        <f>+CC102/RevBuild!CC$174</f>
        <v>0.27178604265519191</v>
      </c>
      <c r="CD103" s="260">
        <f>+CD102/RevBuild!CD$174</f>
        <v>0.26562489746825158</v>
      </c>
      <c r="CE103" s="260">
        <f>+CE102/RevBuild!CE$174</f>
        <v>0.25717141139318156</v>
      </c>
      <c r="CF103" s="260">
        <f>+CF102/RevBuild!CF$174</f>
        <v>0.26383958553265124</v>
      </c>
      <c r="CG103" s="449">
        <f>+CG102/RevBuild!CG$174</f>
        <v>0.26445916517802986</v>
      </c>
      <c r="CI103" s="1000">
        <f>+(BI103-G103)/10</f>
        <v>-1.1253713518128649E-3</v>
      </c>
      <c r="CJ103" s="1000">
        <f>+(BO103-AK103)/5</f>
        <v>-1.543384803384984E-3</v>
      </c>
      <c r="CL103" s="1000">
        <f>BU103-BO103</f>
        <v>5.3567827022760195E-5</v>
      </c>
    </row>
    <row r="104" spans="2:98" x14ac:dyDescent="0.2">
      <c r="B104" s="131" t="s">
        <v>44</v>
      </c>
      <c r="C104" s="111">
        <f>+'P&amp;L'!C10-'P&amp;L'!C102</f>
        <v>0</v>
      </c>
      <c r="D104" s="112">
        <f>+'P&amp;L'!D10-'P&amp;L'!D102</f>
        <v>0</v>
      </c>
      <c r="E104" s="112">
        <f>+'P&amp;L'!E10-'P&amp;L'!E102</f>
        <v>0</v>
      </c>
      <c r="F104" s="112">
        <f>+'P&amp;L'!F10-'P&amp;L'!F102</f>
        <v>0</v>
      </c>
      <c r="G104" s="451">
        <f>+'P&amp;L'!G10-'P&amp;L'!G102</f>
        <v>0</v>
      </c>
      <c r="H104" s="109"/>
      <c r="I104" s="111">
        <f>+'P&amp;L'!I10-'P&amp;L'!I102</f>
        <v>0</v>
      </c>
      <c r="J104" s="112">
        <f>+'P&amp;L'!J10-'P&amp;L'!J102</f>
        <v>0</v>
      </c>
      <c r="K104" s="112">
        <f>+'P&amp;L'!K10-'P&amp;L'!K102</f>
        <v>0</v>
      </c>
      <c r="L104" s="112">
        <f>+'P&amp;L'!L10-'P&amp;L'!L102</f>
        <v>-1.6484591469634324E-12</v>
      </c>
      <c r="M104" s="451">
        <f>+'P&amp;L'!M10-'P&amp;L'!M102</f>
        <v>0</v>
      </c>
      <c r="N104" s="109"/>
      <c r="O104" s="111">
        <f>+'P&amp;L'!O10-'P&amp;L'!O102</f>
        <v>0</v>
      </c>
      <c r="P104" s="112">
        <f>+'P&amp;L'!P10-'P&amp;L'!P102</f>
        <v>0</v>
      </c>
      <c r="Q104" s="112">
        <f>+'P&amp;L'!Q10-'P&amp;L'!Q102</f>
        <v>0</v>
      </c>
      <c r="R104" s="112">
        <f>+'P&amp;L'!R10-'P&amp;L'!R102</f>
        <v>0</v>
      </c>
      <c r="S104" s="451">
        <f>+'P&amp;L'!S10-'P&amp;L'!S102</f>
        <v>0</v>
      </c>
      <c r="T104" s="109"/>
      <c r="U104" s="111">
        <f>+'P&amp;L'!U10-'P&amp;L'!U102</f>
        <v>0</v>
      </c>
      <c r="V104" s="112">
        <f>+'P&amp;L'!V10-'P&amp;L'!V102</f>
        <v>0</v>
      </c>
      <c r="W104" s="112">
        <f>+'P&amp;L'!W10-'P&amp;L'!W102</f>
        <v>0</v>
      </c>
      <c r="X104" s="112">
        <f>+'P&amp;L'!X10-'P&amp;L'!X102</f>
        <v>0</v>
      </c>
      <c r="Y104" s="451">
        <f>+'P&amp;L'!Y10-'P&amp;L'!Y102</f>
        <v>0</v>
      </c>
      <c r="Z104" s="109"/>
      <c r="AA104" s="111">
        <f>+'P&amp;L'!AA10-'P&amp;L'!AA102</f>
        <v>0</v>
      </c>
      <c r="AB104" s="112">
        <f>+'P&amp;L'!AB10-'P&amp;L'!AB102</f>
        <v>0</v>
      </c>
      <c r="AC104" s="112">
        <f>+'P&amp;L'!AC10-'P&amp;L'!AC102</f>
        <v>0</v>
      </c>
      <c r="AD104" s="112">
        <f>+'P&amp;L'!AD10-'P&amp;L'!AD102</f>
        <v>0</v>
      </c>
      <c r="AE104" s="451">
        <f>+'P&amp;L'!AE10-'P&amp;L'!AE102</f>
        <v>0</v>
      </c>
      <c r="AF104" s="109"/>
      <c r="AG104" s="111">
        <f>+'P&amp;L'!AG10-'P&amp;L'!AG102</f>
        <v>0</v>
      </c>
      <c r="AH104" s="112">
        <f>+'P&amp;L'!AH10-'P&amp;L'!AH102</f>
        <v>0</v>
      </c>
      <c r="AI104" s="112">
        <f>+'P&amp;L'!AI10-'P&amp;L'!AI102</f>
        <v>0</v>
      </c>
      <c r="AJ104" s="112">
        <f>+'P&amp;L'!AJ10-'P&amp;L'!AJ102</f>
        <v>1.7053025658242404E-12</v>
      </c>
      <c r="AK104" s="451">
        <f>+'P&amp;L'!AK10-'P&amp;L'!AK102</f>
        <v>0</v>
      </c>
      <c r="AL104" s="109"/>
      <c r="AM104" s="111">
        <f>+'P&amp;L'!AM10-'P&amp;L'!AM102</f>
        <v>0</v>
      </c>
      <c r="AN104" s="112">
        <f>+'P&amp;L'!AN10-'P&amp;L'!AN102</f>
        <v>0</v>
      </c>
      <c r="AO104" s="112">
        <f>+'P&amp;L'!AO10-'P&amp;L'!AO102</f>
        <v>0</v>
      </c>
      <c r="AP104" s="112">
        <f>+'P&amp;L'!AP10-'P&amp;L'!AP102</f>
        <v>1.7053025658242404E-12</v>
      </c>
      <c r="AQ104" s="451">
        <f>+'P&amp;L'!AQ10-'P&amp;L'!AQ102</f>
        <v>0</v>
      </c>
      <c r="AR104" s="109"/>
      <c r="AS104" s="111">
        <f>+'P&amp;L'!AS10-'P&amp;L'!AS102</f>
        <v>0</v>
      </c>
      <c r="AT104" s="112">
        <f>+'P&amp;L'!AT10-'P&amp;L'!AT102</f>
        <v>0</v>
      </c>
      <c r="AU104" s="112">
        <f>+'P&amp;L'!AU10-'P&amp;L'!AU102</f>
        <v>0</v>
      </c>
      <c r="AV104" s="112">
        <f>+'P&amp;L'!AV10-'P&amp;L'!AV102</f>
        <v>0</v>
      </c>
      <c r="AW104" s="451">
        <f>+'P&amp;L'!AW10-'P&amp;L'!AW102</f>
        <v>0</v>
      </c>
      <c r="AX104" s="109"/>
      <c r="AY104" s="111">
        <f>+'P&amp;L'!AY10-'P&amp;L'!AY102</f>
        <v>0</v>
      </c>
      <c r="AZ104" s="112">
        <f>+'P&amp;L'!AZ10-'P&amp;L'!AZ102</f>
        <v>0</v>
      </c>
      <c r="BA104" s="112">
        <f>+'P&amp;L'!BA10-'P&amp;L'!BA102</f>
        <v>0</v>
      </c>
      <c r="BB104" s="112">
        <f>+'P&amp;L'!BB10-'P&amp;L'!BB102</f>
        <v>-1.7053025658242404E-12</v>
      </c>
      <c r="BC104" s="451">
        <f>+'P&amp;L'!BC10-'P&amp;L'!BC102</f>
        <v>0</v>
      </c>
      <c r="BD104" s="109"/>
      <c r="BE104" s="111">
        <f>+'P&amp;L'!BE10-'P&amp;L'!BE102</f>
        <v>0</v>
      </c>
      <c r="BF104" s="112">
        <f>+'P&amp;L'!BF10-'P&amp;L'!BF102</f>
        <v>0</v>
      </c>
      <c r="BG104" s="112">
        <f>+'P&amp;L'!BG10-'P&amp;L'!BG102</f>
        <v>0</v>
      </c>
      <c r="BH104" s="112">
        <f>+'P&amp;L'!BH10-'P&amp;L'!BH102</f>
        <v>0</v>
      </c>
      <c r="BI104" s="451">
        <f>+'P&amp;L'!BI10-'P&amp;L'!BI102</f>
        <v>0</v>
      </c>
      <c r="BJ104" s="109"/>
      <c r="BK104" s="111">
        <f>+'P&amp;L'!BK10-'P&amp;L'!BK102</f>
        <v>0</v>
      </c>
      <c r="BL104" s="112">
        <f>+'P&amp;L'!BL10-'P&amp;L'!BL102</f>
        <v>0</v>
      </c>
      <c r="BM104" s="112">
        <f>+'P&amp;L'!BM10-'P&amp;L'!BM102</f>
        <v>0</v>
      </c>
      <c r="BN104" s="112">
        <f>+'P&amp;L'!BN10-'P&amp;L'!BN102</f>
        <v>0</v>
      </c>
      <c r="BO104" s="451">
        <f>+'P&amp;L'!BO10-'P&amp;L'!BO102</f>
        <v>0</v>
      </c>
      <c r="BP104" s="109"/>
      <c r="BQ104" s="111">
        <f>+'P&amp;L'!BQ10-'P&amp;L'!BQ102</f>
        <v>0</v>
      </c>
      <c r="BR104" s="112">
        <f>+'P&amp;L'!BR10-'P&amp;L'!BR102</f>
        <v>0</v>
      </c>
      <c r="BS104" s="112">
        <f>+'P&amp;L'!BS10-'P&amp;L'!BS102</f>
        <v>0</v>
      </c>
      <c r="BT104" s="112">
        <f>+'P&amp;L'!BT10-'P&amp;L'!BT102</f>
        <v>0</v>
      </c>
      <c r="BU104" s="451">
        <f>+'P&amp;L'!BU10-'P&amp;L'!BU102</f>
        <v>0</v>
      </c>
      <c r="BV104" s="109"/>
      <c r="BW104" s="111">
        <f>+'P&amp;L'!BW10-'P&amp;L'!BW102</f>
        <v>0</v>
      </c>
      <c r="BX104" s="112">
        <f>+'P&amp;L'!BX10-'P&amp;L'!BX102</f>
        <v>0</v>
      </c>
      <c r="BY104" s="112">
        <f>+'P&amp;L'!BY10-'P&amp;L'!BY102</f>
        <v>0</v>
      </c>
      <c r="BZ104" s="112">
        <f>+'P&amp;L'!BZ10-'P&amp;L'!BZ102</f>
        <v>0</v>
      </c>
      <c r="CA104" s="451">
        <f>+'P&amp;L'!CA10-'P&amp;L'!CA102</f>
        <v>0</v>
      </c>
      <c r="CB104" s="109"/>
      <c r="CC104" s="111">
        <f>+'P&amp;L'!CC10-'P&amp;L'!CC102</f>
        <v>0</v>
      </c>
      <c r="CD104" s="112">
        <f>+'P&amp;L'!CD10-'P&amp;L'!CD102</f>
        <v>0</v>
      </c>
      <c r="CE104" s="112">
        <f>+'P&amp;L'!CE10-'P&amp;L'!CE102</f>
        <v>0</v>
      </c>
      <c r="CF104" s="112">
        <f>+'P&amp;L'!CF10-'P&amp;L'!CF102</f>
        <v>0</v>
      </c>
      <c r="CG104" s="451">
        <f>+'P&amp;L'!CG10-'P&amp;L'!CG102</f>
        <v>0</v>
      </c>
    </row>
    <row r="105" spans="2:98" x14ac:dyDescent="0.2">
      <c r="B105" s="132"/>
      <c r="C105" s="128"/>
      <c r="D105" s="129"/>
      <c r="E105" s="129"/>
      <c r="F105" s="129"/>
      <c r="G105" s="452"/>
      <c r="H105" s="109"/>
      <c r="I105" s="128"/>
      <c r="J105" s="129"/>
      <c r="K105" s="129"/>
      <c r="L105" s="129"/>
      <c r="M105" s="452"/>
      <c r="N105" s="109"/>
      <c r="O105" s="128"/>
      <c r="P105" s="129"/>
      <c r="Q105" s="129"/>
      <c r="R105" s="129"/>
      <c r="S105" s="452"/>
      <c r="T105" s="109"/>
      <c r="U105" s="128"/>
      <c r="V105" s="129"/>
      <c r="W105" s="129"/>
      <c r="X105" s="129"/>
      <c r="Y105" s="452"/>
      <c r="Z105" s="109"/>
      <c r="AA105" s="128"/>
      <c r="AB105" s="129"/>
      <c r="AC105" s="129"/>
      <c r="AD105" s="129"/>
      <c r="AE105" s="452"/>
      <c r="AF105" s="109"/>
      <c r="AG105" s="128"/>
      <c r="AH105" s="129"/>
      <c r="AI105" s="129"/>
      <c r="AJ105" s="129"/>
      <c r="AK105" s="452"/>
      <c r="AL105" s="109"/>
      <c r="AM105" s="128"/>
      <c r="AN105" s="129"/>
      <c r="AO105" s="129"/>
      <c r="AP105" s="129"/>
      <c r="AQ105" s="452"/>
      <c r="AR105" s="109"/>
      <c r="AS105" s="128"/>
      <c r="AT105" s="129"/>
      <c r="AU105" s="129"/>
      <c r="AV105" s="129"/>
      <c r="AW105" s="452"/>
      <c r="AX105" s="109"/>
      <c r="AY105" s="128"/>
      <c r="AZ105" s="129"/>
      <c r="BA105" s="129"/>
      <c r="BB105" s="129"/>
      <c r="BC105" s="452"/>
      <c r="BD105" s="109"/>
      <c r="BE105" s="128"/>
      <c r="BF105" s="129"/>
      <c r="BG105" s="129"/>
      <c r="BH105" s="129"/>
      <c r="BI105" s="452"/>
      <c r="BJ105" s="109"/>
      <c r="BK105" s="128"/>
      <c r="BL105" s="129"/>
      <c r="BM105" s="129"/>
      <c r="BN105" s="129"/>
      <c r="BO105" s="452"/>
      <c r="BP105" s="109"/>
      <c r="BQ105" s="128"/>
      <c r="BR105" s="129"/>
      <c r="BS105" s="129"/>
      <c r="BT105" s="129"/>
      <c r="BU105" s="452"/>
      <c r="BV105" s="109"/>
      <c r="BW105" s="128"/>
      <c r="BX105" s="129"/>
      <c r="BY105" s="129"/>
      <c r="BZ105" s="129"/>
      <c r="CA105" s="452"/>
      <c r="CB105" s="109"/>
      <c r="CC105" s="128"/>
      <c r="CD105" s="129"/>
      <c r="CE105" s="129"/>
      <c r="CF105" s="129"/>
      <c r="CG105" s="452"/>
    </row>
    <row r="106" spans="2:98" x14ac:dyDescent="0.2">
      <c r="B106" s="114"/>
      <c r="C106" s="115"/>
      <c r="D106" s="115"/>
      <c r="E106" s="115"/>
      <c r="F106" s="115"/>
      <c r="G106" s="115"/>
      <c r="H106" s="116"/>
      <c r="I106" s="115"/>
      <c r="J106" s="115"/>
      <c r="K106" s="115"/>
      <c r="L106" s="115"/>
      <c r="M106" s="115"/>
      <c r="N106" s="116"/>
      <c r="O106" s="115"/>
      <c r="P106" s="115"/>
      <c r="Q106" s="115"/>
      <c r="R106" s="115"/>
      <c r="S106" s="115"/>
      <c r="T106" s="116"/>
      <c r="U106" s="115"/>
      <c r="V106" s="115"/>
      <c r="W106" s="115"/>
      <c r="X106" s="115"/>
      <c r="Y106" s="115"/>
      <c r="Z106" s="116"/>
      <c r="AA106" s="115"/>
      <c r="AB106" s="115"/>
      <c r="AC106" s="115"/>
      <c r="AD106" s="115"/>
      <c r="AE106" s="115"/>
      <c r="AF106" s="116"/>
      <c r="AG106" s="115"/>
      <c r="AH106" s="115"/>
      <c r="AI106" s="115"/>
      <c r="AJ106" s="115"/>
      <c r="AK106" s="115"/>
      <c r="AL106" s="116"/>
      <c r="AM106" s="115"/>
      <c r="AN106" s="115"/>
      <c r="AO106" s="115"/>
      <c r="AP106" s="115"/>
      <c r="AQ106" s="115"/>
      <c r="AR106" s="116"/>
      <c r="AS106" s="115"/>
      <c r="AT106" s="115"/>
      <c r="AU106" s="115"/>
      <c r="AV106" s="115"/>
      <c r="AW106" s="115"/>
      <c r="AX106" s="116"/>
      <c r="AY106" s="115"/>
      <c r="AZ106" s="115"/>
      <c r="BA106" s="115"/>
      <c r="BB106" s="115"/>
      <c r="BC106" s="115"/>
      <c r="BD106" s="116"/>
      <c r="BE106" s="115"/>
      <c r="BF106" s="115"/>
      <c r="BG106" s="115"/>
      <c r="BH106" s="115"/>
      <c r="BI106" s="115"/>
      <c r="BJ106" s="116"/>
      <c r="BK106" s="115"/>
      <c r="BL106" s="115"/>
      <c r="BM106" s="115"/>
      <c r="BN106" s="115"/>
      <c r="BO106" s="115"/>
      <c r="BP106" s="116"/>
      <c r="BQ106" s="115"/>
      <c r="BR106" s="115"/>
      <c r="BS106" s="115"/>
      <c r="BT106" s="115"/>
      <c r="BU106" s="115"/>
      <c r="BV106" s="116"/>
      <c r="BW106" s="115"/>
      <c r="BX106" s="115"/>
      <c r="BY106" s="115"/>
      <c r="BZ106" s="115"/>
      <c r="CA106" s="115"/>
      <c r="CB106" s="116"/>
      <c r="CC106" s="115"/>
      <c r="CD106" s="115"/>
      <c r="CE106" s="115"/>
      <c r="CF106" s="115"/>
      <c r="CG106" s="115"/>
    </row>
    <row r="107" spans="2:98" outlineLevel="1" x14ac:dyDescent="0.2">
      <c r="B107" s="871" t="s">
        <v>492</v>
      </c>
      <c r="C107" s="7"/>
      <c r="D107" s="7"/>
      <c r="E107" s="7"/>
      <c r="F107" s="7"/>
      <c r="G107" s="7"/>
      <c r="I107" s="7"/>
      <c r="J107" s="7"/>
      <c r="K107" s="7"/>
      <c r="L107" s="7"/>
      <c r="M107" s="7"/>
      <c r="O107" s="7"/>
      <c r="P107" s="7"/>
      <c r="Q107" s="7"/>
      <c r="R107" s="7"/>
      <c r="S107" s="7"/>
      <c r="U107" s="7"/>
      <c r="V107" s="7"/>
      <c r="W107" s="7"/>
      <c r="X107" s="7"/>
      <c r="Y107" s="7"/>
      <c r="AA107" s="7"/>
      <c r="AB107" s="7"/>
      <c r="AC107" s="7"/>
      <c r="AD107" s="7"/>
      <c r="AE107" s="7"/>
      <c r="AG107" s="7"/>
      <c r="AH107" s="7"/>
      <c r="AI107" s="7"/>
      <c r="AJ107" s="7"/>
      <c r="AK107" s="7"/>
      <c r="AM107" s="7"/>
      <c r="AN107" s="7"/>
      <c r="AO107" s="7"/>
      <c r="AP107" s="7"/>
      <c r="AQ107" s="7"/>
      <c r="AS107" s="7"/>
      <c r="AT107" s="7"/>
      <c r="AU107" s="7"/>
      <c r="AV107" s="7"/>
      <c r="AW107" s="7"/>
      <c r="AY107" s="7"/>
      <c r="AZ107" s="7"/>
      <c r="BA107" s="7"/>
      <c r="BB107" s="7"/>
      <c r="BC107" s="7"/>
      <c r="BE107" s="7"/>
      <c r="BF107" s="7"/>
      <c r="BG107" s="7"/>
      <c r="BH107" s="7"/>
      <c r="BI107" s="7"/>
      <c r="BK107" s="7"/>
      <c r="BL107" s="7"/>
      <c r="BM107" s="7"/>
      <c r="BN107" s="7"/>
      <c r="BO107" s="7"/>
      <c r="BQ107" s="7"/>
      <c r="BR107" s="7"/>
      <c r="BS107" s="7"/>
      <c r="BT107" s="7"/>
      <c r="BU107" s="7"/>
      <c r="BW107" s="7"/>
      <c r="BX107" s="7"/>
      <c r="BY107" s="7"/>
      <c r="BZ107" s="7"/>
      <c r="CA107" s="7"/>
      <c r="CC107" s="7"/>
      <c r="CD107" s="7"/>
      <c r="CE107" s="7"/>
      <c r="CF107" s="7"/>
      <c r="CG107" s="7"/>
    </row>
    <row r="108" spans="2:98" ht="11.25" customHeight="1" outlineLevel="1" x14ac:dyDescent="0.2">
      <c r="B108" s="9" t="s">
        <v>518</v>
      </c>
      <c r="G108" s="858">
        <v>12000</v>
      </c>
      <c r="M108" s="858">
        <v>12500</v>
      </c>
      <c r="S108" s="858">
        <v>12500</v>
      </c>
      <c r="Y108" s="858">
        <v>13500</v>
      </c>
      <c r="AE108" s="858">
        <v>15000</v>
      </c>
      <c r="AK108" s="858">
        <v>15000</v>
      </c>
      <c r="AQ108" s="858">
        <v>16000</v>
      </c>
      <c r="AW108" s="858">
        <v>17500</v>
      </c>
      <c r="BC108" s="858">
        <v>19000</v>
      </c>
      <c r="BI108" s="858">
        <v>21000</v>
      </c>
      <c r="BO108" s="858">
        <v>22000</v>
      </c>
      <c r="CH108" s="162"/>
      <c r="CJ108" s="9"/>
      <c r="CK108" s="9"/>
      <c r="CL108" s="9"/>
      <c r="CM108" s="9"/>
      <c r="CN108" s="9"/>
    </row>
    <row r="109" spans="2:98" ht="11.25" customHeight="1" outlineLevel="1" x14ac:dyDescent="0.2">
      <c r="B109" s="866" t="s">
        <v>485</v>
      </c>
      <c r="G109" s="858"/>
      <c r="M109" s="867">
        <f>+M108/G108-1</f>
        <v>4.1666666666666741E-2</v>
      </c>
      <c r="S109" s="867">
        <f>+S108/M108-1</f>
        <v>0</v>
      </c>
      <c r="Y109" s="867">
        <f>+Y108/S108-1</f>
        <v>8.0000000000000071E-2</v>
      </c>
      <c r="AE109" s="867">
        <f>+AE108/Y108-1</f>
        <v>0.11111111111111116</v>
      </c>
      <c r="AK109" s="867">
        <f>+AK108/AE108-1</f>
        <v>0</v>
      </c>
      <c r="AQ109" s="867">
        <f>+AQ108/AK108-1</f>
        <v>6.6666666666666652E-2</v>
      </c>
      <c r="AW109" s="867">
        <f>+AW108/AQ108-1</f>
        <v>9.375E-2</v>
      </c>
      <c r="BC109" s="867">
        <f>+BC108/AW108-1</f>
        <v>8.5714285714285632E-2</v>
      </c>
      <c r="BI109" s="867">
        <f>+BI108/BC108-1</f>
        <v>0.10526315789473695</v>
      </c>
      <c r="BO109" s="867">
        <f>+BO108/BI108-1</f>
        <v>4.7619047619047672E-2</v>
      </c>
      <c r="CH109" s="162"/>
      <c r="CJ109" s="9"/>
      <c r="CK109" s="9"/>
      <c r="CL109" s="9"/>
      <c r="CM109" s="9"/>
      <c r="CN109" s="9"/>
    </row>
    <row r="110" spans="2:98" ht="11.25" customHeight="1" outlineLevel="1" x14ac:dyDescent="0.2">
      <c r="B110" s="9" t="s">
        <v>484</v>
      </c>
      <c r="G110" s="857">
        <f>+G108-G112</f>
        <v>7000</v>
      </c>
      <c r="M110" s="857">
        <f>+M108-M112</f>
        <v>7500</v>
      </c>
      <c r="S110" s="857">
        <f>+S108-S112</f>
        <v>7000</v>
      </c>
      <c r="Y110" s="857">
        <f>+Y108-Y112</f>
        <v>7500</v>
      </c>
      <c r="AE110" s="857">
        <f>+AE108-AE112</f>
        <v>8500</v>
      </c>
      <c r="AK110" s="857">
        <f>+AK108-AK112</f>
        <v>8000</v>
      </c>
      <c r="AQ110" s="857">
        <f>+AQ108-AQ112</f>
        <v>9000</v>
      </c>
      <c r="AW110" s="857">
        <f>+AW108-AW112</f>
        <v>9500</v>
      </c>
      <c r="BC110" s="857">
        <f>+BC108-BC112</f>
        <v>10500</v>
      </c>
      <c r="BI110" s="857">
        <f>+BI108-BI112</f>
        <v>10500</v>
      </c>
      <c r="BO110" s="857">
        <f>+BO108-BO112</f>
        <v>10600</v>
      </c>
      <c r="CH110" s="162"/>
      <c r="CJ110" s="9"/>
      <c r="CK110" s="9"/>
      <c r="CL110" s="9"/>
      <c r="CM110" s="9"/>
      <c r="CN110" s="9"/>
    </row>
    <row r="111" spans="2:98" s="279" customFormat="1" ht="11.25" customHeight="1" outlineLevel="1" x14ac:dyDescent="0.2">
      <c r="B111" s="866" t="s">
        <v>485</v>
      </c>
      <c r="G111" s="857"/>
      <c r="H111" s="7"/>
      <c r="M111" s="857"/>
      <c r="N111" s="7"/>
      <c r="S111" s="857"/>
      <c r="T111" s="7"/>
      <c r="Y111" s="857"/>
      <c r="Z111" s="7"/>
      <c r="AE111" s="857"/>
      <c r="AF111" s="7"/>
      <c r="AK111" s="867">
        <f>+AK110/AE110-1</f>
        <v>-5.8823529411764719E-2</v>
      </c>
      <c r="AL111" s="7"/>
      <c r="AQ111" s="867">
        <f>+AQ110/AK110-1</f>
        <v>0.125</v>
      </c>
      <c r="AR111" s="7"/>
      <c r="AW111" s="867">
        <f>+AW110/AQ110-1</f>
        <v>5.555555555555558E-2</v>
      </c>
      <c r="AX111" s="7"/>
      <c r="BC111" s="867">
        <f>+BC110/AW110-1</f>
        <v>0.10526315789473695</v>
      </c>
      <c r="BD111" s="7"/>
      <c r="BI111" s="867">
        <f>+BI110/BC110-1</f>
        <v>0</v>
      </c>
      <c r="BJ111" s="7"/>
      <c r="BO111" s="867">
        <f>+BO110/BI110-1</f>
        <v>9.52380952380949E-3</v>
      </c>
      <c r="BP111" s="7"/>
      <c r="BV111" s="7"/>
      <c r="CB111" s="7"/>
      <c r="CH111" s="162"/>
      <c r="CO111"/>
      <c r="CP111"/>
      <c r="CQ111"/>
      <c r="CR111"/>
      <c r="CS111"/>
      <c r="CT111"/>
    </row>
    <row r="112" spans="2:98" ht="11.25" customHeight="1" outlineLevel="1" x14ac:dyDescent="0.2">
      <c r="B112" s="9" t="s">
        <v>483</v>
      </c>
      <c r="G112" s="858">
        <v>5000</v>
      </c>
      <c r="M112" s="858">
        <v>5000</v>
      </c>
      <c r="S112" s="858">
        <v>5500</v>
      </c>
      <c r="Y112" s="858">
        <v>6000</v>
      </c>
      <c r="AE112" s="858">
        <v>6500</v>
      </c>
      <c r="AK112" s="858">
        <v>7000</v>
      </c>
      <c r="AQ112" s="858">
        <v>7000</v>
      </c>
      <c r="AW112" s="858">
        <v>8000</v>
      </c>
      <c r="BC112" s="858">
        <v>8500</v>
      </c>
      <c r="BI112" s="858">
        <v>10500</v>
      </c>
      <c r="BO112" s="858">
        <v>11400</v>
      </c>
      <c r="CH112" s="162"/>
      <c r="CJ112" s="9"/>
      <c r="CK112" s="9"/>
      <c r="CL112" s="9"/>
      <c r="CM112" s="9"/>
      <c r="CN112" s="9"/>
    </row>
    <row r="113" spans="2:98" s="279" customFormat="1" ht="11.25" customHeight="1" outlineLevel="1" x14ac:dyDescent="0.2">
      <c r="B113" s="866" t="s">
        <v>485</v>
      </c>
      <c r="G113" s="858"/>
      <c r="H113" s="7"/>
      <c r="M113" s="858"/>
      <c r="N113" s="7"/>
      <c r="S113" s="858"/>
      <c r="T113" s="7"/>
      <c r="Y113" s="858"/>
      <c r="Z113" s="7"/>
      <c r="AE113" s="858"/>
      <c r="AF113" s="7"/>
      <c r="AK113" s="867">
        <f>+AK112/AE112-1</f>
        <v>7.6923076923076872E-2</v>
      </c>
      <c r="AL113" s="7"/>
      <c r="AQ113" s="867">
        <f>+AQ112/AK112-1</f>
        <v>0</v>
      </c>
      <c r="AR113" s="7"/>
      <c r="AW113" s="867">
        <f>+AW112/AQ112-1</f>
        <v>0.14285714285714279</v>
      </c>
      <c r="AX113" s="7"/>
      <c r="BC113" s="867">
        <f>+BC112/AW112-1</f>
        <v>6.25E-2</v>
      </c>
      <c r="BD113" s="7"/>
      <c r="BI113" s="867">
        <f>+BI112/BC112-1</f>
        <v>0.23529411764705888</v>
      </c>
      <c r="BJ113" s="7"/>
      <c r="BO113" s="867">
        <f>+BO112/BI112-1</f>
        <v>8.5714285714285632E-2</v>
      </c>
      <c r="BP113" s="7"/>
      <c r="BV113" s="7"/>
      <c r="CB113" s="7"/>
      <c r="CH113" s="162"/>
      <c r="CO113"/>
      <c r="CP113"/>
      <c r="CQ113"/>
      <c r="CR113"/>
      <c r="CS113"/>
      <c r="CT113"/>
    </row>
    <row r="114" spans="2:98" ht="11.25" customHeight="1" outlineLevel="1" x14ac:dyDescent="0.2">
      <c r="G114" s="858"/>
      <c r="M114" s="858"/>
      <c r="S114" s="858"/>
      <c r="Y114" s="858"/>
      <c r="AE114" s="858"/>
      <c r="AK114" s="858"/>
      <c r="AQ114" s="858"/>
      <c r="AW114" s="858"/>
      <c r="BC114" s="858"/>
      <c r="BI114" s="858"/>
      <c r="CH114" s="162"/>
      <c r="CJ114" s="9"/>
      <c r="CK114" s="9"/>
      <c r="CL114" s="9"/>
      <c r="CM114" s="9"/>
      <c r="CN114" s="9"/>
    </row>
    <row r="115" spans="2:98" ht="11.25" customHeight="1" outlineLevel="1" x14ac:dyDescent="0.2">
      <c r="B115" s="861" t="s">
        <v>532</v>
      </c>
      <c r="G115" s="858"/>
      <c r="M115" s="858"/>
      <c r="S115" s="858"/>
      <c r="Y115" s="858"/>
      <c r="BI115" s="120">
        <f>2600/BI121</f>
        <v>0.68421052631578949</v>
      </c>
      <c r="BO115" s="858">
        <v>2900</v>
      </c>
      <c r="CH115" s="162"/>
      <c r="CJ115" s="9"/>
      <c r="CK115" s="9"/>
      <c r="CL115" s="9"/>
      <c r="CM115" s="9"/>
      <c r="CN115" s="9"/>
    </row>
    <row r="116" spans="2:98" ht="11.25" customHeight="1" outlineLevel="1" x14ac:dyDescent="0.2">
      <c r="B116" s="863" t="s">
        <v>538</v>
      </c>
      <c r="G116" s="858"/>
      <c r="M116" s="858"/>
      <c r="S116" s="858"/>
      <c r="Y116" s="858"/>
      <c r="BI116" s="864">
        <f>+BI115-RevBuild!BI199/RevBuild!BI$202</f>
        <v>0.18580108907543857</v>
      </c>
      <c r="BO116" s="858"/>
      <c r="CH116" s="162"/>
      <c r="CJ116" s="9"/>
      <c r="CK116" s="9"/>
      <c r="CL116" s="9"/>
      <c r="CM116" s="9"/>
      <c r="CN116" s="9"/>
    </row>
    <row r="117" spans="2:98" ht="11.25" customHeight="1" outlineLevel="1" x14ac:dyDescent="0.2">
      <c r="B117" s="861" t="s">
        <v>533</v>
      </c>
      <c r="G117" s="858"/>
      <c r="M117" s="858"/>
      <c r="S117" s="858"/>
      <c r="Y117" s="858"/>
      <c r="BI117" s="120">
        <f>450/BI121</f>
        <v>0.11842105263157894</v>
      </c>
      <c r="BO117" s="858">
        <v>680</v>
      </c>
      <c r="CH117" s="162"/>
      <c r="CJ117" s="9"/>
      <c r="CK117" s="9"/>
      <c r="CL117" s="9"/>
      <c r="CM117" s="9"/>
      <c r="CN117" s="9"/>
    </row>
    <row r="118" spans="2:98" ht="11.25" customHeight="1" outlineLevel="1" x14ac:dyDescent="0.2">
      <c r="B118" s="863" t="s">
        <v>539</v>
      </c>
      <c r="G118" s="858"/>
      <c r="M118" s="858"/>
      <c r="S118" s="858"/>
      <c r="Y118" s="858"/>
      <c r="BI118" s="864">
        <f>+BI117-RevBuild!BI201/RevBuild!BI$202</f>
        <v>-9.1308847319569716E-2</v>
      </c>
      <c r="BO118" s="858"/>
      <c r="CH118" s="162"/>
      <c r="CJ118" s="9"/>
      <c r="CK118" s="9"/>
      <c r="CL118" s="9"/>
      <c r="CM118" s="9"/>
      <c r="CN118" s="9"/>
    </row>
    <row r="119" spans="2:98" ht="11.25" customHeight="1" outlineLevel="1" x14ac:dyDescent="0.2">
      <c r="B119" s="861" t="s">
        <v>534</v>
      </c>
      <c r="G119" s="858"/>
      <c r="M119" s="858"/>
      <c r="S119" s="858"/>
      <c r="Y119" s="858"/>
      <c r="BI119" s="120">
        <f>100%-BI117-BI115</f>
        <v>0.19736842105263153</v>
      </c>
      <c r="BK119" s="182"/>
      <c r="BO119" s="858">
        <v>480</v>
      </c>
      <c r="CH119" s="162"/>
      <c r="CJ119" s="9"/>
      <c r="CK119" s="9"/>
      <c r="CL119" s="9"/>
      <c r="CM119" s="9"/>
      <c r="CN119" s="9"/>
    </row>
    <row r="120" spans="2:98" ht="11.25" customHeight="1" outlineLevel="1" x14ac:dyDescent="0.2">
      <c r="B120" s="863" t="s">
        <v>540</v>
      </c>
      <c r="G120" s="858"/>
      <c r="M120" s="858"/>
      <c r="S120" s="858"/>
      <c r="Y120" s="858"/>
      <c r="BI120" s="864">
        <f>+BI119-RevBuild!BI203/RevBuild!BI$202</f>
        <v>0.15918486642276472</v>
      </c>
      <c r="BK120" s="182"/>
      <c r="CH120" s="162"/>
      <c r="CJ120" s="9"/>
      <c r="CK120" s="9"/>
      <c r="CL120" s="9"/>
      <c r="CM120" s="9"/>
      <c r="CN120" s="9"/>
    </row>
    <row r="121" spans="2:98" ht="11.25" customHeight="1" outlineLevel="1" x14ac:dyDescent="0.2">
      <c r="B121" s="9" t="s">
        <v>477</v>
      </c>
      <c r="G121" s="858">
        <v>2600</v>
      </c>
      <c r="M121" s="858">
        <v>2775</v>
      </c>
      <c r="S121" s="858">
        <v>2750</v>
      </c>
      <c r="Y121" s="858">
        <v>3100</v>
      </c>
      <c r="AE121" s="858">
        <v>3200</v>
      </c>
      <c r="AK121" s="858">
        <v>3300</v>
      </c>
      <c r="AQ121" s="858">
        <v>3400</v>
      </c>
      <c r="AW121" s="858">
        <v>3650</v>
      </c>
      <c r="BC121" s="858">
        <v>3725</v>
      </c>
      <c r="BI121" s="858">
        <v>3800</v>
      </c>
      <c r="BL121" s="858">
        <v>4500</v>
      </c>
      <c r="BO121" s="858">
        <v>4200</v>
      </c>
      <c r="CH121" s="162"/>
      <c r="CJ121" s="9"/>
      <c r="CK121" s="9"/>
      <c r="CL121" s="9"/>
      <c r="CM121" s="9"/>
      <c r="CN121" s="9"/>
    </row>
    <row r="122" spans="2:98" ht="11.25" customHeight="1" outlineLevel="1" x14ac:dyDescent="0.2">
      <c r="B122" s="866" t="s">
        <v>515</v>
      </c>
      <c r="G122" s="858"/>
      <c r="M122" s="867">
        <f>+M121/G121-1</f>
        <v>6.7307692307692291E-2</v>
      </c>
      <c r="S122" s="867">
        <f>+S121/M121-1</f>
        <v>-9.009009009009028E-3</v>
      </c>
      <c r="Y122" s="867">
        <f>+Y121/S121-1</f>
        <v>0.1272727272727272</v>
      </c>
      <c r="AE122" s="867">
        <f>+AE121/Y121-1</f>
        <v>3.2258064516129004E-2</v>
      </c>
      <c r="AK122" s="867">
        <f>+AK121/AE121-1</f>
        <v>3.125E-2</v>
      </c>
      <c r="AQ122" s="867">
        <f>+AQ121/AK121-1</f>
        <v>3.0303030303030276E-2</v>
      </c>
      <c r="AW122" s="867">
        <f>+AW121/AQ121-1</f>
        <v>7.3529411764705843E-2</v>
      </c>
      <c r="BC122" s="867">
        <f>+BC121/AW121-1</f>
        <v>2.0547945205479534E-2</v>
      </c>
      <c r="BI122" s="867">
        <f>+BI121/BC121-1</f>
        <v>2.0134228187919545E-2</v>
      </c>
      <c r="BO122" s="867">
        <f>+BO121/BI121-1</f>
        <v>0.10526315789473695</v>
      </c>
      <c r="CH122" s="162"/>
      <c r="CJ122" s="860">
        <f>+AVERAGE(M122:BI122)</f>
        <v>4.3732676727630516E-2</v>
      </c>
      <c r="CK122" s="9"/>
      <c r="CL122" s="9"/>
      <c r="CM122" s="9"/>
      <c r="CN122" s="9"/>
    </row>
    <row r="123" spans="2:98" ht="11.25" customHeight="1" outlineLevel="1" x14ac:dyDescent="0.2">
      <c r="B123" s="9" t="s">
        <v>478</v>
      </c>
      <c r="G123" s="858">
        <v>1450</v>
      </c>
      <c r="M123" s="858">
        <v>1425</v>
      </c>
      <c r="S123" s="858">
        <v>1400</v>
      </c>
      <c r="Y123" s="858">
        <v>1600</v>
      </c>
      <c r="AE123" s="858">
        <v>1625</v>
      </c>
      <c r="AK123" s="858">
        <v>1650</v>
      </c>
      <c r="AQ123" s="858">
        <v>1700</v>
      </c>
      <c r="AW123" s="858">
        <v>1825</v>
      </c>
      <c r="BC123" s="858">
        <v>1850</v>
      </c>
      <c r="BI123" s="858">
        <v>2200</v>
      </c>
      <c r="BO123" s="858">
        <v>2300</v>
      </c>
      <c r="CH123" s="162"/>
      <c r="CJ123" s="9"/>
      <c r="CK123" s="9"/>
      <c r="CL123" s="9"/>
      <c r="CM123" s="9"/>
      <c r="CN123" s="9"/>
    </row>
    <row r="124" spans="2:98" ht="11.25" customHeight="1" outlineLevel="1" x14ac:dyDescent="0.2">
      <c r="B124" s="866" t="s">
        <v>515</v>
      </c>
      <c r="G124" s="858"/>
      <c r="M124" s="867">
        <f>+M123/G123-1</f>
        <v>-1.7241379310344862E-2</v>
      </c>
      <c r="S124" s="867">
        <f>+S123/M123-1</f>
        <v>-1.7543859649122862E-2</v>
      </c>
      <c r="Y124" s="867">
        <f>+Y123/S123-1</f>
        <v>0.14285714285714279</v>
      </c>
      <c r="AE124" s="867">
        <f>+AE123/Y123-1</f>
        <v>1.5625E-2</v>
      </c>
      <c r="AK124" s="867">
        <f>+AK123/AE123-1</f>
        <v>1.538461538461533E-2</v>
      </c>
      <c r="AQ124" s="867">
        <f>+AQ123/AK123-1</f>
        <v>3.0303030303030276E-2</v>
      </c>
      <c r="AW124" s="867">
        <f>+AW123/AQ123-1</f>
        <v>7.3529411764705843E-2</v>
      </c>
      <c r="BC124" s="867">
        <f>+BC123/AW123-1</f>
        <v>1.3698630136986356E-2</v>
      </c>
      <c r="BI124" s="1150">
        <f>+BI123/BC123-1</f>
        <v>0.18918918918918926</v>
      </c>
      <c r="BO124" s="1150">
        <f>+BO123/BI123-1</f>
        <v>4.5454545454545414E-2</v>
      </c>
      <c r="CH124" s="162"/>
      <c r="CJ124" s="860">
        <f>+AVERAGE(M124:BI124)</f>
        <v>4.9533531186244678E-2</v>
      </c>
      <c r="CK124" s="9"/>
      <c r="CL124" s="9"/>
      <c r="CM124" s="9"/>
      <c r="CN124" s="9"/>
    </row>
    <row r="125" spans="2:98" ht="11.25" customHeight="1" outlineLevel="1" x14ac:dyDescent="0.2">
      <c r="B125" s="987" t="s">
        <v>517</v>
      </c>
      <c r="G125" s="878">
        <f>+G$8/(G121+G123)</f>
        <v>1.4578804938271606</v>
      </c>
      <c r="M125" s="878">
        <f>+M$8/(M121+M123)</f>
        <v>1.5191459523809523</v>
      </c>
      <c r="S125" s="878">
        <f>+S$8/(S121+S123)</f>
        <v>1.5755026506024097</v>
      </c>
      <c r="Y125" s="878">
        <f>+Y$8/(Y121+Y123)</f>
        <v>1.6014446808510638</v>
      </c>
      <c r="AE125" s="878">
        <f>+AE$8/(AE121+AE123)</f>
        <v>1.7679258031088083</v>
      </c>
      <c r="AK125" s="878">
        <f>+AK$8/(AK121+AK123)</f>
        <v>1.8060539393939394</v>
      </c>
      <c r="AQ125" s="878">
        <f>+AQ$8/(AQ121+AQ123)</f>
        <v>1.8746366666666667</v>
      </c>
      <c r="AW125" s="878">
        <f>+AW$8/(AW121+AW123)</f>
        <v>1.8943178082191781</v>
      </c>
      <c r="BC125" s="878">
        <f>+BC$8/(BC121+BC123)</f>
        <v>1.9066760538116589</v>
      </c>
      <c r="BI125" s="878">
        <f>+BI$8/(BI121+BI123)</f>
        <v>1.9286113333333337</v>
      </c>
      <c r="BO125" s="878">
        <f>+BO$8/(BO121+BO123)</f>
        <v>1.9171604615384614</v>
      </c>
      <c r="CH125" s="162"/>
      <c r="CJ125" s="9"/>
      <c r="CK125" s="9"/>
      <c r="CL125" s="9"/>
      <c r="CM125" s="9"/>
      <c r="CN125" s="9"/>
    </row>
    <row r="126" spans="2:98" ht="11.25" customHeight="1" outlineLevel="1" x14ac:dyDescent="0.2">
      <c r="B126" s="866" t="s">
        <v>514</v>
      </c>
      <c r="G126" s="878"/>
      <c r="M126" s="869">
        <f>+M125/G125-1</f>
        <v>4.2023649272486363E-2</v>
      </c>
      <c r="N126" s="853"/>
      <c r="O126" s="860"/>
      <c r="P126" s="860"/>
      <c r="Q126" s="860"/>
      <c r="R126" s="860"/>
      <c r="S126" s="869">
        <f>+S125/M125-1</f>
        <v>3.7097619312436603E-2</v>
      </c>
      <c r="T126" s="853"/>
      <c r="U126" s="860"/>
      <c r="V126" s="860"/>
      <c r="W126" s="860"/>
      <c r="X126" s="860"/>
      <c r="Y126" s="869">
        <f>+Y125/S125-1</f>
        <v>1.6465875343805392E-2</v>
      </c>
      <c r="Z126" s="853"/>
      <c r="AA126" s="860"/>
      <c r="AB126" s="860"/>
      <c r="AC126" s="860"/>
      <c r="AD126" s="860"/>
      <c r="AE126" s="869">
        <f>+AE125/Y125-1</f>
        <v>0.10395683612953177</v>
      </c>
      <c r="AF126" s="853"/>
      <c r="AG126" s="860"/>
      <c r="AH126" s="860"/>
      <c r="AI126" s="860"/>
      <c r="AJ126" s="860"/>
      <c r="AK126" s="869">
        <f>+AK125/AE125-1</f>
        <v>2.1566593019958669E-2</v>
      </c>
      <c r="AL126" s="853"/>
      <c r="AM126" s="860"/>
      <c r="AN126" s="860"/>
      <c r="AO126" s="860"/>
      <c r="AP126" s="860"/>
      <c r="AQ126" s="869">
        <f>+AQ125/AK125-1</f>
        <v>3.7973797889857996E-2</v>
      </c>
      <c r="AR126" s="853"/>
      <c r="AS126" s="860"/>
      <c r="AT126" s="860"/>
      <c r="AU126" s="860"/>
      <c r="AV126" s="860"/>
      <c r="AW126" s="869">
        <f>+AW125/AQ125-1</f>
        <v>1.0498643231761084E-2</v>
      </c>
      <c r="AX126" s="853"/>
      <c r="AY126" s="860"/>
      <c r="AZ126" s="860"/>
      <c r="BA126" s="860"/>
      <c r="BB126" s="860"/>
      <c r="BC126" s="869">
        <f>+BC125/AW125-1</f>
        <v>6.5238501896884848E-3</v>
      </c>
      <c r="BD126" s="853"/>
      <c r="BE126" s="860"/>
      <c r="BF126" s="860"/>
      <c r="BG126" s="860"/>
      <c r="BH126" s="860"/>
      <c r="BI126" s="869">
        <f>+BI125/BC125-1</f>
        <v>1.1504460591416965E-2</v>
      </c>
      <c r="BO126" s="869">
        <f>+BO125/BI125-1</f>
        <v>-5.9373662266523075E-3</v>
      </c>
      <c r="CH126" s="162"/>
      <c r="CJ126" s="860">
        <f>+AVERAGE(M126:BI126)</f>
        <v>3.1956813886771483E-2</v>
      </c>
      <c r="CK126" s="9"/>
      <c r="CL126" s="9"/>
      <c r="CM126" s="9"/>
      <c r="CN126" s="9"/>
    </row>
    <row r="127" spans="2:98" outlineLevel="1" x14ac:dyDescent="0.2"/>
    <row r="128" spans="2:98" ht="11.25" customHeight="1" outlineLevel="1" x14ac:dyDescent="0.2">
      <c r="B128" s="9" t="s">
        <v>479</v>
      </c>
      <c r="G128" s="862">
        <v>183</v>
      </c>
      <c r="M128" s="862">
        <v>202</v>
      </c>
      <c r="S128" s="862">
        <v>192</v>
      </c>
      <c r="Y128" s="862">
        <v>188</v>
      </c>
      <c r="AE128" s="862">
        <v>194</v>
      </c>
      <c r="AK128" s="862">
        <v>187</v>
      </c>
      <c r="AQ128" s="862">
        <v>187</v>
      </c>
      <c r="AW128" s="862">
        <v>199</v>
      </c>
      <c r="BC128" s="862">
        <v>199</v>
      </c>
      <c r="BI128" s="862">
        <v>200</v>
      </c>
      <c r="BO128" s="862">
        <v>200</v>
      </c>
      <c r="CH128" s="162"/>
      <c r="CJ128" s="9"/>
      <c r="CK128" s="9"/>
      <c r="CL128" s="9"/>
      <c r="CM128" s="9"/>
      <c r="CN128" s="9"/>
    </row>
    <row r="129" spans="2:98" ht="11.25" customHeight="1" outlineLevel="1" x14ac:dyDescent="0.2">
      <c r="B129" s="866" t="s">
        <v>485</v>
      </c>
      <c r="G129" s="862"/>
      <c r="M129" s="867">
        <f>+M128/G128-1</f>
        <v>0.10382513661202175</v>
      </c>
      <c r="S129" s="867">
        <f>+S128/M128-1</f>
        <v>-4.9504950495049549E-2</v>
      </c>
      <c r="Y129" s="867">
        <f>+Y128/S128-1</f>
        <v>-2.083333333333337E-2</v>
      </c>
      <c r="AE129" s="867">
        <f>+AE128/Y128-1</f>
        <v>3.1914893617021267E-2</v>
      </c>
      <c r="AK129" s="867">
        <f>+AK128/AE128-1</f>
        <v>-3.6082474226804107E-2</v>
      </c>
      <c r="AQ129" s="867">
        <f>+AQ128/AK128-1</f>
        <v>0</v>
      </c>
      <c r="AW129" s="867">
        <f>+AW128/AQ128-1</f>
        <v>6.4171122994652441E-2</v>
      </c>
      <c r="BC129" s="867">
        <f>+BC128/AW128-1</f>
        <v>0</v>
      </c>
      <c r="BI129" s="867">
        <f>+BI128/BC128-1</f>
        <v>5.0251256281406143E-3</v>
      </c>
      <c r="BO129" s="867">
        <f>+BO128/BI128-1</f>
        <v>0</v>
      </c>
      <c r="CH129" s="162"/>
      <c r="CJ129" s="9"/>
      <c r="CK129" s="9"/>
      <c r="CL129" s="9"/>
      <c r="CM129" s="9"/>
      <c r="CN129" s="9"/>
    </row>
    <row r="130" spans="2:98" ht="11.25" customHeight="1" outlineLevel="1" x14ac:dyDescent="0.2">
      <c r="B130" s="9" t="s">
        <v>480</v>
      </c>
      <c r="G130" s="859">
        <v>0.99</v>
      </c>
      <c r="M130" s="859">
        <v>0.99</v>
      </c>
      <c r="S130" s="859">
        <v>0.99</v>
      </c>
      <c r="Y130" s="859">
        <v>0.99</v>
      </c>
      <c r="AE130" s="859">
        <v>0.99</v>
      </c>
      <c r="AK130" s="859">
        <v>0.99</v>
      </c>
      <c r="AQ130" s="859">
        <v>0.99</v>
      </c>
      <c r="AW130" s="859">
        <v>0.99</v>
      </c>
      <c r="BC130" s="859">
        <v>0.99</v>
      </c>
      <c r="BI130" s="859">
        <v>0.99</v>
      </c>
      <c r="BO130" s="859">
        <v>0.99</v>
      </c>
      <c r="CH130" s="162"/>
      <c r="CJ130" s="9"/>
      <c r="CK130" s="9"/>
      <c r="CL130" s="9"/>
      <c r="CM130" s="9"/>
      <c r="CN130" s="9"/>
    </row>
    <row r="131" spans="2:98" ht="11.25" customHeight="1" outlineLevel="1" x14ac:dyDescent="0.2">
      <c r="B131" s="9" t="s">
        <v>496</v>
      </c>
      <c r="G131" s="859"/>
      <c r="M131" s="875" t="s">
        <v>497</v>
      </c>
      <c r="O131" s="875">
        <v>0.75</v>
      </c>
      <c r="S131" s="875" t="s">
        <v>503</v>
      </c>
      <c r="V131" s="862" t="s">
        <v>512</v>
      </c>
      <c r="Y131" s="875" t="s">
        <v>503</v>
      </c>
      <c r="AE131" s="875" t="s">
        <v>503</v>
      </c>
      <c r="AK131" s="875" t="s">
        <v>520</v>
      </c>
      <c r="AQ131" s="875" t="s">
        <v>520</v>
      </c>
      <c r="AW131" s="875" t="s">
        <v>520</v>
      </c>
      <c r="BC131" s="862" t="s">
        <v>530</v>
      </c>
      <c r="BI131" s="999" t="s">
        <v>531</v>
      </c>
      <c r="BO131" s="999" t="s">
        <v>531</v>
      </c>
      <c r="CH131" s="162"/>
      <c r="CJ131" s="9"/>
      <c r="CK131" s="9"/>
      <c r="CL131" s="9"/>
      <c r="CM131" s="9"/>
      <c r="CN131" s="9"/>
    </row>
    <row r="132" spans="2:98" ht="11.25" customHeight="1" outlineLevel="1" x14ac:dyDescent="0.2">
      <c r="G132" s="859"/>
      <c r="M132" s="875"/>
      <c r="O132" s="875"/>
      <c r="CH132" s="162"/>
      <c r="CJ132" s="9"/>
      <c r="CK132" s="9"/>
      <c r="CL132" s="9"/>
      <c r="CM132" s="9"/>
      <c r="CN132" s="9"/>
    </row>
    <row r="133" spans="2:98" outlineLevel="1" x14ac:dyDescent="0.2">
      <c r="B133" s="179" t="s">
        <v>493</v>
      </c>
      <c r="C133" s="179"/>
      <c r="D133" s="179"/>
      <c r="E133" s="179"/>
      <c r="F133" s="179"/>
      <c r="G133" s="879">
        <f>+G141</f>
        <v>1277.5119999999999</v>
      </c>
      <c r="H133" s="14"/>
      <c r="I133" s="179"/>
      <c r="J133" s="179"/>
      <c r="K133" s="179"/>
      <c r="L133" s="179"/>
      <c r="M133" s="879">
        <f>+M141</f>
        <v>1368.1079999999999</v>
      </c>
      <c r="N133" s="14"/>
      <c r="O133" s="179"/>
      <c r="P133" s="179"/>
      <c r="Q133" s="179"/>
      <c r="R133" s="179"/>
      <c r="S133" s="879">
        <f>+S141</f>
        <v>1387.5810000000001</v>
      </c>
      <c r="T133" s="14"/>
      <c r="U133" s="179"/>
      <c r="V133" s="179"/>
      <c r="W133" s="179"/>
      <c r="X133" s="179"/>
      <c r="Y133" s="879">
        <f>+Y141</f>
        <v>1566.915</v>
      </c>
      <c r="Z133" s="14"/>
      <c r="AA133" s="179"/>
      <c r="AB133" s="179"/>
      <c r="AC133" s="179"/>
      <c r="AD133" s="179"/>
      <c r="AE133" s="879">
        <f>+AE141</f>
        <v>1741.72</v>
      </c>
      <c r="AF133" s="14"/>
      <c r="AG133" s="179"/>
      <c r="AH133" s="179"/>
      <c r="AI133" s="179"/>
      <c r="AJ133" s="179"/>
      <c r="AK133" s="879">
        <f>+AK141</f>
        <v>1767.2650000000001</v>
      </c>
      <c r="AL133" s="14"/>
      <c r="AM133" s="179"/>
      <c r="AN133" s="179"/>
      <c r="AO133" s="179"/>
      <c r="AP133" s="179"/>
      <c r="AQ133" s="879">
        <f>+AQ141</f>
        <v>1860.67</v>
      </c>
      <c r="AR133" s="14"/>
      <c r="AS133" s="179"/>
      <c r="AT133" s="179"/>
      <c r="AU133" s="179"/>
      <c r="AV133" s="179"/>
      <c r="AW133" s="879">
        <f>+AW141</f>
        <v>2068.4189999999999</v>
      </c>
      <c r="AX133" s="14"/>
      <c r="AY133" s="179"/>
      <c r="AZ133" s="179"/>
      <c r="BA133" s="179"/>
      <c r="BB133" s="179"/>
      <c r="BC133" s="879">
        <f>+BC141</f>
        <v>2108.2130000000006</v>
      </c>
      <c r="BD133" s="14"/>
      <c r="BE133" s="179"/>
      <c r="BF133" s="179"/>
      <c r="BG133" s="179"/>
      <c r="BH133" s="179"/>
      <c r="BI133" s="879">
        <f>+BI141</f>
        <v>2256.9520000000002</v>
      </c>
      <c r="BJ133" s="14"/>
      <c r="BK133" s="179"/>
      <c r="BL133" s="179"/>
      <c r="BM133" s="179"/>
      <c r="BN133" s="179"/>
      <c r="BO133" s="879">
        <f>+BO141</f>
        <v>2383.9160000000002</v>
      </c>
      <c r="BP133" s="14"/>
      <c r="BQ133" s="179"/>
      <c r="BR133" s="179"/>
      <c r="BS133" s="179"/>
      <c r="BT133" s="179"/>
      <c r="BU133" s="879">
        <f>+BU141</f>
        <v>2456.5482048253493</v>
      </c>
      <c r="BV133" s="14"/>
      <c r="BW133" s="179"/>
      <c r="BX133" s="179"/>
      <c r="BY133" s="179"/>
      <c r="BZ133" s="179"/>
      <c r="CA133" s="879">
        <f>+CA141</f>
        <v>2547.59322087996</v>
      </c>
      <c r="CB133" s="14"/>
      <c r="CC133" s="179"/>
      <c r="CD133" s="179"/>
      <c r="CE133" s="179"/>
      <c r="CF133" s="179"/>
      <c r="CG133" s="879">
        <f>+CG141</f>
        <v>2633.1044880836671</v>
      </c>
    </row>
    <row r="134" spans="2:98" outlineLevel="1" x14ac:dyDescent="0.2">
      <c r="B134" s="866" t="s">
        <v>485</v>
      </c>
      <c r="G134" s="862"/>
      <c r="M134" s="867">
        <f>+M133/G133-1</f>
        <v>7.0915967912630107E-2</v>
      </c>
      <c r="S134" s="867">
        <f>+S133/M133-1</f>
        <v>1.4233525423431592E-2</v>
      </c>
      <c r="Y134" s="867">
        <f>+Y133/S133-1</f>
        <v>0.12924218478056404</v>
      </c>
      <c r="AE134" s="867">
        <f>+AE133/Y133-1</f>
        <v>0.11155997613144297</v>
      </c>
      <c r="AK134" s="867">
        <f>+AK133/AE133-1</f>
        <v>1.4666536527111251E-2</v>
      </c>
      <c r="AQ134" s="867">
        <f>+AQ133/AK133-1</f>
        <v>5.2852854552090323E-2</v>
      </c>
      <c r="AW134" s="867">
        <f>+AW133/AQ133-1</f>
        <v>0.11165279173630993</v>
      </c>
      <c r="BC134" s="867">
        <f>+BC133/AW133-1</f>
        <v>1.9238848608527093E-2</v>
      </c>
      <c r="BI134" s="867">
        <f>+BI133/BC133-1</f>
        <v>7.0552169064510784E-2</v>
      </c>
      <c r="BO134" s="867">
        <f>+BO133/BI133-1</f>
        <v>5.6254630138345751E-2</v>
      </c>
      <c r="BU134" s="867">
        <f>+BU133/BO133-1</f>
        <v>3.0467602392596493E-2</v>
      </c>
      <c r="CA134" s="867">
        <f>+CA133/BU133-1</f>
        <v>3.706217361245856E-2</v>
      </c>
      <c r="CG134" s="867">
        <f>+CG133/CA133-1</f>
        <v>3.3565510577929336E-2</v>
      </c>
    </row>
    <row r="135" spans="2:98" outlineLevel="1" x14ac:dyDescent="0.2">
      <c r="B135" s="179" t="s">
        <v>494</v>
      </c>
      <c r="C135" s="179"/>
      <c r="D135" s="179"/>
      <c r="E135" s="179"/>
      <c r="F135" s="179"/>
      <c r="G135" s="879">
        <f>+G143</f>
        <v>51.122999999999998</v>
      </c>
      <c r="H135" s="14"/>
      <c r="I135" s="179"/>
      <c r="J135" s="179"/>
      <c r="K135" s="179"/>
      <c r="L135" s="179"/>
      <c r="M135" s="879">
        <f>+M143</f>
        <v>63.661000000000001</v>
      </c>
      <c r="N135" s="14"/>
      <c r="O135" s="179"/>
      <c r="P135" s="179"/>
      <c r="Q135" s="179"/>
      <c r="R135" s="179"/>
      <c r="S135" s="879">
        <f>+S143</f>
        <v>62.134</v>
      </c>
      <c r="T135" s="14"/>
      <c r="U135" s="179"/>
      <c r="V135" s="179"/>
      <c r="W135" s="179"/>
      <c r="X135" s="179"/>
      <c r="Y135" s="879">
        <f>+Y143</f>
        <v>70.544999999999987</v>
      </c>
      <c r="Z135" s="14"/>
      <c r="AA135" s="179"/>
      <c r="AB135" s="179"/>
      <c r="AC135" s="179"/>
      <c r="AD135" s="179"/>
      <c r="AE135" s="879">
        <f>+AE143</f>
        <v>94.186000000000007</v>
      </c>
      <c r="AF135" s="14"/>
      <c r="AG135" s="179"/>
      <c r="AH135" s="179"/>
      <c r="AI135" s="179"/>
      <c r="AJ135" s="179"/>
      <c r="AK135" s="879">
        <f>+AK143</f>
        <v>106.095</v>
      </c>
      <c r="AL135" s="14"/>
      <c r="AM135" s="179"/>
      <c r="AN135" s="179"/>
      <c r="AO135" s="179"/>
      <c r="AP135" s="179"/>
      <c r="AQ135" s="879">
        <f>+AQ143</f>
        <v>118.28999999999999</v>
      </c>
      <c r="AR135" s="14"/>
      <c r="AS135" s="179"/>
      <c r="AT135" s="179"/>
      <c r="AU135" s="179"/>
      <c r="AV135" s="179"/>
      <c r="AW135" s="879">
        <f>+AW143</f>
        <v>127.75399999999999</v>
      </c>
      <c r="AX135" s="14"/>
      <c r="AY135" s="179"/>
      <c r="AZ135" s="179"/>
      <c r="BA135" s="179"/>
      <c r="BB135" s="179"/>
      <c r="BC135" s="879">
        <f>+BC143</f>
        <v>135.143</v>
      </c>
      <c r="BD135" s="14"/>
      <c r="BE135" s="179"/>
      <c r="BF135" s="179"/>
      <c r="BG135" s="179"/>
      <c r="BH135" s="179"/>
      <c r="BI135" s="879">
        <f>+BI143</f>
        <v>159.55199999999999</v>
      </c>
      <c r="BJ135" s="14"/>
      <c r="BK135" s="179"/>
      <c r="BL135" s="179"/>
      <c r="BM135" s="179"/>
      <c r="BN135" s="179"/>
      <c r="BO135" s="879">
        <f>+BO143</f>
        <v>155.81800000000001</v>
      </c>
      <c r="BP135" s="14"/>
      <c r="BQ135" s="179"/>
      <c r="BR135" s="179"/>
      <c r="BS135" s="179"/>
      <c r="BT135" s="179"/>
      <c r="BU135" s="879">
        <f>+BU143</f>
        <v>192.61935861873425</v>
      </c>
      <c r="BV135" s="14"/>
      <c r="BW135" s="179"/>
      <c r="BX135" s="179"/>
      <c r="BY135" s="179"/>
      <c r="BZ135" s="179"/>
      <c r="CA135" s="879">
        <f>+CA143</f>
        <v>211.55084310657915</v>
      </c>
      <c r="CB135" s="14"/>
      <c r="CC135" s="179"/>
      <c r="CD135" s="179"/>
      <c r="CE135" s="179"/>
      <c r="CF135" s="179"/>
      <c r="CG135" s="879">
        <f>+CG143</f>
        <v>222.31661316570532</v>
      </c>
    </row>
    <row r="136" spans="2:98" outlineLevel="1" x14ac:dyDescent="0.2">
      <c r="B136" s="866" t="s">
        <v>485</v>
      </c>
      <c r="G136" s="862"/>
      <c r="M136" s="867">
        <f>+M135/G135-1</f>
        <v>0.24525164798622945</v>
      </c>
      <c r="S136" s="867">
        <f>+S135/M135-1</f>
        <v>-2.3986428111402613E-2</v>
      </c>
      <c r="Y136" s="867">
        <f>+Y135/S135-1</f>
        <v>0.13536871921975058</v>
      </c>
      <c r="AE136" s="867">
        <f>+AE135/Y135-1</f>
        <v>0.33511942731589794</v>
      </c>
      <c r="AK136" s="867">
        <f>+AK135/AE135-1</f>
        <v>0.12644129700804774</v>
      </c>
      <c r="AQ136" s="867">
        <f>+AQ135/AK135-1</f>
        <v>0.11494415382440248</v>
      </c>
      <c r="AW136" s="867">
        <f>+AW135/AQ135-1</f>
        <v>8.000676303998655E-2</v>
      </c>
      <c r="BC136" s="867">
        <f>+BC135/AW135-1</f>
        <v>5.7837719366908402E-2</v>
      </c>
      <c r="BI136" s="867">
        <f>+BI135/BC135-1</f>
        <v>0.18061608814367003</v>
      </c>
      <c r="BO136" s="867">
        <f>+BO135/BI135-1</f>
        <v>-2.3403028479743182E-2</v>
      </c>
      <c r="BU136" s="867">
        <f>+BU135/BO135-1</f>
        <v>0.2361816902972329</v>
      </c>
      <c r="CA136" s="867">
        <f>+CA135/BU135-1</f>
        <v>9.8284433213783995E-2</v>
      </c>
      <c r="CG136" s="867">
        <f>+CG135/CA135-1</f>
        <v>5.0889752557981449E-2</v>
      </c>
    </row>
    <row r="137" spans="2:98" s="179" customFormat="1" outlineLevel="1" x14ac:dyDescent="0.2">
      <c r="B137" s="179" t="s">
        <v>495</v>
      </c>
      <c r="G137" s="879">
        <f>+G145</f>
        <v>1328.6349999999998</v>
      </c>
      <c r="H137" s="14"/>
      <c r="M137" s="879">
        <f>+M145</f>
        <v>1431.769</v>
      </c>
      <c r="N137" s="14"/>
      <c r="S137" s="879">
        <f>+S145</f>
        <v>1449.7150000000001</v>
      </c>
      <c r="T137" s="14"/>
      <c r="Y137" s="879">
        <f>+Y145</f>
        <v>1637.46</v>
      </c>
      <c r="Z137" s="14"/>
      <c r="AE137" s="879">
        <f>+AE145</f>
        <v>1835.9060000000002</v>
      </c>
      <c r="AF137" s="14"/>
      <c r="AK137" s="879">
        <f>+AK145</f>
        <v>1873.3600000000001</v>
      </c>
      <c r="AL137" s="14"/>
      <c r="AQ137" s="879">
        <f>+AQ145</f>
        <v>1978.9600000000003</v>
      </c>
      <c r="AR137" s="14"/>
      <c r="AW137" s="879">
        <f>+AW145</f>
        <v>2196.1729999999998</v>
      </c>
      <c r="AX137" s="14"/>
      <c r="BC137" s="879">
        <f>+BC145</f>
        <v>2243.3560000000007</v>
      </c>
      <c r="BD137" s="14"/>
      <c r="BI137" s="879">
        <f>+BI145</f>
        <v>2416.5040000000004</v>
      </c>
      <c r="BJ137" s="14"/>
      <c r="BO137" s="879">
        <f>+BO145</f>
        <v>2539.7340000000004</v>
      </c>
      <c r="BP137" s="14"/>
      <c r="BU137" s="879">
        <f>+BU145</f>
        <v>2649.1675634440835</v>
      </c>
      <c r="BV137" s="14"/>
      <c r="CA137" s="879">
        <f>+CA145</f>
        <v>2759.1440639865391</v>
      </c>
      <c r="CB137" s="14"/>
      <c r="CG137" s="879">
        <f>+CG145</f>
        <v>2855.4211012493729</v>
      </c>
      <c r="CJ137" s="187"/>
      <c r="CK137" s="187"/>
      <c r="CL137" s="187"/>
      <c r="CM137" s="187"/>
      <c r="CN137" s="187"/>
      <c r="CO137"/>
      <c r="CP137"/>
      <c r="CQ137"/>
      <c r="CR137"/>
      <c r="CS137"/>
      <c r="CT137"/>
    </row>
    <row r="138" spans="2:98" outlineLevel="1" x14ac:dyDescent="0.2">
      <c r="B138" s="866" t="s">
        <v>485</v>
      </c>
      <c r="G138" s="862"/>
      <c r="M138" s="867">
        <f>+M137/G137-1</f>
        <v>7.7624027667493545E-2</v>
      </c>
      <c r="S138" s="867">
        <f>+S137/M137-1</f>
        <v>1.2534144823641347E-2</v>
      </c>
      <c r="Y138" s="867">
        <f>+Y137/S137-1</f>
        <v>0.12950476472961925</v>
      </c>
      <c r="AE138" s="867">
        <f>+AE137/Y137-1</f>
        <v>0.12119135734613362</v>
      </c>
      <c r="AK138" s="867">
        <f>+AK137/AE137-1</f>
        <v>2.0400826621842283E-2</v>
      </c>
      <c r="AQ138" s="867">
        <f>+AQ137/AK137-1</f>
        <v>5.636930435153964E-2</v>
      </c>
      <c r="AW138" s="867">
        <f>+AW137/AQ137-1</f>
        <v>0.10976118769454635</v>
      </c>
      <c r="BC138" s="867">
        <f>+BC137/AW137-1</f>
        <v>2.148419090845799E-2</v>
      </c>
      <c r="BI138" s="867">
        <f>+BI137/BC137-1</f>
        <v>7.718257824438024E-2</v>
      </c>
      <c r="BO138" s="867">
        <f>+BO137/BI137-1</f>
        <v>5.0995156639509043E-2</v>
      </c>
      <c r="BU138" s="867">
        <f>+BU137/BO137-1</f>
        <v>4.3088592523501612E-2</v>
      </c>
      <c r="CA138" s="867">
        <f>+CA137/BU137-1</f>
        <v>4.1513606787288104E-2</v>
      </c>
      <c r="CG138" s="867">
        <f>+CG137/CA137-1</f>
        <v>3.4893805843442705E-2</v>
      </c>
    </row>
    <row r="139" spans="2:98" outlineLevel="1" x14ac:dyDescent="0.2"/>
    <row r="140" spans="2:98" x14ac:dyDescent="0.2">
      <c r="B140" s="812" t="s">
        <v>315</v>
      </c>
      <c r="C140" s="813"/>
      <c r="D140" s="813"/>
      <c r="E140" s="813"/>
      <c r="F140" s="813"/>
      <c r="G140" s="813"/>
      <c r="H140" s="812"/>
      <c r="I140" s="813"/>
      <c r="J140" s="813"/>
      <c r="K140" s="813"/>
      <c r="L140" s="813"/>
      <c r="M140" s="813"/>
      <c r="N140" s="812"/>
      <c r="O140" s="813"/>
      <c r="P140" s="813"/>
      <c r="Q140" s="813"/>
      <c r="R140" s="813"/>
      <c r="S140" s="813"/>
      <c r="T140" s="812"/>
      <c r="U140" s="813"/>
      <c r="V140" s="813"/>
      <c r="W140" s="813"/>
      <c r="X140" s="813"/>
      <c r="Y140" s="813"/>
      <c r="Z140" s="812"/>
      <c r="AA140" s="813"/>
      <c r="AB140" s="813"/>
      <c r="AC140" s="813"/>
      <c r="AD140" s="813"/>
      <c r="AE140" s="813"/>
      <c r="AF140" s="812"/>
      <c r="AG140" s="813"/>
      <c r="AH140" s="813"/>
      <c r="AI140" s="813"/>
      <c r="AJ140" s="813"/>
      <c r="AK140" s="813"/>
      <c r="AL140" s="812"/>
      <c r="AM140" s="813"/>
      <c r="AN140" s="813"/>
      <c r="AO140" s="813"/>
      <c r="AP140" s="813"/>
      <c r="AQ140" s="813"/>
      <c r="AR140" s="812"/>
      <c r="AS140" s="813"/>
      <c r="AT140" s="813"/>
      <c r="AU140" s="813"/>
      <c r="AV140" s="813"/>
      <c r="AW140" s="813"/>
      <c r="AX140" s="812"/>
      <c r="AY140" s="813"/>
      <c r="AZ140" s="813"/>
      <c r="BA140" s="813"/>
      <c r="BB140" s="813"/>
      <c r="BC140" s="813"/>
      <c r="BD140" s="812"/>
      <c r="BE140" s="813"/>
      <c r="BF140" s="813"/>
      <c r="BG140" s="813"/>
      <c r="BH140" s="813"/>
      <c r="BI140" s="813"/>
      <c r="BJ140" s="812"/>
      <c r="BK140" s="813"/>
      <c r="BL140" s="813"/>
      <c r="BM140" s="813"/>
      <c r="BN140" s="813"/>
      <c r="BO140" s="813"/>
      <c r="BP140" s="812"/>
      <c r="BQ140" s="813"/>
      <c r="BR140" s="813"/>
      <c r="BS140" s="813"/>
      <c r="BT140" s="813"/>
      <c r="BU140" s="813"/>
      <c r="BV140" s="812"/>
      <c r="BW140" s="813"/>
      <c r="BX140" s="813"/>
      <c r="BY140" s="813"/>
      <c r="BZ140" s="813"/>
      <c r="CA140" s="813"/>
      <c r="CB140" s="812"/>
      <c r="CC140" s="813"/>
      <c r="CD140" s="813"/>
      <c r="CE140" s="813"/>
      <c r="CF140" s="813"/>
      <c r="CG140" s="814"/>
    </row>
    <row r="141" spans="2:98" x14ac:dyDescent="0.2">
      <c r="B141" s="98" t="s">
        <v>313</v>
      </c>
      <c r="C141" s="271">
        <v>306.452</v>
      </c>
      <c r="D141" s="272">
        <v>311.459</v>
      </c>
      <c r="E141" s="272">
        <v>320.16399999999999</v>
      </c>
      <c r="F141" s="272">
        <f>1277.512-E141-D141-C141</f>
        <v>339.4369999999999</v>
      </c>
      <c r="G141" s="456">
        <f>+SUM(C141:F141)</f>
        <v>1277.5119999999999</v>
      </c>
      <c r="H141" s="62"/>
      <c r="I141" s="271">
        <v>350.089</v>
      </c>
      <c r="J141" s="272">
        <v>357.53399999999999</v>
      </c>
      <c r="K141" s="272">
        <v>344.358</v>
      </c>
      <c r="L141" s="272">
        <f>1368.108-K141-J141-I141</f>
        <v>316.12700000000001</v>
      </c>
      <c r="M141" s="456">
        <f>+SUM(I141:L141)</f>
        <v>1368.1079999999999</v>
      </c>
      <c r="N141" s="62"/>
      <c r="O141" s="271">
        <v>329.45100000000002</v>
      </c>
      <c r="P141" s="272">
        <v>338.47500000000002</v>
      </c>
      <c r="Q141" s="272">
        <v>346.81</v>
      </c>
      <c r="R141" s="272">
        <f>1387.581-Q141-P141-O141</f>
        <v>372.84499999999991</v>
      </c>
      <c r="S141" s="456">
        <f>+SUM(O141:R141)</f>
        <v>1387.5810000000001</v>
      </c>
      <c r="T141" s="62"/>
      <c r="U141" s="271">
        <v>381.11</v>
      </c>
      <c r="V141" s="272">
        <v>391.012</v>
      </c>
      <c r="W141" s="272">
        <v>382.85500000000002</v>
      </c>
      <c r="X141" s="272">
        <f>1566.915-W141-V141-U141</f>
        <v>411.93799999999999</v>
      </c>
      <c r="Y141" s="456">
        <f>+SUM(U141:X141)</f>
        <v>1566.915</v>
      </c>
      <c r="Z141" s="62"/>
      <c r="AA141" s="271">
        <v>419.31299999999999</v>
      </c>
      <c r="AB141" s="272">
        <v>437.77300000000002</v>
      </c>
      <c r="AC141" s="272">
        <v>421.13600000000002</v>
      </c>
      <c r="AD141" s="272">
        <f>1741.72-AC141-AB141-AA141</f>
        <v>463.49800000000005</v>
      </c>
      <c r="AE141" s="456">
        <f>+SUM(AA141:AD141)</f>
        <v>1741.72</v>
      </c>
      <c r="AF141" s="62"/>
      <c r="AG141" s="271">
        <v>440.54599999999999</v>
      </c>
      <c r="AH141" s="272">
        <v>440.82600000000002</v>
      </c>
      <c r="AI141" s="272">
        <v>433.392</v>
      </c>
      <c r="AJ141" s="272">
        <f>1767.265-AI141-AH141-AG141</f>
        <v>452.50100000000003</v>
      </c>
      <c r="AK141" s="456">
        <f>+SUM(AG141:AJ141)</f>
        <v>1767.2650000000001</v>
      </c>
      <c r="AL141" s="62"/>
      <c r="AM141" s="271">
        <v>464.73099999999999</v>
      </c>
      <c r="AN141" s="272">
        <v>464.84</v>
      </c>
      <c r="AO141" s="272">
        <v>449.96300000000002</v>
      </c>
      <c r="AP141" s="272">
        <f>1860.67-AO141-AN141-AM141</f>
        <v>481.13600000000019</v>
      </c>
      <c r="AQ141" s="456">
        <f>+SUM(AM141:AP141)</f>
        <v>1860.67</v>
      </c>
      <c r="AR141" s="62"/>
      <c r="AS141" s="271">
        <v>507.99799999999999</v>
      </c>
      <c r="AT141" s="272">
        <v>516.37699999999995</v>
      </c>
      <c r="AU141" s="272">
        <v>515.36</v>
      </c>
      <c r="AV141" s="272">
        <f>2068.419-AU141-AT141-AS141</f>
        <v>528.68399999999974</v>
      </c>
      <c r="AW141" s="456">
        <f>+SUM(AS141:AV141)</f>
        <v>2068.4189999999999</v>
      </c>
      <c r="AX141" s="62"/>
      <c r="AY141" s="271">
        <v>512.54600000000005</v>
      </c>
      <c r="AZ141" s="272">
        <v>527.23599999999999</v>
      </c>
      <c r="BA141" s="272">
        <v>517.08000000000004</v>
      </c>
      <c r="BB141" s="272">
        <f>2108.213-BA141-AZ141-AY141</f>
        <v>551.35100000000034</v>
      </c>
      <c r="BC141" s="456">
        <f>+SUM(AY141:BB141)</f>
        <v>2108.2130000000006</v>
      </c>
      <c r="BD141" s="62"/>
      <c r="BE141" s="271">
        <v>559.48500000000001</v>
      </c>
      <c r="BF141" s="272">
        <v>562.428</v>
      </c>
      <c r="BG141" s="272">
        <v>543.76300000000003</v>
      </c>
      <c r="BH141" s="272">
        <f>2256.952-BG141-BF141-BE141</f>
        <v>591.27600000000041</v>
      </c>
      <c r="BI141" s="456">
        <f>+SUM(BE141:BH141)</f>
        <v>2256.9520000000002</v>
      </c>
      <c r="BJ141" s="62"/>
      <c r="BK141" s="271">
        <v>591.02300000000002</v>
      </c>
      <c r="BL141" s="272">
        <v>590.64599999999996</v>
      </c>
      <c r="BM141" s="272">
        <v>583.91499999999996</v>
      </c>
      <c r="BN141" s="272">
        <f>2383.916-BM141-BL141-BK141</f>
        <v>618.33200000000022</v>
      </c>
      <c r="BO141" s="456">
        <f>+SUM(BK141:BN141)</f>
        <v>2383.9160000000002</v>
      </c>
      <c r="BP141" s="62"/>
      <c r="BQ141" s="146">
        <f>+RevBuild!BQ$160*BQ142</f>
        <v>605.82994399618826</v>
      </c>
      <c r="BR141" s="145">
        <f>+RevBuild!BR$160*BR142</f>
        <v>614.98056226599533</v>
      </c>
      <c r="BS141" s="145">
        <f>+RevBuild!BS$160*BS142</f>
        <v>603.95946990538687</v>
      </c>
      <c r="BT141" s="145">
        <f>+RevBuild!BT$160*BT142</f>
        <v>631.7782286577791</v>
      </c>
      <c r="BU141" s="456">
        <f>+SUM(BQ141:BT141)</f>
        <v>2456.5482048253493</v>
      </c>
      <c r="BV141" s="62"/>
      <c r="BW141" s="146">
        <f>+RevBuild!BW$160*BW142</f>
        <v>628.38088190027554</v>
      </c>
      <c r="BX141" s="145">
        <f>+RevBuild!BX$160*BX142</f>
        <v>637.94610910352844</v>
      </c>
      <c r="BY141" s="145">
        <f>+RevBuild!BY$160*BY142</f>
        <v>626.44341536766262</v>
      </c>
      <c r="BZ141" s="145">
        <f>+RevBuild!BZ$160*BZ142</f>
        <v>654.82281450849359</v>
      </c>
      <c r="CA141" s="456">
        <f>+SUM(BW141:BZ141)</f>
        <v>2547.59322087996</v>
      </c>
      <c r="CB141" s="62"/>
      <c r="CC141" s="146">
        <f>+RevBuild!CC$160*CC142</f>
        <v>649.56545863921338</v>
      </c>
      <c r="CD141" s="145">
        <f>+RevBuild!CD$160*CD142</f>
        <v>659.5248275216743</v>
      </c>
      <c r="CE141" s="145">
        <f>+RevBuild!CE$160*CE142</f>
        <v>647.46838594531062</v>
      </c>
      <c r="CF141" s="145">
        <f>+RevBuild!CF$160*CF142</f>
        <v>676.54581597746903</v>
      </c>
      <c r="CG141" s="456">
        <f>+SUM(CC141:CF141)</f>
        <v>2633.1044880836671</v>
      </c>
    </row>
    <row r="142" spans="2:98" x14ac:dyDescent="0.2">
      <c r="B142" s="113" t="s">
        <v>317</v>
      </c>
      <c r="C142" s="259">
        <f>+C141/RevBuild!C$160</f>
        <v>0.2390956477776226</v>
      </c>
      <c r="D142" s="260">
        <f>+D141/RevBuild!D$160</f>
        <v>0.22983495456564704</v>
      </c>
      <c r="E142" s="260">
        <f>+E141/RevBuild!E$160</f>
        <v>0.21724680301872659</v>
      </c>
      <c r="F142" s="260">
        <f>+F141/RevBuild!F$160</f>
        <v>0.20424216605472889</v>
      </c>
      <c r="G142" s="449">
        <f>+G141/RevBuild!G$160</f>
        <v>0.22130912254485602</v>
      </c>
      <c r="H142" s="268"/>
      <c r="I142" s="259">
        <f>+I141/RevBuild!I$160</f>
        <v>0.23607097051751133</v>
      </c>
      <c r="J142" s="260">
        <f>+J141/RevBuild!J$160</f>
        <v>0.22349604590266001</v>
      </c>
      <c r="K142" s="260">
        <f>+K141/RevBuild!K$160</f>
        <v>0.21479483157070722</v>
      </c>
      <c r="L142" s="260">
        <f>+L141/RevBuild!L$160</f>
        <v>0.2064551395167494</v>
      </c>
      <c r="M142" s="449">
        <f>+M141/RevBuild!M$160</f>
        <v>0.2200548034750473</v>
      </c>
      <c r="N142" s="268"/>
      <c r="O142" s="259">
        <f>+O141/RevBuild!O$160</f>
        <v>0.22798383184677762</v>
      </c>
      <c r="P142" s="260">
        <f>+P141/RevBuild!P$160</f>
        <v>0.21629412550331237</v>
      </c>
      <c r="Q142" s="260">
        <f>+Q141/RevBuild!Q$160</f>
        <v>0.21458067022970856</v>
      </c>
      <c r="R142" s="260">
        <f>+R141/RevBuild!R$160</f>
        <v>0.21440688687491372</v>
      </c>
      <c r="S142" s="449">
        <f>+S141/RevBuild!S$160</f>
        <v>0.21799734427964371</v>
      </c>
      <c r="T142" s="268"/>
      <c r="U142" s="259">
        <f>+U141/RevBuild!U$160</f>
        <v>0.2221779160596431</v>
      </c>
      <c r="V142" s="260">
        <f>+V141/RevBuild!V$160</f>
        <v>0.21710586223362316</v>
      </c>
      <c r="W142" s="260">
        <f>+W141/RevBuild!W$160</f>
        <v>0.20758081638893799</v>
      </c>
      <c r="X142" s="260">
        <f>+X141/RevBuild!X$160</f>
        <v>0.2095187717910702</v>
      </c>
      <c r="Y142" s="449">
        <f>+Y141/RevBuild!Y$160</f>
        <v>0.21385964859602463</v>
      </c>
      <c r="Z142" s="268"/>
      <c r="AA142" s="259">
        <f>+AA141/RevBuild!AA$160</f>
        <v>0.22161073719092125</v>
      </c>
      <c r="AB142" s="260">
        <f>+AB141/RevBuild!AB$160</f>
        <v>0.2116294100841011</v>
      </c>
      <c r="AC142" s="260">
        <f>+AC141/RevBuild!AC$160</f>
        <v>0.20548221249953036</v>
      </c>
      <c r="AD142" s="260">
        <f>+AD141/RevBuild!AD$160</f>
        <v>0.20423605471522943</v>
      </c>
      <c r="AE142" s="449">
        <f>+AE141/RevBuild!AE$160</f>
        <v>0.21036226049933199</v>
      </c>
      <c r="AF142" s="268"/>
      <c r="AG142" s="259">
        <f>+AG141/RevBuild!AG$160</f>
        <v>0.21636947824301772</v>
      </c>
      <c r="AH142" s="260">
        <f>+AH141/RevBuild!AH$160</f>
        <v>0.20664051312075804</v>
      </c>
      <c r="AI142" s="260">
        <f>+AI141/RevBuild!AI$160</f>
        <v>0.20063589884134564</v>
      </c>
      <c r="AJ142" s="260">
        <f>+AJ141/RevBuild!AJ$160</f>
        <v>0.19445004277891487</v>
      </c>
      <c r="AK142" s="449">
        <f>+AK141/RevBuild!AK$160</f>
        <v>0.20415340792652598</v>
      </c>
      <c r="AL142" s="268"/>
      <c r="AM142" s="259">
        <f>+AM141/RevBuild!AM$160</f>
        <v>0.20945159971678373</v>
      </c>
      <c r="AN142" s="260">
        <f>+AN141/RevBuild!AN$160</f>
        <v>0.20090199307189796</v>
      </c>
      <c r="AO142" s="260">
        <f>+AO141/RevBuild!AO$160</f>
        <v>0.19821957751088864</v>
      </c>
      <c r="AP142" s="260">
        <f>+AP141/RevBuild!AP$160</f>
        <v>0.19734759412685668</v>
      </c>
      <c r="AQ142" s="449">
        <f>+AQ141/RevBuild!AQ$160</f>
        <v>0.20135813691751617</v>
      </c>
      <c r="AR142" s="268"/>
      <c r="AS142" s="259">
        <f>+AS141/RevBuild!AS$160</f>
        <v>0.21627704005824178</v>
      </c>
      <c r="AT142" s="260">
        <f>+AT141/RevBuild!AT$160</f>
        <v>0.20440155849276032</v>
      </c>
      <c r="AU142" s="260">
        <f>+AU141/RevBuild!AU$160</f>
        <v>0.20316911652814823</v>
      </c>
      <c r="AV142" s="260">
        <f>+AV141/RevBuild!AV$160</f>
        <v>0.20249970411243487</v>
      </c>
      <c r="AW142" s="449">
        <f>+AW141/RevBuild!AW$160</f>
        <v>0.20637730341455313</v>
      </c>
      <c r="AX142" s="268"/>
      <c r="AY142" s="259">
        <f>+AY141/RevBuild!AY$160</f>
        <v>0.21554293019559032</v>
      </c>
      <c r="AZ142" s="260">
        <f>+AZ141/RevBuild!AZ$160</f>
        <v>0.20758793930278527</v>
      </c>
      <c r="BA142" s="260">
        <f>+BA141/RevBuild!BA$160</f>
        <v>0.19917591677044427</v>
      </c>
      <c r="BB142" s="260">
        <f>+BB141/RevBuild!BB$160</f>
        <v>0.19997504623519152</v>
      </c>
      <c r="BC142" s="449">
        <f>+BC141/RevBuild!BC$160</f>
        <v>0.2052598660337617</v>
      </c>
      <c r="BD142" s="268"/>
      <c r="BE142" s="259">
        <f>+BE141/RevBuild!BE$160</f>
        <v>0.21425658248716625</v>
      </c>
      <c r="BF142" s="260">
        <f>+BF141/RevBuild!BF$160</f>
        <v>0.20336482607279188</v>
      </c>
      <c r="BG142" s="260">
        <f>+BG141/RevBuild!BG$160</f>
        <v>0.19698332012293637</v>
      </c>
      <c r="BH142" s="260">
        <f>+BH141/RevBuild!BH$160</f>
        <v>0.19652162872622705</v>
      </c>
      <c r="BI142" s="449">
        <f>+BI141/RevBuild!BI$160</f>
        <v>0.20248886265140448</v>
      </c>
      <c r="BJ142" s="268"/>
      <c r="BK142" s="259">
        <f>+BK141/RevBuild!BK$160</f>
        <v>0.20980708793769792</v>
      </c>
      <c r="BL142" s="260">
        <f>+BL141/RevBuild!BL$160</f>
        <v>0.20015622220151305</v>
      </c>
      <c r="BM142" s="260">
        <f>+BM141/RevBuild!BM$160</f>
        <v>0.19131763317432654</v>
      </c>
      <c r="BN142" s="260">
        <f>+BN141/RevBuild!BN$160</f>
        <v>0.1930174562034124</v>
      </c>
      <c r="BO142" s="449">
        <f>+BO141/RevBuild!BO$160</f>
        <v>0.19827168203021389</v>
      </c>
      <c r="BP142" s="268"/>
      <c r="BQ142" s="263">
        <f>+BK142-0.5%</f>
        <v>0.20480708793769792</v>
      </c>
      <c r="BR142" s="262">
        <f>+BL142-0.35%</f>
        <v>0.19665622220151305</v>
      </c>
      <c r="BS142" s="262">
        <f>+BM142-0.25%</f>
        <v>0.18881763317432654</v>
      </c>
      <c r="BT142" s="262">
        <f>+BN142-0.25%</f>
        <v>0.1905174562034124</v>
      </c>
      <c r="BU142" s="449">
        <f>+BU141/RevBuild!BU$160</f>
        <v>0.194964236962201</v>
      </c>
      <c r="BV142" s="268"/>
      <c r="BW142" s="263">
        <f>+BQ142-0.1%</f>
        <v>0.20380708793769792</v>
      </c>
      <c r="BX142" s="262">
        <f>+BR142-0.1%</f>
        <v>0.19565622220151305</v>
      </c>
      <c r="BY142" s="262">
        <f>+BS142-0.1%</f>
        <v>0.18781763317432654</v>
      </c>
      <c r="BZ142" s="262">
        <f>+BT142-0.1%</f>
        <v>0.1895174562034124</v>
      </c>
      <c r="CA142" s="449">
        <f>+CA141/RevBuild!CA$160</f>
        <v>0.19396412877636554</v>
      </c>
      <c r="CB142" s="268"/>
      <c r="CC142" s="263">
        <f t="shared" ref="CC142:CF142" si="43">+BW142-0.1%</f>
        <v>0.20280708793769792</v>
      </c>
      <c r="CD142" s="262">
        <f t="shared" si="43"/>
        <v>0.19465622220151305</v>
      </c>
      <c r="CE142" s="262">
        <f t="shared" si="43"/>
        <v>0.18681763317432654</v>
      </c>
      <c r="CF142" s="262">
        <f t="shared" si="43"/>
        <v>0.1885174562034124</v>
      </c>
      <c r="CG142" s="449">
        <f>+CG141/RevBuild!CG$160</f>
        <v>0.19296400785037704</v>
      </c>
      <c r="CI142" s="1000">
        <f>+(BI142-G142)/10</f>
        <v>-1.882025989345154E-3</v>
      </c>
      <c r="CJ142" s="1000">
        <f>+(BO142-AK142)/5</f>
        <v>-1.1763451792624168E-3</v>
      </c>
    </row>
    <row r="143" spans="2:98" x14ac:dyDescent="0.2">
      <c r="B143" s="98" t="s">
        <v>314</v>
      </c>
      <c r="C143" s="271">
        <v>10.872999999999999</v>
      </c>
      <c r="D143" s="272">
        <v>11.465999999999999</v>
      </c>
      <c r="E143" s="272">
        <v>12.465999999999999</v>
      </c>
      <c r="F143" s="272">
        <f>51.123-E143-D143-C143</f>
        <v>16.317999999999998</v>
      </c>
      <c r="G143" s="456">
        <f>+SUM(C143:F143)</f>
        <v>51.122999999999998</v>
      </c>
      <c r="H143" s="62"/>
      <c r="I143" s="271">
        <v>15.266999999999999</v>
      </c>
      <c r="J143" s="272">
        <v>16.584</v>
      </c>
      <c r="K143" s="272">
        <v>15.821999999999999</v>
      </c>
      <c r="L143" s="272">
        <f>63.661-K143-J143-I143</f>
        <v>15.988</v>
      </c>
      <c r="M143" s="456">
        <f>+SUM(I143:L143)</f>
        <v>63.661000000000001</v>
      </c>
      <c r="N143" s="62"/>
      <c r="O143" s="271">
        <v>14.281000000000001</v>
      </c>
      <c r="P143" s="272">
        <v>15.473000000000001</v>
      </c>
      <c r="Q143" s="272">
        <v>15.571999999999999</v>
      </c>
      <c r="R143" s="272">
        <f>62.134-Q143-P143-O143</f>
        <v>16.808</v>
      </c>
      <c r="S143" s="456">
        <f>+SUM(O143:R143)</f>
        <v>62.134</v>
      </c>
      <c r="T143" s="62"/>
      <c r="U143" s="271">
        <v>15.879</v>
      </c>
      <c r="V143" s="272">
        <v>16.626000000000001</v>
      </c>
      <c r="W143" s="272">
        <v>17.233000000000001</v>
      </c>
      <c r="X143" s="272">
        <f>70.545-W143-V143-U143</f>
        <v>20.806999999999995</v>
      </c>
      <c r="Y143" s="456">
        <f>+SUM(U143:X143)</f>
        <v>70.544999999999987</v>
      </c>
      <c r="Z143" s="62"/>
      <c r="AA143" s="271">
        <v>22.209</v>
      </c>
      <c r="AB143" s="272">
        <v>23.236000000000001</v>
      </c>
      <c r="AC143" s="272">
        <v>23.023</v>
      </c>
      <c r="AD143" s="272">
        <f>94.186-AC143-AB143-AA143</f>
        <v>25.718000000000007</v>
      </c>
      <c r="AE143" s="456">
        <f>+SUM(AA143:AD143)</f>
        <v>94.186000000000007</v>
      </c>
      <c r="AF143" s="62"/>
      <c r="AG143" s="271">
        <v>24.905999999999999</v>
      </c>
      <c r="AH143" s="272">
        <v>25.507000000000001</v>
      </c>
      <c r="AI143" s="272">
        <v>26.03</v>
      </c>
      <c r="AJ143" s="272">
        <f>106.095-AI143-AH143-AG143</f>
        <v>29.651999999999994</v>
      </c>
      <c r="AK143" s="456">
        <f>+SUM(AG143:AJ143)</f>
        <v>106.095</v>
      </c>
      <c r="AL143" s="62"/>
      <c r="AM143" s="271">
        <v>28.631</v>
      </c>
      <c r="AN143" s="272">
        <v>28.951000000000001</v>
      </c>
      <c r="AO143" s="272">
        <v>29.207000000000001</v>
      </c>
      <c r="AP143" s="272">
        <f>118.29-AO143-AN143-AM143</f>
        <v>31.500999999999998</v>
      </c>
      <c r="AQ143" s="456">
        <f>+SUM(AM143:AP143)</f>
        <v>118.28999999999999</v>
      </c>
      <c r="AR143" s="62"/>
      <c r="AS143" s="271">
        <v>31.446999999999999</v>
      </c>
      <c r="AT143" s="272">
        <v>31.251000000000001</v>
      </c>
      <c r="AU143" s="272">
        <v>32.218000000000004</v>
      </c>
      <c r="AV143" s="272">
        <f>127.754-AU143-AT143-AS143</f>
        <v>32.837999999999994</v>
      </c>
      <c r="AW143" s="456">
        <f>+SUM(AS143:AV143)</f>
        <v>127.75399999999999</v>
      </c>
      <c r="AX143" s="62"/>
      <c r="AY143" s="271">
        <v>32.619999999999997</v>
      </c>
      <c r="AZ143" s="272">
        <v>33.19</v>
      </c>
      <c r="BA143" s="272">
        <v>34.508000000000003</v>
      </c>
      <c r="BB143" s="272">
        <f>135.143-BA143-AZ143-AY143</f>
        <v>34.824999999999996</v>
      </c>
      <c r="BC143" s="456">
        <f>+SUM(AY143:BB143)</f>
        <v>135.143</v>
      </c>
      <c r="BD143" s="62"/>
      <c r="BE143" s="271">
        <v>39.567999999999998</v>
      </c>
      <c r="BF143" s="272">
        <v>39.828000000000003</v>
      </c>
      <c r="BG143" s="272">
        <v>39.637</v>
      </c>
      <c r="BH143" s="272">
        <f>159.552-BG143-BF143-BE143</f>
        <v>40.518999999999991</v>
      </c>
      <c r="BI143" s="456">
        <f>+SUM(BE143:BH143)</f>
        <v>159.55199999999999</v>
      </c>
      <c r="BJ143" s="62"/>
      <c r="BK143" s="271">
        <v>37.929000000000002</v>
      </c>
      <c r="BL143" s="272">
        <v>37.865000000000002</v>
      </c>
      <c r="BM143" s="272">
        <v>38.591000000000001</v>
      </c>
      <c r="BN143" s="272">
        <f>155.818-BM143-BL143-BK143</f>
        <v>41.432999999999993</v>
      </c>
      <c r="BO143" s="456">
        <f>+SUM(BK143:BN143)</f>
        <v>155.81800000000001</v>
      </c>
      <c r="BP143" s="62"/>
      <c r="BQ143" s="146">
        <f>+RevBuild!BQ$167*BQ144</f>
        <v>40.559054510720756</v>
      </c>
      <c r="BR143" s="145">
        <f>+RevBuild!BR$167*BR144</f>
        <v>49.405662393743953</v>
      </c>
      <c r="BS143" s="145">
        <f>+RevBuild!BS$167*BS144</f>
        <v>49.767060223590981</v>
      </c>
      <c r="BT143" s="145">
        <f>+RevBuild!BT$167*BT144</f>
        <v>52.887581490678578</v>
      </c>
      <c r="BU143" s="456">
        <f>+SUM(BQ143:BT143)</f>
        <v>192.61935861873425</v>
      </c>
      <c r="BV143" s="62"/>
      <c r="BW143" s="146">
        <f>+RevBuild!BW$167*BW144</f>
        <v>51.758975001331045</v>
      </c>
      <c r="BX143" s="145">
        <f>+RevBuild!BX$167*BX144</f>
        <v>51.903249399658968</v>
      </c>
      <c r="BY143" s="145">
        <f>+RevBuild!BY$167*BY144</f>
        <v>52.301600012787681</v>
      </c>
      <c r="BZ143" s="145">
        <f>+RevBuild!BZ$167*BZ144</f>
        <v>55.587018692801458</v>
      </c>
      <c r="CA143" s="456">
        <f>+SUM(BW143:BZ143)</f>
        <v>211.55084310657915</v>
      </c>
      <c r="CB143" s="62"/>
      <c r="CC143" s="146">
        <f>+RevBuild!CC$167*CC144</f>
        <v>54.383286363372669</v>
      </c>
      <c r="CD143" s="145">
        <f>+RevBuild!CD$167*CD144</f>
        <v>54.532305421516959</v>
      </c>
      <c r="CE143" s="145">
        <f>+RevBuild!CE$167*CE144</f>
        <v>54.970794318094086</v>
      </c>
      <c r="CF143" s="145">
        <f>+RevBuild!CF$167*CF144</f>
        <v>58.430227062721606</v>
      </c>
      <c r="CG143" s="456">
        <f>+SUM(CC143:CF143)</f>
        <v>222.31661316570532</v>
      </c>
    </row>
    <row r="144" spans="2:98" x14ac:dyDescent="0.2">
      <c r="B144" s="113" t="s">
        <v>317</v>
      </c>
      <c r="C144" s="259">
        <f>+C143/RevBuild!C$167</f>
        <v>0.38265000879816996</v>
      </c>
      <c r="D144" s="260">
        <f>+D143/RevBuild!D$167</f>
        <v>0.35971764705882353</v>
      </c>
      <c r="E144" s="260">
        <f>+E143/RevBuild!E$167</f>
        <v>0.39150780440312799</v>
      </c>
      <c r="F144" s="260">
        <f>+F143/RevBuild!F$167</f>
        <v>0.41039183139681101</v>
      </c>
      <c r="G144" s="449">
        <f>+G143/RevBuild!G$167</f>
        <v>0.38760965327955232</v>
      </c>
      <c r="H144" s="268"/>
      <c r="I144" s="259">
        <f>+I143/RevBuild!I$167</f>
        <v>0.39353009408428918</v>
      </c>
      <c r="J144" s="260">
        <f>+J143/RevBuild!J$167</f>
        <v>0.40332701006858307</v>
      </c>
      <c r="K144" s="260">
        <f>+K143/RevBuild!K$167</f>
        <v>0.38577071243965472</v>
      </c>
      <c r="L144" s="260">
        <f>+L143/RevBuild!L$167</f>
        <v>0.37741371984325589</v>
      </c>
      <c r="M144" s="449">
        <f>+M143/RevBuild!M$167</f>
        <v>0.38986704554501533</v>
      </c>
      <c r="N144" s="268"/>
      <c r="O144" s="259">
        <f>+O143/RevBuild!O$167</f>
        <v>0.35414755114693119</v>
      </c>
      <c r="P144" s="260">
        <f>+P143/RevBuild!P$167</f>
        <v>0.36363422716269889</v>
      </c>
      <c r="Q144" s="260">
        <f>+Q143/RevBuild!Q$167</f>
        <v>0.36037120177732523</v>
      </c>
      <c r="R144" s="260">
        <f>+R143/RevBuild!R$167</f>
        <v>0.35669871182699853</v>
      </c>
      <c r="S144" s="449">
        <f>+S143/RevBuild!S$167</f>
        <v>0.35872477021846561</v>
      </c>
      <c r="T144" s="268"/>
      <c r="U144" s="259">
        <f>+U143/RevBuild!U$167</f>
        <v>0.3530785137749316</v>
      </c>
      <c r="V144" s="260">
        <f>+V143/RevBuild!V$167</f>
        <v>0.34364729955974455</v>
      </c>
      <c r="W144" s="260">
        <f>+W143/RevBuild!W$167</f>
        <v>0.35065622138569535</v>
      </c>
      <c r="X144" s="260">
        <f>+X143/RevBuild!X$167</f>
        <v>0.36215689346074181</v>
      </c>
      <c r="Y144" s="449">
        <f>+Y143/RevBuild!Y$167</f>
        <v>0.35280967432183719</v>
      </c>
      <c r="Z144" s="268"/>
      <c r="AA144" s="259">
        <f>+AA143/RevBuild!AA$167</f>
        <v>0.39911224526470906</v>
      </c>
      <c r="AB144" s="260">
        <f>+AB143/RevBuild!AB$167</f>
        <v>0.37442995955331387</v>
      </c>
      <c r="AC144" s="260">
        <f>+AC143/RevBuild!AC$167</f>
        <v>0.37019230769230771</v>
      </c>
      <c r="AD144" s="260">
        <f>+AD143/RevBuild!AD$167</f>
        <v>0.36363379285966785</v>
      </c>
      <c r="AE144" s="449">
        <f>+AE143/RevBuild!AE$167</f>
        <v>0.37581198627404039</v>
      </c>
      <c r="AF144" s="268"/>
      <c r="AG144" s="259">
        <f>+AG143/RevBuild!AG$167</f>
        <v>0.39572906239572908</v>
      </c>
      <c r="AH144" s="260">
        <f>+AH143/RevBuild!AH$167</f>
        <v>0.3742608542543982</v>
      </c>
      <c r="AI144" s="260">
        <f>+AI143/RevBuild!AI$167</f>
        <v>0.36679536679536684</v>
      </c>
      <c r="AJ144" s="260">
        <f>+AJ143/RevBuild!AJ$167</f>
        <v>0.36446771636122266</v>
      </c>
      <c r="AK144" s="449">
        <f>+AK143/RevBuild!AK$167</f>
        <v>0.37434768341607477</v>
      </c>
      <c r="AL144" s="268"/>
      <c r="AM144" s="259">
        <f>+AM143/RevBuild!AM$167</f>
        <v>0.38321822464932004</v>
      </c>
      <c r="AN144" s="260">
        <f>+AN143/RevBuild!AN$167</f>
        <v>0.37095265551925172</v>
      </c>
      <c r="AO144" s="260">
        <f>+AO143/RevBuild!AO$167</f>
        <v>0.37002267746063117</v>
      </c>
      <c r="AP144" s="260">
        <f>+AP143/RevBuild!AP$167</f>
        <v>0.35651957400092804</v>
      </c>
      <c r="AQ144" s="449">
        <f>+AQ143/RevBuild!AQ$167</f>
        <v>0.36960196471143297</v>
      </c>
      <c r="AR144" s="268"/>
      <c r="AS144" s="259">
        <f>+AS143/RevBuild!AS$167</f>
        <v>0.38666404357609213</v>
      </c>
      <c r="AT144" s="260">
        <f>+AT143/RevBuild!AT$167</f>
        <v>0.350665963487023</v>
      </c>
      <c r="AU144" s="260">
        <f>+AU143/RevBuild!AU$167</f>
        <v>0.36979901977663765</v>
      </c>
      <c r="AV144" s="260">
        <f>+AV143/RevBuild!AV$167</f>
        <v>0.35964383891705998</v>
      </c>
      <c r="AW144" s="449">
        <f>+AW143/RevBuild!AW$167</f>
        <v>0.36618531406394206</v>
      </c>
      <c r="AX144" s="268"/>
      <c r="AY144" s="259">
        <f>+AY143/RevBuild!AY$167</f>
        <v>0.38055905548555691</v>
      </c>
      <c r="AZ144" s="260">
        <f>+AZ143/RevBuild!AZ$167</f>
        <v>0.37083798882681562</v>
      </c>
      <c r="BA144" s="260">
        <f>+BA143/RevBuild!BA$167</f>
        <v>0.38454166573803744</v>
      </c>
      <c r="BB144" s="260">
        <f>+BB143/RevBuild!BB$167</f>
        <v>0.37119346827401695</v>
      </c>
      <c r="BC144" s="449">
        <f>+BC143/RevBuild!BC$167</f>
        <v>0.37668107689263125</v>
      </c>
      <c r="BD144" s="268"/>
      <c r="BE144" s="259">
        <f>+BE143/RevBuild!BE$167</f>
        <v>0.38924193833985871</v>
      </c>
      <c r="BF144" s="260">
        <f>+BF143/RevBuild!BF$167</f>
        <v>0.37215821489642026</v>
      </c>
      <c r="BG144" s="260">
        <f>+BG143/RevBuild!BG$167</f>
        <v>0.37859135019484985</v>
      </c>
      <c r="BH144" s="260">
        <f>+BH143/RevBuild!BH$167</f>
        <v>0.36104502481577511</v>
      </c>
      <c r="BI144" s="449">
        <f>+BI143/RevBuild!BI$167</f>
        <v>0.37489074145433693</v>
      </c>
      <c r="BJ144" s="268"/>
      <c r="BK144" s="259">
        <f>+BK143/RevBuild!BK$167</f>
        <v>0.35793894210352478</v>
      </c>
      <c r="BL144" s="260">
        <f>+BL143/RevBuild!BL$167</f>
        <v>0.34888006412796108</v>
      </c>
      <c r="BM144" s="260">
        <f>+BM143/RevBuild!BM$167</f>
        <v>0.35400689832312038</v>
      </c>
      <c r="BN144" s="260">
        <f>+BN143/RevBuild!BN$167</f>
        <v>0.36157289839516182</v>
      </c>
      <c r="BO144" s="449">
        <f>+BO143/RevBuild!BO$167</f>
        <v>0.35566684394694376</v>
      </c>
      <c r="BP144" s="268"/>
      <c r="BQ144" s="263">
        <f>+BK144-0.25%</f>
        <v>0.35543894210352478</v>
      </c>
      <c r="BR144" s="262">
        <f>+BL144-0.25%</f>
        <v>0.34638006412796107</v>
      </c>
      <c r="BS144" s="262">
        <f>+BM144-0.25%</f>
        <v>0.35150689832312038</v>
      </c>
      <c r="BT144" s="262">
        <f>+BN144-0.25%</f>
        <v>0.35907289839516182</v>
      </c>
      <c r="BU144" s="449">
        <f>+BU143/RevBuild!BU$167</f>
        <v>0.35303143943248733</v>
      </c>
      <c r="BV144" s="268"/>
      <c r="BW144" s="263">
        <f>+BQ144-0.15%</f>
        <v>0.35393894210352478</v>
      </c>
      <c r="BX144" s="262">
        <f>+BR144-0.15%</f>
        <v>0.34488006412796107</v>
      </c>
      <c r="BY144" s="262">
        <f>+BS144-0.15%</f>
        <v>0.35000689832312037</v>
      </c>
      <c r="BZ144" s="262">
        <f>+BT144-0.15%</f>
        <v>0.35757289839516182</v>
      </c>
      <c r="CA144" s="449">
        <f>+CA143/RevBuild!CA$167</f>
        <v>0.35163520680347654</v>
      </c>
      <c r="CB144" s="268"/>
      <c r="CC144" s="263">
        <f>+BW144-0.15%</f>
        <v>0.35243894210352478</v>
      </c>
      <c r="CD144" s="262">
        <f>+BX144-0.15%</f>
        <v>0.34338006412796107</v>
      </c>
      <c r="CE144" s="262">
        <f>+BY144-0.15%</f>
        <v>0.34850689832312037</v>
      </c>
      <c r="CF144" s="262">
        <f>+BZ144-0.15%</f>
        <v>0.35607289839516182</v>
      </c>
      <c r="CG144" s="449">
        <f>+CG143/RevBuild!CG$167</f>
        <v>0.3501355355140186</v>
      </c>
      <c r="CI144" s="1000">
        <f>+(BI144-G144)/10</f>
        <v>-1.2718911825215396E-3</v>
      </c>
      <c r="CJ144" s="1000">
        <f>+(BO144-AK144)/5</f>
        <v>-3.7361678938262035E-3</v>
      </c>
    </row>
    <row r="145" spans="2:98" x14ac:dyDescent="0.2">
      <c r="B145" s="108" t="s">
        <v>316</v>
      </c>
      <c r="C145" s="147">
        <f>+C141+C143</f>
        <v>317.32499999999999</v>
      </c>
      <c r="D145" s="148">
        <f>+D141+D143</f>
        <v>322.92500000000001</v>
      </c>
      <c r="E145" s="148">
        <f>+E141+E143</f>
        <v>332.63</v>
      </c>
      <c r="F145" s="148">
        <f>+F141+F143</f>
        <v>355.75499999999988</v>
      </c>
      <c r="G145" s="448">
        <f>+SUM(C145:F145)</f>
        <v>1328.6349999999998</v>
      </c>
      <c r="H145" s="153"/>
      <c r="I145" s="147">
        <f>+I141+I143</f>
        <v>365.35599999999999</v>
      </c>
      <c r="J145" s="148">
        <f>+J141+J143</f>
        <v>374.11799999999999</v>
      </c>
      <c r="K145" s="148">
        <f>+K141+K143</f>
        <v>360.18</v>
      </c>
      <c r="L145" s="148">
        <f>+L141+L143</f>
        <v>332.11500000000001</v>
      </c>
      <c r="M145" s="448">
        <f>+SUM(I145:L145)</f>
        <v>1431.769</v>
      </c>
      <c r="N145" s="153"/>
      <c r="O145" s="147">
        <f>+O141+O143</f>
        <v>343.73200000000003</v>
      </c>
      <c r="P145" s="148">
        <f>+P141+P143</f>
        <v>353.94800000000004</v>
      </c>
      <c r="Q145" s="148">
        <f>+Q141+Q143</f>
        <v>362.38200000000001</v>
      </c>
      <c r="R145" s="148">
        <f>+R141+R143</f>
        <v>389.65299999999991</v>
      </c>
      <c r="S145" s="448">
        <f>+SUM(O145:R145)</f>
        <v>1449.7150000000001</v>
      </c>
      <c r="T145" s="153"/>
      <c r="U145" s="147">
        <f>+U141+U143</f>
        <v>396.98900000000003</v>
      </c>
      <c r="V145" s="148">
        <f>+V141+V143</f>
        <v>407.63799999999998</v>
      </c>
      <c r="W145" s="148">
        <f>+W141+W143</f>
        <v>400.08800000000002</v>
      </c>
      <c r="X145" s="148">
        <f>+X141+X143</f>
        <v>432.745</v>
      </c>
      <c r="Y145" s="448">
        <f>+SUM(U145:X145)</f>
        <v>1637.46</v>
      </c>
      <c r="Z145" s="153"/>
      <c r="AA145" s="147">
        <f>+AA141+AA143</f>
        <v>441.52199999999999</v>
      </c>
      <c r="AB145" s="148">
        <f>+AB141+AB143</f>
        <v>461.00900000000001</v>
      </c>
      <c r="AC145" s="148">
        <f>+AC141+AC143</f>
        <v>444.15900000000005</v>
      </c>
      <c r="AD145" s="148">
        <f>+AD141+AD143</f>
        <v>489.21600000000007</v>
      </c>
      <c r="AE145" s="448">
        <f>+SUM(AA145:AD145)</f>
        <v>1835.9060000000002</v>
      </c>
      <c r="AF145" s="153"/>
      <c r="AG145" s="147">
        <f>+AG141+AG143</f>
        <v>465.452</v>
      </c>
      <c r="AH145" s="148">
        <f>+AH141+AH143</f>
        <v>466.33300000000003</v>
      </c>
      <c r="AI145" s="148">
        <f>+AI141+AI143</f>
        <v>459.42200000000003</v>
      </c>
      <c r="AJ145" s="148">
        <f>+AJ141+AJ143</f>
        <v>482.15300000000002</v>
      </c>
      <c r="AK145" s="448">
        <f>+SUM(AG145:AJ145)</f>
        <v>1873.3600000000001</v>
      </c>
      <c r="AL145" s="153"/>
      <c r="AM145" s="147">
        <f>+AM141+AM143</f>
        <v>493.36199999999997</v>
      </c>
      <c r="AN145" s="148">
        <f>+AN141+AN143</f>
        <v>493.791</v>
      </c>
      <c r="AO145" s="148">
        <f>+AO141+AO143</f>
        <v>479.17</v>
      </c>
      <c r="AP145" s="148">
        <f>+AP141+AP143</f>
        <v>512.63700000000017</v>
      </c>
      <c r="AQ145" s="448">
        <f>+SUM(AM145:AP145)</f>
        <v>1978.9600000000003</v>
      </c>
      <c r="AR145" s="153"/>
      <c r="AS145" s="147">
        <f>+AS141+AS143</f>
        <v>539.44499999999994</v>
      </c>
      <c r="AT145" s="148">
        <f>+AT141+AT143</f>
        <v>547.62799999999993</v>
      </c>
      <c r="AU145" s="148">
        <f>+AU141+AU143</f>
        <v>547.57799999999997</v>
      </c>
      <c r="AV145" s="148">
        <f>+AV141+AV143</f>
        <v>561.52199999999971</v>
      </c>
      <c r="AW145" s="448">
        <f>+SUM(AS145:AV145)</f>
        <v>2196.1729999999998</v>
      </c>
      <c r="AX145" s="153"/>
      <c r="AY145" s="147">
        <f>+AY141+AY143</f>
        <v>545.16600000000005</v>
      </c>
      <c r="AZ145" s="148">
        <f>+AZ141+AZ143</f>
        <v>560.42599999999993</v>
      </c>
      <c r="BA145" s="148">
        <f>+BA141+BA143</f>
        <v>551.58800000000008</v>
      </c>
      <c r="BB145" s="148">
        <f>+BB141+BB143</f>
        <v>586.17600000000039</v>
      </c>
      <c r="BC145" s="448">
        <f>+SUM(AY145:BB145)</f>
        <v>2243.3560000000007</v>
      </c>
      <c r="BD145" s="153"/>
      <c r="BE145" s="147">
        <f>+BE141+BE143</f>
        <v>599.053</v>
      </c>
      <c r="BF145" s="148">
        <f>+BF141+BF143</f>
        <v>602.25599999999997</v>
      </c>
      <c r="BG145" s="148">
        <f>+BG141+BG143</f>
        <v>583.40000000000009</v>
      </c>
      <c r="BH145" s="148">
        <f>+BH141+BH143</f>
        <v>631.79500000000041</v>
      </c>
      <c r="BI145" s="448">
        <f>+SUM(BE145:BH145)</f>
        <v>2416.5040000000004</v>
      </c>
      <c r="BJ145" s="153"/>
      <c r="BK145" s="147">
        <f>+BK141+BK143</f>
        <v>628.952</v>
      </c>
      <c r="BL145" s="148">
        <f>+BL141+BL143</f>
        <v>628.51099999999997</v>
      </c>
      <c r="BM145" s="148">
        <f>+BM141+BM143</f>
        <v>622.50599999999997</v>
      </c>
      <c r="BN145" s="148">
        <f>+BN141+BN143</f>
        <v>659.76500000000021</v>
      </c>
      <c r="BO145" s="448">
        <f>+SUM(BK145:BN145)</f>
        <v>2539.7340000000004</v>
      </c>
      <c r="BP145" s="153"/>
      <c r="BQ145" s="147">
        <f>+BQ141+BQ143</f>
        <v>646.38899850690905</v>
      </c>
      <c r="BR145" s="148">
        <f>+BR141+BR143</f>
        <v>664.38622465973924</v>
      </c>
      <c r="BS145" s="148">
        <f>+BS141+BS143</f>
        <v>653.72653012897786</v>
      </c>
      <c r="BT145" s="148">
        <f>+BT141+BT143</f>
        <v>684.66581014845769</v>
      </c>
      <c r="BU145" s="448">
        <f>+SUM(BQ145:BT145)</f>
        <v>2649.1675634440835</v>
      </c>
      <c r="BV145" s="153"/>
      <c r="BW145" s="147">
        <f>+BW141+BW143</f>
        <v>680.13985690160655</v>
      </c>
      <c r="BX145" s="148">
        <f>+BX141+BX143</f>
        <v>689.84935850318743</v>
      </c>
      <c r="BY145" s="148">
        <f>+BY141+BY143</f>
        <v>678.74501538045035</v>
      </c>
      <c r="BZ145" s="148">
        <f>+BZ141+BZ143</f>
        <v>710.4098332012951</v>
      </c>
      <c r="CA145" s="448">
        <f>+SUM(BW145:BZ145)</f>
        <v>2759.1440639865391</v>
      </c>
      <c r="CB145" s="153"/>
      <c r="CC145" s="147">
        <f>+CC141+CC143</f>
        <v>703.94874500258607</v>
      </c>
      <c r="CD145" s="148">
        <f>+CD141+CD143</f>
        <v>714.05713294319128</v>
      </c>
      <c r="CE145" s="148">
        <f>+CE141+CE143</f>
        <v>702.43918026340475</v>
      </c>
      <c r="CF145" s="148">
        <f>+CF141+CF143</f>
        <v>734.97604304019069</v>
      </c>
      <c r="CG145" s="448">
        <f>+SUM(CC145:CF145)</f>
        <v>2855.4211012493729</v>
      </c>
    </row>
    <row r="146" spans="2:98" x14ac:dyDescent="0.2">
      <c r="B146" s="113" t="s">
        <v>317</v>
      </c>
      <c r="C146" s="259">
        <f>+C145/RevBuild!C$174</f>
        <v>0.2422091581891235</v>
      </c>
      <c r="D146" s="260">
        <f>+D145/RevBuild!D$174</f>
        <v>0.2328197851936927</v>
      </c>
      <c r="E146" s="260">
        <f>+E145/RevBuild!E$174</f>
        <v>0.22093220198263125</v>
      </c>
      <c r="F146" s="260">
        <f>+F145/RevBuild!F$174</f>
        <v>0.20905907988265812</v>
      </c>
      <c r="G146" s="449">
        <f>+G145/RevBuild!G$174</f>
        <v>0.2250239481770932</v>
      </c>
      <c r="H146" s="268"/>
      <c r="I146" s="259">
        <f>+I145/RevBuild!I$174</f>
        <v>0.24008511102480848</v>
      </c>
      <c r="J146" s="260">
        <f>+J145/RevBuild!J$174</f>
        <v>0.22800242069511492</v>
      </c>
      <c r="K146" s="260">
        <f>+K145/RevBuild!K$174</f>
        <v>0.21905974240501055</v>
      </c>
      <c r="L146" s="260">
        <f>+L145/RevBuild!L$174</f>
        <v>0.21105748943806965</v>
      </c>
      <c r="M146" s="449">
        <f>+M145/RevBuild!M$174</f>
        <v>0.22440067751100123</v>
      </c>
      <c r="N146" s="268"/>
      <c r="O146" s="259">
        <f>+O145/RevBuild!O$174</f>
        <v>0.23140889787718763</v>
      </c>
      <c r="P146" s="260">
        <f>+P145/RevBuild!P$174</f>
        <v>0.22019442166832354</v>
      </c>
      <c r="Q146" s="260">
        <f>+Q145/RevBuild!Q$174</f>
        <v>0.21837699985476969</v>
      </c>
      <c r="R146" s="260">
        <f>+R145/RevBuild!R$174</f>
        <v>0.21816087848199489</v>
      </c>
      <c r="S146" s="449">
        <f>+S145/RevBuild!S$174</f>
        <v>0.2217253747742545</v>
      </c>
      <c r="T146" s="268"/>
      <c r="U146" s="259">
        <f>+U145/RevBuild!U$174</f>
        <v>0.2255222091563418</v>
      </c>
      <c r="V146" s="260">
        <f>+V145/RevBuild!V$174</f>
        <v>0.22041623206649069</v>
      </c>
      <c r="W146" s="260">
        <f>+W145/RevBuild!W$174</f>
        <v>0.21129425707059532</v>
      </c>
      <c r="X146" s="260">
        <f>+X145/RevBuild!X$174</f>
        <v>0.21385246258094615</v>
      </c>
      <c r="Y146" s="449">
        <f>+Y145/RevBuild!Y$174</f>
        <v>0.21755090815606654</v>
      </c>
      <c r="Z146" s="268"/>
      <c r="AA146" s="259">
        <f>+AA145/RevBuild!AA$174</f>
        <v>0.22668181568477858</v>
      </c>
      <c r="AB146" s="260">
        <f>+AB145/RevBuild!AB$174</f>
        <v>0.21637113731085503</v>
      </c>
      <c r="AC146" s="260">
        <f>+AC145/RevBuild!AC$174</f>
        <v>0.21033313081020774</v>
      </c>
      <c r="AD146" s="260">
        <f>+AD145/RevBuild!AD$174</f>
        <v>0.20905344448299856</v>
      </c>
      <c r="AE146" s="449">
        <f>+AE145/RevBuild!AE$174</f>
        <v>0.21522320234291131</v>
      </c>
      <c r="AF146" s="268"/>
      <c r="AG146" s="259">
        <f>+AG145/RevBuild!AG$174</f>
        <v>0.2217473972365186</v>
      </c>
      <c r="AH146" s="260">
        <f>+AH145/RevBuild!AH$174</f>
        <v>0.21182973782757927</v>
      </c>
      <c r="AI146" s="260">
        <f>+AI145/RevBuild!AI$174</f>
        <v>0.20592113696730432</v>
      </c>
      <c r="AJ146" s="260">
        <f>+AJ145/RevBuild!AJ$174</f>
        <v>0.20019323727660832</v>
      </c>
      <c r="AK146" s="449">
        <f>+AK145/RevBuild!AK$174</f>
        <v>0.20954887193655189</v>
      </c>
      <c r="AL146" s="268"/>
      <c r="AM146" s="259">
        <f>+AM145/RevBuild!AM$174</f>
        <v>0.21511211413418116</v>
      </c>
      <c r="AN146" s="260">
        <f>+AN145/RevBuild!AN$174</f>
        <v>0.20645076322952075</v>
      </c>
      <c r="AO146" s="260">
        <f>+AO145/RevBuild!AO$174</f>
        <v>0.2039927525249515</v>
      </c>
      <c r="AP146" s="260">
        <f>+AP145/RevBuild!AP$174</f>
        <v>0.20291445829391586</v>
      </c>
      <c r="AQ146" s="449">
        <f>+AQ145/RevBuild!AQ$174</f>
        <v>0.20699017545569878</v>
      </c>
      <c r="AR146" s="268"/>
      <c r="AS146" s="259">
        <f>+AS145/RevBuild!AS$174</f>
        <v>0.22197930258884291</v>
      </c>
      <c r="AT146" s="260">
        <f>+AT145/RevBuild!AT$174</f>
        <v>0.20938546443649664</v>
      </c>
      <c r="AU146" s="260">
        <f>+AU145/RevBuild!AU$174</f>
        <v>0.20870219447206625</v>
      </c>
      <c r="AV146" s="260">
        <f>+AV145/RevBuild!AV$174</f>
        <v>0.20780978914146636</v>
      </c>
      <c r="AW146" s="449">
        <f>+AW145/RevBuild!AW$174</f>
        <v>0.2117530051420301</v>
      </c>
      <c r="AX146" s="268"/>
      <c r="AY146" s="259">
        <f>+AY145/RevBuild!AY$174</f>
        <v>0.22128422671114281</v>
      </c>
      <c r="AZ146" s="260">
        <f>+AZ145/RevBuild!AZ$174</f>
        <v>0.21314484353368932</v>
      </c>
      <c r="BA146" s="260">
        <f>+BA145/RevBuild!BA$174</f>
        <v>0.2053692799445983</v>
      </c>
      <c r="BB146" s="260">
        <f>+BB145/RevBuild!BB$174</f>
        <v>0.20560956155175292</v>
      </c>
      <c r="BC146" s="449">
        <f>+BC145/RevBuild!BC$174</f>
        <v>0.21104565417016205</v>
      </c>
      <c r="BD146" s="268"/>
      <c r="BE146" s="259">
        <f>+BE145/RevBuild!BE$174</f>
        <v>0.22081329510173281</v>
      </c>
      <c r="BF146" s="260">
        <f>+BF145/RevBuild!BF$174</f>
        <v>0.20965317496510164</v>
      </c>
      <c r="BG146" s="260">
        <f>+BG145/RevBuild!BG$174</f>
        <v>0.20361949888801559</v>
      </c>
      <c r="BH146" s="260">
        <f>+BH145/RevBuild!BH$174</f>
        <v>0.20243779586495597</v>
      </c>
      <c r="BI146" s="449">
        <f>+BI145/RevBuild!BI$174</f>
        <v>0.20882966484212154</v>
      </c>
      <c r="BJ146" s="268"/>
      <c r="BK146" s="259">
        <f>+BK145/RevBuild!BK$174</f>
        <v>0.21517727992424088</v>
      </c>
      <c r="BL146" s="260">
        <f>+BL145/RevBuild!BL$174</f>
        <v>0.20543213863370569</v>
      </c>
      <c r="BM146" s="260">
        <f>+BM145/RevBuild!BM$174</f>
        <v>0.19692807813018512</v>
      </c>
      <c r="BN146" s="260">
        <f>+BN145/RevBuild!BN$174</f>
        <v>0.19883855008327078</v>
      </c>
      <c r="BO146" s="449">
        <f>+BO145/RevBuild!BO$174</f>
        <v>0.2038050864003394</v>
      </c>
      <c r="BP146" s="268"/>
      <c r="BQ146" s="259">
        <f>+BQ145/RevBuild!BQ$174</f>
        <v>0.21040203016719128</v>
      </c>
      <c r="BR146" s="260">
        <f>+BR145/RevBuild!BR$174</f>
        <v>0.20318739142017125</v>
      </c>
      <c r="BS146" s="260">
        <f>+BS145/RevBuild!BS$174</f>
        <v>0.19571354674280847</v>
      </c>
      <c r="BT146" s="260">
        <f>+BT145/RevBuild!BT$174</f>
        <v>0.19768566070457835</v>
      </c>
      <c r="BU146" s="449">
        <f>+BU145/RevBuild!BU$174</f>
        <v>0.20152489795313094</v>
      </c>
      <c r="BV146" s="268"/>
      <c r="BW146" s="259">
        <f>+BW145/RevBuild!BW$174</f>
        <v>0.21060540562522928</v>
      </c>
      <c r="BX146" s="260">
        <f>+BX145/RevBuild!BX$174</f>
        <v>0.20224003605634214</v>
      </c>
      <c r="BY146" s="260">
        <f>+BY145/RevBuild!BY$174</f>
        <v>0.1947723778424586</v>
      </c>
      <c r="BZ146" s="260">
        <f>+BZ145/RevBuild!BZ$174</f>
        <v>0.1967530448058244</v>
      </c>
      <c r="CA146" s="449">
        <f>+CA145/RevBuild!CA$174</f>
        <v>0.20086994521136481</v>
      </c>
      <c r="CB146" s="268"/>
      <c r="CC146" s="259">
        <f>+CC145/RevBuild!CC$174</f>
        <v>0.2096845959488581</v>
      </c>
      <c r="CD146" s="260">
        <f>+CD145/RevBuild!CD$174</f>
        <v>0.2013151272946973</v>
      </c>
      <c r="CE146" s="260">
        <f>+CE145/RevBuild!CE$174</f>
        <v>0.19385600745111425</v>
      </c>
      <c r="CF146" s="260">
        <f>+CF145/RevBuild!CF$174</f>
        <v>0.19584391465125148</v>
      </c>
      <c r="CG146" s="449">
        <f>+CG145/RevBuild!CG$174</f>
        <v>0.19995221311400732</v>
      </c>
      <c r="CI146" s="1000">
        <f>+(BI146-G146)/10</f>
        <v>-1.6194283334971665E-3</v>
      </c>
      <c r="CJ146" s="1000">
        <f>+(BO146-AK146)/5</f>
        <v>-1.1487571072424986E-3</v>
      </c>
      <c r="CL146" s="1000">
        <f>BU146-BO146</f>
        <v>-2.2801884472084533E-3</v>
      </c>
    </row>
    <row r="147" spans="2:98" x14ac:dyDescent="0.2">
      <c r="B147" s="131" t="s">
        <v>44</v>
      </c>
      <c r="C147" s="111">
        <f>+'P&amp;L'!C11-'P&amp;L'!C145</f>
        <v>0</v>
      </c>
      <c r="D147" s="112">
        <f>+'P&amp;L'!D11-'P&amp;L'!D145</f>
        <v>0</v>
      </c>
      <c r="E147" s="112">
        <f>+'P&amp;L'!E11-'P&amp;L'!E145</f>
        <v>0</v>
      </c>
      <c r="F147" s="112">
        <f>+'P&amp;L'!F11-'P&amp;L'!F145</f>
        <v>0</v>
      </c>
      <c r="G147" s="451">
        <f>+'P&amp;L'!G11-'P&amp;L'!G145</f>
        <v>0</v>
      </c>
      <c r="H147" s="109"/>
      <c r="I147" s="111">
        <f>+'P&amp;L'!I11-'P&amp;L'!I145</f>
        <v>0</v>
      </c>
      <c r="J147" s="112">
        <f>+'P&amp;L'!J11-'P&amp;L'!J145</f>
        <v>0</v>
      </c>
      <c r="K147" s="112">
        <f>+'P&amp;L'!K11-'P&amp;L'!K145</f>
        <v>0</v>
      </c>
      <c r="L147" s="112">
        <f>+'P&amp;L'!L11-'P&amp;L'!L145</f>
        <v>0</v>
      </c>
      <c r="M147" s="451">
        <f>+'P&amp;L'!M11-'P&amp;L'!M145</f>
        <v>0</v>
      </c>
      <c r="N147" s="109"/>
      <c r="O147" s="111">
        <f>+'P&amp;L'!O11-'P&amp;L'!O145</f>
        <v>0</v>
      </c>
      <c r="P147" s="112">
        <f>+'P&amp;L'!P11-'P&amp;L'!P145</f>
        <v>0</v>
      </c>
      <c r="Q147" s="112">
        <f>+'P&amp;L'!Q11-'P&amp;L'!Q145</f>
        <v>0</v>
      </c>
      <c r="R147" s="112">
        <f>+'P&amp;L'!R11-'P&amp;L'!R145</f>
        <v>0</v>
      </c>
      <c r="S147" s="451">
        <f>+'P&amp;L'!S11-'P&amp;L'!S145</f>
        <v>0</v>
      </c>
      <c r="T147" s="109"/>
      <c r="U147" s="111">
        <f>+'P&amp;L'!U11-'P&amp;L'!U145</f>
        <v>0</v>
      </c>
      <c r="V147" s="112">
        <f>+'P&amp;L'!V11-'P&amp;L'!V145</f>
        <v>0</v>
      </c>
      <c r="W147" s="112">
        <f>+'P&amp;L'!W11-'P&amp;L'!W145</f>
        <v>0</v>
      </c>
      <c r="X147" s="112">
        <f>+'P&amp;L'!X11-'P&amp;L'!X145</f>
        <v>0</v>
      </c>
      <c r="Y147" s="451">
        <f>+'P&amp;L'!Y11-'P&amp;L'!Y145</f>
        <v>0</v>
      </c>
      <c r="Z147" s="109"/>
      <c r="AA147" s="111">
        <f>+'P&amp;L'!AA11-'P&amp;L'!AA145</f>
        <v>0</v>
      </c>
      <c r="AB147" s="112">
        <f>+'P&amp;L'!AB11-'P&amp;L'!AB145</f>
        <v>0</v>
      </c>
      <c r="AC147" s="112">
        <f>+'P&amp;L'!AC11-'P&amp;L'!AC145</f>
        <v>0</v>
      </c>
      <c r="AD147" s="112">
        <f>+'P&amp;L'!AD11-'P&amp;L'!AD145</f>
        <v>0</v>
      </c>
      <c r="AE147" s="451">
        <f>+'P&amp;L'!AE11-'P&amp;L'!AE145</f>
        <v>0</v>
      </c>
      <c r="AF147" s="109"/>
      <c r="AG147" s="111">
        <f>+'P&amp;L'!AG11-'P&amp;L'!AG145</f>
        <v>0</v>
      </c>
      <c r="AH147" s="112">
        <f>+'P&amp;L'!AH11-'P&amp;L'!AH145</f>
        <v>0</v>
      </c>
      <c r="AI147" s="112">
        <f>+'P&amp;L'!AI11-'P&amp;L'!AI145</f>
        <v>0</v>
      </c>
      <c r="AJ147" s="112">
        <f>+'P&amp;L'!AJ11-'P&amp;L'!AJ145</f>
        <v>0</v>
      </c>
      <c r="AK147" s="451">
        <f>+'P&amp;L'!AK11-'P&amp;L'!AK145</f>
        <v>0</v>
      </c>
      <c r="AL147" s="109"/>
      <c r="AM147" s="111">
        <f>+'P&amp;L'!AM11-'P&amp;L'!AM145</f>
        <v>0</v>
      </c>
      <c r="AN147" s="112">
        <f>+'P&amp;L'!AN11-'P&amp;L'!AN145</f>
        <v>0</v>
      </c>
      <c r="AO147" s="112">
        <f>+'P&amp;L'!AO11-'P&amp;L'!AO145</f>
        <v>0</v>
      </c>
      <c r="AP147" s="112">
        <f>+'P&amp;L'!AP11-'P&amp;L'!AP145</f>
        <v>0</v>
      </c>
      <c r="AQ147" s="451">
        <f>+'P&amp;L'!AQ11-'P&amp;L'!AQ145</f>
        <v>0</v>
      </c>
      <c r="AR147" s="109"/>
      <c r="AS147" s="111">
        <f>+'P&amp;L'!AS11-'P&amp;L'!AS145</f>
        <v>0</v>
      </c>
      <c r="AT147" s="112">
        <f>+'P&amp;L'!AT11-'P&amp;L'!AT145</f>
        <v>0</v>
      </c>
      <c r="AU147" s="112">
        <f>+'P&amp;L'!AU11-'P&amp;L'!AU145</f>
        <v>0</v>
      </c>
      <c r="AV147" s="112">
        <f>+'P&amp;L'!AV11-'P&amp;L'!AV145</f>
        <v>0</v>
      </c>
      <c r="AW147" s="451">
        <f>+'P&amp;L'!AW11-'P&amp;L'!AW145</f>
        <v>0</v>
      </c>
      <c r="AX147" s="109"/>
      <c r="AY147" s="111">
        <f>+'P&amp;L'!AY11-'P&amp;L'!AY145</f>
        <v>0</v>
      </c>
      <c r="AZ147" s="112">
        <f>+'P&amp;L'!AZ11-'P&amp;L'!AZ145</f>
        <v>0</v>
      </c>
      <c r="BA147" s="112">
        <f>+'P&amp;L'!BA11-'P&amp;L'!BA145</f>
        <v>0</v>
      </c>
      <c r="BB147" s="112">
        <f>+'P&amp;L'!BB11-'P&amp;L'!BB145</f>
        <v>0</v>
      </c>
      <c r="BC147" s="451">
        <f>+'P&amp;L'!BC11-'P&amp;L'!BC145</f>
        <v>0</v>
      </c>
      <c r="BD147" s="109"/>
      <c r="BE147" s="111">
        <f>+'P&amp;L'!BE11-'P&amp;L'!BE145</f>
        <v>0</v>
      </c>
      <c r="BF147" s="112">
        <f>+'P&amp;L'!BF11-'P&amp;L'!BF145</f>
        <v>0</v>
      </c>
      <c r="BG147" s="112">
        <f>+'P&amp;L'!BG11-'P&amp;L'!BG145</f>
        <v>0</v>
      </c>
      <c r="BH147" s="112">
        <f>+'P&amp;L'!BH11-'P&amp;L'!BH145</f>
        <v>0</v>
      </c>
      <c r="BI147" s="451">
        <f>+'P&amp;L'!BI11-'P&amp;L'!BI145</f>
        <v>0</v>
      </c>
      <c r="BJ147" s="109"/>
      <c r="BK147" s="111">
        <f>+'P&amp;L'!BK11-'P&amp;L'!BK145</f>
        <v>0</v>
      </c>
      <c r="BL147" s="112">
        <f>+'P&amp;L'!BL11-'P&amp;L'!BL145</f>
        <v>0</v>
      </c>
      <c r="BM147" s="112">
        <f>+'P&amp;L'!BM11-'P&amp;L'!BM145</f>
        <v>0</v>
      </c>
      <c r="BN147" s="112">
        <f>+'P&amp;L'!BN11-'P&amp;L'!BN145</f>
        <v>0</v>
      </c>
      <c r="BO147" s="451">
        <f>+'P&amp;L'!BO11-'P&amp;L'!BO145</f>
        <v>0</v>
      </c>
      <c r="BP147" s="109"/>
      <c r="BQ147" s="111">
        <f>+'P&amp;L'!BQ11-'P&amp;L'!BQ145</f>
        <v>0</v>
      </c>
      <c r="BR147" s="112">
        <f>+'P&amp;L'!BR11-'P&amp;L'!BR145</f>
        <v>0</v>
      </c>
      <c r="BS147" s="112">
        <f>+'P&amp;L'!BS11-'P&amp;L'!BS145</f>
        <v>0</v>
      </c>
      <c r="BT147" s="112">
        <f>+'P&amp;L'!BT11-'P&amp;L'!BT145</f>
        <v>0</v>
      </c>
      <c r="BU147" s="451">
        <f>+'P&amp;L'!BU11-'P&amp;L'!BU145</f>
        <v>0</v>
      </c>
      <c r="BV147" s="109"/>
      <c r="BW147" s="111">
        <f>+'P&amp;L'!BW11-'P&amp;L'!BW145</f>
        <v>0</v>
      </c>
      <c r="BX147" s="112">
        <f>+'P&amp;L'!BX11-'P&amp;L'!BX145</f>
        <v>0</v>
      </c>
      <c r="BY147" s="112">
        <f>+'P&amp;L'!BY11-'P&amp;L'!BY145</f>
        <v>0</v>
      </c>
      <c r="BZ147" s="112">
        <f>+'P&amp;L'!BZ11-'P&amp;L'!BZ145</f>
        <v>0</v>
      </c>
      <c r="CA147" s="451">
        <f>+'P&amp;L'!CA11-'P&amp;L'!CA145</f>
        <v>0</v>
      </c>
      <c r="CB147" s="109"/>
      <c r="CC147" s="111">
        <f>+'P&amp;L'!CC11-'P&amp;L'!CC145</f>
        <v>0</v>
      </c>
      <c r="CD147" s="112">
        <f>+'P&amp;L'!CD11-'P&amp;L'!CD145</f>
        <v>0</v>
      </c>
      <c r="CE147" s="112">
        <f>+'P&amp;L'!CE11-'P&amp;L'!CE145</f>
        <v>0</v>
      </c>
      <c r="CF147" s="112">
        <f>+'P&amp;L'!CF11-'P&amp;L'!CF145</f>
        <v>0</v>
      </c>
      <c r="CG147" s="451">
        <f>+'P&amp;L'!CG11-'P&amp;L'!CG145</f>
        <v>0</v>
      </c>
    </row>
    <row r="148" spans="2:98" x14ac:dyDescent="0.2">
      <c r="B148" s="132"/>
      <c r="C148" s="128"/>
      <c r="D148" s="129"/>
      <c r="E148" s="129"/>
      <c r="F148" s="129"/>
      <c r="G148" s="452"/>
      <c r="H148" s="109"/>
      <c r="I148" s="128"/>
      <c r="J148" s="129"/>
      <c r="K148" s="129"/>
      <c r="L148" s="129"/>
      <c r="M148" s="452"/>
      <c r="N148" s="109"/>
      <c r="O148" s="128"/>
      <c r="P148" s="129"/>
      <c r="Q148" s="129"/>
      <c r="R148" s="129"/>
      <c r="S148" s="452"/>
      <c r="T148" s="109"/>
      <c r="U148" s="128"/>
      <c r="V148" s="129"/>
      <c r="W148" s="129"/>
      <c r="X148" s="129"/>
      <c r="Y148" s="452"/>
      <c r="Z148" s="109"/>
      <c r="AA148" s="128"/>
      <c r="AB148" s="129"/>
      <c r="AC148" s="129"/>
      <c r="AD148" s="129"/>
      <c r="AE148" s="452"/>
      <c r="AF148" s="109"/>
      <c r="AG148" s="128"/>
      <c r="AH148" s="129"/>
      <c r="AI148" s="129"/>
      <c r="AJ148" s="129"/>
      <c r="AK148" s="452"/>
      <c r="AL148" s="109"/>
      <c r="AM148" s="128"/>
      <c r="AN148" s="129"/>
      <c r="AO148" s="129"/>
      <c r="AP148" s="129"/>
      <c r="AQ148" s="452"/>
      <c r="AR148" s="109"/>
      <c r="AS148" s="128"/>
      <c r="AT148" s="129"/>
      <c r="AU148" s="129"/>
      <c r="AV148" s="129"/>
      <c r="AW148" s="452"/>
      <c r="AX148" s="109"/>
      <c r="AY148" s="128"/>
      <c r="AZ148" s="129"/>
      <c r="BA148" s="129"/>
      <c r="BB148" s="129"/>
      <c r="BC148" s="452"/>
      <c r="BD148" s="109"/>
      <c r="BE148" s="128"/>
      <c r="BF148" s="129"/>
      <c r="BG148" s="129"/>
      <c r="BH148" s="129"/>
      <c r="BI148" s="452"/>
      <c r="BJ148" s="109"/>
      <c r="BK148" s="128"/>
      <c r="BL148" s="129"/>
      <c r="BM148" s="129"/>
      <c r="BN148" s="129"/>
      <c r="BO148" s="452"/>
      <c r="BP148" s="109"/>
      <c r="BQ148" s="128"/>
      <c r="BR148" s="129"/>
      <c r="BS148" s="129"/>
      <c r="BT148" s="129"/>
      <c r="BU148" s="452"/>
      <c r="BV148" s="109"/>
      <c r="BW148" s="128"/>
      <c r="BX148" s="129"/>
      <c r="BY148" s="129"/>
      <c r="BZ148" s="129"/>
      <c r="CA148" s="452"/>
      <c r="CB148" s="109"/>
      <c r="CC148" s="128"/>
      <c r="CD148" s="129"/>
      <c r="CE148" s="129"/>
      <c r="CF148" s="129"/>
      <c r="CG148" s="452"/>
    </row>
    <row r="149" spans="2:98" x14ac:dyDescent="0.2">
      <c r="B149" s="114"/>
      <c r="C149" s="115"/>
      <c r="D149" s="115"/>
      <c r="E149" s="115"/>
      <c r="F149" s="115"/>
      <c r="G149" s="115"/>
      <c r="H149" s="116"/>
      <c r="I149" s="115"/>
      <c r="J149" s="115"/>
      <c r="K149" s="115"/>
      <c r="L149" s="115"/>
      <c r="M149" s="115"/>
      <c r="N149" s="116"/>
      <c r="O149" s="115"/>
      <c r="P149" s="115"/>
      <c r="Q149" s="115"/>
      <c r="R149" s="115"/>
      <c r="S149" s="115"/>
      <c r="T149" s="116"/>
      <c r="U149" s="115"/>
      <c r="V149" s="115"/>
      <c r="W149" s="115"/>
      <c r="X149" s="115"/>
      <c r="Y149" s="115"/>
      <c r="Z149" s="116"/>
      <c r="AA149" s="115"/>
      <c r="AB149" s="115"/>
      <c r="AC149" s="115"/>
      <c r="AD149" s="115"/>
      <c r="AE149" s="115"/>
      <c r="AF149" s="116"/>
      <c r="AG149" s="115"/>
      <c r="AH149" s="115"/>
      <c r="AI149" s="115"/>
      <c r="AJ149" s="115"/>
      <c r="AK149" s="115"/>
      <c r="AL149" s="116"/>
      <c r="AM149" s="115"/>
      <c r="AN149" s="115"/>
      <c r="AO149" s="115"/>
      <c r="AP149" s="115"/>
      <c r="AQ149" s="115"/>
      <c r="AR149" s="116"/>
      <c r="AS149" s="115"/>
      <c r="AT149" s="115"/>
      <c r="AU149" s="115"/>
      <c r="AV149" s="115"/>
      <c r="AW149" s="115"/>
      <c r="AX149" s="116"/>
      <c r="AY149" s="115"/>
      <c r="AZ149" s="115"/>
      <c r="BA149" s="115"/>
      <c r="BB149" s="115"/>
      <c r="BC149" s="115"/>
      <c r="BD149" s="116"/>
      <c r="BE149" s="115"/>
      <c r="BF149" s="115"/>
      <c r="BG149" s="115"/>
      <c r="BH149" s="115"/>
      <c r="BI149" s="115"/>
      <c r="BJ149" s="116"/>
      <c r="BK149" s="115"/>
      <c r="BL149" s="115"/>
      <c r="BM149" s="115"/>
      <c r="BN149" s="115"/>
      <c r="BO149" s="1237"/>
      <c r="BP149" s="116"/>
      <c r="BQ149" s="115"/>
      <c r="BR149" s="115"/>
      <c r="BS149" s="115"/>
      <c r="BT149" s="115"/>
      <c r="BU149" s="115"/>
      <c r="BV149" s="116"/>
      <c r="BW149" s="115"/>
      <c r="BX149" s="115"/>
      <c r="BY149" s="115"/>
      <c r="BZ149" s="115"/>
      <c r="CA149" s="115"/>
      <c r="CB149" s="116"/>
      <c r="CC149" s="115"/>
      <c r="CD149" s="115"/>
      <c r="CE149" s="115"/>
      <c r="CF149" s="115"/>
      <c r="CG149" s="115"/>
    </row>
    <row r="150" spans="2:98" x14ac:dyDescent="0.2">
      <c r="B150" s="812" t="s">
        <v>371</v>
      </c>
      <c r="C150" s="813"/>
      <c r="D150" s="813"/>
      <c r="E150" s="813"/>
      <c r="F150" s="813"/>
      <c r="G150" s="813"/>
      <c r="H150" s="812"/>
      <c r="I150" s="813"/>
      <c r="J150" s="813"/>
      <c r="K150" s="813"/>
      <c r="L150" s="813"/>
      <c r="M150" s="813"/>
      <c r="N150" s="812"/>
      <c r="O150" s="813"/>
      <c r="P150" s="813"/>
      <c r="Q150" s="813"/>
      <c r="R150" s="813"/>
      <c r="S150" s="813"/>
      <c r="T150" s="812"/>
      <c r="U150" s="813"/>
      <c r="V150" s="813"/>
      <c r="W150" s="813"/>
      <c r="X150" s="813"/>
      <c r="Y150" s="813"/>
      <c r="Z150" s="812"/>
      <c r="AA150" s="813"/>
      <c r="AB150" s="813"/>
      <c r="AC150" s="813"/>
      <c r="AD150" s="813"/>
      <c r="AE150" s="813"/>
      <c r="AF150" s="812"/>
      <c r="AG150" s="813"/>
      <c r="AH150" s="813"/>
      <c r="AI150" s="813"/>
      <c r="AJ150" s="813"/>
      <c r="AK150" s="813"/>
      <c r="AL150" s="812"/>
      <c r="AM150" s="813"/>
      <c r="AN150" s="813"/>
      <c r="AO150" s="813"/>
      <c r="AP150" s="813"/>
      <c r="AQ150" s="813"/>
      <c r="AR150" s="812"/>
      <c r="AS150" s="813"/>
      <c r="AT150" s="813"/>
      <c r="AU150" s="813"/>
      <c r="AV150" s="813"/>
      <c r="AW150" s="813"/>
      <c r="AX150" s="812"/>
      <c r="AY150" s="813"/>
      <c r="AZ150" s="813"/>
      <c r="BA150" s="813"/>
      <c r="BB150" s="813"/>
      <c r="BC150" s="813"/>
      <c r="BD150" s="812"/>
      <c r="BE150" s="813"/>
      <c r="BF150" s="813"/>
      <c r="BG150" s="813"/>
      <c r="BH150" s="813"/>
      <c r="BI150" s="813"/>
      <c r="BJ150" s="812"/>
      <c r="BK150" s="813"/>
      <c r="BL150" s="813"/>
      <c r="BM150" s="813"/>
      <c r="BN150" s="813"/>
      <c r="BO150" s="1119"/>
      <c r="BP150" s="812"/>
      <c r="BQ150" s="813"/>
      <c r="BR150" s="813"/>
      <c r="BS150" s="813"/>
      <c r="BT150" s="813"/>
      <c r="BU150" s="813"/>
      <c r="BV150" s="812"/>
      <c r="BW150" s="813"/>
      <c r="BX150" s="813"/>
      <c r="BY150" s="813"/>
      <c r="BZ150" s="813"/>
      <c r="CA150" s="813"/>
      <c r="CB150" s="812"/>
      <c r="CC150" s="813"/>
      <c r="CD150" s="813"/>
      <c r="CE150" s="813"/>
      <c r="CF150" s="813"/>
      <c r="CG150" s="814"/>
    </row>
    <row r="151" spans="2:98" x14ac:dyDescent="0.2">
      <c r="B151" s="98" t="s">
        <v>313</v>
      </c>
      <c r="C151" s="146">
        <f>C98-C141</f>
        <v>62.884000000000015</v>
      </c>
      <c r="D151" s="145">
        <f>D98-D141</f>
        <v>78.728000000000009</v>
      </c>
      <c r="E151" s="145">
        <f>E98-E141</f>
        <v>85.372000000000014</v>
      </c>
      <c r="F151" s="145">
        <f>F98-F141</f>
        <v>113.95300000000009</v>
      </c>
      <c r="G151" s="456">
        <f>+SUM(C151:F151)</f>
        <v>340.93700000000013</v>
      </c>
      <c r="H151" s="62"/>
      <c r="I151" s="146">
        <f>I98-I141</f>
        <v>72.120999999999981</v>
      </c>
      <c r="J151" s="145">
        <f>J98-J141</f>
        <v>99.75</v>
      </c>
      <c r="K151" s="145">
        <f>K98-K141</f>
        <v>100.887</v>
      </c>
      <c r="L151" s="145">
        <f>L98-L141</f>
        <v>112.78899999999987</v>
      </c>
      <c r="M151" s="456">
        <f>+SUM(I151:L151)</f>
        <v>385.54699999999985</v>
      </c>
      <c r="N151" s="62"/>
      <c r="O151" s="146">
        <f>O98-O141</f>
        <v>79.750999999999976</v>
      </c>
      <c r="P151" s="145">
        <f>P98-P141</f>
        <v>106.65999999999997</v>
      </c>
      <c r="Q151" s="145">
        <f>Q98-Q141</f>
        <v>98.25</v>
      </c>
      <c r="R151" s="145">
        <f>R98-R141</f>
        <v>120.27400000000023</v>
      </c>
      <c r="S151" s="456">
        <f>+SUM(O151:R151)</f>
        <v>404.93500000000017</v>
      </c>
      <c r="T151" s="62"/>
      <c r="U151" s="146">
        <f>U98-U141</f>
        <v>100.89999999999998</v>
      </c>
      <c r="V151" s="145">
        <f>V98-V141</f>
        <v>121.13500000000005</v>
      </c>
      <c r="W151" s="145">
        <f>W98-W141</f>
        <v>121.012</v>
      </c>
      <c r="X151" s="145">
        <f>X98-X141</f>
        <v>123.89799999999991</v>
      </c>
      <c r="Y151" s="456">
        <f>+SUM(U151:X151)</f>
        <v>466.94499999999994</v>
      </c>
      <c r="Z151" s="62"/>
      <c r="AA151" s="146">
        <f>AA98-AA141</f>
        <v>109.72699999999998</v>
      </c>
      <c r="AB151" s="145">
        <f>AB98-AB141</f>
        <v>134.21699999999998</v>
      </c>
      <c r="AC151" s="145">
        <f>AC98-AC141</f>
        <v>125.61599999999993</v>
      </c>
      <c r="AD151" s="145">
        <f>AD98-AD141</f>
        <v>142.53399999999988</v>
      </c>
      <c r="AE151" s="456">
        <f>+SUM(AA151:AD151)</f>
        <v>512.09399999999982</v>
      </c>
      <c r="AF151" s="62"/>
      <c r="AG151" s="146">
        <f>AG98-AG141</f>
        <v>128.99600000000004</v>
      </c>
      <c r="AH151" s="145">
        <f>AH98-AH141</f>
        <v>139.25299999999993</v>
      </c>
      <c r="AI151" s="145">
        <f>AI98-AI141</f>
        <v>129.93199999999996</v>
      </c>
      <c r="AJ151" s="145">
        <f>AJ98-AJ141</f>
        <v>158.46699999999993</v>
      </c>
      <c r="AK151" s="456">
        <f>+SUM(AG151:AJ151)</f>
        <v>556.64799999999991</v>
      </c>
      <c r="AL151" s="62"/>
      <c r="AM151" s="146">
        <f>AM98-AM141</f>
        <v>134.46000000000004</v>
      </c>
      <c r="AN151" s="145">
        <f>AN98-AN141</f>
        <v>154.68200000000007</v>
      </c>
      <c r="AO151" s="145">
        <f>AO98-AO141</f>
        <v>139.94900000000001</v>
      </c>
      <c r="AP151" s="145">
        <f>AP98-AP141</f>
        <v>161.57299999999941</v>
      </c>
      <c r="AQ151" s="456">
        <f>+SUM(AM151:AP151)</f>
        <v>590.66399999999953</v>
      </c>
      <c r="AR151" s="62"/>
      <c r="AS151" s="146">
        <f>AS98-AS141</f>
        <v>133.81900000000002</v>
      </c>
      <c r="AT151" s="145">
        <f>AT98-AT141</f>
        <v>153.57800000000009</v>
      </c>
      <c r="AU151" s="145">
        <f>AU98-AU141</f>
        <v>148.77300000000002</v>
      </c>
      <c r="AV151" s="145">
        <f>AV98-AV141</f>
        <v>175.60100000000011</v>
      </c>
      <c r="AW151" s="456">
        <f>+SUM(AS151:AV151)</f>
        <v>611.77100000000019</v>
      </c>
      <c r="AX151" s="62"/>
      <c r="AY151" s="146">
        <f>AY98-AY141</f>
        <v>142.99899999999991</v>
      </c>
      <c r="AZ151" s="145">
        <f>AZ98-AZ141</f>
        <v>162.41200000000003</v>
      </c>
      <c r="BA151" s="145">
        <f>BA98-BA141</f>
        <v>170.10399999999993</v>
      </c>
      <c r="BB151" s="145">
        <f>BB98-BB141</f>
        <v>184.94799999999975</v>
      </c>
      <c r="BC151" s="456">
        <f>+SUM(AY151:BB151)</f>
        <v>660.46299999999962</v>
      </c>
      <c r="BD151" s="62"/>
      <c r="BE151" s="146">
        <f>BE98-BE141</f>
        <v>151.95600000000002</v>
      </c>
      <c r="BF151" s="145">
        <f>BF98-BF141</f>
        <v>170.13300000000004</v>
      </c>
      <c r="BG151" s="145">
        <f>BG98-BG141</f>
        <v>175.48299999999995</v>
      </c>
      <c r="BH151" s="145">
        <f>BH98-BH141</f>
        <v>198.61599999999919</v>
      </c>
      <c r="BI151" s="456">
        <f>+SUM(BE151:BH151)</f>
        <v>696.18799999999919</v>
      </c>
      <c r="BJ151" s="62"/>
      <c r="BK151" s="146">
        <f>BK98-BK141</f>
        <v>162.70699999999999</v>
      </c>
      <c r="BL151" s="145">
        <f>BL98-BL141</f>
        <v>176.95900000000006</v>
      </c>
      <c r="BM151" s="145">
        <f>BM98-BM141</f>
        <v>181.61300000000006</v>
      </c>
      <c r="BN151" s="145">
        <f>BN98-BN141</f>
        <v>207.2410000000001</v>
      </c>
      <c r="BO151" s="456">
        <f>+SUM(BK151:BN151)</f>
        <v>728.52000000000021</v>
      </c>
      <c r="BP151" s="62"/>
      <c r="BQ151" s="146">
        <f>BQ98-BQ141</f>
        <v>172.33405387746575</v>
      </c>
      <c r="BR151" s="145">
        <f>BR98-BR141</f>
        <v>189.09248202769038</v>
      </c>
      <c r="BS151" s="145">
        <f>BS98-BS141</f>
        <v>191.93383285669279</v>
      </c>
      <c r="BT151" s="145">
        <f>BT98-BT141</f>
        <v>216.18430107663278</v>
      </c>
      <c r="BU151" s="456">
        <f>+SUM(BQ151:BT151)</f>
        <v>769.5446698384817</v>
      </c>
      <c r="BV151" s="62"/>
      <c r="BW151" s="146">
        <f>BW98-BW141</f>
        <v>167.29307440595494</v>
      </c>
      <c r="BX151" s="145">
        <f>BX98-BX141</f>
        <v>184.11422286412358</v>
      </c>
      <c r="BY151" s="145">
        <f>BY98-BY141</f>
        <v>186.79749801598928</v>
      </c>
      <c r="BZ151" s="145">
        <f>BZ98-BZ141</f>
        <v>211.43125906210514</v>
      </c>
      <c r="CA151" s="456">
        <f>+SUM(BW151:BZ151)</f>
        <v>749.63605434817293</v>
      </c>
      <c r="CB151" s="62"/>
      <c r="CC151" s="146">
        <f>CC98-CC141</f>
        <v>160.97422128161918</v>
      </c>
      <c r="CD151" s="145">
        <f>CD98-CD141</f>
        <v>177.76717091032901</v>
      </c>
      <c r="CE151" s="145">
        <f>CE98-CE141</f>
        <v>180.23721841182589</v>
      </c>
      <c r="CF151" s="480">
        <f>CF98-CF141</f>
        <v>205.24892331749254</v>
      </c>
      <c r="CG151" s="456">
        <f>+SUM(CC151:CF151)</f>
        <v>724.22753392126663</v>
      </c>
    </row>
    <row r="152" spans="2:98" x14ac:dyDescent="0.2">
      <c r="B152" s="113" t="s">
        <v>433</v>
      </c>
      <c r="C152" s="259">
        <f>+C151/RevBuild!C$160</f>
        <v>4.9062465622179079E-2</v>
      </c>
      <c r="D152" s="260">
        <f>+D151/RevBuild!D$160</f>
        <v>5.8095756754642701E-2</v>
      </c>
      <c r="E152" s="260">
        <f>+E151/RevBuild!E$160</f>
        <v>5.792904282591025E-2</v>
      </c>
      <c r="F152" s="260">
        <f>+F151/RevBuild!F$160</f>
        <v>6.8566501437481914E-2</v>
      </c>
      <c r="G152" s="449">
        <f>+G151/RevBuild!G$160</f>
        <v>5.9062042715117828E-2</v>
      </c>
      <c r="H152" s="268"/>
      <c r="I152" s="259">
        <f>+I151/RevBuild!I$160</f>
        <v>4.8632417655777332E-2</v>
      </c>
      <c r="J152" s="260">
        <f>+J151/RevBuild!J$160</f>
        <v>6.2354155349673979E-2</v>
      </c>
      <c r="K152" s="260">
        <f>+K151/RevBuild!K$160</f>
        <v>6.2928714223784377E-2</v>
      </c>
      <c r="L152" s="260">
        <f>+L151/RevBuild!L$160</f>
        <v>7.365985420718453E-2</v>
      </c>
      <c r="M152" s="449">
        <f>+M151/RevBuild!M$160</f>
        <v>6.2013722100443848E-2</v>
      </c>
      <c r="N152" s="268"/>
      <c r="O152" s="259">
        <f>+O151/RevBuild!O$160</f>
        <v>5.5188597313750316E-2</v>
      </c>
      <c r="P152" s="260">
        <f>+P151/RevBuild!P$160</f>
        <v>6.8158450184454655E-2</v>
      </c>
      <c r="Q152" s="260">
        <f>+Q151/RevBuild!Q$160</f>
        <v>6.0789916236754608E-2</v>
      </c>
      <c r="R152" s="260">
        <f>+R151/RevBuild!R$160</f>
        <v>6.9164328104154349E-2</v>
      </c>
      <c r="S152" s="449">
        <f>+S151/RevBuild!S$160</f>
        <v>6.3617730861029051E-2</v>
      </c>
      <c r="T152" s="268"/>
      <c r="U152" s="259">
        <f>+U151/RevBuild!U$160</f>
        <v>5.882226058203139E-2</v>
      </c>
      <c r="V152" s="260">
        <f>+V151/RevBuild!V$160</f>
        <v>6.7259108727276792E-2</v>
      </c>
      <c r="W152" s="260">
        <f>+W151/RevBuild!W$160</f>
        <v>6.5611706136417605E-2</v>
      </c>
      <c r="X152" s="260">
        <f>+X151/RevBuild!X$160</f>
        <v>6.3016659757949012E-2</v>
      </c>
      <c r="Y152" s="449">
        <f>+Y151/RevBuild!Y$160</f>
        <v>6.3730766259606123E-2</v>
      </c>
      <c r="Z152" s="268"/>
      <c r="AA152" s="259">
        <f>+AA151/RevBuild!AA$160</f>
        <v>5.7991718262367757E-2</v>
      </c>
      <c r="AB152" s="260">
        <f>+AB151/RevBuild!AB$160</f>
        <v>6.4883545886241942E-2</v>
      </c>
      <c r="AC152" s="260">
        <f>+AC151/RevBuild!AC$160</f>
        <v>6.1291016691379957E-2</v>
      </c>
      <c r="AD152" s="260">
        <f>+AD151/RevBuild!AD$160</f>
        <v>6.2806272783874975E-2</v>
      </c>
      <c r="AE152" s="449">
        <f>+AE151/RevBuild!AE$160</f>
        <v>6.184992503280945E-2</v>
      </c>
      <c r="AF152" s="268"/>
      <c r="AG152" s="259">
        <f>+AG151/RevBuild!AG$160</f>
        <v>6.3355012224458565E-2</v>
      </c>
      <c r="AH152" s="260">
        <f>+AH151/RevBuild!AH$160</f>
        <v>6.5275894283923594E-2</v>
      </c>
      <c r="AI152" s="260">
        <f>+AI151/RevBuild!AI$160</f>
        <v>6.0151141710630823E-2</v>
      </c>
      <c r="AJ152" s="260">
        <f>+AJ151/RevBuild!AJ$160</f>
        <v>6.8096899076568421E-2</v>
      </c>
      <c r="AK152" s="449">
        <f>+AK151/RevBuild!AK$160</f>
        <v>6.4303647848786005E-2</v>
      </c>
      <c r="AL152" s="268"/>
      <c r="AM152" s="259">
        <f>+AM151/RevBuild!AM$160</f>
        <v>6.0600351811948734E-2</v>
      </c>
      <c r="AN152" s="260">
        <f>+AN151/RevBuild!AN$160</f>
        <v>6.6852943146775964E-2</v>
      </c>
      <c r="AO152" s="260">
        <f>+AO151/RevBuild!AO$160</f>
        <v>6.1650917193350023E-2</v>
      </c>
      <c r="AP152" s="260">
        <f>+AP151/RevBuild!AP$160</f>
        <v>6.6272411180744076E-2</v>
      </c>
      <c r="AQ152" s="449">
        <f>+AQ151/RevBuild!AQ$160</f>
        <v>6.3920524641257012E-2</v>
      </c>
      <c r="AR152" s="268"/>
      <c r="AS152" s="259">
        <f>+AS151/RevBuild!AS$160</f>
        <v>5.6972620411013149E-2</v>
      </c>
      <c r="AT152" s="260">
        <f>+AT151/RevBuild!AT$160</f>
        <v>6.0791984441989411E-2</v>
      </c>
      <c r="AU152" s="260">
        <f>+AU151/RevBuild!AU$160</f>
        <v>5.8650417132183719E-2</v>
      </c>
      <c r="AV152" s="260">
        <f>+AV151/RevBuild!AV$160</f>
        <v>6.7259744085025677E-2</v>
      </c>
      <c r="AW152" s="449">
        <f>+AW151/RevBuild!AW$160</f>
        <v>6.103968745559997E-2</v>
      </c>
      <c r="AX152" s="268"/>
      <c r="AY152" s="259">
        <f>+AY151/RevBuild!AY$160</f>
        <v>6.0135916532446251E-2</v>
      </c>
      <c r="AZ152" s="260">
        <f>+AZ151/RevBuild!AZ$160</f>
        <v>6.3946263908465972E-2</v>
      </c>
      <c r="BA152" s="260">
        <f>+BA151/RevBuild!BA$160</f>
        <v>6.5522975451225415E-2</v>
      </c>
      <c r="BB152" s="260">
        <f>+BB151/RevBuild!BB$160</f>
        <v>6.7080652526441645E-2</v>
      </c>
      <c r="BC152" s="449">
        <f>+BC151/RevBuild!BC$160</f>
        <v>6.43040086083599E-2</v>
      </c>
      <c r="BD152" s="268"/>
      <c r="BE152" s="259">
        <f>+BE151/RevBuild!BE$160</f>
        <v>5.81920395514086E-2</v>
      </c>
      <c r="BF152" s="260">
        <f>+BF151/RevBuild!BF$160</f>
        <v>6.1517328358905159E-2</v>
      </c>
      <c r="BG152" s="260">
        <f>+BG151/RevBuild!BG$160</f>
        <v>6.3570386299055343E-2</v>
      </c>
      <c r="BH152" s="260">
        <f>+BH151/RevBuild!BH$160</f>
        <v>6.6013739456849463E-2</v>
      </c>
      <c r="BI152" s="449">
        <f>+BI151/RevBuild!BI$160</f>
        <v>6.2460484898019898E-2</v>
      </c>
      <c r="BJ152" s="268"/>
      <c r="BK152" s="259">
        <f>+BK151/RevBuild!BK$160</f>
        <v>5.7759312001527882E-2</v>
      </c>
      <c r="BL152" s="260">
        <f>+BL151/RevBuild!BL$160</f>
        <v>5.9967298389488055E-2</v>
      </c>
      <c r="BM152" s="260">
        <f>+BM151/RevBuild!BM$160</f>
        <v>5.9504841139016773E-2</v>
      </c>
      <c r="BN152" s="260">
        <f>+BN151/RevBuild!BN$160</f>
        <v>6.4691994981743453E-2</v>
      </c>
      <c r="BO152" s="449">
        <f>+BO151/RevBuild!BO$160</f>
        <v>6.0591432664847025E-2</v>
      </c>
      <c r="BP152" s="268"/>
      <c r="BQ152" s="259">
        <f>+BQ151/RevBuild!BQ$160</f>
        <v>5.825931200152789E-2</v>
      </c>
      <c r="BR152" s="260">
        <f>+BR151/RevBuild!BR$160</f>
        <v>6.0467298389488083E-2</v>
      </c>
      <c r="BS152" s="260">
        <f>+BS151/RevBuild!BS$160</f>
        <v>6.0004841139016774E-2</v>
      </c>
      <c r="BT152" s="260">
        <f>+BT151/RevBuild!BT$160</f>
        <v>6.5191994981743467E-2</v>
      </c>
      <c r="BU152" s="449">
        <f>+BU151/RevBuild!BU$160</f>
        <v>6.1075003156331416E-2</v>
      </c>
      <c r="BV152" s="268"/>
      <c r="BW152" s="259">
        <f>+BW151/RevBuild!BW$160</f>
        <v>5.4259312001527893E-2</v>
      </c>
      <c r="BX152" s="260">
        <f>+BX151/RevBuild!BX$160</f>
        <v>5.646729838948808E-2</v>
      </c>
      <c r="BY152" s="260">
        <f>+BY151/RevBuild!BY$160</f>
        <v>5.6004841139016798E-2</v>
      </c>
      <c r="BZ152" s="260">
        <f>+BZ151/RevBuild!BZ$160</f>
        <v>6.1191994981743436E-2</v>
      </c>
      <c r="CA152" s="449">
        <f>+CA151/RevBuild!CA$160</f>
        <v>5.7074458743759854E-2</v>
      </c>
      <c r="CB152" s="268"/>
      <c r="CC152" s="259">
        <f>+CC151/RevBuild!CC$160</f>
        <v>5.0259312001527889E-2</v>
      </c>
      <c r="CD152" s="260">
        <f>+CD151/RevBuild!CD$160</f>
        <v>5.2467298389488083E-2</v>
      </c>
      <c r="CE152" s="260">
        <f>+CE151/RevBuild!CE$160</f>
        <v>5.2004841139016753E-2</v>
      </c>
      <c r="CF152" s="481">
        <f>+CF151/RevBuild!CF$160</f>
        <v>5.7191994981743467E-2</v>
      </c>
      <c r="CG152" s="449">
        <f>+CG151/RevBuild!CG$160</f>
        <v>5.3074174676125477E-2</v>
      </c>
      <c r="CI152" s="1000">
        <f>+(BI152-G152)/10</f>
        <v>3.3984421829020699E-4</v>
      </c>
      <c r="CJ152" s="1241">
        <f>+(BO152-AK152)/5</f>
        <v>-7.4244303678779597E-4</v>
      </c>
    </row>
    <row r="153" spans="2:98" s="279" customFormat="1" x14ac:dyDescent="0.2">
      <c r="B153" s="804" t="s">
        <v>470</v>
      </c>
      <c r="C153" s="372"/>
      <c r="D153" s="260"/>
      <c r="E153" s="260"/>
      <c r="F153" s="260"/>
      <c r="G153" s="449"/>
      <c r="H153" s="268"/>
      <c r="I153" s="372"/>
      <c r="J153" s="260"/>
      <c r="K153" s="260"/>
      <c r="L153" s="260"/>
      <c r="M153" s="449"/>
      <c r="N153" s="268"/>
      <c r="O153" s="372"/>
      <c r="P153" s="260"/>
      <c r="Q153" s="260"/>
      <c r="R153" s="260"/>
      <c r="S153" s="449"/>
      <c r="T153" s="268"/>
      <c r="U153" s="372"/>
      <c r="V153" s="260"/>
      <c r="W153" s="260"/>
      <c r="X153" s="260"/>
      <c r="Y153" s="449"/>
      <c r="Z153" s="268"/>
      <c r="AA153" s="372"/>
      <c r="AB153" s="260"/>
      <c r="AC153" s="260"/>
      <c r="AD153" s="260"/>
      <c r="AE153" s="449"/>
      <c r="AF153" s="268"/>
      <c r="AG153" s="372"/>
      <c r="AH153" s="260"/>
      <c r="AI153" s="260"/>
      <c r="AJ153" s="260"/>
      <c r="AK153" s="449"/>
      <c r="AL153" s="268"/>
      <c r="AM153" s="1302">
        <f t="shared" ref="AM153" si="44">+(AM152-AG152)*10000</f>
        <v>-27.546604125098309</v>
      </c>
      <c r="AN153" s="776">
        <f t="shared" ref="AN153" si="45">+(AN152-AH152)*10000</f>
        <v>15.770488628523704</v>
      </c>
      <c r="AO153" s="776">
        <f>+(AO152-AI152)*10000</f>
        <v>14.997754827191997</v>
      </c>
      <c r="AP153" s="776">
        <f t="shared" ref="AP153" si="46">+(AP152-AJ152)*10000</f>
        <v>-18.244878958243447</v>
      </c>
      <c r="AQ153" s="777">
        <f t="shared" ref="AQ153" si="47">+(AQ152-AK152)*10000</f>
        <v>-3.8312320752899307</v>
      </c>
      <c r="AR153" s="268"/>
      <c r="AS153" s="1302">
        <f t="shared" ref="AS153" si="48">+(AS152-AM152)*10000</f>
        <v>-36.277314009355855</v>
      </c>
      <c r="AT153" s="776">
        <f t="shared" ref="AT153" si="49">+(AT152-AN152)*10000</f>
        <v>-60.609587047865539</v>
      </c>
      <c r="AU153" s="776">
        <f t="shared" ref="AU153" si="50">+(AU152-AO152)*10000</f>
        <v>-30.005000611663043</v>
      </c>
      <c r="AV153" s="776">
        <f t="shared" ref="AV153" si="51">+(AV152-AP152)*10000</f>
        <v>9.8733290428160139</v>
      </c>
      <c r="AW153" s="777">
        <f t="shared" ref="AW153" si="52">+(AW152-AQ152)*10000</f>
        <v>-28.808371856570425</v>
      </c>
      <c r="AX153" s="268"/>
      <c r="AY153" s="1302">
        <f t="shared" ref="AY153" si="53">+(AY152-AS152)*10000</f>
        <v>31.632961214331026</v>
      </c>
      <c r="AZ153" s="776">
        <f t="shared" ref="AZ153" si="54">+(AZ152-AT152)*10000</f>
        <v>31.542794664765616</v>
      </c>
      <c r="BA153" s="776">
        <f t="shared" ref="BA153" si="55">+(BA152-AU152)*10000</f>
        <v>68.72558319041697</v>
      </c>
      <c r="BB153" s="776">
        <f t="shared" ref="BB153" si="56">+(BB152-AV152)*10000</f>
        <v>-1.7909155858403247</v>
      </c>
      <c r="BC153" s="777">
        <f t="shared" ref="BC153" si="57">+(BC152-AW152)*10000</f>
        <v>32.643211527599306</v>
      </c>
      <c r="BD153" s="268"/>
      <c r="BE153" s="1302">
        <f t="shared" ref="BE153" si="58">+(BE152-AY152)*10000</f>
        <v>-19.43876981037651</v>
      </c>
      <c r="BF153" s="776">
        <f t="shared" ref="BF153" si="59">+(BF152-AZ152)*10000</f>
        <v>-24.289355495608138</v>
      </c>
      <c r="BG153" s="776">
        <f t="shared" ref="BG153" si="60">+(BG152-BA152)*10000</f>
        <v>-19.525891521700729</v>
      </c>
      <c r="BH153" s="776">
        <f t="shared" ref="BH153" si="61">+(BH152-BB152)*10000</f>
        <v>-10.669130695921819</v>
      </c>
      <c r="BI153" s="777">
        <f t="shared" ref="BI153" si="62">+(BI152-BC152)*10000</f>
        <v>-18.435237103400016</v>
      </c>
      <c r="BJ153" s="268"/>
      <c r="BK153" s="1302">
        <f t="shared" ref="BK153:BL153" si="63">+(BK152-BE152)*10000</f>
        <v>-4.3272754988071815</v>
      </c>
      <c r="BL153" s="776">
        <f t="shared" si="63"/>
        <v>-15.500299694171035</v>
      </c>
      <c r="BM153" s="776">
        <f>+(BM152-BG152)*10000</f>
        <v>-40.655451600385696</v>
      </c>
      <c r="BN153" s="776">
        <f t="shared" ref="BN153:BO153" si="64">+(BN152-BH152)*10000</f>
        <v>-13.217444751060098</v>
      </c>
      <c r="BO153" s="777">
        <f t="shared" si="64"/>
        <v>-18.690522331728729</v>
      </c>
      <c r="BP153" s="268"/>
      <c r="BQ153" s="1302">
        <f t="shared" ref="BQ153" si="65">+(BQ152-BK152)*10000</f>
        <v>5.0000000000000737</v>
      </c>
      <c r="BR153" s="776">
        <f t="shared" ref="BR153:BS153" si="66">+(BR152-BL152)*10000</f>
        <v>5.0000000000002824</v>
      </c>
      <c r="BS153" s="776">
        <f t="shared" si="66"/>
        <v>5.0000000000000044</v>
      </c>
      <c r="BT153" s="776">
        <f t="shared" ref="BT153" si="67">+(BT152-BN152)*10000</f>
        <v>5.000000000000143</v>
      </c>
      <c r="BU153" s="777">
        <f t="shared" ref="BU153" si="68">+(BU152-BO152)*10000</f>
        <v>4.8357049148439053</v>
      </c>
      <c r="BV153" s="268"/>
      <c r="BW153" s="1302">
        <f t="shared" ref="BW153" si="69">+(BW152-BQ152)*10000</f>
        <v>-39.999999999999964</v>
      </c>
      <c r="BX153" s="776">
        <f t="shared" ref="BX153:BY153" si="70">+(BX152-BR152)*10000</f>
        <v>-40.000000000000036</v>
      </c>
      <c r="BY153" s="776">
        <f t="shared" si="70"/>
        <v>-39.999999999999758</v>
      </c>
      <c r="BZ153" s="776">
        <f t="shared" ref="BZ153" si="71">+(BZ152-BT152)*10000</f>
        <v>-40.000000000000313</v>
      </c>
      <c r="CA153" s="777">
        <f t="shared" ref="CA153" si="72">+(CA152-BU152)*10000</f>
        <v>-40.00544412571562</v>
      </c>
      <c r="CB153" s="268"/>
      <c r="CC153" s="1302">
        <f t="shared" ref="CC153" si="73">+(CC152-BW152)*10000</f>
        <v>-40.000000000000036</v>
      </c>
      <c r="CD153" s="776">
        <f t="shared" ref="CD153:CE153" si="74">+(CD152-BX152)*10000</f>
        <v>-39.999999999999964</v>
      </c>
      <c r="CE153" s="776">
        <f t="shared" si="74"/>
        <v>-40.000000000000455</v>
      </c>
      <c r="CF153" s="776">
        <f t="shared" ref="CF153" si="75">+(CF152-BZ152)*10000</f>
        <v>-39.999999999999687</v>
      </c>
      <c r="CG153" s="777">
        <f t="shared" ref="CG153" si="76">+(CG152-CA152)*10000</f>
        <v>-40.002840676343773</v>
      </c>
      <c r="CI153" s="1000"/>
      <c r="CJ153" s="1241"/>
      <c r="CK153" s="15"/>
      <c r="CL153" s="15"/>
      <c r="CM153" s="15"/>
      <c r="CN153" s="15"/>
      <c r="CO153"/>
      <c r="CP153"/>
      <c r="CQ153"/>
      <c r="CR153"/>
      <c r="CS153"/>
      <c r="CT153"/>
    </row>
    <row r="154" spans="2:98" x14ac:dyDescent="0.2">
      <c r="B154" s="98" t="s">
        <v>314</v>
      </c>
      <c r="C154" s="146">
        <f>C100-C143</f>
        <v>10.837000000000002</v>
      </c>
      <c r="D154" s="145">
        <f>D100-D143</f>
        <v>12.124000000000001</v>
      </c>
      <c r="E154" s="145">
        <f>E100-E143</f>
        <v>11.328000000000001</v>
      </c>
      <c r="F154" s="145">
        <f>F100-F143</f>
        <v>12.713000000000001</v>
      </c>
      <c r="G154" s="456">
        <f>+SUM(C154:F154)</f>
        <v>47.002000000000002</v>
      </c>
      <c r="H154" s="62"/>
      <c r="I154" s="146">
        <f>I100-I143</f>
        <v>13.154</v>
      </c>
      <c r="J154" s="145">
        <f>J100-J143</f>
        <v>14.242000000000001</v>
      </c>
      <c r="K154" s="145">
        <f>K100-K143</f>
        <v>14.527000000000001</v>
      </c>
      <c r="L154" s="145">
        <f>L100-L143</f>
        <v>15.055999999999997</v>
      </c>
      <c r="M154" s="456">
        <f>+SUM(I154:L154)</f>
        <v>56.978999999999999</v>
      </c>
      <c r="N154" s="62"/>
      <c r="O154" s="146">
        <f>O100-O143</f>
        <v>14.88</v>
      </c>
      <c r="P154" s="145">
        <f>P100-P143</f>
        <v>15.31</v>
      </c>
      <c r="Q154" s="145">
        <f>Q100-Q143</f>
        <v>15.635000000000002</v>
      </c>
      <c r="R154" s="145">
        <f>R100-R143</f>
        <v>16.345000000000006</v>
      </c>
      <c r="S154" s="456">
        <f>+SUM(O154:R154)</f>
        <v>62.170000000000009</v>
      </c>
      <c r="T154" s="62"/>
      <c r="U154" s="146">
        <f>U100-U143</f>
        <v>15.144</v>
      </c>
      <c r="V154" s="145">
        <f>V100-V143</f>
        <v>16.870999999999999</v>
      </c>
      <c r="W154" s="145">
        <f>W100-W143</f>
        <v>16.355999999999998</v>
      </c>
      <c r="X154" s="145">
        <f>X100-X143</f>
        <v>18.100000000000001</v>
      </c>
      <c r="Y154" s="456">
        <f>+SUM(U154:X154)</f>
        <v>66.471000000000004</v>
      </c>
      <c r="Z154" s="62"/>
      <c r="AA154" s="146">
        <f>AA100-AA143</f>
        <v>14.572999999999997</v>
      </c>
      <c r="AB154" s="145">
        <f>AB100-AB143</f>
        <v>16.998000000000001</v>
      </c>
      <c r="AC154" s="145">
        <f>AC100-AC143</f>
        <v>17.645</v>
      </c>
      <c r="AD154" s="145">
        <f>AD100-AD143</f>
        <v>20.838999999999995</v>
      </c>
      <c r="AE154" s="456">
        <f>+SUM(AA154:AD154)</f>
        <v>70.054999999999993</v>
      </c>
      <c r="AF154" s="62"/>
      <c r="AG154" s="146">
        <f>AG100-AG143</f>
        <v>16.131</v>
      </c>
      <c r="AH154" s="145">
        <f>AH100-AH143</f>
        <v>18.809000000000001</v>
      </c>
      <c r="AI154" s="145">
        <f>AI100-AI143</f>
        <v>19.689999999999998</v>
      </c>
      <c r="AJ154" s="145">
        <f>AJ100-AJ143</f>
        <v>22.875</v>
      </c>
      <c r="AK154" s="456">
        <f>+SUM(AG154:AJ154)</f>
        <v>77.504999999999995</v>
      </c>
      <c r="AL154" s="62"/>
      <c r="AM154" s="146">
        <f>AM100-AM143</f>
        <v>19.168999999999997</v>
      </c>
      <c r="AN154" s="145">
        <f>AN100-AN143</f>
        <v>21.383000000000003</v>
      </c>
      <c r="AO154" s="145">
        <f>AO100-AO143</f>
        <v>20.527999999999999</v>
      </c>
      <c r="AP154" s="145">
        <f>AP100-AP143</f>
        <v>25.309999999999995</v>
      </c>
      <c r="AQ154" s="456">
        <f>+SUM(AM154:AP154)</f>
        <v>86.389999999999986</v>
      </c>
      <c r="AR154" s="62"/>
      <c r="AS154" s="146">
        <f>AS100-AS143</f>
        <v>23.449000000000002</v>
      </c>
      <c r="AT154" s="145">
        <f>AT100-AT143</f>
        <v>27.266000000000002</v>
      </c>
      <c r="AU154" s="145">
        <f>AU100-AU143</f>
        <v>25.314999999999998</v>
      </c>
      <c r="AV154" s="145">
        <f>AV100-AV143</f>
        <v>27.340999999999994</v>
      </c>
      <c r="AW154" s="456">
        <f>+SUM(AS154:AV154)</f>
        <v>103.371</v>
      </c>
      <c r="AX154" s="62"/>
      <c r="AY154" s="146">
        <f>AY100-AY143</f>
        <v>25.230000000000004</v>
      </c>
      <c r="AZ154" s="145">
        <f>AZ100-AZ143</f>
        <v>27.840000000000003</v>
      </c>
      <c r="BA154" s="145">
        <f>BA100-BA143</f>
        <v>27.215999999999994</v>
      </c>
      <c r="BB154" s="145">
        <f>BB100-BB143</f>
        <v>28.154000000000011</v>
      </c>
      <c r="BC154" s="456">
        <f>+SUM(AY154:BB154)</f>
        <v>108.44000000000001</v>
      </c>
      <c r="BD154" s="62"/>
      <c r="BE154" s="146">
        <f>BE100-BE143</f>
        <v>28.296000000000006</v>
      </c>
      <c r="BF154" s="145">
        <f>BF100-BF143</f>
        <v>30.926999999999992</v>
      </c>
      <c r="BG154" s="145">
        <f>BG100-BG143</f>
        <v>30.608000000000004</v>
      </c>
      <c r="BH154" s="145">
        <f>BH100-BH143</f>
        <v>31.446000000000012</v>
      </c>
      <c r="BI154" s="456">
        <f>+SUM(BE154:BH154)</f>
        <v>121.27700000000002</v>
      </c>
      <c r="BJ154" s="62"/>
      <c r="BK154" s="146">
        <f>BK100-BK143</f>
        <v>31.260999999999996</v>
      </c>
      <c r="BL154" s="145">
        <f>BL100-BL143</f>
        <v>33.702999999999996</v>
      </c>
      <c r="BM154" s="145">
        <f>BM100-BM143</f>
        <v>31.934999999999995</v>
      </c>
      <c r="BN154" s="145">
        <f>BN100-BN143</f>
        <v>33.949999999999989</v>
      </c>
      <c r="BO154" s="456">
        <f>+SUM(BK154:BN154)</f>
        <v>130.84899999999999</v>
      </c>
      <c r="BP154" s="62"/>
      <c r="BQ154" s="146">
        <f>BQ100-BQ143</f>
        <v>34.79264301235925</v>
      </c>
      <c r="BR154" s="145">
        <f>BR100-BR143</f>
        <v>44.782009844492535</v>
      </c>
      <c r="BS154" s="145">
        <f>BS100-BS143</f>
        <v>43.725781565810642</v>
      </c>
      <c r="BT154" s="145">
        <f>BT100-BT143</f>
        <v>44.373995295994426</v>
      </c>
      <c r="BU154" s="456">
        <f>+SUM(BQ154:BT154)</f>
        <v>167.67442971865685</v>
      </c>
      <c r="BV154" s="62"/>
      <c r="BW154" s="146">
        <f>BW100-BW143</f>
        <v>44.80775927862593</v>
      </c>
      <c r="BX154" s="145">
        <f>BX100-BX143</f>
        <v>47.476222101893519</v>
      </c>
      <c r="BY154" s="145">
        <f>BY100-BY143</f>
        <v>46.373732104749458</v>
      </c>
      <c r="BZ154" s="145">
        <f>BZ100-BZ143</f>
        <v>47.067722651746884</v>
      </c>
      <c r="CA154" s="456">
        <f>+SUM(BW154:BZ154)</f>
        <v>185.72543613701581</v>
      </c>
      <c r="CB154" s="62"/>
      <c r="CC154" s="146">
        <f>CC100-CC143</f>
        <v>47.511458240738484</v>
      </c>
      <c r="CD154" s="145">
        <f>CD100-CD143</f>
        <v>50.337148558629657</v>
      </c>
      <c r="CE154" s="145">
        <f>CE100-CE143</f>
        <v>49.186780503078573</v>
      </c>
      <c r="CF154" s="480">
        <f>CF100-CF143</f>
        <v>49.929743925079187</v>
      </c>
      <c r="CG154" s="456">
        <f>+SUM(CC154:CF154)</f>
        <v>196.96513122752589</v>
      </c>
    </row>
    <row r="155" spans="2:98" x14ac:dyDescent="0.2">
      <c r="B155" s="113" t="s">
        <v>433</v>
      </c>
      <c r="C155" s="259">
        <f>+C154/RevBuild!C$167</f>
        <v>0.38138307232095731</v>
      </c>
      <c r="D155" s="260">
        <f>+D154/RevBuild!D$167</f>
        <v>0.3803607843137255</v>
      </c>
      <c r="E155" s="260">
        <f>+E154/RevBuild!E$167</f>
        <v>0.35576772086303826</v>
      </c>
      <c r="F155" s="260">
        <f>+F154/RevBuild!F$167</f>
        <v>0.31972737789849615</v>
      </c>
      <c r="G155" s="449">
        <f>+G154/RevBuild!G$167</f>
        <v>0.35636462890373261</v>
      </c>
      <c r="H155" s="268"/>
      <c r="I155" s="259">
        <f>+I154/RevBuild!I$167</f>
        <v>0.33906431241139318</v>
      </c>
      <c r="J155" s="260">
        <f>+J154/RevBuild!J$167</f>
        <v>0.34636898681842504</v>
      </c>
      <c r="K155" s="260">
        <f>+K154/RevBuild!K$167</f>
        <v>0.35419612815136298</v>
      </c>
      <c r="L155" s="260">
        <f>+L154/RevBuild!L$167</f>
        <v>0.35541287002502253</v>
      </c>
      <c r="M155" s="449">
        <f>+M154/RevBuild!M$167</f>
        <v>0.34894573425031694</v>
      </c>
      <c r="N155" s="268"/>
      <c r="O155" s="259">
        <f>+O154/RevBuild!O$167</f>
        <v>0.36900185988840667</v>
      </c>
      <c r="P155" s="260">
        <f>+P154/RevBuild!P$167</f>
        <v>0.35980352988178893</v>
      </c>
      <c r="Q155" s="260">
        <f>+Q154/RevBuild!Q$167</f>
        <v>0.36182916387031083</v>
      </c>
      <c r="R155" s="260">
        <f>+R154/RevBuild!R$167</f>
        <v>0.34687294412257808</v>
      </c>
      <c r="S155" s="449">
        <f>+S154/RevBuild!S$167</f>
        <v>0.35893261281234123</v>
      </c>
      <c r="T155" s="268"/>
      <c r="U155" s="259">
        <f>+U154/RevBuild!U$167</f>
        <v>0.33673537455806818</v>
      </c>
      <c r="V155" s="260">
        <f>+V154/RevBuild!V$167</f>
        <v>0.34871127095347343</v>
      </c>
      <c r="W155" s="260">
        <f>+W154/RevBuild!W$167</f>
        <v>0.3328110692847695</v>
      </c>
      <c r="X155" s="260">
        <f>+X154/RevBuild!X$167</f>
        <v>0.31504011975005664</v>
      </c>
      <c r="Y155" s="449">
        <f>+Y154/RevBuild!Y$167</f>
        <v>0.33243478434824358</v>
      </c>
      <c r="Z155" s="268"/>
      <c r="AA155" s="259">
        <f>+AA154/RevBuild!AA$167</f>
        <v>0.26188764691082911</v>
      </c>
      <c r="AB155" s="260">
        <f>+AB154/RevBuild!AB$167</f>
        <v>0.27390947032566837</v>
      </c>
      <c r="AC155" s="260">
        <f>+AC154/RevBuild!AC$167</f>
        <v>0.28371816310779518</v>
      </c>
      <c r="AD155" s="260">
        <f>+AD154/RevBuild!AD$167</f>
        <v>0.29464828561329087</v>
      </c>
      <c r="AE155" s="449">
        <f>+AE154/RevBuild!AE$167</f>
        <v>0.27952677360146833</v>
      </c>
      <c r="AF155" s="268"/>
      <c r="AG155" s="259">
        <f>+AG154/RevBuild!AG$167</f>
        <v>0.25630392297058963</v>
      </c>
      <c r="AH155" s="260">
        <f>+AH154/RevBuild!AH$167</f>
        <v>0.27598198171760596</v>
      </c>
      <c r="AI155" s="260">
        <f>+AI154/RevBuild!AI$167</f>
        <v>0.27745681030352565</v>
      </c>
      <c r="AJ155" s="260">
        <f>+AJ154/RevBuild!AJ$167</f>
        <v>0.28116818466757626</v>
      </c>
      <c r="AK155" s="449">
        <f>+AK154/RevBuild!AK$167</f>
        <v>0.27347016544759767</v>
      </c>
      <c r="AL155" s="268"/>
      <c r="AM155" s="259">
        <f>+AM154/RevBuild!AM$167</f>
        <v>0.25657190277331615</v>
      </c>
      <c r="AN155" s="260">
        <f>+AN154/RevBuild!AN$167</f>
        <v>0.27398295854955479</v>
      </c>
      <c r="AO155" s="260">
        <f>+AO154/RevBuild!AO$167</f>
        <v>0.26006866583051447</v>
      </c>
      <c r="AP155" s="260">
        <f>+AP154/RevBuild!AP$167</f>
        <v>0.28645155448917453</v>
      </c>
      <c r="AQ155" s="449">
        <f>+AQ154/RevBuild!AQ$167</f>
        <v>0.26992910416282601</v>
      </c>
      <c r="AR155" s="268"/>
      <c r="AS155" s="259">
        <f>+AS154/RevBuild!AS$167</f>
        <v>0.28832273850655976</v>
      </c>
      <c r="AT155" s="260">
        <f>+AT154/RevBuild!AT$167</f>
        <v>0.30595047071892639</v>
      </c>
      <c r="AU155" s="260">
        <f>+AU154/RevBuild!AU$167</f>
        <v>0.29056621098906138</v>
      </c>
      <c r="AV155" s="260">
        <f>+AV154/RevBuild!AV$167</f>
        <v>0.29944034958984517</v>
      </c>
      <c r="AW155" s="449">
        <f>+AW154/RevBuild!AW$167</f>
        <v>0.29629555317331557</v>
      </c>
      <c r="AX155" s="268"/>
      <c r="AY155" s="259">
        <f>+AY154/RevBuild!AY$167</f>
        <v>0.29434411311773767</v>
      </c>
      <c r="AZ155" s="260">
        <f>+AZ154/RevBuild!AZ$167</f>
        <v>0.3110614525139665</v>
      </c>
      <c r="BA155" s="260">
        <f>+BA154/RevBuild!BA$167</f>
        <v>0.30328289019144616</v>
      </c>
      <c r="BB155" s="260">
        <f>+BB154/RevBuild!BB$167</f>
        <v>0.30008846822072299</v>
      </c>
      <c r="BC155" s="449">
        <f>+BC154/RevBuild!BC$167</f>
        <v>0.30225239914932284</v>
      </c>
      <c r="BD155" s="268"/>
      <c r="BE155" s="259">
        <f>+BE154/RevBuild!BE$167</f>
        <v>0.27835599189407212</v>
      </c>
      <c r="BF155" s="260">
        <f>+BF154/RevBuild!BF$167</f>
        <v>0.28898606789448594</v>
      </c>
      <c r="BG155" s="260">
        <f>+BG154/RevBuild!BG$167</f>
        <v>0.2923511882020326</v>
      </c>
      <c r="BH155" s="260">
        <f>+BH154/RevBuild!BH$167</f>
        <v>0.28019995188323676</v>
      </c>
      <c r="BI155" s="449">
        <f>+BI154/RevBuild!BI$167</f>
        <v>0.28495803531988084</v>
      </c>
      <c r="BJ155" s="268"/>
      <c r="BK155" s="259">
        <f>+BK154/RevBuild!BK$167</f>
        <v>0.29501250412872171</v>
      </c>
      <c r="BL155" s="260">
        <f>+BL154/RevBuild!BL$167</f>
        <v>0.31053228050454695</v>
      </c>
      <c r="BM155" s="260">
        <f>+BM154/RevBuild!BM$167</f>
        <v>0.29294940006604775</v>
      </c>
      <c r="BN155" s="260">
        <f>+BN154/RevBuild!BN$167</f>
        <v>0.29627108586189133</v>
      </c>
      <c r="BO155" s="449">
        <f>+BO154/RevBuild!BO$167</f>
        <v>0.29867313701635007</v>
      </c>
      <c r="BP155" s="268"/>
      <c r="BQ155" s="259">
        <f>+BQ154/RevBuild!BQ$167</f>
        <v>0.30490504215352832</v>
      </c>
      <c r="BR155" s="260">
        <f>+BR154/RevBuild!BR$167</f>
        <v>0.31396392012909197</v>
      </c>
      <c r="BS155" s="260">
        <f>+BS154/RevBuild!BS$167</f>
        <v>0.30883708593393272</v>
      </c>
      <c r="BT155" s="260">
        <f>+BT154/RevBuild!BT$167</f>
        <v>0.30127108586189122</v>
      </c>
      <c r="BU155" s="449">
        <f>+BU154/RevBuild!BU$167</f>
        <v>0.30731254482456566</v>
      </c>
      <c r="BV155" s="268"/>
      <c r="BW155" s="259">
        <f>+BW154/RevBuild!BW$167</f>
        <v>0.30640504215352832</v>
      </c>
      <c r="BX155" s="260">
        <f>+BX154/RevBuild!BX$167</f>
        <v>0.31546392012909202</v>
      </c>
      <c r="BY155" s="260">
        <f>+BY154/RevBuild!BY$167</f>
        <v>0.31033708593393272</v>
      </c>
      <c r="BZ155" s="260">
        <f>+BZ154/RevBuild!BZ$167</f>
        <v>0.30277108586189128</v>
      </c>
      <c r="CA155" s="449">
        <f>+CA154/RevBuild!CA$167</f>
        <v>0.3087087774535765</v>
      </c>
      <c r="CB155" s="268"/>
      <c r="CC155" s="259">
        <f>+CC154/RevBuild!CC$167</f>
        <v>0.30790504215352837</v>
      </c>
      <c r="CD155" s="260">
        <f>+CD154/RevBuild!CD$167</f>
        <v>0.31696392012909202</v>
      </c>
      <c r="CE155" s="260">
        <f>+CE154/RevBuild!CE$167</f>
        <v>0.31183708593393272</v>
      </c>
      <c r="CF155" s="481">
        <f>+CF154/RevBuild!CF$167</f>
        <v>0.30427108586189128</v>
      </c>
      <c r="CG155" s="449">
        <f>+CG154/RevBuild!CG$167</f>
        <v>0.31020844874303449</v>
      </c>
      <c r="CI155" s="1000">
        <f>+(BI155-G155)/10</f>
        <v>-7.1406593583851763E-3</v>
      </c>
      <c r="CJ155" s="1000">
        <f>+(BO155-AK155)/5</f>
        <v>5.0405943137504794E-3</v>
      </c>
    </row>
    <row r="156" spans="2:98" s="279" customFormat="1" x14ac:dyDescent="0.2">
      <c r="B156" s="804" t="s">
        <v>470</v>
      </c>
      <c r="C156" s="372"/>
      <c r="D156" s="260"/>
      <c r="E156" s="260"/>
      <c r="F156" s="260"/>
      <c r="G156" s="449"/>
      <c r="H156" s="268"/>
      <c r="I156" s="372"/>
      <c r="J156" s="260"/>
      <c r="K156" s="260"/>
      <c r="L156" s="260"/>
      <c r="M156" s="449"/>
      <c r="N156" s="268"/>
      <c r="O156" s="372"/>
      <c r="P156" s="260"/>
      <c r="Q156" s="260"/>
      <c r="R156" s="260"/>
      <c r="S156" s="449"/>
      <c r="T156" s="268"/>
      <c r="U156" s="372"/>
      <c r="V156" s="260"/>
      <c r="W156" s="260"/>
      <c r="X156" s="260"/>
      <c r="Y156" s="449"/>
      <c r="Z156" s="268"/>
      <c r="AA156" s="372"/>
      <c r="AB156" s="260"/>
      <c r="AC156" s="260"/>
      <c r="AD156" s="260"/>
      <c r="AE156" s="449"/>
      <c r="AF156" s="268"/>
      <c r="AG156" s="372"/>
      <c r="AH156" s="260"/>
      <c r="AI156" s="260"/>
      <c r="AJ156" s="260"/>
      <c r="AK156" s="449"/>
      <c r="AL156" s="268"/>
      <c r="AM156" s="1302">
        <f t="shared" ref="AM156" si="77">+(AM155-AG155)*10000</f>
        <v>2.6797980272652566</v>
      </c>
      <c r="AN156" s="776">
        <f t="shared" ref="AN156" si="78">+(AN155-AH155)*10000</f>
        <v>-19.990231680511727</v>
      </c>
      <c r="AO156" s="776">
        <f>+(AO155-AI155)*10000</f>
        <v>-173.88144473011181</v>
      </c>
      <c r="AP156" s="776">
        <f t="shared" ref="AP156" si="79">+(AP155-AJ155)*10000</f>
        <v>52.833698215982714</v>
      </c>
      <c r="AQ156" s="777">
        <f t="shared" ref="AQ156" si="80">+(AQ155-AK155)*10000</f>
        <v>-35.410612847716628</v>
      </c>
      <c r="AR156" s="268"/>
      <c r="AS156" s="1302">
        <f t="shared" ref="AS156" si="81">+(AS155-AM155)*10000</f>
        <v>317.50835733243611</v>
      </c>
      <c r="AT156" s="776">
        <f t="shared" ref="AT156" si="82">+(AT155-AN155)*10000</f>
        <v>319.67512169371605</v>
      </c>
      <c r="AU156" s="776">
        <f t="shared" ref="AU156" si="83">+(AU155-AO155)*10000</f>
        <v>304.9754515854691</v>
      </c>
      <c r="AV156" s="776">
        <f t="shared" ref="AV156" si="84">+(AV155-AP155)*10000</f>
        <v>129.88795100670637</v>
      </c>
      <c r="AW156" s="777">
        <f t="shared" ref="AW156" si="85">+(AW155-AQ155)*10000</f>
        <v>263.66449010489566</v>
      </c>
      <c r="AX156" s="268"/>
      <c r="AY156" s="1302">
        <f t="shared" ref="AY156" si="86">+(AY155-AS155)*10000</f>
        <v>60.213746111779102</v>
      </c>
      <c r="AZ156" s="776">
        <f t="shared" ref="AZ156" si="87">+(AZ155-AT155)*10000</f>
        <v>51.109817950401037</v>
      </c>
      <c r="BA156" s="776">
        <f t="shared" ref="BA156" si="88">+(BA155-AU155)*10000</f>
        <v>127.16679202384785</v>
      </c>
      <c r="BB156" s="776">
        <f t="shared" ref="BB156" si="89">+(BB155-AV155)*10000</f>
        <v>6.4811863087782529</v>
      </c>
      <c r="BC156" s="777">
        <f t="shared" ref="BC156" si="90">+(BC155-AW155)*10000</f>
        <v>59.568459760072635</v>
      </c>
      <c r="BD156" s="268"/>
      <c r="BE156" s="1302">
        <f t="shared" ref="BE156" si="91">+(BE155-AY155)*10000</f>
        <v>-159.88121223665553</v>
      </c>
      <c r="BF156" s="776">
        <f t="shared" ref="BF156" si="92">+(BF155-AZ155)*10000</f>
        <v>-220.75384619480553</v>
      </c>
      <c r="BG156" s="776">
        <f t="shared" ref="BG156" si="93">+(BG155-BA155)*10000</f>
        <v>-109.31701989413567</v>
      </c>
      <c r="BH156" s="776">
        <f t="shared" ref="BH156" si="94">+(BH155-BB155)*10000</f>
        <v>-198.88516337486229</v>
      </c>
      <c r="BI156" s="777">
        <f t="shared" ref="BI156" si="95">+(BI155-BC155)*10000</f>
        <v>-172.94363829441994</v>
      </c>
      <c r="BJ156" s="268"/>
      <c r="BK156" s="1302">
        <f t="shared" ref="BK156" si="96">+(BK155-BE155)*10000</f>
        <v>166.56512234649591</v>
      </c>
      <c r="BL156" s="776">
        <f t="shared" ref="BL156" si="97">+(BL155-BF155)*10000</f>
        <v>215.46212610061011</v>
      </c>
      <c r="BM156" s="776">
        <f>+(BM155-BG155)*10000</f>
        <v>5.9821186401515236</v>
      </c>
      <c r="BN156" s="776">
        <f t="shared" ref="BN156" si="98">+(BN155-BH155)*10000</f>
        <v>160.71133978654561</v>
      </c>
      <c r="BO156" s="777">
        <f t="shared" ref="BO156" si="99">+(BO155-BI155)*10000</f>
        <v>137.15101696469222</v>
      </c>
      <c r="BP156" s="268"/>
      <c r="BQ156" s="1302">
        <f t="shared" ref="BQ156" si="100">+(BQ155-BK155)*10000</f>
        <v>98.925380248066077</v>
      </c>
      <c r="BR156" s="776">
        <f t="shared" ref="BR156" si="101">+(BR155-BL155)*10000</f>
        <v>34.316396245450129</v>
      </c>
      <c r="BS156" s="776">
        <f t="shared" ref="BS156" si="102">+(BS155-BM155)*10000</f>
        <v>158.87685867884971</v>
      </c>
      <c r="BT156" s="776">
        <f t="shared" ref="BT156" si="103">+(BT155-BN155)*10000</f>
        <v>49.999999999998934</v>
      </c>
      <c r="BU156" s="777">
        <f t="shared" ref="BU156" si="104">+(BU155-BO155)*10000</f>
        <v>86.394078082155929</v>
      </c>
      <c r="BV156" s="268"/>
      <c r="BW156" s="1302">
        <f t="shared" ref="BW156" si="105">+(BW155-BQ155)*10000</f>
        <v>15.000000000000014</v>
      </c>
      <c r="BX156" s="776">
        <f t="shared" ref="BX156" si="106">+(BX155-BR155)*10000</f>
        <v>15.000000000000568</v>
      </c>
      <c r="BY156" s="776">
        <f t="shared" ref="BY156" si="107">+(BY155-BS155)*10000</f>
        <v>15.000000000000014</v>
      </c>
      <c r="BZ156" s="776">
        <f t="shared" ref="BZ156" si="108">+(BZ155-BT155)*10000</f>
        <v>15.000000000000568</v>
      </c>
      <c r="CA156" s="777">
        <f t="shared" ref="CA156" si="109">+(CA155-BU155)*10000</f>
        <v>13.962326290108408</v>
      </c>
      <c r="CB156" s="268"/>
      <c r="CC156" s="1302">
        <f t="shared" ref="CC156" si="110">+(CC155-BW155)*10000</f>
        <v>15.000000000000568</v>
      </c>
      <c r="CD156" s="776">
        <f t="shared" ref="CD156" si="111">+(CD155-BX155)*10000</f>
        <v>15.000000000000014</v>
      </c>
      <c r="CE156" s="776">
        <f t="shared" ref="CE156" si="112">+(CE155-BY155)*10000</f>
        <v>15.000000000000014</v>
      </c>
      <c r="CF156" s="776">
        <f t="shared" ref="CF156" si="113">+(CF155-BZ155)*10000</f>
        <v>15.000000000000014</v>
      </c>
      <c r="CG156" s="777">
        <f t="shared" ref="CG156" si="114">+(CG155-CA155)*10000</f>
        <v>14.996712894579932</v>
      </c>
      <c r="CI156" s="1000"/>
      <c r="CJ156" s="1000"/>
      <c r="CK156" s="15"/>
      <c r="CL156" s="15"/>
      <c r="CM156" s="15"/>
      <c r="CN156" s="15"/>
      <c r="CO156"/>
      <c r="CP156"/>
      <c r="CQ156"/>
      <c r="CR156"/>
      <c r="CS156"/>
      <c r="CT156"/>
    </row>
    <row r="157" spans="2:98" x14ac:dyDescent="0.2">
      <c r="B157" s="130" t="s">
        <v>434</v>
      </c>
      <c r="C157" s="147">
        <f>+C151+C154</f>
        <v>73.721000000000018</v>
      </c>
      <c r="D157" s="148">
        <f>+D151+D154</f>
        <v>90.852000000000004</v>
      </c>
      <c r="E157" s="148">
        <f>+E151+E154</f>
        <v>96.700000000000017</v>
      </c>
      <c r="F157" s="148">
        <f>+F151+F154</f>
        <v>126.66600000000008</v>
      </c>
      <c r="G157" s="448">
        <f>+SUM(C157:F157)</f>
        <v>387.93900000000008</v>
      </c>
      <c r="H157" s="153"/>
      <c r="I157" s="147">
        <f>+I151+I154</f>
        <v>85.274999999999977</v>
      </c>
      <c r="J157" s="148">
        <f>+J151+J154</f>
        <v>113.992</v>
      </c>
      <c r="K157" s="148">
        <f>+K151+K154</f>
        <v>115.414</v>
      </c>
      <c r="L157" s="148">
        <f>+L151+L154</f>
        <v>127.84499999999987</v>
      </c>
      <c r="M157" s="448">
        <f>+SUM(I157:L157)</f>
        <v>442.52599999999984</v>
      </c>
      <c r="N157" s="153"/>
      <c r="O157" s="147">
        <f>+O151+O154</f>
        <v>94.630999999999972</v>
      </c>
      <c r="P157" s="148">
        <f>+P151+P154</f>
        <v>121.96999999999997</v>
      </c>
      <c r="Q157" s="148">
        <f>+Q151+Q154</f>
        <v>113.88500000000001</v>
      </c>
      <c r="R157" s="148">
        <f>+R151+R154</f>
        <v>136.61900000000023</v>
      </c>
      <c r="S157" s="448">
        <f>+SUM(O157:R157)</f>
        <v>467.10500000000013</v>
      </c>
      <c r="T157" s="153"/>
      <c r="U157" s="147">
        <f>+U151+U154</f>
        <v>116.04399999999998</v>
      </c>
      <c r="V157" s="148">
        <f>+V151+V154</f>
        <v>138.00600000000006</v>
      </c>
      <c r="W157" s="148">
        <f>+W151+W154</f>
        <v>137.36799999999999</v>
      </c>
      <c r="X157" s="148">
        <f>+X151+X154</f>
        <v>141.99799999999991</v>
      </c>
      <c r="Y157" s="448">
        <f>+SUM(U157:X157)</f>
        <v>533.41599999999994</v>
      </c>
      <c r="Z157" s="153"/>
      <c r="AA157" s="147">
        <f>+AA151+AA154</f>
        <v>124.29999999999997</v>
      </c>
      <c r="AB157" s="148">
        <f>+AB151+AB154</f>
        <v>151.21499999999997</v>
      </c>
      <c r="AC157" s="148">
        <f>+AC151+AC154</f>
        <v>143.26099999999994</v>
      </c>
      <c r="AD157" s="148">
        <f>+AD151+AD154</f>
        <v>163.37299999999988</v>
      </c>
      <c r="AE157" s="448">
        <f>+SUM(AA157:AD157)</f>
        <v>582.14899999999966</v>
      </c>
      <c r="AF157" s="153"/>
      <c r="AG157" s="147">
        <f>+AG151+AG154</f>
        <v>145.12700000000004</v>
      </c>
      <c r="AH157" s="148">
        <f>+AH151+AH154</f>
        <v>158.06199999999993</v>
      </c>
      <c r="AI157" s="148">
        <f>+AI151+AI154</f>
        <v>149.62199999999996</v>
      </c>
      <c r="AJ157" s="148">
        <f>+AJ151+AJ154</f>
        <v>181.34199999999993</v>
      </c>
      <c r="AK157" s="448">
        <f>+SUM(AG157:AJ157)</f>
        <v>634.15299999999979</v>
      </c>
      <c r="AL157" s="153"/>
      <c r="AM157" s="147">
        <f>+AM151+AM154</f>
        <v>153.62900000000002</v>
      </c>
      <c r="AN157" s="148">
        <f>+AN151+AN154</f>
        <v>176.06500000000008</v>
      </c>
      <c r="AO157" s="148">
        <f>+AO151+AO154</f>
        <v>160.477</v>
      </c>
      <c r="AP157" s="148">
        <f>+AP151+AP154</f>
        <v>186.88299999999941</v>
      </c>
      <c r="AQ157" s="448">
        <f>+SUM(AM157:AP157)</f>
        <v>677.05399999999941</v>
      </c>
      <c r="AR157" s="153"/>
      <c r="AS157" s="147">
        <f>+AS151+AS154</f>
        <v>157.26800000000003</v>
      </c>
      <c r="AT157" s="148">
        <f>+AT151+AT154</f>
        <v>180.84400000000008</v>
      </c>
      <c r="AU157" s="148">
        <f>+AU151+AU154</f>
        <v>174.08800000000002</v>
      </c>
      <c r="AV157" s="148">
        <f>+AV151+AV154</f>
        <v>202.94200000000012</v>
      </c>
      <c r="AW157" s="448">
        <f>+SUM(AS157:AV157)</f>
        <v>715.14200000000017</v>
      </c>
      <c r="AX157" s="153"/>
      <c r="AY157" s="147">
        <f>+AY151+AY154</f>
        <v>168.22899999999993</v>
      </c>
      <c r="AZ157" s="148">
        <f>+AZ151+AZ154</f>
        <v>190.25200000000004</v>
      </c>
      <c r="BA157" s="148">
        <f>+BA151+BA154</f>
        <v>197.31999999999994</v>
      </c>
      <c r="BB157" s="148">
        <f>+BB151+BB154</f>
        <v>213.10199999999975</v>
      </c>
      <c r="BC157" s="448">
        <f>+SUM(AY157:BB157)</f>
        <v>768.90299999999968</v>
      </c>
      <c r="BD157" s="153"/>
      <c r="BE157" s="147">
        <f>+BE151+BE154</f>
        <v>180.25200000000001</v>
      </c>
      <c r="BF157" s="148">
        <f>+BF151+BF154</f>
        <v>201.06000000000003</v>
      </c>
      <c r="BG157" s="148">
        <f>+BG151+BG154</f>
        <v>206.09099999999995</v>
      </c>
      <c r="BH157" s="148">
        <f>+BH151+BH154</f>
        <v>230.06199999999922</v>
      </c>
      <c r="BI157" s="448">
        <f>+SUM(BE157:BH157)</f>
        <v>817.46499999999924</v>
      </c>
      <c r="BJ157" s="153"/>
      <c r="BK157" s="147">
        <f>+BK151+BK154</f>
        <v>193.96799999999999</v>
      </c>
      <c r="BL157" s="148">
        <f>+BL151+BL154</f>
        <v>210.66200000000006</v>
      </c>
      <c r="BM157" s="148">
        <f>+BM151+BM154</f>
        <v>213.54800000000006</v>
      </c>
      <c r="BN157" s="148">
        <f>+BN151+BN154</f>
        <v>241.19100000000009</v>
      </c>
      <c r="BO157" s="448">
        <f>+SUM(BK157:BN157)</f>
        <v>859.36900000000014</v>
      </c>
      <c r="BP157" s="153"/>
      <c r="BQ157" s="147">
        <f>+BQ151+BQ154</f>
        <v>207.12669688982498</v>
      </c>
      <c r="BR157" s="148">
        <f>+BR151+BR154</f>
        <v>233.87449187218292</v>
      </c>
      <c r="BS157" s="148">
        <f>+BS151+BS154</f>
        <v>235.65961442250344</v>
      </c>
      <c r="BT157" s="148">
        <f>+BT151+BT154</f>
        <v>260.55829637262718</v>
      </c>
      <c r="BU157" s="448">
        <f>+SUM(BQ157:BT157)</f>
        <v>937.21909955713852</v>
      </c>
      <c r="BV157" s="153"/>
      <c r="BW157" s="147">
        <f>+BW151+BW154</f>
        <v>212.10083368458086</v>
      </c>
      <c r="BX157" s="148">
        <f>+BX151+BX154</f>
        <v>231.59044496601709</v>
      </c>
      <c r="BY157" s="148">
        <f>+BY151+BY154</f>
        <v>233.17123012073873</v>
      </c>
      <c r="BZ157" s="148">
        <f>+BZ151+BZ154</f>
        <v>258.498981713852</v>
      </c>
      <c r="CA157" s="448">
        <f>+SUM(BW157:BZ157)</f>
        <v>935.36149048518871</v>
      </c>
      <c r="CB157" s="153"/>
      <c r="CC157" s="147">
        <f>+CC151+CC154</f>
        <v>208.48567952235766</v>
      </c>
      <c r="CD157" s="148">
        <f>+CD151+CD154</f>
        <v>228.10431946895866</v>
      </c>
      <c r="CE157" s="148">
        <f>+CE151+CE154</f>
        <v>229.42399891490447</v>
      </c>
      <c r="CF157" s="482">
        <f>+CF151+CF154</f>
        <v>255.17866724257172</v>
      </c>
      <c r="CG157" s="448">
        <f>+SUM(CC157:CF157)</f>
        <v>921.19266514879246</v>
      </c>
    </row>
    <row r="158" spans="2:98" x14ac:dyDescent="0.2">
      <c r="B158" s="113" t="s">
        <v>433</v>
      </c>
      <c r="C158" s="259">
        <f>+C157/RevBuild!C$174</f>
        <v>5.6270074374412289E-2</v>
      </c>
      <c r="D158" s="260">
        <f>+D157/RevBuild!D$174</f>
        <v>6.5501720598954455E-2</v>
      </c>
      <c r="E158" s="260">
        <f>+E157/RevBuild!E$174</f>
        <v>6.4227952775517683E-2</v>
      </c>
      <c r="F158" s="260">
        <f>+F157/RevBuild!F$174</f>
        <v>7.4435151754484966E-2</v>
      </c>
      <c r="G158" s="449">
        <f>+G157/RevBuild!G$174</f>
        <v>6.5703195709787401E-2</v>
      </c>
      <c r="H158" s="268"/>
      <c r="I158" s="259">
        <f>+I157/RevBuild!I$174</f>
        <v>5.6036462635458396E-2</v>
      </c>
      <c r="J158" s="260">
        <f>+J157/RevBuild!J$174</f>
        <v>6.9471268262627145E-2</v>
      </c>
      <c r="K158" s="260">
        <f>+K157/RevBuild!K$174</f>
        <v>7.0194239296829053E-2</v>
      </c>
      <c r="L158" s="260">
        <f>+L157/RevBuild!L$174</f>
        <v>8.1244884263613468E-2</v>
      </c>
      <c r="M158" s="449">
        <f>+M157/RevBuild!M$174</f>
        <v>6.9356952285063653E-2</v>
      </c>
      <c r="N158" s="268"/>
      <c r="O158" s="259">
        <f>+O157/RevBuild!O$174</f>
        <v>6.3707933550021925E-2</v>
      </c>
      <c r="P158" s="260">
        <f>+P157/RevBuild!P$174</f>
        <v>7.5878698596645311E-2</v>
      </c>
      <c r="Q158" s="260">
        <f>+Q157/RevBuild!Q$174</f>
        <v>6.8628862991154213E-2</v>
      </c>
      <c r="R158" s="260">
        <f>+R157/RevBuild!R$174</f>
        <v>7.6490931822241121E-2</v>
      </c>
      <c r="S158" s="449">
        <f>+S157/RevBuild!S$174</f>
        <v>7.1440959901724249E-2</v>
      </c>
      <c r="T158" s="268"/>
      <c r="U158" s="259">
        <f>+U157/RevBuild!U$174</f>
        <v>6.5922479563258737E-2</v>
      </c>
      <c r="V158" s="260">
        <f>+V157/RevBuild!V$174</f>
        <v>7.4621999231102423E-2</v>
      </c>
      <c r="W158" s="260">
        <f>+W157/RevBuild!W$174</f>
        <v>7.2546713486216871E-2</v>
      </c>
      <c r="X158" s="260">
        <f>+X157/RevBuild!X$174</f>
        <v>7.0172092067081471E-2</v>
      </c>
      <c r="Y158" s="449">
        <f>+Y157/RevBuild!Y$174</f>
        <v>7.0868989303541075E-2</v>
      </c>
      <c r="Z158" s="268"/>
      <c r="AA158" s="259">
        <f>+AA157/RevBuild!AA$174</f>
        <v>6.3816864594783432E-2</v>
      </c>
      <c r="AB158" s="260">
        <f>+AB157/RevBuild!AB$174</f>
        <v>7.0971632936582443E-2</v>
      </c>
      <c r="AC158" s="260">
        <f>+AC157/RevBuild!AC$174</f>
        <v>6.7841774348828127E-2</v>
      </c>
      <c r="AD158" s="260">
        <f>+AD157/RevBuild!AD$174</f>
        <v>6.9813105837750383E-2</v>
      </c>
      <c r="AE158" s="449">
        <f>+AE157/RevBuild!AE$174</f>
        <v>6.8245308866969986E-2</v>
      </c>
      <c r="AF158" s="268"/>
      <c r="AG158" s="259">
        <f>+AG157/RevBuild!AG$174</f>
        <v>6.9140393679142514E-2</v>
      </c>
      <c r="AH158" s="260">
        <f>+AH157/RevBuild!AH$174</f>
        <v>7.1798976311997692E-2</v>
      </c>
      <c r="AI158" s="260">
        <f>+AI157/RevBuild!AI$174</f>
        <v>6.7063249812420817E-2</v>
      </c>
      <c r="AJ158" s="260">
        <f>+AJ157/RevBuild!AJ$174</f>
        <v>7.5294443950809573E-2</v>
      </c>
      <c r="AK158" s="449">
        <f>+AK157/RevBuild!AK$174</f>
        <v>7.0934601883877166E-2</v>
      </c>
      <c r="AL158" s="268"/>
      <c r="AM158" s="259">
        <f>+AM157/RevBuild!AM$174</f>
        <v>6.6984200206582842E-2</v>
      </c>
      <c r="AN158" s="260">
        <f>+AN157/RevBuild!AN$174</f>
        <v>7.3611616307315414E-2</v>
      </c>
      <c r="AO158" s="260">
        <f>+AO157/RevBuild!AO$174</f>
        <v>6.8318435934943009E-2</v>
      </c>
      <c r="AP158" s="260">
        <f>+AP157/RevBuild!AP$174</f>
        <v>7.3972933497468474E-2</v>
      </c>
      <c r="AQ158" s="449">
        <f>+AQ157/RevBuild!AQ$174</f>
        <v>7.0816755393228029E-2</v>
      </c>
      <c r="AR158" s="268"/>
      <c r="AS158" s="259">
        <f>+AS157/RevBuild!AS$174</f>
        <v>6.4715107118505422E-2</v>
      </c>
      <c r="AT158" s="260">
        <f>+AT157/RevBuild!AT$174</f>
        <v>6.9145669926581221E-2</v>
      </c>
      <c r="AU158" s="260">
        <f>+AU157/RevBuild!AU$174</f>
        <v>6.6351364794153669E-2</v>
      </c>
      <c r="AV158" s="260">
        <f>+AV157/RevBuild!AV$174</f>
        <v>7.5105399660115743E-2</v>
      </c>
      <c r="AW158" s="449">
        <f>+AW157/RevBuild!AW$174</f>
        <v>6.8953341837497198E-2</v>
      </c>
      <c r="AX158" s="268"/>
      <c r="AY158" s="259">
        <f>+AY157/RevBuild!AY$174</f>
        <v>6.8284566857413742E-2</v>
      </c>
      <c r="AZ158" s="260">
        <f>+AZ157/RevBuild!AZ$174</f>
        <v>7.235787199732252E-2</v>
      </c>
      <c r="BA158" s="260">
        <f>+BA157/RevBuild!BA$174</f>
        <v>7.3466910662792012E-2</v>
      </c>
      <c r="BB158" s="260">
        <f>+BB157/RevBuild!BB$174</f>
        <v>7.4748554676072665E-2</v>
      </c>
      <c r="BC158" s="449">
        <f>+BC157/RevBuild!BC$174</f>
        <v>7.2335214129366901E-2</v>
      </c>
      <c r="BD158" s="268"/>
      <c r="BE158" s="259">
        <f>+BE157/RevBuild!BE$174</f>
        <v>6.6441597101888392E-2</v>
      </c>
      <c r="BF158" s="260">
        <f>+BF157/RevBuild!BF$174</f>
        <v>6.9991610475418006E-2</v>
      </c>
      <c r="BG158" s="260">
        <f>+BG157/RevBuild!BG$174</f>
        <v>7.193031564163524E-2</v>
      </c>
      <c r="BH158" s="260">
        <f>+BH157/RevBuild!BH$174</f>
        <v>7.3715753040595938E-2</v>
      </c>
      <c r="BI158" s="449">
        <f>+BI157/RevBuild!BI$174</f>
        <v>7.0643765526630486E-2</v>
      </c>
      <c r="BJ158" s="268"/>
      <c r="BK158" s="259">
        <f>+BK157/RevBuild!BK$174</f>
        <v>6.6360400527139041E-2</v>
      </c>
      <c r="BL158" s="260">
        <f>+BL157/RevBuild!BL$174</f>
        <v>6.8855986910099781E-2</v>
      </c>
      <c r="BM158" s="260">
        <f>+BM157/RevBuild!BM$174</f>
        <v>6.7555328347911156E-2</v>
      </c>
      <c r="BN158" s="260">
        <f>+BN157/RevBuild!BN$174</f>
        <v>7.2689622415760408E-2</v>
      </c>
      <c r="BO158" s="449">
        <f>+BO157/RevBuild!BO$174</f>
        <v>6.8961463403164766E-2</v>
      </c>
      <c r="BP158" s="268"/>
      <c r="BQ158" s="259">
        <f>+BQ157/RevBuild!BQ$174</f>
        <v>6.7420512459383741E-2</v>
      </c>
      <c r="BR158" s="260">
        <f>+BR157/RevBuild!BR$174</f>
        <v>7.1525185440989694E-2</v>
      </c>
      <c r="BS158" s="260">
        <f>+BS157/RevBuild!BS$174</f>
        <v>7.0552099137801846E-2</v>
      </c>
      <c r="BT158" s="260">
        <f>+BT157/RevBuild!BT$174</f>
        <v>7.5231796603533352E-2</v>
      </c>
      <c r="BU158" s="449">
        <f>+BU157/RevBuild!BU$174</f>
        <v>7.129521967739591E-2</v>
      </c>
      <c r="BV158" s="268"/>
      <c r="BW158" s="259">
        <f>+BW157/RevBuild!BW$174</f>
        <v>6.5677054003398364E-2</v>
      </c>
      <c r="BX158" s="260">
        <f>+BX157/RevBuild!BX$174</f>
        <v>6.7894329918428434E-2</v>
      </c>
      <c r="BY158" s="260">
        <f>+BY157/RevBuild!BY$174</f>
        <v>6.6910715962475512E-2</v>
      </c>
      <c r="BZ158" s="260">
        <f>+BZ157/RevBuild!BZ$174</f>
        <v>7.1593127451818589E-2</v>
      </c>
      <c r="CA158" s="449">
        <f>+CA157/RevBuild!CA$174</f>
        <v>6.8095759768018044E-2</v>
      </c>
      <c r="CB158" s="268"/>
      <c r="CC158" s="259">
        <f>+CC157/RevBuild!CC$174</f>
        <v>6.2101446706333836E-2</v>
      </c>
      <c r="CD158" s="260">
        <f>+CD157/RevBuild!CD$174</f>
        <v>6.4309770173554257E-2</v>
      </c>
      <c r="CE158" s="260">
        <f>+CE157/RevBuild!CE$174</f>
        <v>6.3315403942067375E-2</v>
      </c>
      <c r="CF158" s="481">
        <f>+CF157/RevBuild!CF$174</f>
        <v>6.7995670881399767E-2</v>
      </c>
      <c r="CG158" s="449">
        <f>+CG157/RevBuild!CG$174</f>
        <v>6.450695206402253E-2</v>
      </c>
      <c r="CI158" s="1000">
        <f>+(BI158-G158)/10</f>
        <v>4.9405698168430848E-4</v>
      </c>
      <c r="CJ158" s="1241">
        <f>+(BO158-AK158)/5</f>
        <v>-3.9462769614247997E-4</v>
      </c>
    </row>
    <row r="159" spans="2:98" x14ac:dyDescent="0.2">
      <c r="B159" s="131" t="s">
        <v>44</v>
      </c>
      <c r="C159" s="111">
        <f>ROUND('P&amp;L'!C14-'P&amp;L'!C157,10)</f>
        <v>0</v>
      </c>
      <c r="D159" s="112">
        <f>ROUND('P&amp;L'!D14-'P&amp;L'!D157,10)</f>
        <v>0</v>
      </c>
      <c r="E159" s="363">
        <f>ROUND('P&amp;L'!E14-'P&amp;L'!E157,10)</f>
        <v>0</v>
      </c>
      <c r="F159" s="363">
        <f>ROUND('P&amp;L'!F14-'P&amp;L'!F157,10)</f>
        <v>0</v>
      </c>
      <c r="G159" s="457">
        <f>ROUND('P&amp;L'!G14-'P&amp;L'!G157,10)</f>
        <v>0</v>
      </c>
      <c r="H159" s="109"/>
      <c r="I159" s="111">
        <f>ROUND('P&amp;L'!I14-'P&amp;L'!I157,10)</f>
        <v>0</v>
      </c>
      <c r="J159" s="112">
        <f>ROUND('P&amp;L'!J14-'P&amp;L'!J157,10)</f>
        <v>0</v>
      </c>
      <c r="K159" s="363">
        <f>ROUND('P&amp;L'!K14-'P&amp;L'!K157,10)</f>
        <v>0</v>
      </c>
      <c r="L159" s="363">
        <f>ROUND('P&amp;L'!L14-'P&amp;L'!L157,10)</f>
        <v>0</v>
      </c>
      <c r="M159" s="457">
        <f>ROUND('P&amp;L'!M14-'P&amp;L'!M157,10)</f>
        <v>0</v>
      </c>
      <c r="N159" s="109"/>
      <c r="O159" s="111">
        <f>ROUND('P&amp;L'!O14-'P&amp;L'!O157,10)</f>
        <v>0</v>
      </c>
      <c r="P159" s="112">
        <f>ROUND('P&amp;L'!P14-'P&amp;L'!P157,10)</f>
        <v>0</v>
      </c>
      <c r="Q159" s="363">
        <f>ROUND('P&amp;L'!Q14-'P&amp;L'!Q157,10)</f>
        <v>0</v>
      </c>
      <c r="R159" s="363">
        <f>ROUND('P&amp;L'!R14-'P&amp;L'!R157,10)</f>
        <v>0</v>
      </c>
      <c r="S159" s="457">
        <f>ROUND('P&amp;L'!S14-'P&amp;L'!S157,10)</f>
        <v>0</v>
      </c>
      <c r="T159" s="109"/>
      <c r="U159" s="111">
        <f>ROUND('P&amp;L'!U14-'P&amp;L'!U157,10)</f>
        <v>0</v>
      </c>
      <c r="V159" s="112">
        <f>ROUND('P&amp;L'!V14-'P&amp;L'!V157,10)</f>
        <v>0</v>
      </c>
      <c r="W159" s="363">
        <f>ROUND('P&amp;L'!W14-'P&amp;L'!W157,10)</f>
        <v>0</v>
      </c>
      <c r="X159" s="363">
        <f>ROUND('P&amp;L'!X14-'P&amp;L'!X157,10)</f>
        <v>0</v>
      </c>
      <c r="Y159" s="457">
        <f>ROUND('P&amp;L'!Y14-'P&amp;L'!Y157,10)</f>
        <v>0</v>
      </c>
      <c r="Z159" s="109"/>
      <c r="AA159" s="111">
        <f>ROUND('P&amp;L'!AA14-'P&amp;L'!AA157,10)</f>
        <v>0</v>
      </c>
      <c r="AB159" s="112">
        <f>ROUND('P&amp;L'!AB14-'P&amp;L'!AB157,10)</f>
        <v>0</v>
      </c>
      <c r="AC159" s="363">
        <f>ROUND('P&amp;L'!AC14-'P&amp;L'!AC157,10)</f>
        <v>0</v>
      </c>
      <c r="AD159" s="363">
        <f>ROUND('P&amp;L'!AD14-'P&amp;L'!AD157,10)</f>
        <v>0</v>
      </c>
      <c r="AE159" s="457">
        <f>ROUND('P&amp;L'!AE14-'P&amp;L'!AE157,10)</f>
        <v>0</v>
      </c>
      <c r="AF159" s="109"/>
      <c r="AG159" s="111">
        <f>ROUND('P&amp;L'!AG14-'P&amp;L'!AG157,10)</f>
        <v>0</v>
      </c>
      <c r="AH159" s="112">
        <f>ROUND('P&amp;L'!AH14-'P&amp;L'!AH157,10)</f>
        <v>0</v>
      </c>
      <c r="AI159" s="363">
        <f>ROUND('P&amp;L'!AI14-'P&amp;L'!AI157,10)</f>
        <v>0</v>
      </c>
      <c r="AJ159" s="363">
        <f>ROUND('P&amp;L'!AJ14-'P&amp;L'!AJ157,10)</f>
        <v>0</v>
      </c>
      <c r="AK159" s="457">
        <f>ROUND('P&amp;L'!AK14-'P&amp;L'!AK157,10)</f>
        <v>0</v>
      </c>
      <c r="AL159" s="109"/>
      <c r="AM159" s="111">
        <f>ROUND('P&amp;L'!AM14-'P&amp;L'!AM157,10)</f>
        <v>0</v>
      </c>
      <c r="AN159" s="112">
        <f>ROUND('P&amp;L'!AN14-'P&amp;L'!AN157,10)</f>
        <v>0</v>
      </c>
      <c r="AO159" s="363">
        <f>ROUND('P&amp;L'!AO14-'P&amp;L'!AO157,10)</f>
        <v>0</v>
      </c>
      <c r="AP159" s="363">
        <f>ROUND('P&amp;L'!AP14-'P&amp;L'!AP157,10)</f>
        <v>0</v>
      </c>
      <c r="AQ159" s="457">
        <f>ROUND('P&amp;L'!AQ14-'P&amp;L'!AQ157,10)</f>
        <v>0</v>
      </c>
      <c r="AR159" s="109"/>
      <c r="AS159" s="111">
        <f>ROUND('P&amp;L'!AS14-'P&amp;L'!AS157,10)</f>
        <v>0</v>
      </c>
      <c r="AT159" s="112">
        <f>ROUND('P&amp;L'!AT14-'P&amp;L'!AT157,10)</f>
        <v>0</v>
      </c>
      <c r="AU159" s="363">
        <f>ROUND('P&amp;L'!AU14-'P&amp;L'!AU157,10)</f>
        <v>0</v>
      </c>
      <c r="AV159" s="363">
        <f>ROUND('P&amp;L'!AV14-'P&amp;L'!AV157,10)</f>
        <v>0</v>
      </c>
      <c r="AW159" s="457">
        <f>ROUND('P&amp;L'!AW14-'P&amp;L'!AW157,10)</f>
        <v>0</v>
      </c>
      <c r="AX159" s="109"/>
      <c r="AY159" s="111">
        <f>ROUND('P&amp;L'!AY14-'P&amp;L'!AY157,10)</f>
        <v>0</v>
      </c>
      <c r="AZ159" s="112">
        <f>ROUND('P&amp;L'!AZ14-'P&amp;L'!AZ157,10)</f>
        <v>0</v>
      </c>
      <c r="BA159" s="363">
        <f>ROUND('P&amp;L'!BA14-'P&amp;L'!BA157,10)</f>
        <v>0</v>
      </c>
      <c r="BB159" s="363">
        <f>ROUND('P&amp;L'!BB14-'P&amp;L'!BB157,10)</f>
        <v>0</v>
      </c>
      <c r="BC159" s="457">
        <f>ROUND('P&amp;L'!BC14-'P&amp;L'!BC157,10)</f>
        <v>0</v>
      </c>
      <c r="BD159" s="109"/>
      <c r="BE159" s="111">
        <f>ROUND('P&amp;L'!BE14-'P&amp;L'!BE157,10)</f>
        <v>0</v>
      </c>
      <c r="BF159" s="112">
        <f>ROUND('P&amp;L'!BF14-'P&amp;L'!BF157,10)</f>
        <v>0</v>
      </c>
      <c r="BG159" s="363">
        <f>ROUND('P&amp;L'!BG14-'P&amp;L'!BG157,10)</f>
        <v>0</v>
      </c>
      <c r="BH159" s="363">
        <f>ROUND('P&amp;L'!BH14-'P&amp;L'!BH157,10)</f>
        <v>0</v>
      </c>
      <c r="BI159" s="457">
        <f>ROUND('P&amp;L'!BI14-'P&amp;L'!BI157,10)</f>
        <v>0</v>
      </c>
      <c r="BJ159" s="109"/>
      <c r="BK159" s="111">
        <f>ROUND('P&amp;L'!BK14-'P&amp;L'!BK157,10)</f>
        <v>0</v>
      </c>
      <c r="BL159" s="112">
        <f>ROUND('P&amp;L'!BL14-'P&amp;L'!BL157,10)</f>
        <v>0</v>
      </c>
      <c r="BM159" s="112">
        <f>ROUND('P&amp;L'!BM14-'P&amp;L'!BM157,10)</f>
        <v>0</v>
      </c>
      <c r="BN159" s="363">
        <f>ROUND('P&amp;L'!BN14-'P&amp;L'!BN157,10)</f>
        <v>0</v>
      </c>
      <c r="BO159" s="457">
        <f>ROUND('P&amp;L'!BO14-'P&amp;L'!BO157,10)</f>
        <v>0</v>
      </c>
      <c r="BP159" s="109"/>
      <c r="BQ159" s="111">
        <f>ROUND('P&amp;L'!BQ14-'P&amp;L'!BQ157,10)</f>
        <v>0</v>
      </c>
      <c r="BR159" s="112">
        <f>ROUND('P&amp;L'!BR14-'P&amp;L'!BR157,10)</f>
        <v>0</v>
      </c>
      <c r="BS159" s="363">
        <f>ROUND('P&amp;L'!BS14-'P&amp;L'!BS157,10)</f>
        <v>0</v>
      </c>
      <c r="BT159" s="363">
        <f>ROUND('P&amp;L'!BT14-'P&amp;L'!BT157,10)</f>
        <v>0</v>
      </c>
      <c r="BU159" s="457">
        <f>ROUND('P&amp;L'!BU14-'P&amp;L'!BU157,10)</f>
        <v>0</v>
      </c>
      <c r="BV159" s="109"/>
      <c r="BW159" s="111">
        <f>ROUND('P&amp;L'!BW14-'P&amp;L'!BW157,10)</f>
        <v>0</v>
      </c>
      <c r="BX159" s="112">
        <f>ROUND('P&amp;L'!BX14-'P&amp;L'!BX157,10)</f>
        <v>0</v>
      </c>
      <c r="BY159" s="363">
        <f>ROUND('P&amp;L'!BY14-'P&amp;L'!BY157,10)</f>
        <v>0</v>
      </c>
      <c r="BZ159" s="363">
        <f>ROUND('P&amp;L'!BZ14-'P&amp;L'!BZ157,10)</f>
        <v>0</v>
      </c>
      <c r="CA159" s="457">
        <f>ROUND('P&amp;L'!CA14-'P&amp;L'!CA157,10)</f>
        <v>0</v>
      </c>
      <c r="CB159" s="109"/>
      <c r="CC159" s="111">
        <f>ROUND('P&amp;L'!CC14-'P&amp;L'!CC157,10)</f>
        <v>0</v>
      </c>
      <c r="CD159" s="112">
        <f>ROUND('P&amp;L'!CD14-'P&amp;L'!CD157,10)</f>
        <v>0</v>
      </c>
      <c r="CE159" s="363">
        <f>ROUND('P&amp;L'!CE14-'P&amp;L'!CE157,10)</f>
        <v>0</v>
      </c>
      <c r="CF159" s="483">
        <f>ROUND('P&amp;L'!CF14-'P&amp;L'!CF157,10)</f>
        <v>0</v>
      </c>
      <c r="CG159" s="457">
        <f>ROUND('P&amp;L'!CG14-'P&amp;L'!CG157,10)</f>
        <v>0</v>
      </c>
    </row>
    <row r="160" spans="2:98" x14ac:dyDescent="0.2">
      <c r="B160" s="132"/>
      <c r="C160" s="128"/>
      <c r="D160" s="129"/>
      <c r="E160" s="129"/>
      <c r="F160" s="129"/>
      <c r="G160" s="452"/>
      <c r="H160" s="109"/>
      <c r="I160" s="128"/>
      <c r="J160" s="129"/>
      <c r="K160" s="129"/>
      <c r="L160" s="129"/>
      <c r="M160" s="452"/>
      <c r="N160" s="109"/>
      <c r="O160" s="128"/>
      <c r="P160" s="129"/>
      <c r="Q160" s="129"/>
      <c r="R160" s="129"/>
      <c r="S160" s="452"/>
      <c r="T160" s="109"/>
      <c r="U160" s="128"/>
      <c r="V160" s="129"/>
      <c r="W160" s="129"/>
      <c r="X160" s="129"/>
      <c r="Y160" s="452"/>
      <c r="Z160" s="109"/>
      <c r="AA160" s="128"/>
      <c r="AB160" s="129"/>
      <c r="AC160" s="129"/>
      <c r="AD160" s="129"/>
      <c r="AE160" s="452"/>
      <c r="AF160" s="109"/>
      <c r="AG160" s="128"/>
      <c r="AH160" s="129"/>
      <c r="AI160" s="129"/>
      <c r="AJ160" s="129"/>
      <c r="AK160" s="452"/>
      <c r="AL160" s="109"/>
      <c r="AM160" s="128"/>
      <c r="AN160" s="129"/>
      <c r="AO160" s="129"/>
      <c r="AP160" s="129"/>
      <c r="AQ160" s="452"/>
      <c r="AR160" s="109"/>
      <c r="AS160" s="128"/>
      <c r="AT160" s="129"/>
      <c r="AU160" s="129"/>
      <c r="AV160" s="129"/>
      <c r="AW160" s="452"/>
      <c r="AX160" s="109"/>
      <c r="AY160" s="128"/>
      <c r="AZ160" s="129"/>
      <c r="BA160" s="129"/>
      <c r="BB160" s="129"/>
      <c r="BC160" s="452"/>
      <c r="BD160" s="109"/>
      <c r="BE160" s="128"/>
      <c r="BF160" s="129"/>
      <c r="BG160" s="129"/>
      <c r="BH160" s="129"/>
      <c r="BI160" s="452"/>
      <c r="BJ160" s="109"/>
      <c r="BK160" s="128"/>
      <c r="BL160" s="129"/>
      <c r="BM160" s="129"/>
      <c r="BN160" s="129"/>
      <c r="BO160" s="452"/>
      <c r="BP160" s="109"/>
      <c r="BQ160" s="128"/>
      <c r="BR160" s="129"/>
      <c r="BS160" s="129"/>
      <c r="BT160" s="129"/>
      <c r="BU160" s="452"/>
      <c r="BV160" s="109"/>
      <c r="BW160" s="128"/>
      <c r="BX160" s="129"/>
      <c r="BY160" s="129"/>
      <c r="BZ160" s="129"/>
      <c r="CA160" s="452"/>
      <c r="CB160" s="109"/>
      <c r="CC160" s="128"/>
      <c r="CD160" s="129"/>
      <c r="CE160" s="129"/>
      <c r="CF160" s="484"/>
      <c r="CG160" s="452"/>
    </row>
    <row r="161" spans="2:85" x14ac:dyDescent="0.2">
      <c r="H161" s="11"/>
      <c r="N161" s="11"/>
      <c r="T161" s="11"/>
      <c r="Z161" s="11"/>
      <c r="AF161" s="11"/>
      <c r="AL161" s="11"/>
      <c r="AR161" s="11"/>
      <c r="AX161" s="11"/>
      <c r="BD161" s="11"/>
      <c r="BJ161" s="11"/>
      <c r="BP161" s="11"/>
      <c r="BU161" s="134">
        <f>+BU154-'HSAH-VFC'!C14</f>
        <v>142.77848827242414</v>
      </c>
      <c r="BV161" s="11"/>
      <c r="CA161" s="134">
        <f>+CA154-'HSAH-VFC'!D14</f>
        <v>159.29589387545775</v>
      </c>
      <c r="CB161" s="11"/>
      <c r="CG161" s="134">
        <f>+CG154-'HSAH-VFC'!E14</f>
        <v>168.95127943588523</v>
      </c>
    </row>
    <row r="162" spans="2:85" x14ac:dyDescent="0.2">
      <c r="B162" s="812" t="s">
        <v>677</v>
      </c>
      <c r="C162" s="813"/>
      <c r="D162" s="813"/>
      <c r="E162" s="813"/>
      <c r="F162" s="813"/>
      <c r="G162" s="813"/>
      <c r="H162" s="812"/>
      <c r="I162" s="813"/>
      <c r="J162" s="813"/>
      <c r="K162" s="813"/>
      <c r="L162" s="813"/>
      <c r="M162" s="813"/>
      <c r="N162" s="812"/>
      <c r="O162" s="813"/>
      <c r="P162" s="813"/>
      <c r="Q162" s="813"/>
      <c r="R162" s="813"/>
      <c r="S162" s="813"/>
      <c r="T162" s="812"/>
      <c r="U162" s="813"/>
      <c r="V162" s="813"/>
      <c r="W162" s="813"/>
      <c r="X162" s="813"/>
      <c r="Y162" s="813"/>
      <c r="Z162" s="812"/>
      <c r="AA162" s="813"/>
      <c r="AB162" s="813"/>
      <c r="AC162" s="813"/>
      <c r="AD162" s="813"/>
      <c r="AE162" s="813"/>
      <c r="AF162" s="812"/>
      <c r="AG162" s="813"/>
      <c r="AH162" s="813"/>
      <c r="AI162" s="813"/>
      <c r="AJ162" s="813"/>
      <c r="AK162" s="813"/>
      <c r="AL162" s="812"/>
      <c r="AM162" s="813"/>
      <c r="AN162" s="813"/>
      <c r="AO162" s="813"/>
      <c r="AP162" s="813"/>
      <c r="AQ162" s="813"/>
      <c r="AR162" s="812"/>
      <c r="AS162" s="813"/>
      <c r="AT162" s="813"/>
      <c r="AU162" s="813"/>
      <c r="AV162" s="813"/>
      <c r="AW162" s="813"/>
      <c r="AX162" s="812"/>
      <c r="AY162" s="813"/>
      <c r="AZ162" s="813"/>
      <c r="BA162" s="813"/>
      <c r="BB162" s="813"/>
      <c r="BC162" s="813"/>
      <c r="BD162" s="812"/>
      <c r="BE162" s="813"/>
      <c r="BF162" s="813"/>
      <c r="BG162" s="813"/>
      <c r="BH162" s="813"/>
      <c r="BI162" s="1119"/>
      <c r="BJ162" s="812"/>
      <c r="BK162" s="813"/>
      <c r="BL162" s="813"/>
      <c r="BM162" s="813"/>
      <c r="BN162" s="813"/>
      <c r="BO162" s="813"/>
      <c r="BP162" s="812"/>
      <c r="BQ162" s="813"/>
      <c r="BR162" s="813"/>
      <c r="BS162" s="813"/>
      <c r="BT162" s="813"/>
      <c r="BU162" s="813"/>
      <c r="BV162" s="812"/>
      <c r="BW162" s="813"/>
      <c r="BX162" s="813"/>
      <c r="BY162" s="813"/>
      <c r="BZ162" s="813"/>
      <c r="CA162" s="813"/>
      <c r="CB162" s="812"/>
      <c r="CC162" s="813"/>
      <c r="CD162" s="813"/>
      <c r="CE162" s="813"/>
      <c r="CF162" s="813"/>
      <c r="CG162" s="814"/>
    </row>
    <row r="163" spans="2:85" x14ac:dyDescent="0.2">
      <c r="B163" s="98" t="s">
        <v>313</v>
      </c>
      <c r="C163" s="146">
        <f>C151</f>
        <v>62.884000000000015</v>
      </c>
      <c r="D163" s="145">
        <f>D151</f>
        <v>78.728000000000009</v>
      </c>
      <c r="E163" s="145">
        <f>E151</f>
        <v>85.372000000000014</v>
      </c>
      <c r="F163" s="145">
        <f>F151</f>
        <v>113.95300000000009</v>
      </c>
      <c r="G163" s="456">
        <f>G151</f>
        <v>340.93700000000013</v>
      </c>
      <c r="H163" s="62"/>
      <c r="I163" s="146">
        <f>I151</f>
        <v>72.120999999999981</v>
      </c>
      <c r="J163" s="145">
        <f>J151</f>
        <v>99.75</v>
      </c>
      <c r="K163" s="145">
        <f>K151</f>
        <v>100.887</v>
      </c>
      <c r="L163" s="145">
        <f>L151</f>
        <v>112.78899999999987</v>
      </c>
      <c r="M163" s="456">
        <f>M151</f>
        <v>385.54699999999985</v>
      </c>
      <c r="N163" s="62"/>
      <c r="O163" s="146">
        <f>O151</f>
        <v>79.750999999999976</v>
      </c>
      <c r="P163" s="145">
        <f>P151</f>
        <v>106.65999999999997</v>
      </c>
      <c r="Q163" s="145">
        <f>Q151</f>
        <v>98.25</v>
      </c>
      <c r="R163" s="145">
        <f>R151</f>
        <v>120.27400000000023</v>
      </c>
      <c r="S163" s="456">
        <f>S151</f>
        <v>404.93500000000017</v>
      </c>
      <c r="T163" s="62"/>
      <c r="U163" s="146">
        <f>U151</f>
        <v>100.89999999999998</v>
      </c>
      <c r="V163" s="145">
        <f>V151</f>
        <v>121.13500000000005</v>
      </c>
      <c r="W163" s="145">
        <f>W151</f>
        <v>121.012</v>
      </c>
      <c r="X163" s="145">
        <f>X151</f>
        <v>123.89799999999991</v>
      </c>
      <c r="Y163" s="456">
        <f>Y151</f>
        <v>466.94499999999994</v>
      </c>
      <c r="Z163" s="62"/>
      <c r="AA163" s="146">
        <f>AA151</f>
        <v>109.72699999999998</v>
      </c>
      <c r="AB163" s="145">
        <f>AB151</f>
        <v>134.21699999999998</v>
      </c>
      <c r="AC163" s="145">
        <f>AC151</f>
        <v>125.61599999999993</v>
      </c>
      <c r="AD163" s="145">
        <f>AD151</f>
        <v>142.53399999999988</v>
      </c>
      <c r="AE163" s="456">
        <f>AE151</f>
        <v>512.09399999999982</v>
      </c>
      <c r="AF163" s="62"/>
      <c r="AG163" s="146">
        <f>AG151</f>
        <v>128.99600000000004</v>
      </c>
      <c r="AH163" s="145">
        <f>AH151</f>
        <v>139.25299999999993</v>
      </c>
      <c r="AI163" s="145">
        <f>AI151</f>
        <v>129.93199999999996</v>
      </c>
      <c r="AJ163" s="145">
        <f>AJ151</f>
        <v>158.46699999999993</v>
      </c>
      <c r="AK163" s="456">
        <f>AK151</f>
        <v>556.64799999999991</v>
      </c>
      <c r="AL163" s="62"/>
      <c r="AM163" s="146">
        <f>AM151</f>
        <v>134.46000000000004</v>
      </c>
      <c r="AN163" s="145">
        <f>AN151</f>
        <v>154.68200000000007</v>
      </c>
      <c r="AO163" s="145">
        <f>AO151</f>
        <v>139.94900000000001</v>
      </c>
      <c r="AP163" s="145">
        <f>AP151</f>
        <v>161.57299999999941</v>
      </c>
      <c r="AQ163" s="456">
        <f>AQ151</f>
        <v>590.66399999999953</v>
      </c>
      <c r="AR163" s="62"/>
      <c r="AS163" s="146">
        <f>AS151</f>
        <v>133.81900000000002</v>
      </c>
      <c r="AT163" s="145">
        <f>AT151</f>
        <v>153.57800000000009</v>
      </c>
      <c r="AU163" s="145">
        <f>AU151</f>
        <v>148.77300000000002</v>
      </c>
      <c r="AV163" s="145">
        <f>AV151</f>
        <v>175.60100000000011</v>
      </c>
      <c r="AW163" s="456">
        <f>AW151</f>
        <v>611.77100000000019</v>
      </c>
      <c r="AX163" s="62"/>
      <c r="AY163" s="146">
        <f>AY151</f>
        <v>142.99899999999991</v>
      </c>
      <c r="AZ163" s="145">
        <f>AZ151</f>
        <v>162.41200000000003</v>
      </c>
      <c r="BA163" s="145">
        <f>BA151</f>
        <v>170.10399999999993</v>
      </c>
      <c r="BB163" s="145">
        <f>BB151</f>
        <v>184.94799999999975</v>
      </c>
      <c r="BC163" s="456">
        <f>BC151</f>
        <v>660.46299999999962</v>
      </c>
      <c r="BD163" s="62"/>
      <c r="BE163" s="146">
        <f>BE151</f>
        <v>151.95600000000002</v>
      </c>
      <c r="BF163" s="145">
        <f>BF151</f>
        <v>170.13300000000004</v>
      </c>
      <c r="BG163" s="145">
        <f>BG151</f>
        <v>175.48299999999995</v>
      </c>
      <c r="BH163" s="145">
        <f>BH151</f>
        <v>198.61599999999919</v>
      </c>
      <c r="BI163" s="456">
        <f>BI151</f>
        <v>696.18799999999919</v>
      </c>
      <c r="BJ163" s="62"/>
      <c r="BK163" s="146">
        <f>BK151</f>
        <v>162.70699999999999</v>
      </c>
      <c r="BL163" s="145">
        <f>BL151</f>
        <v>176.95900000000006</v>
      </c>
      <c r="BM163" s="145">
        <f>BM151</f>
        <v>181.61300000000006</v>
      </c>
      <c r="BN163" s="145">
        <f>BN151</f>
        <v>207.2410000000001</v>
      </c>
      <c r="BO163" s="456">
        <f>BO151</f>
        <v>728.52000000000021</v>
      </c>
      <c r="BP163" s="62"/>
      <c r="BQ163" s="146">
        <f>BQ151</f>
        <v>172.33405387746575</v>
      </c>
      <c r="BR163" s="145">
        <f>BR151</f>
        <v>189.09248202769038</v>
      </c>
      <c r="BS163" s="145">
        <f>BS151</f>
        <v>191.93383285669279</v>
      </c>
      <c r="BT163" s="145">
        <f>BT151</f>
        <v>216.18430107663278</v>
      </c>
      <c r="BU163" s="456">
        <f>BU151</f>
        <v>769.5446698384817</v>
      </c>
      <c r="BV163" s="62"/>
      <c r="BW163" s="146">
        <f>BW151</f>
        <v>167.29307440595494</v>
      </c>
      <c r="BX163" s="145">
        <f>BX151</f>
        <v>184.11422286412358</v>
      </c>
      <c r="BY163" s="145">
        <f>BY151</f>
        <v>186.79749801598928</v>
      </c>
      <c r="BZ163" s="145">
        <f>BZ151</f>
        <v>211.43125906210514</v>
      </c>
      <c r="CA163" s="456">
        <f>CA151</f>
        <v>749.63605434817293</v>
      </c>
      <c r="CB163" s="62"/>
      <c r="CC163" s="146">
        <f>CC151</f>
        <v>160.97422128161918</v>
      </c>
      <c r="CD163" s="145">
        <f>CD151</f>
        <v>177.76717091032901</v>
      </c>
      <c r="CE163" s="145">
        <f>CE151</f>
        <v>180.23721841182589</v>
      </c>
      <c r="CF163" s="145">
        <f>CF151</f>
        <v>205.24892331749254</v>
      </c>
      <c r="CG163" s="456">
        <f>CG151</f>
        <v>724.22753392126663</v>
      </c>
    </row>
    <row r="164" spans="2:85" x14ac:dyDescent="0.2">
      <c r="B164" s="113" t="s">
        <v>433</v>
      </c>
      <c r="C164" s="259">
        <f>+C163/RevBuild!C$160</f>
        <v>4.9062465622179079E-2</v>
      </c>
      <c r="D164" s="260">
        <f>+D163/RevBuild!D$160</f>
        <v>5.8095756754642701E-2</v>
      </c>
      <c r="E164" s="260">
        <f>+E163/RevBuild!E$160</f>
        <v>5.792904282591025E-2</v>
      </c>
      <c r="F164" s="260">
        <f>+F163/RevBuild!F$160</f>
        <v>6.8566501437481914E-2</v>
      </c>
      <c r="G164" s="449">
        <f>+G163/RevBuild!G$160</f>
        <v>5.9062042715117828E-2</v>
      </c>
      <c r="H164" s="268"/>
      <c r="I164" s="259">
        <f>+I163/RevBuild!I$160</f>
        <v>4.8632417655777332E-2</v>
      </c>
      <c r="J164" s="260">
        <f>+J163/RevBuild!J$160</f>
        <v>6.2354155349673979E-2</v>
      </c>
      <c r="K164" s="260">
        <f>+K163/RevBuild!K$160</f>
        <v>6.2928714223784377E-2</v>
      </c>
      <c r="L164" s="260">
        <f>+L163/RevBuild!L$160</f>
        <v>7.365985420718453E-2</v>
      </c>
      <c r="M164" s="449">
        <f>+M163/RevBuild!M$160</f>
        <v>6.2013722100443848E-2</v>
      </c>
      <c r="N164" s="268"/>
      <c r="O164" s="259">
        <f>+O163/RevBuild!O$160</f>
        <v>5.5188597313750316E-2</v>
      </c>
      <c r="P164" s="260">
        <f>+P163/RevBuild!P$160</f>
        <v>6.8158450184454655E-2</v>
      </c>
      <c r="Q164" s="260">
        <f>+Q163/RevBuild!Q$160</f>
        <v>6.0789916236754608E-2</v>
      </c>
      <c r="R164" s="260">
        <f>+R163/RevBuild!R$160</f>
        <v>6.9164328104154349E-2</v>
      </c>
      <c r="S164" s="449">
        <f>+S163/RevBuild!S$160</f>
        <v>6.3617730861029051E-2</v>
      </c>
      <c r="T164" s="268"/>
      <c r="U164" s="259">
        <f>+U163/RevBuild!U$160</f>
        <v>5.882226058203139E-2</v>
      </c>
      <c r="V164" s="260">
        <f>+V163/RevBuild!V$160</f>
        <v>6.7259108727276792E-2</v>
      </c>
      <c r="W164" s="260">
        <f>+W163/RevBuild!W$160</f>
        <v>6.5611706136417605E-2</v>
      </c>
      <c r="X164" s="260">
        <f>+X163/RevBuild!X$160</f>
        <v>6.3016659757949012E-2</v>
      </c>
      <c r="Y164" s="449">
        <f>+Y163/RevBuild!Y$160</f>
        <v>6.3730766259606123E-2</v>
      </c>
      <c r="Z164" s="268"/>
      <c r="AA164" s="259">
        <f>+AA163/RevBuild!AA$160</f>
        <v>5.7991718262367757E-2</v>
      </c>
      <c r="AB164" s="260">
        <f>+AB163/RevBuild!AB$160</f>
        <v>6.4883545886241942E-2</v>
      </c>
      <c r="AC164" s="260">
        <f>+AC163/RevBuild!AC$160</f>
        <v>6.1291016691379957E-2</v>
      </c>
      <c r="AD164" s="260">
        <f>+AD163/RevBuild!AD$160</f>
        <v>6.2806272783874975E-2</v>
      </c>
      <c r="AE164" s="449">
        <f>+AE163/RevBuild!AE$160</f>
        <v>6.184992503280945E-2</v>
      </c>
      <c r="AF164" s="268"/>
      <c r="AG164" s="259">
        <f>+AG163/RevBuild!AG$160</f>
        <v>6.3355012224458565E-2</v>
      </c>
      <c r="AH164" s="260">
        <f>+AH163/RevBuild!AH$160</f>
        <v>6.5275894283923594E-2</v>
      </c>
      <c r="AI164" s="260">
        <f>+AI163/RevBuild!AI$160</f>
        <v>6.0151141710630823E-2</v>
      </c>
      <c r="AJ164" s="260">
        <f>+AJ163/RevBuild!AJ$160</f>
        <v>6.8096899076568421E-2</v>
      </c>
      <c r="AK164" s="449">
        <f>+AK163/RevBuild!AK$160</f>
        <v>6.4303647848786005E-2</v>
      </c>
      <c r="AL164" s="268"/>
      <c r="AM164" s="259">
        <f>+AM163/RevBuild!AM$160</f>
        <v>6.0600351811948734E-2</v>
      </c>
      <c r="AN164" s="260">
        <f>+AN163/RevBuild!AN$160</f>
        <v>6.6852943146775964E-2</v>
      </c>
      <c r="AO164" s="260">
        <f>+AO163/RevBuild!AO$160</f>
        <v>6.1650917193350023E-2</v>
      </c>
      <c r="AP164" s="260">
        <f>+AP163/RevBuild!AP$160</f>
        <v>6.6272411180744076E-2</v>
      </c>
      <c r="AQ164" s="449">
        <f>+AQ163/RevBuild!AQ$160</f>
        <v>6.3920524641257012E-2</v>
      </c>
      <c r="AR164" s="268"/>
      <c r="AS164" s="259">
        <f>+AS163/RevBuild!AS$160</f>
        <v>5.6972620411013149E-2</v>
      </c>
      <c r="AT164" s="260">
        <f>+AT163/RevBuild!AT$160</f>
        <v>6.0791984441989411E-2</v>
      </c>
      <c r="AU164" s="260">
        <f>+AU163/RevBuild!AU$160</f>
        <v>5.8650417132183719E-2</v>
      </c>
      <c r="AV164" s="260">
        <f>+AV163/RevBuild!AV$160</f>
        <v>6.7259744085025677E-2</v>
      </c>
      <c r="AW164" s="449">
        <f>+AW163/RevBuild!AW$160</f>
        <v>6.103968745559997E-2</v>
      </c>
      <c r="AX164" s="268"/>
      <c r="AY164" s="259">
        <f>+AY163/RevBuild!AY$160</f>
        <v>6.0135916532446251E-2</v>
      </c>
      <c r="AZ164" s="260">
        <f>+AZ163/RevBuild!AZ$160</f>
        <v>6.3946263908465972E-2</v>
      </c>
      <c r="BA164" s="260">
        <f>+BA163/RevBuild!BA$160</f>
        <v>6.5522975451225415E-2</v>
      </c>
      <c r="BB164" s="260">
        <f>+BB163/RevBuild!BB$160</f>
        <v>6.7080652526441645E-2</v>
      </c>
      <c r="BC164" s="449">
        <f>+BC163/RevBuild!BC$160</f>
        <v>6.43040086083599E-2</v>
      </c>
      <c r="BD164" s="268"/>
      <c r="BE164" s="259">
        <f>+BE163/RevBuild!BE$160</f>
        <v>5.81920395514086E-2</v>
      </c>
      <c r="BF164" s="260">
        <f>+BF163/RevBuild!BF$160</f>
        <v>6.1517328358905159E-2</v>
      </c>
      <c r="BG164" s="260">
        <f>+BG163/RevBuild!BG$160</f>
        <v>6.3570386299055343E-2</v>
      </c>
      <c r="BH164" s="260">
        <f>+BH163/RevBuild!BH$160</f>
        <v>6.6013739456849463E-2</v>
      </c>
      <c r="BI164" s="449">
        <f>+BI163/RevBuild!BI$160</f>
        <v>6.2460484898019898E-2</v>
      </c>
      <c r="BJ164" s="268"/>
      <c r="BK164" s="259">
        <f>+BK163/RevBuild!BK$160</f>
        <v>5.7759312001527882E-2</v>
      </c>
      <c r="BL164" s="260">
        <f>+BL163/RevBuild!BL$160</f>
        <v>5.9967298389488055E-2</v>
      </c>
      <c r="BM164" s="260">
        <f>+BM163/RevBuild!BM$160</f>
        <v>5.9504841139016773E-2</v>
      </c>
      <c r="BN164" s="260">
        <f>+BN163/RevBuild!BN$160</f>
        <v>6.4691994981743453E-2</v>
      </c>
      <c r="BO164" s="449">
        <f>+BO163/RevBuild!BO$160</f>
        <v>6.0591432664847025E-2</v>
      </c>
      <c r="BP164" s="268"/>
      <c r="BQ164" s="259">
        <f>+BQ163/RevBuild!BQ$160</f>
        <v>5.825931200152789E-2</v>
      </c>
      <c r="BR164" s="260">
        <f>+BR163/RevBuild!BR$160</f>
        <v>6.0467298389488083E-2</v>
      </c>
      <c r="BS164" s="260">
        <f>+BS163/RevBuild!BS$160</f>
        <v>6.0004841139016774E-2</v>
      </c>
      <c r="BT164" s="260">
        <f>+BT163/RevBuild!BT$160</f>
        <v>6.5191994981743467E-2</v>
      </c>
      <c r="BU164" s="449">
        <f>+BU163/RevBuild!BU$160</f>
        <v>6.1075003156331416E-2</v>
      </c>
      <c r="BV164" s="268"/>
      <c r="BW164" s="259">
        <f>+BW163/RevBuild!BW$160</f>
        <v>5.4259312001527893E-2</v>
      </c>
      <c r="BX164" s="260">
        <f>+BX163/RevBuild!BX$160</f>
        <v>5.646729838948808E-2</v>
      </c>
      <c r="BY164" s="260">
        <f>+BY163/RevBuild!BY$160</f>
        <v>5.6004841139016798E-2</v>
      </c>
      <c r="BZ164" s="260">
        <f>+BZ163/RevBuild!BZ$160</f>
        <v>6.1191994981743436E-2</v>
      </c>
      <c r="CA164" s="449">
        <f>+CA163/RevBuild!CA$160</f>
        <v>5.7074458743759854E-2</v>
      </c>
      <c r="CB164" s="268"/>
      <c r="CC164" s="259">
        <f>+CC163/RevBuild!CC$160</f>
        <v>5.0259312001527889E-2</v>
      </c>
      <c r="CD164" s="260">
        <f>+CD163/RevBuild!CD$160</f>
        <v>5.2467298389488083E-2</v>
      </c>
      <c r="CE164" s="260">
        <f>+CE163/RevBuild!CE$160</f>
        <v>5.2004841139016753E-2</v>
      </c>
      <c r="CF164" s="481">
        <f>+CF163/RevBuild!CF$160</f>
        <v>5.7191994981743467E-2</v>
      </c>
      <c r="CG164" s="449">
        <f>+CG163/RevBuild!CG$160</f>
        <v>5.3074174676125477E-2</v>
      </c>
    </row>
    <row r="165" spans="2:85" x14ac:dyDescent="0.2">
      <c r="B165" s="804" t="s">
        <v>470</v>
      </c>
      <c r="C165" s="872"/>
      <c r="D165" s="776"/>
      <c r="E165" s="776"/>
      <c r="F165" s="776"/>
      <c r="G165" s="777"/>
      <c r="H165" s="268"/>
      <c r="I165" s="872">
        <f>+(I164-C164)*10000</f>
        <v>-4.3004796640174616</v>
      </c>
      <c r="J165" s="776">
        <f>+(J164-D164)*10000</f>
        <v>42.58398595031278</v>
      </c>
      <c r="K165" s="776">
        <f>+(K164-E164)*10000</f>
        <v>49.996713978741269</v>
      </c>
      <c r="L165" s="776">
        <f>+(L164-F164)*10000</f>
        <v>50.933527697026165</v>
      </c>
      <c r="M165" s="777">
        <f>+(M164-G164)*10000</f>
        <v>29.516793853260197</v>
      </c>
      <c r="N165" s="268"/>
      <c r="O165" s="872">
        <f>+(O164-I164)*10000</f>
        <v>65.561796579729844</v>
      </c>
      <c r="P165" s="776">
        <f>+(P164-J164)*10000</f>
        <v>58.042948347806764</v>
      </c>
      <c r="Q165" s="776">
        <f>+(Q164-K164)*10000</f>
        <v>-21.387979870297684</v>
      </c>
      <c r="R165" s="776">
        <f>+(R164-L164)*10000</f>
        <v>-44.955261030301813</v>
      </c>
      <c r="S165" s="777">
        <f>+(S164-M164)*10000</f>
        <v>16.04008760585203</v>
      </c>
      <c r="T165" s="268"/>
      <c r="U165" s="872">
        <f>+(U164-O164)*10000</f>
        <v>36.33663268281073</v>
      </c>
      <c r="V165" s="776">
        <f>+(V164-P164)*10000</f>
        <v>-8.9934145717786294</v>
      </c>
      <c r="W165" s="776">
        <f>+(W164-Q164)*10000</f>
        <v>48.21789899662997</v>
      </c>
      <c r="X165" s="776">
        <f>+(X164-R164)*10000</f>
        <v>-61.476683462053373</v>
      </c>
      <c r="Y165" s="777">
        <f>+(Y164-S164)*10000</f>
        <v>1.1303539857707157</v>
      </c>
      <c r="Z165" s="268"/>
      <c r="AA165" s="872">
        <f>+(AA164-U164)*10000</f>
        <v>-8.3054231966363243</v>
      </c>
      <c r="AB165" s="776">
        <f>+(AB164-V164)*10000</f>
        <v>-23.755628410348507</v>
      </c>
      <c r="AC165" s="776">
        <f>+(AC164-W164)*10000</f>
        <v>-43.206894450376481</v>
      </c>
      <c r="AD165" s="776">
        <f>+(AD164-X164)*10000</f>
        <v>-2.1038697407403664</v>
      </c>
      <c r="AE165" s="777">
        <f>+(AE164-Y164)*10000</f>
        <v>-18.80841226796673</v>
      </c>
      <c r="AF165" s="268"/>
      <c r="AG165" s="872">
        <f>+(AG164-AA164)*10000</f>
        <v>53.632939620908083</v>
      </c>
      <c r="AH165" s="776">
        <f>+(AH164-AB164)*10000</f>
        <v>3.9234839768165219</v>
      </c>
      <c r="AI165" s="776">
        <f>+(AI164-AC164)*10000</f>
        <v>-11.398749807491338</v>
      </c>
      <c r="AJ165" s="776">
        <f>+(AJ164-AD164)*10000</f>
        <v>52.906262926934453</v>
      </c>
      <c r="AK165" s="777">
        <f>+(AK164-AE164)*10000</f>
        <v>24.537228159765554</v>
      </c>
      <c r="AL165" s="268"/>
      <c r="AM165" s="872">
        <f>+(AM164-AG164)*10000</f>
        <v>-27.546604125098309</v>
      </c>
      <c r="AN165" s="776">
        <f>+(AN164-AH164)*10000</f>
        <v>15.770488628523704</v>
      </c>
      <c r="AO165" s="776">
        <f>+(AO164-AI164)*10000</f>
        <v>14.997754827191997</v>
      </c>
      <c r="AP165" s="776">
        <f>+(AP164-AJ164)*10000</f>
        <v>-18.244878958243447</v>
      </c>
      <c r="AQ165" s="777">
        <f>+(AQ164-AK164)*10000</f>
        <v>-3.8312320752899307</v>
      </c>
      <c r="AR165" s="268"/>
      <c r="AS165" s="259"/>
      <c r="AT165" s="260"/>
      <c r="AU165" s="260"/>
      <c r="AV165" s="260"/>
      <c r="AW165" s="777">
        <f>+(AW164-AQ164)*10000</f>
        <v>-28.808371856570425</v>
      </c>
      <c r="AX165" s="268"/>
      <c r="AY165" s="872">
        <f>+(AY164-AS164)*10000</f>
        <v>31.632961214331026</v>
      </c>
      <c r="AZ165" s="776">
        <f>+(AZ164-AT164)*10000</f>
        <v>31.542794664765616</v>
      </c>
      <c r="BA165" s="776">
        <f>+(BA164-AU164)*10000</f>
        <v>68.72558319041697</v>
      </c>
      <c r="BB165" s="776">
        <f>+(BB164-AV164)*10000</f>
        <v>-1.7909155858403247</v>
      </c>
      <c r="BC165" s="777">
        <f>+(BC164-AW164)*10000</f>
        <v>32.643211527599306</v>
      </c>
      <c r="BD165" s="268"/>
      <c r="BE165" s="872">
        <f>+(BE164-AY164)*10000</f>
        <v>-19.43876981037651</v>
      </c>
      <c r="BF165" s="776">
        <f>+(BF164-AZ164)*10000</f>
        <v>-24.289355495608138</v>
      </c>
      <c r="BG165" s="776">
        <f>+(BG164-BA164)*10000</f>
        <v>-19.525891521700729</v>
      </c>
      <c r="BH165" s="776">
        <f>+(BH164-BB164)*10000</f>
        <v>-10.669130695921819</v>
      </c>
      <c r="BI165" s="777">
        <f>+(BI164-BC164)*10000</f>
        <v>-18.435237103400016</v>
      </c>
      <c r="BJ165" s="268"/>
      <c r="BK165" s="872">
        <f>+(BK164-BE164)*10000</f>
        <v>-4.3272754988071815</v>
      </c>
      <c r="BL165" s="776">
        <f>+(BL164-BF164)*10000</f>
        <v>-15.500299694171035</v>
      </c>
      <c r="BM165" s="776">
        <f>+(BM164-BG164)*10000</f>
        <v>-40.655451600385696</v>
      </c>
      <c r="BN165" s="776">
        <f>+(BN164-BH164)*10000</f>
        <v>-13.217444751060098</v>
      </c>
      <c r="BO165" s="777">
        <f>+(BO164-BI164)*10000</f>
        <v>-18.690522331728729</v>
      </c>
      <c r="BP165" s="268"/>
      <c r="BQ165" s="872">
        <f>+(BQ164-BK164)*10000</f>
        <v>5.0000000000000737</v>
      </c>
      <c r="BR165" s="776">
        <f>+(BR164-BL164)*10000</f>
        <v>5.0000000000002824</v>
      </c>
      <c r="BS165" s="776">
        <f>+(BS164-BM164)*10000</f>
        <v>5.0000000000000044</v>
      </c>
      <c r="BT165" s="776">
        <f>+(BT164-BN164)*10000</f>
        <v>5.000000000000143</v>
      </c>
      <c r="BU165" s="777">
        <f>+(BU164-BO164)*10000</f>
        <v>4.8357049148439053</v>
      </c>
      <c r="BV165" s="268"/>
      <c r="BW165" s="872">
        <f>+(BW164-BQ164)*10000</f>
        <v>-39.999999999999964</v>
      </c>
      <c r="BX165" s="776">
        <f>+(BX164-BR164)*10000</f>
        <v>-40.000000000000036</v>
      </c>
      <c r="BY165" s="776">
        <f>+(BY164-BS164)*10000</f>
        <v>-39.999999999999758</v>
      </c>
      <c r="BZ165" s="776">
        <f>+(BZ164-BT164)*10000</f>
        <v>-40.000000000000313</v>
      </c>
      <c r="CA165" s="777">
        <f>+(CA164-BU164)*10000</f>
        <v>-40.00544412571562</v>
      </c>
      <c r="CB165" s="268"/>
      <c r="CC165" s="872">
        <f>+(CC164-BW164)*10000</f>
        <v>-40.000000000000036</v>
      </c>
      <c r="CD165" s="776">
        <f>+(CD164-BX164)*10000</f>
        <v>-39.999999999999964</v>
      </c>
      <c r="CE165" s="776">
        <f>+(CE164-BY164)*10000</f>
        <v>-40.000000000000455</v>
      </c>
      <c r="CF165" s="776">
        <f>+(CF164-BZ164)*10000</f>
        <v>-39.999999999999687</v>
      </c>
      <c r="CG165" s="777">
        <f>+(CG164-CA164)*10000</f>
        <v>-40.002840676343773</v>
      </c>
    </row>
    <row r="166" spans="2:85" x14ac:dyDescent="0.2">
      <c r="B166" s="555" t="s">
        <v>464</v>
      </c>
      <c r="C166" s="797"/>
      <c r="D166" s="7"/>
      <c r="E166" s="7"/>
      <c r="F166" s="7"/>
      <c r="G166" s="775">
        <f>+G167*RevBuild!G126</f>
        <v>0</v>
      </c>
      <c r="I166" s="797"/>
      <c r="J166" s="7"/>
      <c r="K166" s="7"/>
      <c r="L166" s="7"/>
      <c r="M166" s="775">
        <f>+M167*RevBuild!M126</f>
        <v>0</v>
      </c>
      <c r="O166" s="797"/>
      <c r="P166" s="7"/>
      <c r="Q166" s="7"/>
      <c r="R166" s="7"/>
      <c r="S166" s="775">
        <f>+S167*RevBuild!S126</f>
        <v>0</v>
      </c>
      <c r="U166" s="797"/>
      <c r="V166" s="7"/>
      <c r="W166" s="7"/>
      <c r="X166" s="7"/>
      <c r="Y166" s="775">
        <f>+Y167*RevBuild!Y8</f>
        <v>227.70055000000002</v>
      </c>
      <c r="AA166" s="797"/>
      <c r="AB166" s="7"/>
      <c r="AC166" s="7"/>
      <c r="AD166" s="7"/>
      <c r="AE166" s="775">
        <f>+AE167*RevBuild!AE126</f>
        <v>428.84081999999989</v>
      </c>
      <c r="AG166" s="797"/>
      <c r="AH166" s="7"/>
      <c r="AI166" s="7"/>
      <c r="AJ166" s="7"/>
      <c r="AK166" s="775">
        <f>+AK167*RevBuild!AK126</f>
        <v>405.83097000000004</v>
      </c>
      <c r="AM166" s="797"/>
      <c r="AN166" s="7"/>
      <c r="AO166" s="7"/>
      <c r="AP166" s="7"/>
      <c r="AQ166" s="775">
        <f>+AQ167*RevBuild!AQ126</f>
        <v>424.82762000000002</v>
      </c>
      <c r="AS166" s="797"/>
      <c r="AT166" s="7"/>
      <c r="AU166" s="7"/>
      <c r="AV166" s="7"/>
      <c r="AW166" s="775">
        <f>+AW167*RevBuild!AW126</f>
        <v>457.40327499999995</v>
      </c>
      <c r="AY166" s="797"/>
      <c r="AZ166" s="7"/>
      <c r="BA166" s="7"/>
      <c r="BB166" s="7"/>
      <c r="BC166" s="775">
        <f>+BC167*RevBuild!BC126</f>
        <v>448.49459499999995</v>
      </c>
      <c r="BE166" s="797">
        <f>+BE167*RevBuild!BE126</f>
        <v>106.74391000000001</v>
      </c>
      <c r="BF166" s="1242">
        <f>+BF167*RevBuild!BF126</f>
        <v>112.60141600000001</v>
      </c>
      <c r="BG166" s="1242">
        <f>+BG167*RevBuild!BG126</f>
        <v>109.10305000000001</v>
      </c>
      <c r="BH166" s="1242">
        <f>+BH167*RevBuild!BH126</f>
        <v>127.086142</v>
      </c>
      <c r="BI166" s="775">
        <f>+BI167*RevBuild!BI126</f>
        <v>455.53451799999999</v>
      </c>
      <c r="BK166" s="797">
        <f>+BK167*RevBuild!BK126</f>
        <v>108.197166</v>
      </c>
      <c r="BL166" s="1242">
        <f>+BL167*RevBuild!BL126</f>
        <v>114.58885899999999</v>
      </c>
      <c r="BM166" s="1242">
        <f>+BM167*RevBuild!BM126</f>
        <v>113.86221</v>
      </c>
      <c r="BN166" s="1242">
        <f>+BN167*RevBuild!BN126</f>
        <v>129.11344599999998</v>
      </c>
      <c r="BO166" s="775">
        <f>+BO167*RevBuild!BO126</f>
        <v>465.76168100000001</v>
      </c>
      <c r="BQ166" s="797"/>
      <c r="BR166" s="7"/>
      <c r="BS166" s="7"/>
      <c r="BT166" s="7"/>
      <c r="BU166" s="775">
        <f>+BU167*RevBuild!BU126</f>
        <v>463.80381134999993</v>
      </c>
      <c r="BW166" s="797"/>
      <c r="BX166" s="7"/>
      <c r="BY166" s="7"/>
      <c r="BZ166" s="7"/>
      <c r="CA166" s="775">
        <f>+CA167*RevBuild!CA126</f>
        <v>438.98495808074989</v>
      </c>
      <c r="CC166" s="797"/>
      <c r="CD166" s="7"/>
      <c r="CE166" s="7"/>
      <c r="CF166" s="7"/>
      <c r="CG166" s="775">
        <f>+CG167*RevBuild!CG126</f>
        <v>412.36163781493252</v>
      </c>
    </row>
    <row r="167" spans="2:85" x14ac:dyDescent="0.2">
      <c r="B167" s="113" t="s">
        <v>433</v>
      </c>
      <c r="C167" s="798"/>
      <c r="D167" s="7"/>
      <c r="E167" s="7"/>
      <c r="F167" s="7"/>
      <c r="G167" s="810">
        <v>8.5000000000000006E-2</v>
      </c>
      <c r="I167" s="798"/>
      <c r="J167" s="7"/>
      <c r="K167" s="7"/>
      <c r="L167" s="7"/>
      <c r="M167" s="810">
        <v>8.5000000000000006E-2</v>
      </c>
      <c r="O167" s="798"/>
      <c r="P167" s="7"/>
      <c r="Q167" s="7"/>
      <c r="R167" s="7"/>
      <c r="S167" s="810">
        <v>8.5000000000000006E-2</v>
      </c>
      <c r="U167" s="798"/>
      <c r="V167" s="7"/>
      <c r="W167" s="7"/>
      <c r="X167" s="7"/>
      <c r="Y167" s="810">
        <v>8.5000000000000006E-2</v>
      </c>
      <c r="AA167" s="798"/>
      <c r="AB167" s="7"/>
      <c r="AC167" s="7"/>
      <c r="AD167" s="7"/>
      <c r="AE167" s="810">
        <v>0.09</v>
      </c>
      <c r="AG167" s="798"/>
      <c r="AH167" s="7"/>
      <c r="AI167" s="7"/>
      <c r="AJ167" s="7"/>
      <c r="AK167" s="810">
        <v>8.5000000000000006E-2</v>
      </c>
      <c r="AM167" s="798"/>
      <c r="AN167" s="7"/>
      <c r="AO167" s="7"/>
      <c r="AP167" s="7"/>
      <c r="AQ167" s="810">
        <v>8.5000000000000006E-2</v>
      </c>
      <c r="AS167" s="798"/>
      <c r="AT167" s="7"/>
      <c r="AU167" s="7"/>
      <c r="AV167" s="7"/>
      <c r="AW167" s="810">
        <v>8.5000000000000006E-2</v>
      </c>
      <c r="AY167" s="798"/>
      <c r="AZ167" s="7"/>
      <c r="BA167" s="7"/>
      <c r="BB167" s="7"/>
      <c r="BC167" s="449">
        <f>+AW167+BC168/10000</f>
        <v>8.5000000000000006E-2</v>
      </c>
      <c r="BE167" s="1177">
        <f>+BI167</f>
        <v>8.2000000000000003E-2</v>
      </c>
      <c r="BF167" s="1244">
        <f>+BI167</f>
        <v>8.2000000000000003E-2</v>
      </c>
      <c r="BG167" s="1244">
        <f>+BF167</f>
        <v>8.2000000000000003E-2</v>
      </c>
      <c r="BH167" s="1244">
        <f>+BG167</f>
        <v>8.2000000000000003E-2</v>
      </c>
      <c r="BI167" s="449">
        <f>+BC167+BI168/10000</f>
        <v>8.2000000000000003E-2</v>
      </c>
      <c r="BK167" s="93">
        <f t="shared" ref="BK167:BN167" si="115">+BE167+BK168/10000</f>
        <v>7.6999999999999999E-2</v>
      </c>
      <c r="BL167" s="59">
        <f t="shared" si="115"/>
        <v>7.6999999999999999E-2</v>
      </c>
      <c r="BM167" s="59">
        <f t="shared" si="115"/>
        <v>7.6999999999999999E-2</v>
      </c>
      <c r="BN167" s="59">
        <f t="shared" si="115"/>
        <v>7.6999999999999999E-2</v>
      </c>
      <c r="BO167" s="449">
        <f>+BI167+BO168/10000</f>
        <v>7.6999999999999999E-2</v>
      </c>
      <c r="BQ167" s="798"/>
      <c r="BR167" s="7"/>
      <c r="BS167" s="7"/>
      <c r="BT167" s="7"/>
      <c r="BU167" s="449">
        <f>+BO167+BU168/10000</f>
        <v>7.4999999999999997E-2</v>
      </c>
      <c r="BW167" s="798"/>
      <c r="BX167" s="7"/>
      <c r="BY167" s="7"/>
      <c r="BZ167" s="7"/>
      <c r="CA167" s="449">
        <f>+BU167+CA168/10000</f>
        <v>6.8999999999999992E-2</v>
      </c>
      <c r="CC167" s="798"/>
      <c r="CD167" s="7"/>
      <c r="CE167" s="7"/>
      <c r="CF167" s="7"/>
      <c r="CG167" s="449">
        <f>+CA167+CG168/10000</f>
        <v>6.2999999999999987E-2</v>
      </c>
    </row>
    <row r="168" spans="2:85" x14ac:dyDescent="0.2">
      <c r="B168" s="805" t="s">
        <v>470</v>
      </c>
      <c r="C168" s="798"/>
      <c r="D168" s="7"/>
      <c r="E168" s="7"/>
      <c r="F168" s="7"/>
      <c r="G168" s="777">
        <f>+(G167-A167)*10000</f>
        <v>850.00000000000011</v>
      </c>
      <c r="I168" s="798"/>
      <c r="J168" s="7"/>
      <c r="K168" s="7"/>
      <c r="L168" s="7"/>
      <c r="M168" s="777">
        <f>+(M167-G167)*10000</f>
        <v>0</v>
      </c>
      <c r="O168" s="798"/>
      <c r="P168" s="7"/>
      <c r="Q168" s="7"/>
      <c r="R168" s="7"/>
      <c r="S168" s="777">
        <f>+(S167-M167)*10000</f>
        <v>0</v>
      </c>
      <c r="U168" s="798"/>
      <c r="V168" s="7"/>
      <c r="W168" s="7"/>
      <c r="X168" s="7"/>
      <c r="Y168" s="777">
        <f>+(Y167-S167)*10000</f>
        <v>0</v>
      </c>
      <c r="AA168" s="798"/>
      <c r="AB168" s="7"/>
      <c r="AC168" s="7"/>
      <c r="AD168" s="7"/>
      <c r="AE168" s="777">
        <f>+(AE167-Y167)*10000</f>
        <v>49.999999999999908</v>
      </c>
      <c r="AG168" s="798"/>
      <c r="AH168" s="7"/>
      <c r="AI168" s="7"/>
      <c r="AJ168" s="7"/>
      <c r="AK168" s="777">
        <f>+(AK167-AE167)*10000</f>
        <v>-49.999999999999908</v>
      </c>
      <c r="AM168" s="798"/>
      <c r="AN168" s="7"/>
      <c r="AO168" s="7"/>
      <c r="AP168" s="7"/>
      <c r="AQ168" s="777">
        <f>+(AQ167-AK167)*10000</f>
        <v>0</v>
      </c>
      <c r="AS168" s="798"/>
      <c r="AT168" s="7"/>
      <c r="AU168" s="7"/>
      <c r="AV168" s="7"/>
      <c r="AW168" s="777">
        <f>+(AW167-AQ167)*10000</f>
        <v>0</v>
      </c>
      <c r="AY168" s="798"/>
      <c r="AZ168" s="7"/>
      <c r="BA168" s="7"/>
      <c r="BB168" s="7"/>
      <c r="BC168" s="811">
        <v>0</v>
      </c>
      <c r="BE168" s="799"/>
      <c r="BF168" s="7"/>
      <c r="BG168" s="7"/>
      <c r="BH168" s="7"/>
      <c r="BI168" s="811">
        <v>-30</v>
      </c>
      <c r="BK168" s="1245">
        <f>+BO168</f>
        <v>-50</v>
      </c>
      <c r="BL168" s="1246">
        <f>+BO168</f>
        <v>-50</v>
      </c>
      <c r="BM168" s="1246">
        <f>+BO168</f>
        <v>-50</v>
      </c>
      <c r="BN168" s="1246">
        <f>+BO168</f>
        <v>-50</v>
      </c>
      <c r="BO168" s="811">
        <v>-50</v>
      </c>
      <c r="BQ168" s="798"/>
      <c r="BR168" s="7"/>
      <c r="BS168" s="7"/>
      <c r="BT168" s="7"/>
      <c r="BU168" s="811">
        <v>-20</v>
      </c>
      <c r="BW168" s="798"/>
      <c r="BX168" s="7"/>
      <c r="BY168" s="7"/>
      <c r="BZ168" s="7"/>
      <c r="CA168" s="811">
        <v>-60</v>
      </c>
      <c r="CC168" s="798"/>
      <c r="CD168" s="7"/>
      <c r="CE168" s="7"/>
      <c r="CF168" s="7"/>
      <c r="CG168" s="811">
        <v>-60</v>
      </c>
    </row>
    <row r="169" spans="2:85" x14ac:dyDescent="0.2">
      <c r="B169" s="555" t="s">
        <v>466</v>
      </c>
      <c r="C169" s="797"/>
      <c r="D169" s="7"/>
      <c r="E169" s="7"/>
      <c r="F169" s="7"/>
      <c r="G169" s="775">
        <f>+G170*RevBuild!G146</f>
        <v>0</v>
      </c>
      <c r="I169" s="797"/>
      <c r="J169" s="7"/>
      <c r="K169" s="7"/>
      <c r="L169" s="7"/>
      <c r="M169" s="775">
        <f>+M170*RevBuild!M146</f>
        <v>0</v>
      </c>
      <c r="O169" s="797"/>
      <c r="P169" s="7"/>
      <c r="Q169" s="7"/>
      <c r="R169" s="7"/>
      <c r="S169" s="775">
        <f>+S170*RevBuild!S146</f>
        <v>0</v>
      </c>
      <c r="U169" s="797"/>
      <c r="V169" s="7"/>
      <c r="W169" s="7"/>
      <c r="X169" s="7"/>
      <c r="Y169" s="775">
        <f>+Y170*RevBuild!Y28</f>
        <v>26.679089999999999</v>
      </c>
      <c r="AA169" s="797"/>
      <c r="AB169" s="7"/>
      <c r="AC169" s="7"/>
      <c r="AD169" s="7"/>
      <c r="AE169" s="775">
        <f>+AE170*RevBuild!AE146</f>
        <v>60.308099999999996</v>
      </c>
      <c r="AG169" s="797"/>
      <c r="AH169" s="7"/>
      <c r="AI169" s="7"/>
      <c r="AJ169" s="7"/>
      <c r="AK169" s="775">
        <f>+AK170*RevBuild!AK146</f>
        <v>81.240285</v>
      </c>
      <c r="AM169" s="797"/>
      <c r="AN169" s="7"/>
      <c r="AO169" s="7"/>
      <c r="AP169" s="7"/>
      <c r="AQ169" s="775">
        <f>+AQ170*RevBuild!AQ146</f>
        <v>90.981135000000023</v>
      </c>
      <c r="AS169" s="797"/>
      <c r="AT169" s="7"/>
      <c r="AU169" s="7"/>
      <c r="AV169" s="7"/>
      <c r="AW169" s="775">
        <f>+AW170*RevBuild!AW146</f>
        <v>72.465299999999999</v>
      </c>
      <c r="AY169" s="797"/>
      <c r="AZ169" s="7"/>
      <c r="BA169" s="7"/>
      <c r="BB169" s="7"/>
      <c r="BC169" s="775">
        <f>+BC170*RevBuild!BC146</f>
        <v>111.02171199999999</v>
      </c>
      <c r="BE169" s="797">
        <f>+BE170*RevBuild!BE146</f>
        <v>30.85652</v>
      </c>
      <c r="BF169" s="1242">
        <f>+BF170*RevBuild!BF146</f>
        <v>34.143920000000001</v>
      </c>
      <c r="BG169" s="1242">
        <f>+BG170*RevBuild!BG146</f>
        <v>31.611160000000002</v>
      </c>
      <c r="BH169" s="1242">
        <f>+BH170*RevBuild!BH146</f>
        <v>33.5122</v>
      </c>
      <c r="BI169" s="775">
        <f>+BI170*RevBuild!BI146</f>
        <v>130.12380000000002</v>
      </c>
      <c r="BK169" s="797">
        <f>+BK170*RevBuild!BK146</f>
        <v>34.274459550973859</v>
      </c>
      <c r="BL169" s="1242">
        <f>+BL170*RevBuild!BL146</f>
        <v>37.579558006233036</v>
      </c>
      <c r="BM169" s="1242">
        <f>+BM170*RevBuild!BM146</f>
        <v>37.210605605707812</v>
      </c>
      <c r="BN169" s="1242">
        <f>+BN170*RevBuild!BN146</f>
        <v>37.514376837085287</v>
      </c>
      <c r="BO169" s="1293">
        <v>146.57900000000001</v>
      </c>
      <c r="BQ169" s="797"/>
      <c r="BR169" s="7"/>
      <c r="BS169" s="7"/>
      <c r="BT169" s="7"/>
      <c r="BU169" s="775">
        <f>+BU170*RevBuild!BU146</f>
        <v>159.08827084933418</v>
      </c>
      <c r="BW169" s="797"/>
      <c r="BX169" s="7"/>
      <c r="BY169" s="7"/>
      <c r="BZ169" s="7"/>
      <c r="CA169" s="775">
        <f>+CA170*RevBuild!CA146</f>
        <v>168.63356710029424</v>
      </c>
      <c r="CC169" s="797"/>
      <c r="CD169" s="7"/>
      <c r="CE169" s="7"/>
      <c r="CF169" s="7"/>
      <c r="CG169" s="775">
        <f>+CG170*RevBuild!CG146</f>
        <v>177.84617045016932</v>
      </c>
    </row>
    <row r="170" spans="2:85" x14ac:dyDescent="0.2">
      <c r="B170" s="113" t="s">
        <v>433</v>
      </c>
      <c r="C170" s="798"/>
      <c r="D170" s="7"/>
      <c r="E170" s="7"/>
      <c r="F170" s="7"/>
      <c r="G170" s="810">
        <v>0.03</v>
      </c>
      <c r="I170" s="798"/>
      <c r="J170" s="7"/>
      <c r="K170" s="7"/>
      <c r="L170" s="7"/>
      <c r="M170" s="810">
        <v>0.03</v>
      </c>
      <c r="O170" s="798"/>
      <c r="P170" s="7"/>
      <c r="Q170" s="7"/>
      <c r="R170" s="7"/>
      <c r="S170" s="810">
        <v>0.03</v>
      </c>
      <c r="U170" s="798"/>
      <c r="V170" s="7"/>
      <c r="W170" s="7"/>
      <c r="X170" s="7"/>
      <c r="Y170" s="810">
        <v>0.03</v>
      </c>
      <c r="AA170" s="798"/>
      <c r="AB170" s="7"/>
      <c r="AC170" s="7"/>
      <c r="AD170" s="7"/>
      <c r="AE170" s="810">
        <v>0.03</v>
      </c>
      <c r="AG170" s="798"/>
      <c r="AH170" s="7"/>
      <c r="AI170" s="7"/>
      <c r="AJ170" s="7"/>
      <c r="AK170" s="810">
        <v>3.5000000000000003E-2</v>
      </c>
      <c r="AM170" s="798"/>
      <c r="AN170" s="7"/>
      <c r="AO170" s="7"/>
      <c r="AP170" s="7"/>
      <c r="AQ170" s="810">
        <v>3.5000000000000003E-2</v>
      </c>
      <c r="AS170" s="798"/>
      <c r="AT170" s="7"/>
      <c r="AU170" s="7"/>
      <c r="AV170" s="7"/>
      <c r="AW170" s="810">
        <v>2.5000000000000001E-2</v>
      </c>
      <c r="AY170" s="798"/>
      <c r="AZ170" s="7"/>
      <c r="BA170" s="7"/>
      <c r="BB170" s="7"/>
      <c r="BC170" s="449">
        <f>+AW170+BC171/10000</f>
        <v>3.7999999999999999E-2</v>
      </c>
      <c r="BE170" s="1243">
        <f>+BI170</f>
        <v>0.04</v>
      </c>
      <c r="BF170" s="870">
        <f>+BE170</f>
        <v>0.04</v>
      </c>
      <c r="BG170" s="870">
        <f>+BF170</f>
        <v>0.04</v>
      </c>
      <c r="BH170" s="870">
        <f>+BG170</f>
        <v>0.04</v>
      </c>
      <c r="BI170" s="449">
        <f>+BC170+BI171/10000</f>
        <v>0.04</v>
      </c>
      <c r="BK170" s="799">
        <f>+BO170</f>
        <v>4.216117021200097E-2</v>
      </c>
      <c r="BL170" s="853">
        <f>+BO170</f>
        <v>4.216117021200097E-2</v>
      </c>
      <c r="BM170" s="853">
        <f>+BO170</f>
        <v>4.216117021200097E-2</v>
      </c>
      <c r="BN170" s="853">
        <f>+BO170</f>
        <v>4.216117021200097E-2</v>
      </c>
      <c r="BO170" s="1007">
        <f>+BO169/RevBuild!BO146</f>
        <v>4.216117021200097E-2</v>
      </c>
      <c r="BQ170" s="798"/>
      <c r="BR170" s="7"/>
      <c r="BS170" s="7"/>
      <c r="BT170" s="7"/>
      <c r="BU170" s="449">
        <f>+BO170+BU171/10000</f>
        <v>4.216117021200097E-2</v>
      </c>
      <c r="BW170" s="798"/>
      <c r="BX170" s="7"/>
      <c r="BY170" s="7"/>
      <c r="BZ170" s="7"/>
      <c r="CA170" s="449">
        <f>+BU170+CA171/10000</f>
        <v>4.216117021200097E-2</v>
      </c>
      <c r="CC170" s="798"/>
      <c r="CD170" s="7"/>
      <c r="CE170" s="7"/>
      <c r="CF170" s="7"/>
      <c r="CG170" s="449">
        <f>+CA170+CG171/10000</f>
        <v>4.216117021200097E-2</v>
      </c>
    </row>
    <row r="171" spans="2:85" x14ac:dyDescent="0.2">
      <c r="B171" s="805" t="s">
        <v>470</v>
      </c>
      <c r="C171" s="798"/>
      <c r="D171" s="7"/>
      <c r="E171" s="7"/>
      <c r="F171" s="7"/>
      <c r="G171" s="777">
        <f>+(G170-A170)*10000</f>
        <v>300</v>
      </c>
      <c r="I171" s="798"/>
      <c r="J171" s="7"/>
      <c r="K171" s="7"/>
      <c r="L171" s="7"/>
      <c r="M171" s="777">
        <f>+(M170-G170)*10000</f>
        <v>0</v>
      </c>
      <c r="O171" s="798"/>
      <c r="P171" s="7"/>
      <c r="Q171" s="7"/>
      <c r="R171" s="7"/>
      <c r="S171" s="777">
        <f>+(S170-M170)*10000</f>
        <v>0</v>
      </c>
      <c r="U171" s="798"/>
      <c r="V171" s="7"/>
      <c r="W171" s="7"/>
      <c r="X171" s="7"/>
      <c r="Y171" s="777">
        <f>+(Y170-S170)*10000</f>
        <v>0</v>
      </c>
      <c r="AA171" s="798"/>
      <c r="AB171" s="7"/>
      <c r="AC171" s="7"/>
      <c r="AD171" s="7"/>
      <c r="AE171" s="777">
        <f>+(AE170-Y170)*10000</f>
        <v>0</v>
      </c>
      <c r="AG171" s="798"/>
      <c r="AH171" s="7"/>
      <c r="AI171" s="7"/>
      <c r="AJ171" s="7"/>
      <c r="AK171" s="777">
        <f>+(AK170-AE170)*10000</f>
        <v>50.000000000000043</v>
      </c>
      <c r="AM171" s="798"/>
      <c r="AN171" s="7"/>
      <c r="AO171" s="7"/>
      <c r="AP171" s="7"/>
      <c r="AQ171" s="777">
        <f>+(AQ170-AK170)*10000</f>
        <v>0</v>
      </c>
      <c r="AS171" s="798"/>
      <c r="AT171" s="7"/>
      <c r="AU171" s="7"/>
      <c r="AV171" s="7"/>
      <c r="AW171" s="777">
        <f>+(AW170-AQ170)*10000</f>
        <v>-100.00000000000001</v>
      </c>
      <c r="AY171" s="798"/>
      <c r="AZ171" s="7"/>
      <c r="BA171" s="7"/>
      <c r="BB171" s="7"/>
      <c r="BC171" s="811">
        <v>130</v>
      </c>
      <c r="BE171" s="799"/>
      <c r="BF171" s="7"/>
      <c r="BG171" s="7"/>
      <c r="BH171" s="7"/>
      <c r="BI171" s="811">
        <v>20</v>
      </c>
      <c r="BK171" s="1420">
        <f t="shared" ref="BK171:BN171" si="116">+(BK170-BE170)*10000</f>
        <v>21.611702120009692</v>
      </c>
      <c r="BL171" s="1421">
        <f t="shared" si="116"/>
        <v>21.611702120009692</v>
      </c>
      <c r="BM171" s="1421">
        <f t="shared" si="116"/>
        <v>21.611702120009692</v>
      </c>
      <c r="BN171" s="1421">
        <f t="shared" si="116"/>
        <v>21.611702120009692</v>
      </c>
      <c r="BO171" s="777">
        <f>+(BO170-BI170)*10000</f>
        <v>21.611702120009692</v>
      </c>
      <c r="BQ171" s="798"/>
      <c r="BR171" s="7"/>
      <c r="BS171" s="7"/>
      <c r="BT171" s="7"/>
      <c r="BU171" s="811">
        <v>0</v>
      </c>
      <c r="BW171" s="798"/>
      <c r="BX171" s="7"/>
      <c r="BY171" s="7"/>
      <c r="BZ171" s="7"/>
      <c r="CA171" s="811">
        <v>0</v>
      </c>
      <c r="CC171" s="798"/>
      <c r="CD171" s="7"/>
      <c r="CE171" s="7"/>
      <c r="CF171" s="7"/>
      <c r="CG171" s="811">
        <v>0</v>
      </c>
    </row>
    <row r="172" spans="2:85" x14ac:dyDescent="0.2">
      <c r="B172" s="555" t="s">
        <v>465</v>
      </c>
      <c r="C172" s="797"/>
      <c r="D172" s="7"/>
      <c r="E172" s="7"/>
      <c r="F172" s="7"/>
      <c r="G172" s="775">
        <f>+G163-G166-G169</f>
        <v>340.93700000000013</v>
      </c>
      <c r="I172" s="797"/>
      <c r="J172" s="7"/>
      <c r="K172" s="7"/>
      <c r="L172" s="7"/>
      <c r="M172" s="775">
        <f>+M163-M166-M169</f>
        <v>385.54699999999985</v>
      </c>
      <c r="O172" s="797"/>
      <c r="P172" s="7"/>
      <c r="Q172" s="7"/>
      <c r="R172" s="7"/>
      <c r="S172" s="775">
        <f>+S163-S166-S169</f>
        <v>404.93500000000017</v>
      </c>
      <c r="U172" s="797"/>
      <c r="V172" s="7"/>
      <c r="W172" s="7"/>
      <c r="X172" s="7"/>
      <c r="Y172" s="775">
        <f>+Y163-Y166-Y169</f>
        <v>212.56535999999991</v>
      </c>
      <c r="AA172" s="797"/>
      <c r="AB172" s="7"/>
      <c r="AC172" s="7"/>
      <c r="AD172" s="7"/>
      <c r="AE172" s="775">
        <f>+AE163-AE166-AE169</f>
        <v>22.945079999999933</v>
      </c>
      <c r="AG172" s="797"/>
      <c r="AH172" s="7"/>
      <c r="AI172" s="7"/>
      <c r="AJ172" s="7"/>
      <c r="AK172" s="775">
        <f>+AK163-AK166-AK169</f>
        <v>69.576744999999875</v>
      </c>
      <c r="AM172" s="797"/>
      <c r="AN172" s="7"/>
      <c r="AO172" s="7"/>
      <c r="AP172" s="7"/>
      <c r="AQ172" s="775">
        <f>+AQ163-AQ166-AQ169</f>
        <v>74.855244999999485</v>
      </c>
      <c r="AS172" s="797"/>
      <c r="AT172" s="7"/>
      <c r="AU172" s="7"/>
      <c r="AV172" s="7"/>
      <c r="AW172" s="775">
        <f>+AW163-AW166-AW169</f>
        <v>81.902425000000235</v>
      </c>
      <c r="AY172" s="797"/>
      <c r="AZ172" s="7"/>
      <c r="BA172" s="7"/>
      <c r="BB172" s="7"/>
      <c r="BC172" s="775">
        <f>+BC163-BC166-BC169</f>
        <v>100.94669299999968</v>
      </c>
      <c r="BE172" s="797">
        <f t="shared" ref="BE172:BH172" si="117">+BE163-BE166-BE169</f>
        <v>14.355570000000004</v>
      </c>
      <c r="BF172" s="1242">
        <f t="shared" si="117"/>
        <v>23.387664000000022</v>
      </c>
      <c r="BG172" s="1242">
        <f t="shared" si="117"/>
        <v>34.768789999999939</v>
      </c>
      <c r="BH172" s="1242">
        <f t="shared" si="117"/>
        <v>38.017657999999194</v>
      </c>
      <c r="BI172" s="775">
        <f>+BI163-BI166-BI169</f>
        <v>110.52968199999918</v>
      </c>
      <c r="BK172" s="797">
        <f t="shared" ref="BK172:BN172" si="118">+BK163-BK166-BK169</f>
        <v>20.235374449026139</v>
      </c>
      <c r="BL172" s="1242">
        <f t="shared" si="118"/>
        <v>24.790582993767039</v>
      </c>
      <c r="BM172" s="1242">
        <f t="shared" si="118"/>
        <v>30.54018439429224</v>
      </c>
      <c r="BN172" s="1242">
        <f t="shared" si="118"/>
        <v>40.61317716291483</v>
      </c>
      <c r="BO172" s="775">
        <f>+BO163-BO166-BO169</f>
        <v>116.17931900000019</v>
      </c>
      <c r="BQ172" s="797"/>
      <c r="BR172" s="7"/>
      <c r="BS172" s="7"/>
      <c r="BT172" s="7"/>
      <c r="BU172" s="775">
        <f>+BU163-BU166-BU169</f>
        <v>146.65258763914758</v>
      </c>
      <c r="BW172" s="797"/>
      <c r="BX172" s="7"/>
      <c r="BY172" s="7"/>
      <c r="BZ172" s="7"/>
      <c r="CA172" s="775">
        <f>+CA163-CA166-CA169</f>
        <v>142.0175291671288</v>
      </c>
      <c r="CC172" s="797"/>
      <c r="CD172" s="7"/>
      <c r="CE172" s="7"/>
      <c r="CF172" s="7"/>
      <c r="CG172" s="775">
        <f>+CG163-CG166-CG169</f>
        <v>134.01972565616478</v>
      </c>
    </row>
    <row r="173" spans="2:85" x14ac:dyDescent="0.2">
      <c r="B173" s="113" t="s">
        <v>433</v>
      </c>
      <c r="C173" s="799"/>
      <c r="D173" s="11"/>
      <c r="E173" s="11"/>
      <c r="F173" s="11"/>
      <c r="G173" s="449" t="e">
        <f>+G172/RevBuild!G153</f>
        <v>#DIV/0!</v>
      </c>
      <c r="H173" s="11"/>
      <c r="I173" s="799"/>
      <c r="J173" s="11"/>
      <c r="K173" s="11"/>
      <c r="L173" s="11"/>
      <c r="M173" s="449" t="e">
        <f>+M172/RevBuild!M153</f>
        <v>#DIV/0!</v>
      </c>
      <c r="N173" s="11"/>
      <c r="O173" s="799"/>
      <c r="P173" s="11"/>
      <c r="Q173" s="11"/>
      <c r="R173" s="11"/>
      <c r="S173" s="449" t="e">
        <f>+S172/RevBuild!S153</f>
        <v>#DIV/0!</v>
      </c>
      <c r="T173" s="11"/>
      <c r="U173" s="799"/>
      <c r="V173" s="11"/>
      <c r="W173" s="11"/>
      <c r="X173" s="11"/>
      <c r="Y173" s="449" t="e">
        <f>+Y172/RevBuild!Y153</f>
        <v>#DIV/0!</v>
      </c>
      <c r="Z173" s="11"/>
      <c r="AA173" s="799"/>
      <c r="AB173" s="11"/>
      <c r="AC173" s="11"/>
      <c r="AD173" s="11"/>
      <c r="AE173" s="449">
        <f>+AE172/RevBuild!AE153</f>
        <v>1.5251433410393358E-2</v>
      </c>
      <c r="AF173" s="11"/>
      <c r="AG173" s="799"/>
      <c r="AH173" s="11"/>
      <c r="AI173" s="11"/>
      <c r="AJ173" s="11"/>
      <c r="AK173" s="449">
        <f>+AK172/RevBuild!AK153</f>
        <v>4.4574161664811915E-2</v>
      </c>
      <c r="AL173" s="11"/>
      <c r="AM173" s="799"/>
      <c r="AN173" s="11"/>
      <c r="AO173" s="11"/>
      <c r="AP173" s="11"/>
      <c r="AQ173" s="449">
        <f>+AQ172/RevBuild!AQ153</f>
        <v>4.5555470016133165E-2</v>
      </c>
      <c r="AR173" s="11"/>
      <c r="AS173" s="799"/>
      <c r="AT173" s="11"/>
      <c r="AU173" s="11"/>
      <c r="AV173" s="11"/>
      <c r="AW173" s="449">
        <f>+AW172/RevBuild!AW153</f>
        <v>4.6997836671573028E-2</v>
      </c>
      <c r="AX173" s="11"/>
      <c r="AY173" s="799"/>
      <c r="AZ173" s="11"/>
      <c r="BA173" s="11"/>
      <c r="BB173" s="11"/>
      <c r="BC173" s="449">
        <f>+BC172/RevBuild!BC153</f>
        <v>4.8697941304877278E-2</v>
      </c>
      <c r="BD173" s="11"/>
      <c r="BE173" s="93">
        <f>+BE172/RevBuild!BE153</f>
        <v>2.6677414019627706E-2</v>
      </c>
      <c r="BF173" s="61">
        <f>+BF172/RevBuild!BF153</f>
        <v>4.3404934811859176E-2</v>
      </c>
      <c r="BG173" s="61">
        <f>+BG172/RevBuild!BG153</f>
        <v>5.4356130246635555E-2</v>
      </c>
      <c r="BH173" s="61">
        <f>+BH172/RevBuild!BH153</f>
        <v>6.1213062596706655E-2</v>
      </c>
      <c r="BI173" s="449">
        <f>+BI172/RevBuild!BI153</f>
        <v>4.7282168800351798E-2</v>
      </c>
      <c r="BJ173" s="11"/>
      <c r="BK173" s="93">
        <f>+BK172/RevBuild!BK153</f>
        <v>3.3788357799357703E-2</v>
      </c>
      <c r="BL173" s="61">
        <f>+BL172/RevBuild!BL153</f>
        <v>4.3383639544101064E-2</v>
      </c>
      <c r="BM173" s="61">
        <f>+BM172/RevBuild!BM153</f>
        <v>4.4212375038967515E-2</v>
      </c>
      <c r="BN173" s="61">
        <f>+BN172/RevBuild!BN153</f>
        <v>6.3764958178287437E-2</v>
      </c>
      <c r="BO173" s="449">
        <f>+BO172/RevBuild!BO153</f>
        <v>4.6509046458878676E-2</v>
      </c>
      <c r="BP173" s="11"/>
      <c r="BQ173" s="799"/>
      <c r="BR173" s="11"/>
      <c r="BS173" s="11"/>
      <c r="BT173" s="11"/>
      <c r="BU173" s="449">
        <f>+BU172/RevBuild!BU153</f>
        <v>5.5495422962510074E-2</v>
      </c>
      <c r="BV173" s="11"/>
      <c r="BW173" s="799"/>
      <c r="BX173" s="11"/>
      <c r="BY173" s="11"/>
      <c r="BZ173" s="11"/>
      <c r="CA173" s="449">
        <f>+CA172/RevBuild!CA153</f>
        <v>5.1223355268804269E-2</v>
      </c>
      <c r="CB173" s="11"/>
      <c r="CC173" s="799"/>
      <c r="CD173" s="11"/>
      <c r="CE173" s="11"/>
      <c r="CF173" s="11"/>
      <c r="CG173" s="449">
        <f>+CG172/RevBuild!CG153</f>
        <v>4.6503870575634473E-2</v>
      </c>
    </row>
    <row r="174" spans="2:85" x14ac:dyDescent="0.2">
      <c r="B174" s="806" t="s">
        <v>470</v>
      </c>
      <c r="C174" s="800"/>
      <c r="D174" s="33"/>
      <c r="E174" s="33"/>
      <c r="F174" s="33"/>
      <c r="G174" s="778" t="e">
        <f>+(G173-A173)*10000</f>
        <v>#DIV/0!</v>
      </c>
      <c r="H174" s="33"/>
      <c r="I174" s="800"/>
      <c r="J174" s="33"/>
      <c r="K174" s="33"/>
      <c r="L174" s="33"/>
      <c r="M174" s="778" t="e">
        <f>+(M173-G173)*10000</f>
        <v>#DIV/0!</v>
      </c>
      <c r="N174" s="33"/>
      <c r="O174" s="800"/>
      <c r="P174" s="33"/>
      <c r="Q174" s="33"/>
      <c r="R174" s="33"/>
      <c r="S174" s="778" t="e">
        <f>+(S173-M173)*10000</f>
        <v>#DIV/0!</v>
      </c>
      <c r="T174" s="33"/>
      <c r="U174" s="800"/>
      <c r="V174" s="33"/>
      <c r="W174" s="33"/>
      <c r="X174" s="33"/>
      <c r="Y174" s="778" t="e">
        <f>+(Y173-S173)*10000</f>
        <v>#DIV/0!</v>
      </c>
      <c r="Z174" s="33"/>
      <c r="AA174" s="800"/>
      <c r="AB174" s="33"/>
      <c r="AC174" s="33"/>
      <c r="AD174" s="33"/>
      <c r="AE174" s="778" t="e">
        <f>+(AE173-Y173)*10000</f>
        <v>#DIV/0!</v>
      </c>
      <c r="AF174" s="33"/>
      <c r="AG174" s="800"/>
      <c r="AH174" s="33"/>
      <c r="AI174" s="33"/>
      <c r="AJ174" s="33"/>
      <c r="AK174" s="778">
        <f>+(AK173-AE173)*10000</f>
        <v>293.22728254418553</v>
      </c>
      <c r="AL174" s="33"/>
      <c r="AM174" s="800"/>
      <c r="AN174" s="33"/>
      <c r="AO174" s="33"/>
      <c r="AP174" s="33"/>
      <c r="AQ174" s="778">
        <f>+(AQ173-AK173)*10000</f>
        <v>9.8130835132125007</v>
      </c>
      <c r="AR174" s="33"/>
      <c r="AS174" s="800"/>
      <c r="AT174" s="33"/>
      <c r="AU174" s="33"/>
      <c r="AV174" s="33"/>
      <c r="AW174" s="778">
        <f>+(AW173-AQ173)*10000</f>
        <v>14.423666554398626</v>
      </c>
      <c r="AX174" s="33"/>
      <c r="AY174" s="800"/>
      <c r="AZ174" s="33"/>
      <c r="BA174" s="33"/>
      <c r="BB174" s="33"/>
      <c r="BC174" s="778">
        <f>+(BC173-AW173)*10000</f>
        <v>17.001046333042503</v>
      </c>
      <c r="BD174" s="33"/>
      <c r="BE174" s="800"/>
      <c r="BF174" s="33"/>
      <c r="BG174" s="33"/>
      <c r="BH174" s="33"/>
      <c r="BI174" s="778">
        <f>+(BI173-BC173)*10000</f>
        <v>-14.157725045254796</v>
      </c>
      <c r="BJ174" s="33"/>
      <c r="BK174" s="1247">
        <f t="shared" ref="BK174:BN174" si="119">+(BK173-BE173)*10000</f>
        <v>71.109437797299975</v>
      </c>
      <c r="BL174" s="1248">
        <f t="shared" si="119"/>
        <v>-0.21295267758111858</v>
      </c>
      <c r="BM174" s="1248">
        <f t="shared" si="119"/>
        <v>-101.4375520766804</v>
      </c>
      <c r="BN174" s="1248">
        <f t="shared" si="119"/>
        <v>25.518955815807821</v>
      </c>
      <c r="BO174" s="778">
        <f>+(BO173-BI173)*10000</f>
        <v>-7.7312234147312173</v>
      </c>
      <c r="BP174" s="33"/>
      <c r="BQ174" s="800"/>
      <c r="BR174" s="33"/>
      <c r="BS174" s="33"/>
      <c r="BT174" s="33"/>
      <c r="BU174" s="778">
        <f>+(BU173-BO173)*10000</f>
        <v>89.863765036313978</v>
      </c>
      <c r="BV174" s="33"/>
      <c r="BW174" s="800"/>
      <c r="BX174" s="33"/>
      <c r="BY174" s="33"/>
      <c r="BZ174" s="33"/>
      <c r="CA174" s="778">
        <f>+(CA173-BU173)*10000</f>
        <v>-42.720676937058059</v>
      </c>
      <c r="CB174" s="33"/>
      <c r="CC174" s="800"/>
      <c r="CD174" s="33"/>
      <c r="CE174" s="33"/>
      <c r="CF174" s="33"/>
      <c r="CG174" s="778">
        <f>+(CG173-CA173)*10000</f>
        <v>-47.194846931697953</v>
      </c>
    </row>
    <row r="175" spans="2:85" x14ac:dyDescent="0.2">
      <c r="B175" s="7"/>
      <c r="C175" s="7"/>
      <c r="D175" s="7"/>
      <c r="E175" s="7"/>
      <c r="F175" s="7"/>
      <c r="G175" s="7"/>
      <c r="I175" s="7"/>
      <c r="J175" s="7"/>
      <c r="K175" s="7"/>
      <c r="L175" s="7"/>
      <c r="M175" s="7"/>
      <c r="O175" s="7"/>
      <c r="P175" s="7"/>
      <c r="Q175" s="7"/>
      <c r="R175" s="7"/>
      <c r="S175" s="7"/>
      <c r="U175" s="7"/>
      <c r="V175" s="7"/>
      <c r="W175" s="7"/>
      <c r="X175" s="7"/>
      <c r="Y175" s="7"/>
      <c r="AA175" s="7"/>
      <c r="AB175" s="7"/>
      <c r="AC175" s="7"/>
      <c r="AD175" s="7"/>
      <c r="AE175" s="7"/>
      <c r="AG175" s="7"/>
      <c r="AH175" s="7"/>
      <c r="AI175" s="7"/>
      <c r="AJ175" s="7"/>
      <c r="AK175" s="7"/>
      <c r="AM175" s="7"/>
      <c r="AN175" s="7"/>
      <c r="AO175" s="7"/>
      <c r="AP175" s="7"/>
      <c r="AQ175" s="7"/>
      <c r="AS175" s="7"/>
      <c r="AT175" s="7"/>
      <c r="AU175" s="7"/>
      <c r="AV175" s="7"/>
      <c r="AW175" s="7"/>
      <c r="AY175" s="7"/>
      <c r="AZ175" s="7"/>
      <c r="BA175" s="7"/>
      <c r="BB175" s="7"/>
      <c r="BC175" s="7"/>
      <c r="BE175" s="7"/>
      <c r="BF175" s="7"/>
      <c r="BG175" s="7"/>
      <c r="BH175" s="7"/>
      <c r="BI175" s="7"/>
      <c r="BK175" s="7"/>
      <c r="BL175" s="7"/>
      <c r="BM175" s="7"/>
      <c r="BN175" s="7"/>
      <c r="BO175" s="7"/>
      <c r="BQ175" s="7"/>
      <c r="BR175" s="7"/>
      <c r="BS175" s="7"/>
      <c r="BT175" s="7"/>
      <c r="BU175" s="7"/>
      <c r="BW175" s="7"/>
      <c r="BX175" s="7"/>
      <c r="BY175" s="7"/>
      <c r="BZ175" s="7"/>
      <c r="CA175" s="7"/>
      <c r="CC175" s="7"/>
      <c r="CD175" s="7"/>
      <c r="CE175" s="7"/>
      <c r="CF175" s="7"/>
      <c r="CG175" s="7"/>
    </row>
    <row r="176" spans="2:85" outlineLevel="1" x14ac:dyDescent="0.2">
      <c r="B176" s="7" t="s">
        <v>467</v>
      </c>
      <c r="C176" s="7"/>
      <c r="D176" s="7"/>
      <c r="E176" s="7"/>
      <c r="F176" s="7"/>
      <c r="G176" s="7"/>
      <c r="I176" s="7"/>
      <c r="J176" s="7"/>
      <c r="K176" s="7"/>
      <c r="L176" s="7"/>
      <c r="M176" s="7"/>
      <c r="O176" s="7"/>
      <c r="P176" s="7"/>
      <c r="Q176" s="7"/>
      <c r="R176" s="7"/>
      <c r="S176" s="7"/>
      <c r="U176" s="7"/>
      <c r="V176" s="7"/>
      <c r="W176" s="7"/>
      <c r="X176" s="7"/>
      <c r="Y176" s="7"/>
      <c r="AA176" s="7"/>
      <c r="AB176" s="7"/>
      <c r="AC176" s="7"/>
      <c r="AD176" s="7"/>
      <c r="AE176" s="7"/>
      <c r="AG176" s="7"/>
      <c r="AH176" s="7"/>
      <c r="AI176" s="7"/>
      <c r="AJ176" s="7"/>
      <c r="AK176" s="7"/>
      <c r="AM176" s="7"/>
      <c r="AN176" s="7"/>
      <c r="AO176" s="7"/>
      <c r="AP176" s="7"/>
      <c r="AQ176" s="7"/>
      <c r="AS176" s="7"/>
      <c r="AT176" s="7"/>
      <c r="AU176" s="7"/>
      <c r="AV176" s="7"/>
      <c r="AW176" s="7"/>
      <c r="AY176" s="7"/>
      <c r="AZ176" s="7"/>
      <c r="BA176" s="7"/>
      <c r="BB176" s="7"/>
      <c r="BC176" s="801">
        <v>2.3E-2</v>
      </c>
      <c r="BD176" s="801"/>
      <c r="BE176" s="801"/>
      <c r="BF176" s="801"/>
      <c r="BG176" s="801"/>
      <c r="BH176" s="801"/>
      <c r="BI176" s="801">
        <v>2.3E-2</v>
      </c>
      <c r="BJ176" s="801"/>
      <c r="BK176" s="801"/>
      <c r="BL176" s="801"/>
      <c r="BM176" s="801"/>
      <c r="BN176" s="801"/>
      <c r="BO176" s="801">
        <v>0.02</v>
      </c>
      <c r="BQ176" s="7"/>
      <c r="BR176" s="7"/>
      <c r="BS176" s="7"/>
      <c r="BT176" s="7"/>
      <c r="BU176" s="7"/>
      <c r="BW176" s="7"/>
      <c r="BX176" s="7"/>
      <c r="BY176" s="7"/>
      <c r="BZ176" s="7"/>
      <c r="CA176" s="7"/>
      <c r="CC176" s="7"/>
      <c r="CD176" s="7"/>
      <c r="CE176" s="7"/>
      <c r="CF176" s="7"/>
      <c r="CG176" s="7"/>
    </row>
    <row r="177" spans="2:85" outlineLevel="1" x14ac:dyDescent="0.2">
      <c r="B177" s="803" t="s">
        <v>470</v>
      </c>
      <c r="C177" s="7"/>
      <c r="D177" s="7"/>
      <c r="E177" s="7"/>
      <c r="F177" s="7"/>
      <c r="G177" s="7"/>
      <c r="I177" s="7"/>
      <c r="J177" s="7"/>
      <c r="K177" s="7"/>
      <c r="L177" s="7"/>
      <c r="M177" s="7"/>
      <c r="O177" s="7"/>
      <c r="P177" s="7"/>
      <c r="Q177" s="7"/>
      <c r="R177" s="7"/>
      <c r="S177" s="7"/>
      <c r="U177" s="7"/>
      <c r="V177" s="7"/>
      <c r="W177" s="7"/>
      <c r="X177" s="7"/>
      <c r="Y177" s="7"/>
      <c r="AA177" s="7"/>
      <c r="AB177" s="7"/>
      <c r="AC177" s="7"/>
      <c r="AD177" s="7"/>
      <c r="AE177" s="7"/>
      <c r="AG177" s="7"/>
      <c r="AH177" s="7"/>
      <c r="AI177" s="7"/>
      <c r="AJ177" s="7"/>
      <c r="AK177" s="7"/>
      <c r="AM177" s="7"/>
      <c r="AN177" s="7"/>
      <c r="AO177" s="7"/>
      <c r="AP177" s="7"/>
      <c r="AQ177" s="11"/>
      <c r="AR177" s="11"/>
      <c r="AS177" s="11"/>
      <c r="AT177" s="11"/>
      <c r="AU177" s="11"/>
      <c r="AV177" s="11"/>
      <c r="AW177" s="11"/>
      <c r="AX177" s="11"/>
      <c r="AY177" s="11"/>
      <c r="AZ177" s="11"/>
      <c r="BA177" s="11"/>
      <c r="BB177" s="11"/>
      <c r="BC177" s="807"/>
      <c r="BD177" s="807"/>
      <c r="BE177" s="807"/>
      <c r="BF177" s="807"/>
      <c r="BG177" s="807"/>
      <c r="BH177" s="807"/>
      <c r="BI177" s="776">
        <f>+(BI176-BC176)*10000</f>
        <v>0</v>
      </c>
      <c r="BJ177" s="807"/>
      <c r="BK177" s="807"/>
      <c r="BL177" s="807"/>
      <c r="BM177" s="807"/>
      <c r="BN177" s="807"/>
      <c r="BO177" s="776">
        <f>+(BO176-BI176)*10000</f>
        <v>-29.999999999999993</v>
      </c>
      <c r="BQ177" s="7"/>
      <c r="BR177" s="7"/>
      <c r="BS177" s="7"/>
      <c r="BT177" s="7"/>
      <c r="BU177" s="7"/>
      <c r="BW177" s="7"/>
      <c r="BX177" s="7"/>
      <c r="BY177" s="7"/>
      <c r="BZ177" s="7"/>
      <c r="CA177" s="7"/>
      <c r="CC177" s="7"/>
      <c r="CD177" s="7"/>
      <c r="CE177" s="7"/>
      <c r="CF177" s="7"/>
      <c r="CG177" s="7"/>
    </row>
    <row r="178" spans="2:85" outlineLevel="1" x14ac:dyDescent="0.2">
      <c r="B178" s="7" t="s">
        <v>468</v>
      </c>
      <c r="C178" s="7"/>
      <c r="D178" s="7"/>
      <c r="E178" s="7"/>
      <c r="F178" s="7"/>
      <c r="G178" s="7"/>
      <c r="I178" s="7"/>
      <c r="J178" s="7"/>
      <c r="K178" s="7"/>
      <c r="L178" s="7"/>
      <c r="M178" s="7"/>
      <c r="O178" s="7"/>
      <c r="P178" s="7"/>
      <c r="Q178" s="7"/>
      <c r="R178" s="7"/>
      <c r="S178" s="7"/>
      <c r="U178" s="7"/>
      <c r="V178" s="7"/>
      <c r="W178" s="7"/>
      <c r="X178" s="7"/>
      <c r="Y178" s="7"/>
      <c r="AA178" s="7"/>
      <c r="AB178" s="7"/>
      <c r="AC178" s="7"/>
      <c r="AD178" s="7"/>
      <c r="AE178" s="7"/>
      <c r="AG178" s="7"/>
      <c r="AH178" s="7"/>
      <c r="AI178" s="7"/>
      <c r="AJ178" s="7"/>
      <c r="AK178" s="7"/>
      <c r="AM178" s="7"/>
      <c r="AN178" s="7"/>
      <c r="AO178" s="7"/>
      <c r="AP178" s="7"/>
      <c r="AQ178" s="11"/>
      <c r="AR178" s="11"/>
      <c r="AS178" s="11"/>
      <c r="AT178" s="11"/>
      <c r="AU178" s="11"/>
      <c r="AV178" s="11"/>
      <c r="AW178" s="11"/>
      <c r="AX178" s="11"/>
      <c r="AY178" s="11"/>
      <c r="AZ178" s="11"/>
      <c r="BA178" s="11"/>
      <c r="BB178" s="11"/>
      <c r="BC178" s="808">
        <f>433/11395</f>
        <v>3.7999122422114964E-2</v>
      </c>
      <c r="BD178" s="809"/>
      <c r="BE178" s="809"/>
      <c r="BF178" s="809"/>
      <c r="BG178" s="809"/>
      <c r="BH178" s="809"/>
      <c r="BI178" s="808">
        <f>457/12430</f>
        <v>3.6765888978278358E-2</v>
      </c>
      <c r="BJ178" s="11"/>
      <c r="BK178" s="11"/>
      <c r="BL178" s="11"/>
      <c r="BM178" s="11"/>
      <c r="BN178" s="11"/>
      <c r="BO178" s="11"/>
      <c r="BQ178" s="7"/>
      <c r="BR178" s="7"/>
      <c r="BS178" s="7"/>
      <c r="BT178" s="7"/>
      <c r="BU178" s="7"/>
      <c r="BW178" s="7"/>
      <c r="BX178" s="7"/>
      <c r="BY178" s="7"/>
      <c r="BZ178" s="7"/>
      <c r="CA178" s="7"/>
      <c r="CC178" s="7"/>
      <c r="CD178" s="7"/>
      <c r="CE178" s="7"/>
      <c r="CF178" s="7"/>
      <c r="CG178" s="7"/>
    </row>
    <row r="179" spans="2:85" outlineLevel="1" x14ac:dyDescent="0.2">
      <c r="B179" s="803" t="s">
        <v>470</v>
      </c>
      <c r="C179" s="7"/>
      <c r="D179" s="7"/>
      <c r="E179" s="7"/>
      <c r="F179" s="7"/>
      <c r="G179" s="7"/>
      <c r="I179" s="7"/>
      <c r="J179" s="7"/>
      <c r="K179" s="7"/>
      <c r="L179" s="7"/>
      <c r="M179" s="7"/>
      <c r="O179" s="7"/>
      <c r="P179" s="7"/>
      <c r="Q179" s="7"/>
      <c r="R179" s="7"/>
      <c r="S179" s="7"/>
      <c r="U179" s="7"/>
      <c r="V179" s="7"/>
      <c r="W179" s="7"/>
      <c r="X179" s="7"/>
      <c r="Y179" s="7"/>
      <c r="AA179" s="7"/>
      <c r="AB179" s="7"/>
      <c r="AC179" s="7"/>
      <c r="AD179" s="7"/>
      <c r="AE179" s="7"/>
      <c r="AG179" s="7"/>
      <c r="AH179" s="7"/>
      <c r="AI179" s="7"/>
      <c r="AJ179" s="7"/>
      <c r="AK179" s="7"/>
      <c r="AM179" s="7"/>
      <c r="AN179" s="7"/>
      <c r="AO179" s="7"/>
      <c r="AP179" s="7"/>
      <c r="AQ179" s="11"/>
      <c r="AR179" s="11"/>
      <c r="AS179" s="11"/>
      <c r="AT179" s="11"/>
      <c r="AU179" s="11"/>
      <c r="AV179" s="11"/>
      <c r="AW179" s="11"/>
      <c r="AX179" s="11"/>
      <c r="AY179" s="11"/>
      <c r="AZ179" s="11"/>
      <c r="BA179" s="11"/>
      <c r="BB179" s="11"/>
      <c r="BC179" s="808"/>
      <c r="BD179" s="809"/>
      <c r="BE179" s="809"/>
      <c r="BF179" s="809"/>
      <c r="BG179" s="809"/>
      <c r="BH179" s="809"/>
      <c r="BI179" s="776">
        <f>+(BI178-BC178)*10000</f>
        <v>-12.332334438366066</v>
      </c>
      <c r="BJ179" s="11"/>
      <c r="BK179" s="11"/>
      <c r="BL179" s="11"/>
      <c r="BM179" s="11"/>
      <c r="BN179" s="11"/>
      <c r="BO179" s="11"/>
      <c r="BQ179" s="7"/>
      <c r="BR179" s="7"/>
      <c r="BS179" s="7"/>
      <c r="BT179" s="7"/>
      <c r="BU179" s="7"/>
      <c r="BW179" s="7"/>
      <c r="BX179" s="7"/>
      <c r="BY179" s="7"/>
      <c r="BZ179" s="7"/>
      <c r="CA179" s="7"/>
      <c r="CC179" s="7"/>
      <c r="CD179" s="7"/>
      <c r="CE179" s="7"/>
      <c r="CF179" s="7"/>
      <c r="CG179" s="7"/>
    </row>
    <row r="180" spans="2:85" outlineLevel="1" x14ac:dyDescent="0.2">
      <c r="B180" s="7"/>
      <c r="C180" s="7"/>
      <c r="D180" s="7"/>
      <c r="E180" s="7"/>
      <c r="F180" s="7"/>
      <c r="G180" s="7"/>
      <c r="I180" s="7"/>
      <c r="J180" s="7"/>
      <c r="K180" s="7"/>
      <c r="L180" s="7"/>
      <c r="M180" s="7"/>
      <c r="O180" s="7"/>
      <c r="P180" s="7"/>
      <c r="Q180" s="7"/>
      <c r="R180" s="7"/>
      <c r="S180" s="7"/>
      <c r="U180" s="7"/>
      <c r="V180" s="7"/>
      <c r="W180" s="7"/>
      <c r="X180" s="7"/>
      <c r="Y180" s="7"/>
      <c r="AA180" s="7"/>
      <c r="AB180" s="7"/>
      <c r="AC180" s="7"/>
      <c r="AD180" s="7"/>
      <c r="AE180" s="7"/>
      <c r="AG180" s="7"/>
      <c r="AH180" s="7"/>
      <c r="AI180" s="7"/>
      <c r="AJ180" s="7"/>
      <c r="AK180" s="7"/>
      <c r="AM180" s="7"/>
      <c r="AN180" s="7"/>
      <c r="AO180" s="7"/>
      <c r="AP180" s="7"/>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Q180" s="7"/>
      <c r="BR180" s="7"/>
      <c r="BS180" s="7"/>
      <c r="BT180" s="7"/>
      <c r="BU180" s="7"/>
      <c r="BW180" s="7"/>
      <c r="BX180" s="7"/>
      <c r="BY180" s="7"/>
      <c r="BZ180" s="7"/>
      <c r="CA180" s="7"/>
      <c r="CC180" s="7"/>
      <c r="CD180" s="7"/>
      <c r="CE180" s="7"/>
      <c r="CF180" s="7"/>
      <c r="CG180" s="7"/>
    </row>
    <row r="181" spans="2:85" outlineLevel="1" x14ac:dyDescent="0.2">
      <c r="B181" s="7" t="s">
        <v>469</v>
      </c>
      <c r="C181" s="7"/>
      <c r="D181" s="7"/>
      <c r="E181" s="7"/>
      <c r="F181" s="7"/>
      <c r="G181" s="7"/>
      <c r="I181" s="7"/>
      <c r="J181" s="7"/>
      <c r="K181" s="7"/>
      <c r="L181" s="7"/>
      <c r="M181" s="7"/>
      <c r="O181" s="7"/>
      <c r="P181" s="7"/>
      <c r="Q181" s="7"/>
      <c r="R181" s="7"/>
      <c r="S181" s="7"/>
      <c r="U181" s="7"/>
      <c r="V181" s="7"/>
      <c r="W181" s="7"/>
      <c r="X181" s="7"/>
      <c r="Y181" s="7"/>
      <c r="AA181" s="7"/>
      <c r="AB181" s="7"/>
      <c r="AC181" s="7"/>
      <c r="AD181" s="7"/>
      <c r="AE181" s="7"/>
      <c r="AG181" s="7"/>
      <c r="AH181" s="7"/>
      <c r="AI181" s="7"/>
      <c r="AJ181" s="7"/>
      <c r="AK181" s="802">
        <f>85.94/1996.294</f>
        <v>4.3049771226081925E-2</v>
      </c>
      <c r="AM181" s="7"/>
      <c r="AN181" s="7"/>
      <c r="AO181" s="7"/>
      <c r="AP181" s="7"/>
      <c r="AQ181" s="808">
        <f>100.323/2260.279</f>
        <v>4.4385228549218919E-2</v>
      </c>
      <c r="AR181" s="11"/>
      <c r="AS181" s="11"/>
      <c r="AT181" s="11"/>
      <c r="AU181" s="11"/>
      <c r="AV181" s="11"/>
      <c r="AW181" s="808">
        <f>117.76/2892.023</f>
        <v>4.0718901613161447E-2</v>
      </c>
      <c r="AX181" s="11"/>
      <c r="AY181" s="11"/>
      <c r="AZ181" s="11"/>
      <c r="BA181" s="11"/>
      <c r="BB181" s="11"/>
      <c r="BC181" s="808"/>
      <c r="BD181" s="11"/>
      <c r="BE181" s="11"/>
      <c r="BF181" s="11"/>
      <c r="BG181" s="11"/>
      <c r="BH181" s="11"/>
      <c r="BI181" s="11"/>
      <c r="BJ181" s="11"/>
      <c r="BK181" s="11"/>
      <c r="BL181" s="11"/>
      <c r="BM181" s="11"/>
      <c r="BN181" s="11"/>
      <c r="BO181" s="11"/>
      <c r="BQ181" s="7"/>
      <c r="BR181" s="7"/>
      <c r="BS181" s="7"/>
      <c r="BT181" s="7"/>
      <c r="BU181" s="7"/>
      <c r="BW181" s="7"/>
      <c r="BX181" s="7"/>
      <c r="BY181" s="7"/>
      <c r="BZ181" s="7"/>
      <c r="CA181" s="7"/>
      <c r="CC181" s="7"/>
      <c r="CD181" s="7"/>
      <c r="CE181" s="7"/>
      <c r="CF181" s="7"/>
      <c r="CG181" s="7"/>
    </row>
    <row r="182" spans="2:85" outlineLevel="1" x14ac:dyDescent="0.2">
      <c r="B182" s="803" t="s">
        <v>470</v>
      </c>
      <c r="C182" s="7"/>
      <c r="D182" s="7"/>
      <c r="E182" s="7"/>
      <c r="F182" s="7"/>
      <c r="G182" s="7"/>
      <c r="I182" s="7"/>
      <c r="J182" s="7"/>
      <c r="K182" s="7"/>
      <c r="L182" s="7"/>
      <c r="M182" s="7"/>
      <c r="O182" s="7"/>
      <c r="P182" s="7"/>
      <c r="Q182" s="7"/>
      <c r="R182" s="7"/>
      <c r="S182" s="7"/>
      <c r="U182" s="7"/>
      <c r="V182" s="7"/>
      <c r="W182" s="7"/>
      <c r="X182" s="7"/>
      <c r="Y182" s="7"/>
      <c r="AA182" s="7"/>
      <c r="AB182" s="7"/>
      <c r="AC182" s="7"/>
      <c r="AD182" s="7"/>
      <c r="AE182" s="7"/>
      <c r="AG182" s="7"/>
      <c r="AH182" s="7"/>
      <c r="AI182" s="7"/>
      <c r="AJ182" s="7"/>
      <c r="AK182" s="7"/>
      <c r="AM182" s="7"/>
      <c r="AN182" s="7"/>
      <c r="AO182" s="7"/>
      <c r="AP182" s="7"/>
      <c r="AQ182" s="776">
        <f>+(AQ181-AK181)*10000</f>
        <v>13.354573231369946</v>
      </c>
      <c r="AR182" s="11"/>
      <c r="AS182" s="11"/>
      <c r="AT182" s="11"/>
      <c r="AU182" s="11"/>
      <c r="AV182" s="11"/>
      <c r="AW182" s="776">
        <f>+(AW181-AQ181)*10000</f>
        <v>-36.663269360574724</v>
      </c>
      <c r="AX182" s="11"/>
      <c r="AY182" s="11"/>
      <c r="AZ182" s="11"/>
      <c r="BA182" s="11"/>
      <c r="BB182" s="11"/>
      <c r="BC182" s="11"/>
      <c r="BD182" s="11"/>
      <c r="BE182" s="11"/>
      <c r="BF182" s="11"/>
      <c r="BG182" s="11"/>
      <c r="BH182" s="11"/>
      <c r="BI182" s="11"/>
      <c r="BJ182" s="11"/>
      <c r="BK182" s="11"/>
      <c r="BL182" s="11"/>
      <c r="BM182" s="11"/>
      <c r="BN182" s="11"/>
      <c r="BO182" s="11"/>
      <c r="BQ182" s="7"/>
      <c r="BR182" s="7"/>
      <c r="BS182" s="7"/>
      <c r="BT182" s="7"/>
      <c r="BU182" s="7"/>
      <c r="BW182" s="7"/>
      <c r="BX182" s="7"/>
      <c r="BY182" s="7"/>
      <c r="BZ182" s="7"/>
      <c r="CA182" s="7"/>
      <c r="CC182" s="7"/>
      <c r="CD182" s="7"/>
      <c r="CE182" s="7"/>
      <c r="CF182" s="7"/>
      <c r="CG182" s="7"/>
    </row>
    <row r="183" spans="2:85" outlineLevel="1" x14ac:dyDescent="0.2">
      <c r="B183" s="7"/>
      <c r="C183" s="7"/>
      <c r="D183" s="7"/>
      <c r="E183" s="7"/>
      <c r="F183" s="7"/>
      <c r="G183" s="7"/>
      <c r="I183" s="7"/>
      <c r="J183" s="7"/>
      <c r="K183" s="7"/>
      <c r="L183" s="7"/>
      <c r="M183" s="7"/>
      <c r="O183" s="7"/>
      <c r="P183" s="7"/>
      <c r="Q183" s="7"/>
      <c r="R183" s="7"/>
      <c r="S183" s="7"/>
      <c r="U183" s="7"/>
      <c r="V183" s="7"/>
      <c r="W183" s="7"/>
      <c r="X183" s="7"/>
      <c r="Y183" s="7"/>
      <c r="AA183" s="7"/>
      <c r="AB183" s="7"/>
      <c r="AC183" s="7"/>
      <c r="AD183" s="7"/>
      <c r="AE183" s="7"/>
      <c r="AG183" s="7"/>
      <c r="AH183" s="7"/>
      <c r="AI183" s="7"/>
      <c r="AJ183" s="7"/>
      <c r="AK183" s="7"/>
      <c r="AM183" s="7"/>
      <c r="AN183" s="7"/>
      <c r="AO183" s="7"/>
      <c r="AP183" s="7"/>
      <c r="AQ183" s="7"/>
      <c r="AS183" s="7"/>
      <c r="AT183" s="7"/>
      <c r="AU183" s="7"/>
      <c r="AV183" s="7"/>
      <c r="AW183" s="7"/>
      <c r="AY183" s="7"/>
      <c r="AZ183" s="7"/>
      <c r="BA183" s="7"/>
      <c r="BB183" s="7"/>
      <c r="BC183" s="7"/>
      <c r="BE183" s="7"/>
      <c r="BF183" s="7"/>
      <c r="BG183" s="7"/>
      <c r="BH183" s="7"/>
      <c r="BI183" s="7"/>
      <c r="BK183" s="7"/>
      <c r="BL183" s="7"/>
      <c r="BM183" s="7"/>
      <c r="BN183" s="7"/>
      <c r="BO183" s="7"/>
      <c r="BQ183" s="7"/>
      <c r="BR183" s="7"/>
      <c r="BS183" s="7"/>
      <c r="BT183" s="7"/>
      <c r="BU183" s="7"/>
      <c r="BW183" s="7"/>
      <c r="BX183" s="7"/>
      <c r="BY183" s="7"/>
      <c r="BZ183" s="7"/>
      <c r="CA183" s="7"/>
      <c r="CC183" s="7"/>
      <c r="CD183" s="7"/>
      <c r="CE183" s="7"/>
      <c r="CF183" s="7"/>
      <c r="CG183" s="7"/>
    </row>
    <row r="184" spans="2:85" outlineLevel="1" x14ac:dyDescent="0.2">
      <c r="B184" s="7"/>
      <c r="C184" s="7"/>
      <c r="D184" s="7"/>
      <c r="E184" s="7"/>
      <c r="F184" s="7"/>
      <c r="G184" s="7"/>
      <c r="I184" s="7"/>
      <c r="J184" s="7"/>
      <c r="K184" s="7"/>
      <c r="L184" s="7"/>
      <c r="M184" s="7"/>
      <c r="O184" s="7"/>
      <c r="P184" s="7"/>
      <c r="Q184" s="7"/>
      <c r="R184" s="7"/>
      <c r="S184" s="7"/>
      <c r="U184" s="7"/>
      <c r="V184" s="7"/>
      <c r="W184" s="7"/>
      <c r="X184" s="7"/>
      <c r="Y184" s="7"/>
      <c r="AA184" s="7"/>
      <c r="AB184" s="7"/>
      <c r="AC184" s="7"/>
      <c r="AD184" s="7"/>
      <c r="AE184" s="7"/>
      <c r="AG184" s="7"/>
      <c r="AH184" s="7"/>
      <c r="AI184" s="7"/>
      <c r="AJ184" s="7"/>
      <c r="AK184" s="7"/>
      <c r="AM184" s="7"/>
      <c r="AN184" s="7"/>
      <c r="AO184" s="7"/>
      <c r="AP184" s="7"/>
      <c r="AQ184" s="7"/>
      <c r="AS184" s="7"/>
      <c r="AT184" s="7"/>
      <c r="AU184" s="7"/>
      <c r="AV184" s="7"/>
      <c r="AW184" s="7"/>
      <c r="AY184" s="7"/>
      <c r="AZ184" s="7"/>
      <c r="BA184" s="7"/>
      <c r="BB184" s="7"/>
      <c r="BC184" s="7"/>
      <c r="BE184" s="7"/>
      <c r="BF184" s="7"/>
      <c r="BG184" s="7"/>
      <c r="BH184" s="7"/>
      <c r="BI184" s="7"/>
      <c r="BK184" s="7"/>
      <c r="BL184" s="7"/>
      <c r="BM184" s="7"/>
      <c r="BN184" s="7"/>
      <c r="BO184" s="7"/>
      <c r="BQ184" s="7"/>
      <c r="BR184" s="7"/>
      <c r="BS184" s="7"/>
      <c r="BT184" s="7"/>
      <c r="BU184" s="7"/>
      <c r="BW184" s="7"/>
      <c r="BX184" s="7"/>
      <c r="BY184" s="7"/>
      <c r="BZ184" s="7"/>
      <c r="CA184" s="7"/>
      <c r="CC184" s="7"/>
      <c r="CD184" s="7"/>
      <c r="CE184" s="7"/>
      <c r="CF184" s="7"/>
      <c r="CG184" s="7"/>
    </row>
    <row r="185" spans="2:85" x14ac:dyDescent="0.2">
      <c r="B185" s="812" t="s">
        <v>455</v>
      </c>
      <c r="C185" s="813"/>
      <c r="D185" s="813"/>
      <c r="E185" s="813"/>
      <c r="F185" s="813"/>
      <c r="G185" s="813"/>
      <c r="H185" s="812"/>
      <c r="I185" s="813"/>
      <c r="J185" s="813"/>
      <c r="K185" s="813"/>
      <c r="L185" s="813"/>
      <c r="M185" s="813"/>
      <c r="N185" s="812"/>
      <c r="O185" s="813"/>
      <c r="P185" s="813"/>
      <c r="Q185" s="813"/>
      <c r="R185" s="813"/>
      <c r="S185" s="813"/>
      <c r="T185" s="812"/>
      <c r="U185" s="813"/>
      <c r="V185" s="813"/>
      <c r="W185" s="813"/>
      <c r="X185" s="813"/>
      <c r="Y185" s="813"/>
      <c r="Z185" s="812"/>
      <c r="AA185" s="813"/>
      <c r="AB185" s="813"/>
      <c r="AC185" s="813"/>
      <c r="AD185" s="813"/>
      <c r="AE185" s="813"/>
      <c r="AF185" s="812"/>
      <c r="AG185" s="813"/>
      <c r="AH185" s="813"/>
      <c r="AI185" s="813"/>
      <c r="AJ185" s="813"/>
      <c r="AK185" s="813"/>
      <c r="AL185" s="812"/>
      <c r="AM185" s="813"/>
      <c r="AN185" s="813"/>
      <c r="AO185" s="813"/>
      <c r="AP185" s="813"/>
      <c r="AQ185" s="813"/>
      <c r="AR185" s="812"/>
      <c r="AS185" s="813"/>
      <c r="AT185" s="813"/>
      <c r="AU185" s="813"/>
      <c r="AV185" s="813"/>
      <c r="AW185" s="813"/>
      <c r="AX185" s="812"/>
      <c r="AY185" s="813"/>
      <c r="AZ185" s="813"/>
      <c r="BA185" s="813"/>
      <c r="BB185" s="813"/>
      <c r="BC185" s="813"/>
      <c r="BD185" s="812"/>
      <c r="BE185" s="813"/>
      <c r="BF185" s="813"/>
      <c r="BG185" s="813"/>
      <c r="BH185" s="813"/>
      <c r="BI185" s="813"/>
      <c r="BJ185" s="812"/>
      <c r="BK185" s="813"/>
      <c r="BL185" s="813"/>
      <c r="BM185" s="813"/>
      <c r="BN185" s="813"/>
      <c r="BO185" s="813"/>
      <c r="BP185" s="812"/>
      <c r="BQ185" s="813"/>
      <c r="BR185" s="813"/>
      <c r="BS185" s="813"/>
      <c r="BT185" s="813"/>
      <c r="BU185" s="813"/>
      <c r="BV185" s="812"/>
      <c r="BW185" s="813"/>
      <c r="BX185" s="813"/>
      <c r="BY185" s="813"/>
      <c r="BZ185" s="813"/>
      <c r="CA185" s="813"/>
      <c r="CB185" s="812"/>
      <c r="CC185" s="813"/>
      <c r="CD185" s="813"/>
      <c r="CE185" s="813"/>
      <c r="CF185" s="813"/>
      <c r="CG185" s="814"/>
    </row>
    <row r="186" spans="2:85" x14ac:dyDescent="0.2">
      <c r="B186" s="433" t="s">
        <v>435</v>
      </c>
      <c r="C186" s="155">
        <f>'P&amp;L'!C14</f>
        <v>73.720999999999947</v>
      </c>
      <c r="D186" s="32">
        <f>'P&amp;L'!D14</f>
        <v>90.852000000000032</v>
      </c>
      <c r="E186" s="32">
        <f>'P&amp;L'!E14</f>
        <v>96.700000000000159</v>
      </c>
      <c r="F186" s="32">
        <f>'P&amp;L'!F14</f>
        <v>126.66600000000028</v>
      </c>
      <c r="G186" s="458">
        <f>'P&amp;L'!G14</f>
        <v>387.93900000000053</v>
      </c>
      <c r="H186" s="64"/>
      <c r="I186" s="155">
        <f>'P&amp;L'!I14</f>
        <v>85.275000000000091</v>
      </c>
      <c r="J186" s="32">
        <f>'P&amp;L'!J14</f>
        <v>113.99200000000013</v>
      </c>
      <c r="K186" s="32">
        <f>'P&amp;L'!K14</f>
        <v>115.41400000000004</v>
      </c>
      <c r="L186" s="32">
        <f>'P&amp;L'!L14</f>
        <v>127.84499999999821</v>
      </c>
      <c r="M186" s="458">
        <f>'P&amp;L'!M14</f>
        <v>442.52599999999916</v>
      </c>
      <c r="N186" s="64"/>
      <c r="O186" s="155">
        <f>'P&amp;L'!O14</f>
        <v>94.630999999999801</v>
      </c>
      <c r="P186" s="32">
        <f>'P&amp;L'!P14</f>
        <v>121.96999999999991</v>
      </c>
      <c r="Q186" s="32">
        <f>'P&amp;L'!Q14</f>
        <v>113.88500000000005</v>
      </c>
      <c r="R186" s="32">
        <f>'P&amp;L'!R14</f>
        <v>136.61900000000105</v>
      </c>
      <c r="S186" s="458">
        <f>'P&amp;L'!S14</f>
        <v>467.1050000000007</v>
      </c>
      <c r="T186" s="64"/>
      <c r="U186" s="155">
        <f>'P&amp;L'!U14</f>
        <v>116.04399999999993</v>
      </c>
      <c r="V186" s="32">
        <f>'P&amp;L'!V14</f>
        <v>138.00600000000003</v>
      </c>
      <c r="W186" s="32">
        <f>'P&amp;L'!W14</f>
        <v>137.36799999999988</v>
      </c>
      <c r="X186" s="32">
        <f>'P&amp;L'!X14</f>
        <v>141.99800000000027</v>
      </c>
      <c r="Y186" s="458">
        <f>'P&amp;L'!Y14</f>
        <v>533.41600000000017</v>
      </c>
      <c r="Z186" s="64"/>
      <c r="AA186" s="155">
        <f>'P&amp;L'!AA14</f>
        <v>124.2999999999999</v>
      </c>
      <c r="AB186" s="32">
        <f>'P&amp;L'!AB14</f>
        <v>151.21499999999992</v>
      </c>
      <c r="AC186" s="32">
        <f>'P&amp;L'!AC14</f>
        <v>143.26100000000031</v>
      </c>
      <c r="AD186" s="32">
        <f>'P&amp;L'!AD14</f>
        <v>163.37300000000005</v>
      </c>
      <c r="AE186" s="458">
        <f>'P&amp;L'!AE14</f>
        <v>582.14900000000034</v>
      </c>
      <c r="AF186" s="64"/>
      <c r="AG186" s="155">
        <f>'P&amp;L'!AG14</f>
        <v>145.12699999999973</v>
      </c>
      <c r="AH186" s="32">
        <f>'P&amp;L'!AH14</f>
        <v>158.06200000000018</v>
      </c>
      <c r="AI186" s="32">
        <f>'P&amp;L'!AI14</f>
        <v>149.62200000000007</v>
      </c>
      <c r="AJ186" s="32">
        <f>'P&amp;L'!AJ14</f>
        <v>181.34200000000192</v>
      </c>
      <c r="AK186" s="458">
        <f>'P&amp;L'!AK14</f>
        <v>634.15300000000093</v>
      </c>
      <c r="AL186" s="64"/>
      <c r="AM186" s="155">
        <f>'P&amp;L'!AM14</f>
        <v>153.62899999999996</v>
      </c>
      <c r="AN186" s="32">
        <f>'P&amp;L'!AN14</f>
        <v>176.065</v>
      </c>
      <c r="AO186" s="32">
        <f>'P&amp;L'!AO14</f>
        <v>160.47700000000015</v>
      </c>
      <c r="AP186" s="32">
        <f>'P&amp;L'!AP14</f>
        <v>186.8830000000014</v>
      </c>
      <c r="AQ186" s="458">
        <f>'P&amp;L'!AQ14</f>
        <v>677.054000000001</v>
      </c>
      <c r="AR186" s="64"/>
      <c r="AS186" s="155">
        <f>'P&amp;L'!AS14</f>
        <v>157.26800000000014</v>
      </c>
      <c r="AT186" s="32">
        <f>'P&amp;L'!AT14</f>
        <v>180.84399999999994</v>
      </c>
      <c r="AU186" s="32">
        <f>'P&amp;L'!AU14</f>
        <v>174.08799999999974</v>
      </c>
      <c r="AV186" s="32">
        <f>'P&amp;L'!AV14</f>
        <v>202.94200000000023</v>
      </c>
      <c r="AW186" s="458">
        <f>'P&amp;L'!AW14</f>
        <v>715.14199999999983</v>
      </c>
      <c r="AX186" s="64"/>
      <c r="AY186" s="155">
        <f>'P&amp;L'!AY14</f>
        <v>168.22900000000016</v>
      </c>
      <c r="AZ186" s="32">
        <f>'P&amp;L'!AZ14</f>
        <v>190.25200000000007</v>
      </c>
      <c r="BA186" s="32">
        <f>'P&amp;L'!BA14</f>
        <v>197.32000000000016</v>
      </c>
      <c r="BB186" s="32">
        <f>'P&amp;L'!BB14</f>
        <v>213.10199999999827</v>
      </c>
      <c r="BC186" s="458">
        <f>'P&amp;L'!BC14</f>
        <v>768.90299999999888</v>
      </c>
      <c r="BD186" s="64"/>
      <c r="BE186" s="155">
        <f>'P&amp;L'!BE14</f>
        <v>180.25200000000007</v>
      </c>
      <c r="BF186" s="32">
        <f>'P&amp;L'!BF14</f>
        <v>201.06000000000029</v>
      </c>
      <c r="BG186" s="32">
        <f>'P&amp;L'!BG14</f>
        <v>206.09100000000001</v>
      </c>
      <c r="BH186" s="32">
        <f>'P&amp;L'!BH14</f>
        <v>230.06200000000001</v>
      </c>
      <c r="BI186" s="458">
        <f>'P&amp;L'!BI14</f>
        <v>817.46500000000015</v>
      </c>
      <c r="BJ186" s="64"/>
      <c r="BK186" s="155">
        <f>'P&amp;L'!BK14</f>
        <v>193.96800000000007</v>
      </c>
      <c r="BL186" s="32">
        <f>'P&amp;L'!BL14</f>
        <v>210.66200000000026</v>
      </c>
      <c r="BM186" s="32">
        <f>'P&amp;L'!BM14</f>
        <v>213.54800000000012</v>
      </c>
      <c r="BN186" s="32">
        <f>'P&amp;L'!BN14</f>
        <v>241.19100000000014</v>
      </c>
      <c r="BO186" s="458">
        <f>'P&amp;L'!BO14</f>
        <v>859.3690000000006</v>
      </c>
      <c r="BP186" s="64"/>
      <c r="BQ186" s="155">
        <f>'P&amp;L'!BQ14</f>
        <v>207.12669688982498</v>
      </c>
      <c r="BR186" s="32">
        <f>'P&amp;L'!BR14</f>
        <v>233.87449187218294</v>
      </c>
      <c r="BS186" s="32">
        <f>'P&amp;L'!BS14</f>
        <v>235.65961442250341</v>
      </c>
      <c r="BT186" s="32">
        <f>'P&amp;L'!BT14</f>
        <v>260.55829637262718</v>
      </c>
      <c r="BU186" s="458">
        <f>'P&amp;L'!BU14</f>
        <v>937.21909955713909</v>
      </c>
      <c r="BV186" s="64"/>
      <c r="BW186" s="155">
        <f>'P&amp;L'!BW14</f>
        <v>212.10083368458095</v>
      </c>
      <c r="BX186" s="32">
        <f>'P&amp;L'!BX14</f>
        <v>231.59044496601712</v>
      </c>
      <c r="BY186" s="32">
        <f>'P&amp;L'!BY14</f>
        <v>233.17123012073864</v>
      </c>
      <c r="BZ186" s="32">
        <f>'P&amp;L'!BZ14</f>
        <v>258.498981713852</v>
      </c>
      <c r="CA186" s="458">
        <f>'P&amp;L'!CA14</f>
        <v>935.36149048518928</v>
      </c>
      <c r="CB186" s="64"/>
      <c r="CC186" s="155">
        <f>'P&amp;L'!CC14</f>
        <v>208.4856795223576</v>
      </c>
      <c r="CD186" s="32">
        <f>'P&amp;L'!CD14</f>
        <v>228.10431946895869</v>
      </c>
      <c r="CE186" s="32">
        <f>'P&amp;L'!CE14</f>
        <v>229.42399891490436</v>
      </c>
      <c r="CF186" s="32">
        <f>'P&amp;L'!CF14</f>
        <v>255.17866724257169</v>
      </c>
      <c r="CG186" s="458">
        <f>'P&amp;L'!CG14</f>
        <v>921.19266514879246</v>
      </c>
    </row>
    <row r="187" spans="2:85" x14ac:dyDescent="0.2">
      <c r="B187" s="433" t="s">
        <v>436</v>
      </c>
      <c r="C187" s="465">
        <f>'P&amp;L'!C41</f>
        <v>5.6270074374412234E-2</v>
      </c>
      <c r="D187" s="60">
        <f>'P&amp;L'!D41</f>
        <v>6.5501720598954469E-2</v>
      </c>
      <c r="E187" s="60">
        <f>'P&amp;L'!E41</f>
        <v>6.4227952775517766E-2</v>
      </c>
      <c r="F187" s="60">
        <f>'P&amp;L'!F41</f>
        <v>7.4435151754485104E-2</v>
      </c>
      <c r="G187" s="459">
        <f>'P&amp;L'!G41</f>
        <v>6.5703195709787471E-2</v>
      </c>
      <c r="H187" s="369"/>
      <c r="I187" s="465">
        <f>'P&amp;L'!I41</f>
        <v>5.6036462635458473E-2</v>
      </c>
      <c r="J187" s="60">
        <f>'P&amp;L'!J41</f>
        <v>6.9471268262627214E-2</v>
      </c>
      <c r="K187" s="60">
        <f>'P&amp;L'!K41</f>
        <v>7.0194239296829081E-2</v>
      </c>
      <c r="L187" s="60">
        <f>'P&amp;L'!L41</f>
        <v>8.1244884263612482E-2</v>
      </c>
      <c r="M187" s="459">
        <f>'P&amp;L'!M41</f>
        <v>6.9356952285063556E-2</v>
      </c>
      <c r="N187" s="369"/>
      <c r="O187" s="465">
        <f>'P&amp;L'!O41</f>
        <v>6.3707933550021814E-2</v>
      </c>
      <c r="P187" s="60">
        <f>'P&amp;L'!P41</f>
        <v>7.5878698596645283E-2</v>
      </c>
      <c r="Q187" s="60">
        <f>'P&amp;L'!Q41</f>
        <v>6.8628862991154241E-2</v>
      </c>
      <c r="R187" s="60">
        <f>'P&amp;L'!R41</f>
        <v>7.6490931822241565E-2</v>
      </c>
      <c r="S187" s="459">
        <f>'P&amp;L'!S41</f>
        <v>7.1440959901724332E-2</v>
      </c>
      <c r="T187" s="369"/>
      <c r="U187" s="465">
        <f>'P&amp;L'!U41</f>
        <v>6.592247956325871E-2</v>
      </c>
      <c r="V187" s="60">
        <f>'P&amp;L'!V41</f>
        <v>7.4621999231102409E-2</v>
      </c>
      <c r="W187" s="60">
        <f>'P&amp;L'!W41</f>
        <v>7.2546713486216816E-2</v>
      </c>
      <c r="X187" s="60">
        <f>'P&amp;L'!X41</f>
        <v>7.0172092067081637E-2</v>
      </c>
      <c r="Y187" s="459">
        <f>'P&amp;L'!Y41</f>
        <v>7.0868989303541102E-2</v>
      </c>
      <c r="Z187" s="369"/>
      <c r="AA187" s="465">
        <f>'P&amp;L'!AA41</f>
        <v>6.381686459478339E-2</v>
      </c>
      <c r="AB187" s="60">
        <f>'P&amp;L'!AB41</f>
        <v>7.0971632936582402E-2</v>
      </c>
      <c r="AC187" s="60">
        <f>'P&amp;L'!AC41</f>
        <v>6.7841774348828307E-2</v>
      </c>
      <c r="AD187" s="60">
        <f>'P&amp;L'!AD41</f>
        <v>6.9813105837750453E-2</v>
      </c>
      <c r="AE187" s="459">
        <f>'P&amp;L'!AE41</f>
        <v>6.8245308866970056E-2</v>
      </c>
      <c r="AF187" s="369"/>
      <c r="AG187" s="465">
        <f>'P&amp;L'!AG41</f>
        <v>6.9140393679142376E-2</v>
      </c>
      <c r="AH187" s="60">
        <f>'P&amp;L'!AH41</f>
        <v>7.1798976311997789E-2</v>
      </c>
      <c r="AI187" s="60">
        <f>'P&amp;L'!AI41</f>
        <v>6.7063249812420872E-2</v>
      </c>
      <c r="AJ187" s="60">
        <f>'P&amp;L'!AJ41</f>
        <v>7.5294443950810377E-2</v>
      </c>
      <c r="AK187" s="459">
        <f>'P&amp;L'!AK41</f>
        <v>7.0934601883877305E-2</v>
      </c>
      <c r="AL187" s="369"/>
      <c r="AM187" s="465">
        <f>'P&amp;L'!AM41</f>
        <v>6.6984200206582814E-2</v>
      </c>
      <c r="AN187" s="60">
        <f>'P&amp;L'!AN41</f>
        <v>7.3611616307315386E-2</v>
      </c>
      <c r="AO187" s="60">
        <f>'P&amp;L'!AO41</f>
        <v>6.8318435934943078E-2</v>
      </c>
      <c r="AP187" s="60">
        <f>'P&amp;L'!AP41</f>
        <v>7.3972933497469237E-2</v>
      </c>
      <c r="AQ187" s="459">
        <f>'P&amp;L'!AQ41</f>
        <v>7.0816755393228195E-2</v>
      </c>
      <c r="AR187" s="369"/>
      <c r="AS187" s="465">
        <f>'P&amp;L'!AS41</f>
        <v>6.4715107118505477E-2</v>
      </c>
      <c r="AT187" s="60">
        <f>'P&amp;L'!AT41</f>
        <v>6.9145669926581166E-2</v>
      </c>
      <c r="AU187" s="60">
        <f>'P&amp;L'!AU41</f>
        <v>6.6351364794153572E-2</v>
      </c>
      <c r="AV187" s="60">
        <f>'P&amp;L'!AV41</f>
        <v>7.5105399660115799E-2</v>
      </c>
      <c r="AW187" s="459">
        <f>'P&amp;L'!AW41</f>
        <v>6.8953341837497184E-2</v>
      </c>
      <c r="AX187" s="369"/>
      <c r="AY187" s="465">
        <f>'P&amp;L'!AY41</f>
        <v>6.8284566857413825E-2</v>
      </c>
      <c r="AZ187" s="60">
        <f>'P&amp;L'!AZ41</f>
        <v>7.235787199732252E-2</v>
      </c>
      <c r="BA187" s="60">
        <f>'P&amp;L'!BA41</f>
        <v>7.3466910662792081E-2</v>
      </c>
      <c r="BB187" s="60">
        <f>'P&amp;L'!BB41</f>
        <v>7.4748554676072179E-2</v>
      </c>
      <c r="BC187" s="459">
        <f>'P&amp;L'!BC41</f>
        <v>7.2335214129366818E-2</v>
      </c>
      <c r="BD187" s="369"/>
      <c r="BE187" s="465">
        <f>'P&amp;L'!BE41</f>
        <v>6.6441180763713109E-2</v>
      </c>
      <c r="BF187" s="60">
        <f>'P&amp;L'!BF41</f>
        <v>6.999161047541809E-2</v>
      </c>
      <c r="BG187" s="60">
        <f>'P&amp;L'!BG41</f>
        <v>7.1930315641635267E-2</v>
      </c>
      <c r="BH187" s="60">
        <f>'P&amp;L'!BH41</f>
        <v>7.3715753040596174E-2</v>
      </c>
      <c r="BI187" s="459">
        <f>'P&amp;L'!BI41</f>
        <v>7.0643661743492819E-2</v>
      </c>
      <c r="BJ187" s="369"/>
      <c r="BK187" s="465">
        <f>'P&amp;L'!BK41</f>
        <v>6.6360400527139068E-2</v>
      </c>
      <c r="BL187" s="60">
        <f>'P&amp;L'!BL41</f>
        <v>6.8855986910099851E-2</v>
      </c>
      <c r="BM187" s="60">
        <f>'P&amp;L'!BM41</f>
        <v>6.7555328347911184E-2</v>
      </c>
      <c r="BN187" s="60">
        <f>'P&amp;L'!BN41</f>
        <v>7.2690498707977669E-2</v>
      </c>
      <c r="BO187" s="459">
        <f>'P&amp;L'!BO41</f>
        <v>6.8961684760867947E-2</v>
      </c>
      <c r="BP187" s="369"/>
      <c r="BQ187" s="465">
        <f>'P&amp;L'!BQ41</f>
        <v>6.7420512459383741E-2</v>
      </c>
      <c r="BR187" s="60">
        <f>'P&amp;L'!BR41</f>
        <v>7.1525185440989708E-2</v>
      </c>
      <c r="BS187" s="60">
        <f>'P&amp;L'!BS41</f>
        <v>7.0552099137801833E-2</v>
      </c>
      <c r="BT187" s="60">
        <f>'P&amp;L'!BT41</f>
        <v>7.5231796603533352E-2</v>
      </c>
      <c r="BU187" s="459">
        <f>'P&amp;L'!BU41</f>
        <v>7.1295219677395952E-2</v>
      </c>
      <c r="BV187" s="369"/>
      <c r="BW187" s="465">
        <f>'P&amp;L'!BW41</f>
        <v>6.5677054003398391E-2</v>
      </c>
      <c r="BX187" s="60">
        <f>'P&amp;L'!BX41</f>
        <v>6.7894329918428434E-2</v>
      </c>
      <c r="BY187" s="60">
        <f>'P&amp;L'!BY41</f>
        <v>6.6910715962475484E-2</v>
      </c>
      <c r="BZ187" s="60">
        <f>'P&amp;L'!BZ41</f>
        <v>7.1593127451818589E-2</v>
      </c>
      <c r="CA187" s="459">
        <f>'P&amp;L'!CA41</f>
        <v>6.8095759768018085E-2</v>
      </c>
      <c r="CB187" s="369"/>
      <c r="CC187" s="465">
        <f>'P&amp;L'!CC41</f>
        <v>6.2101446706333815E-2</v>
      </c>
      <c r="CD187" s="60">
        <f>'P&amp;L'!CD41</f>
        <v>6.430977017355427E-2</v>
      </c>
      <c r="CE187" s="60">
        <f>'P&amp;L'!CE41</f>
        <v>6.3315403942067333E-2</v>
      </c>
      <c r="CF187" s="60">
        <f>'P&amp;L'!CF41</f>
        <v>6.7995670881399767E-2</v>
      </c>
      <c r="CG187" s="459">
        <f>'P&amp;L'!CG41</f>
        <v>6.450695206402253E-2</v>
      </c>
    </row>
    <row r="188" spans="2:85" x14ac:dyDescent="0.2">
      <c r="B188" s="433" t="s">
        <v>437</v>
      </c>
      <c r="C188" s="465"/>
      <c r="D188" s="60"/>
      <c r="E188" s="60"/>
      <c r="F188" s="60"/>
      <c r="G188" s="459"/>
      <c r="H188" s="364"/>
      <c r="I188" s="465">
        <f>+I187-C187</f>
        <v>-2.3361173895376092E-4</v>
      </c>
      <c r="J188" s="60">
        <f>+J187-D187</f>
        <v>3.9695476636727456E-3</v>
      </c>
      <c r="K188" s="60">
        <f>+K187-E187</f>
        <v>5.9662865213113148E-3</v>
      </c>
      <c r="L188" s="60">
        <f>+L187-F187</f>
        <v>6.809732509127378E-3</v>
      </c>
      <c r="M188" s="459">
        <f>+M187-G187</f>
        <v>3.6537565752760848E-3</v>
      </c>
      <c r="N188" s="364"/>
      <c r="O188" s="465">
        <f>+O187-I187</f>
        <v>7.6714709145633414E-3</v>
      </c>
      <c r="P188" s="60">
        <f>+P187-J187</f>
        <v>6.4074303340180688E-3</v>
      </c>
      <c r="Q188" s="60">
        <f>+Q187-K187</f>
        <v>-1.5653763056748399E-3</v>
      </c>
      <c r="R188" s="60">
        <f>+R187-L187</f>
        <v>-4.7539524413709178E-3</v>
      </c>
      <c r="S188" s="459">
        <f>+S187-M187</f>
        <v>2.0840076166607768E-3</v>
      </c>
      <c r="T188" s="364"/>
      <c r="U188" s="465">
        <f>+U187-O187</f>
        <v>2.2145460132368955E-3</v>
      </c>
      <c r="V188" s="60">
        <f>+V187-P187</f>
        <v>-1.2566993655428738E-3</v>
      </c>
      <c r="W188" s="60">
        <f>+W187-Q187</f>
        <v>3.9178504950625748E-3</v>
      </c>
      <c r="X188" s="60">
        <f>+X187-R187</f>
        <v>-6.3188397551599274E-3</v>
      </c>
      <c r="Y188" s="459">
        <f>+Y187-S187</f>
        <v>-5.7197059818323015E-4</v>
      </c>
      <c r="Z188" s="364"/>
      <c r="AA188" s="465">
        <f>+AA187-U187</f>
        <v>-2.1056149684753195E-3</v>
      </c>
      <c r="AB188" s="60">
        <f>+AB187-V187</f>
        <v>-3.6503662945200077E-3</v>
      </c>
      <c r="AC188" s="60">
        <f>+AC187-W187</f>
        <v>-4.7049391373885086E-3</v>
      </c>
      <c r="AD188" s="60">
        <f>+AD187-X187</f>
        <v>-3.5898622933118463E-4</v>
      </c>
      <c r="AE188" s="459">
        <f>+AE187-Y187</f>
        <v>-2.6236804365710464E-3</v>
      </c>
      <c r="AF188" s="364"/>
      <c r="AG188" s="465">
        <f>+AG187-AA187</f>
        <v>5.3235290843589855E-3</v>
      </c>
      <c r="AH188" s="60">
        <f>+AH187-AB187</f>
        <v>8.2734337541538749E-4</v>
      </c>
      <c r="AI188" s="60">
        <f>+AI187-AC187</f>
        <v>-7.7852453640743502E-4</v>
      </c>
      <c r="AJ188" s="60">
        <f>+AJ187-AD187</f>
        <v>5.4813381130599248E-3</v>
      </c>
      <c r="AK188" s="783">
        <f>+AK187-AE187</f>
        <v>2.6892930169072488E-3</v>
      </c>
      <c r="AL188" s="370"/>
      <c r="AM188" s="781">
        <f>+AM187-AG187</f>
        <v>-2.1561934725595616E-3</v>
      </c>
      <c r="AN188" s="784">
        <f>+AN187-AH187</f>
        <v>1.812639995317597E-3</v>
      </c>
      <c r="AO188" s="784">
        <f>+AO187-AI187</f>
        <v>1.2551861225222061E-3</v>
      </c>
      <c r="AP188" s="784">
        <f>+AP187-AJ187</f>
        <v>-1.3215104533411404E-3</v>
      </c>
      <c r="AQ188" s="783">
        <f>+AQ187-AK187</f>
        <v>-1.1784649064910946E-4</v>
      </c>
      <c r="AR188" s="370"/>
      <c r="AS188" s="781">
        <f>+AS187-AM187</f>
        <v>-2.2690930880773369E-3</v>
      </c>
      <c r="AT188" s="784">
        <f>+AT187-AN187</f>
        <v>-4.4659463807342203E-3</v>
      </c>
      <c r="AU188" s="784">
        <f>+AU187-AO187</f>
        <v>-1.9670711407895058E-3</v>
      </c>
      <c r="AV188" s="784">
        <f>+AV187-AP187</f>
        <v>1.1324661626465615E-3</v>
      </c>
      <c r="AW188" s="783">
        <f>+AW187-AQ187</f>
        <v>-1.8634135557310111E-3</v>
      </c>
      <c r="AX188" s="370"/>
      <c r="AY188" s="781">
        <f>+AY187-AS187</f>
        <v>3.5694597389083482E-3</v>
      </c>
      <c r="AZ188" s="784">
        <f>+AZ187-AT187</f>
        <v>3.2122020707413546E-3</v>
      </c>
      <c r="BA188" s="784">
        <f>+BA187-AU187</f>
        <v>7.1155458686385092E-3</v>
      </c>
      <c r="BB188" s="784">
        <f>+BB187-AV187</f>
        <v>-3.5684498404361942E-4</v>
      </c>
      <c r="BC188" s="783">
        <f>+BC187-AW187</f>
        <v>3.3818722918696337E-3</v>
      </c>
      <c r="BD188" s="370"/>
      <c r="BE188" s="781">
        <f>+BE187-AY187</f>
        <v>-1.8433860937007163E-3</v>
      </c>
      <c r="BF188" s="784">
        <f>+BF187-AZ187</f>
        <v>-2.3662615219044308E-3</v>
      </c>
      <c r="BG188" s="784">
        <f>+BG187-BA187</f>
        <v>-1.5365950211568141E-3</v>
      </c>
      <c r="BH188" s="784">
        <f>+BH187-BB187</f>
        <v>-1.032801635476005E-3</v>
      </c>
      <c r="BI188" s="783">
        <f>+BI187-BC187</f>
        <v>-1.6915523858739984E-3</v>
      </c>
      <c r="BJ188" s="370"/>
      <c r="BK188" s="781">
        <f>+BK187-BE187</f>
        <v>-8.0780236574040654E-5</v>
      </c>
      <c r="BL188" s="784">
        <f>+BL187-BF187</f>
        <v>-1.1356235653182389E-3</v>
      </c>
      <c r="BM188" s="784">
        <f>+BM187-BG187</f>
        <v>-4.3749872937240836E-3</v>
      </c>
      <c r="BN188" s="784">
        <f>+BN187-BH187</f>
        <v>-1.0252543326185054E-3</v>
      </c>
      <c r="BO188" s="783">
        <f>+BO187-BI187</f>
        <v>-1.6819769826248721E-3</v>
      </c>
      <c r="BP188" s="370"/>
      <c r="BQ188" s="781">
        <f>+BQ187-BK187</f>
        <v>1.0601119322446728E-3</v>
      </c>
      <c r="BR188" s="784">
        <f>+BR187-BL187</f>
        <v>2.6691985308898575E-3</v>
      </c>
      <c r="BS188" s="784">
        <f>+BS187-BM187</f>
        <v>2.9967707898906487E-3</v>
      </c>
      <c r="BT188" s="784">
        <f>+BT187-BN187</f>
        <v>2.5412978955556831E-3</v>
      </c>
      <c r="BU188" s="783">
        <f>+BU187-BO187</f>
        <v>2.3335349165280045E-3</v>
      </c>
      <c r="BV188" s="370"/>
      <c r="BW188" s="781">
        <f>+BW187-BQ187</f>
        <v>-1.74345845598535E-3</v>
      </c>
      <c r="BX188" s="784">
        <f>+BX187-BR187</f>
        <v>-3.6308555225612743E-3</v>
      </c>
      <c r="BY188" s="784">
        <f>+BY187-BS187</f>
        <v>-3.6413831753263487E-3</v>
      </c>
      <c r="BZ188" s="784">
        <f>+BZ187-BT187</f>
        <v>-3.6386691517147629E-3</v>
      </c>
      <c r="CA188" s="783">
        <f>+CA187-BU187</f>
        <v>-3.1994599093778664E-3</v>
      </c>
      <c r="CB188" s="370"/>
      <c r="CC188" s="781">
        <f>+CC187-BW187</f>
        <v>-3.5756072970645758E-3</v>
      </c>
      <c r="CD188" s="784">
        <f>+CD187-BX187</f>
        <v>-3.5845597448741634E-3</v>
      </c>
      <c r="CE188" s="784">
        <f>+CE187-BY187</f>
        <v>-3.5953120204081507E-3</v>
      </c>
      <c r="CF188" s="784">
        <f>+CF187-BZ187</f>
        <v>-3.5974565704188222E-3</v>
      </c>
      <c r="CG188" s="783">
        <f>+CG187-CA187</f>
        <v>-3.5888077039955557E-3</v>
      </c>
    </row>
    <row r="189" spans="2:85" x14ac:dyDescent="0.2">
      <c r="B189" s="113" t="s">
        <v>444</v>
      </c>
      <c r="C189" s="466">
        <v>0</v>
      </c>
      <c r="D189" s="365">
        <v>0</v>
      </c>
      <c r="E189" s="365">
        <v>0</v>
      </c>
      <c r="F189" s="365">
        <v>0</v>
      </c>
      <c r="G189" s="460">
        <f>SUM(C189:F189)</f>
        <v>0</v>
      </c>
      <c r="H189" s="364"/>
      <c r="I189" s="466">
        <v>0</v>
      </c>
      <c r="J189" s="365">
        <v>0</v>
      </c>
      <c r="K189" s="365">
        <v>0</v>
      </c>
      <c r="L189" s="365">
        <v>0</v>
      </c>
      <c r="M189" s="460">
        <f>SUM(I189:L189)</f>
        <v>0</v>
      </c>
      <c r="N189" s="364"/>
      <c r="O189" s="466">
        <v>0</v>
      </c>
      <c r="P189" s="365">
        <v>0</v>
      </c>
      <c r="Q189" s="365">
        <v>0</v>
      </c>
      <c r="R189" s="365">
        <v>0</v>
      </c>
      <c r="S189" s="460">
        <f>SUM(O189:R189)</f>
        <v>0</v>
      </c>
      <c r="T189" s="364"/>
      <c r="U189" s="466">
        <v>0</v>
      </c>
      <c r="V189" s="365">
        <v>0</v>
      </c>
      <c r="W189" s="365">
        <v>0</v>
      </c>
      <c r="X189" s="365">
        <v>0</v>
      </c>
      <c r="Y189" s="460">
        <f>SUM(U189:X189)</f>
        <v>0</v>
      </c>
      <c r="Z189" s="364"/>
      <c r="AA189" s="466">
        <v>0</v>
      </c>
      <c r="AB189" s="365">
        <v>0</v>
      </c>
      <c r="AC189" s="365">
        <v>0</v>
      </c>
      <c r="AD189" s="365">
        <v>0</v>
      </c>
      <c r="AE189" s="460">
        <f>SUM(AA189:AD189)</f>
        <v>0</v>
      </c>
      <c r="AF189" s="364"/>
      <c r="AG189" s="466">
        <v>0</v>
      </c>
      <c r="AH189" s="365">
        <v>0</v>
      </c>
      <c r="AI189" s="365">
        <v>0</v>
      </c>
      <c r="AJ189" s="365">
        <v>0</v>
      </c>
      <c r="AK189" s="460">
        <f>SUM(AG189:AJ189)</f>
        <v>0</v>
      </c>
      <c r="AL189" s="364"/>
      <c r="AM189" s="466">
        <v>0</v>
      </c>
      <c r="AN189" s="365">
        <v>0</v>
      </c>
      <c r="AO189" s="365">
        <v>0</v>
      </c>
      <c r="AP189" s="365">
        <v>0</v>
      </c>
      <c r="AQ189" s="460">
        <f>SUM(AM189:AP189)</f>
        <v>0</v>
      </c>
      <c r="AR189" s="364"/>
      <c r="AS189" s="466">
        <v>0</v>
      </c>
      <c r="AT189" s="365">
        <v>0</v>
      </c>
      <c r="AU189" s="365">
        <v>0</v>
      </c>
      <c r="AV189" s="365">
        <f>(-0.04*AV30)/(1-AV21)</f>
        <v>-9.6760345966720251</v>
      </c>
      <c r="AW189" s="460">
        <f>SUM(AS189:AV189)</f>
        <v>-9.6760345966720251</v>
      </c>
      <c r="AX189" s="364"/>
      <c r="AY189" s="466">
        <f>(-0.06*AY30)/(1-AY21)</f>
        <v>-14.69051013321228</v>
      </c>
      <c r="AZ189" s="365">
        <f>(-0.07*AZ30)/(1-AZ21)</f>
        <v>-16.801600884353221</v>
      </c>
      <c r="BA189" s="365">
        <f>(-0.06*BA30)/(1-BA21)</f>
        <v>-14.071155564187217</v>
      </c>
      <c r="BB189" s="365">
        <f>(-0.07*BB30)/(1-BB21)</f>
        <v>-16.605261386837022</v>
      </c>
      <c r="BC189" s="460">
        <f>SUM(AY189:BB189)</f>
        <v>-62.168527968589736</v>
      </c>
      <c r="BD189" s="364"/>
      <c r="BE189" s="466">
        <f>(-0.02*BE30)/(1-BE21)</f>
        <v>-4.7530450381007965</v>
      </c>
      <c r="BF189" s="365">
        <v>0</v>
      </c>
      <c r="BG189" s="365">
        <f>(-0.01*BG30)/(1-BG21)</f>
        <v>-2.2976812104372533</v>
      </c>
      <c r="BH189" s="365">
        <v>0</v>
      </c>
      <c r="BI189" s="460">
        <f>SUM(BE189:BH189)</f>
        <v>-7.0507262485380497</v>
      </c>
      <c r="BJ189" s="364"/>
      <c r="BK189" s="466">
        <f>(-0.02*BK30)/(1-BK21)</f>
        <v>-4.0281999535659088</v>
      </c>
      <c r="BL189" s="365">
        <f>(-0.01*BL30)/(1-BL21)</f>
        <v>-2.1823623858881951</v>
      </c>
      <c r="BM189" s="365">
        <f>(0.01*BM30)/(1-BM21)</f>
        <v>2.2287318559764469</v>
      </c>
      <c r="BN189" s="365">
        <v>3.9614500000000001</v>
      </c>
      <c r="BO189" s="460">
        <f>SUM(BK189:BN189)</f>
        <v>-2.0380483477656419E-2</v>
      </c>
      <c r="BP189" s="364"/>
      <c r="BQ189" s="466">
        <v>3.7158753020539805</v>
      </c>
      <c r="BR189" s="365">
        <v>-2.4563529202464842</v>
      </c>
      <c r="BS189" s="365">
        <v>-4.1935185894661515</v>
      </c>
      <c r="BT189" s="365">
        <v>0.872666849609395</v>
      </c>
      <c r="BU189" s="460">
        <f>SUM(BQ189:BT189)</f>
        <v>-2.0613293580492602</v>
      </c>
      <c r="BV189" s="364"/>
      <c r="BW189" s="466">
        <v>0</v>
      </c>
      <c r="BX189" s="365">
        <v>0</v>
      </c>
      <c r="BY189" s="365">
        <v>0</v>
      </c>
      <c r="BZ189" s="365">
        <v>0</v>
      </c>
      <c r="CA189" s="460">
        <f>SUM(BW189:BZ189)</f>
        <v>0</v>
      </c>
      <c r="CB189" s="364"/>
      <c r="CC189" s="466">
        <v>0</v>
      </c>
      <c r="CD189" s="365">
        <v>0</v>
      </c>
      <c r="CE189" s="365">
        <v>0</v>
      </c>
      <c r="CF189" s="365">
        <v>0</v>
      </c>
      <c r="CG189" s="460">
        <f>SUM(CC189:CF189)</f>
        <v>0</v>
      </c>
    </row>
    <row r="190" spans="2:85" x14ac:dyDescent="0.2">
      <c r="B190" s="478" t="s">
        <v>447</v>
      </c>
      <c r="C190" s="467">
        <f>+IFERROR(C189/'P&amp;L'!C$8,"NM")</f>
        <v>0</v>
      </c>
      <c r="D190" s="366">
        <f>+IFERROR(D189/'P&amp;L'!D$8,"NM")</f>
        <v>0</v>
      </c>
      <c r="E190" s="366">
        <f>+IFERROR(E189/'P&amp;L'!E$8,"NM")</f>
        <v>0</v>
      </c>
      <c r="F190" s="366">
        <f>+IFERROR(F189/'P&amp;L'!F$8,"NM")</f>
        <v>0</v>
      </c>
      <c r="G190" s="461">
        <f>+IFERROR(G189/'P&amp;L'!G$8,"NM")</f>
        <v>0</v>
      </c>
      <c r="H190" s="367"/>
      <c r="I190" s="467">
        <f>+IFERROR(I189/'P&amp;L'!I$8,"NM")</f>
        <v>0</v>
      </c>
      <c r="J190" s="366">
        <f>+IFERROR(J189/'P&amp;L'!J$8,"NM")</f>
        <v>0</v>
      </c>
      <c r="K190" s="366">
        <f>+IFERROR(K189/'P&amp;L'!K$8,"NM")</f>
        <v>0</v>
      </c>
      <c r="L190" s="366">
        <f>+IFERROR(L189/'P&amp;L'!L$8,"NM")</f>
        <v>0</v>
      </c>
      <c r="M190" s="461">
        <f>+IFERROR(M189/'P&amp;L'!M$8,"NM")</f>
        <v>0</v>
      </c>
      <c r="N190" s="367"/>
      <c r="O190" s="467">
        <f>+IFERROR(O189/'P&amp;L'!O$8,"NM")</f>
        <v>0</v>
      </c>
      <c r="P190" s="366">
        <f>+IFERROR(P189/'P&amp;L'!P$8,"NM")</f>
        <v>0</v>
      </c>
      <c r="Q190" s="366">
        <f>+IFERROR(Q189/'P&amp;L'!Q$8,"NM")</f>
        <v>0</v>
      </c>
      <c r="R190" s="366">
        <f>+IFERROR(R189/'P&amp;L'!R$8,"NM")</f>
        <v>0</v>
      </c>
      <c r="S190" s="461">
        <f>+IFERROR(S189/'P&amp;L'!S$8,"NM")</f>
        <v>0</v>
      </c>
      <c r="T190" s="367"/>
      <c r="U190" s="467">
        <f>+IFERROR(U189/'P&amp;L'!U$8,"NM")</f>
        <v>0</v>
      </c>
      <c r="V190" s="366">
        <f>+IFERROR(V189/'P&amp;L'!V$8,"NM")</f>
        <v>0</v>
      </c>
      <c r="W190" s="366">
        <f>+IFERROR(W189/'P&amp;L'!W$8,"NM")</f>
        <v>0</v>
      </c>
      <c r="X190" s="366">
        <f>+IFERROR(X189/'P&amp;L'!X$8,"NM")</f>
        <v>0</v>
      </c>
      <c r="Y190" s="461">
        <f>+IFERROR(Y189/'P&amp;L'!Y$8,"NM")</f>
        <v>0</v>
      </c>
      <c r="Z190" s="367"/>
      <c r="AA190" s="467">
        <f>+IFERROR(AA189/'P&amp;L'!AA$8,"NM")</f>
        <v>0</v>
      </c>
      <c r="AB190" s="366">
        <f>+IFERROR(AB189/'P&amp;L'!AB$8,"NM")</f>
        <v>0</v>
      </c>
      <c r="AC190" s="366">
        <f>+IFERROR(AC189/'P&amp;L'!AC$8,"NM")</f>
        <v>0</v>
      </c>
      <c r="AD190" s="366">
        <f>+IFERROR(AD189/'P&amp;L'!AD$8,"NM")</f>
        <v>0</v>
      </c>
      <c r="AE190" s="461">
        <f>+IFERROR(AE189/'P&amp;L'!AE$8,"NM")</f>
        <v>0</v>
      </c>
      <c r="AF190" s="367"/>
      <c r="AG190" s="467">
        <f>+IFERROR(AG189/'P&amp;L'!AG$8,"NM")</f>
        <v>0</v>
      </c>
      <c r="AH190" s="366">
        <f>+IFERROR(AH189/'P&amp;L'!AH$8,"NM")</f>
        <v>0</v>
      </c>
      <c r="AI190" s="366">
        <f>+IFERROR(AI189/'P&amp;L'!AI$8,"NM")</f>
        <v>0</v>
      </c>
      <c r="AJ190" s="366">
        <f>+IFERROR(AJ189/'P&amp;L'!AJ$8,"NM")</f>
        <v>0</v>
      </c>
      <c r="AK190" s="461">
        <f>+IFERROR(AK189/'P&amp;L'!AK$8,"NM")</f>
        <v>0</v>
      </c>
      <c r="AL190" s="367"/>
      <c r="AM190" s="782">
        <f>+IFERROR(AM189/'P&amp;L'!AM$8,"NM")</f>
        <v>0</v>
      </c>
      <c r="AN190" s="785">
        <f>+IFERROR(AN189/'P&amp;L'!AN$8,"NM")</f>
        <v>0</v>
      </c>
      <c r="AO190" s="785">
        <f>+IFERROR(AO189/'P&amp;L'!AO$8,"NM")</f>
        <v>0</v>
      </c>
      <c r="AP190" s="785">
        <f>+IFERROR(AP189/'P&amp;L'!AP$8,"NM")</f>
        <v>0</v>
      </c>
      <c r="AQ190" s="461">
        <f>+IFERROR(AQ189/'P&amp;L'!AQ$8,"NM")</f>
        <v>0</v>
      </c>
      <c r="AR190" s="367"/>
      <c r="AS190" s="782">
        <f>+IFERROR(AS189/'P&amp;L'!AS$8,"NM")</f>
        <v>0</v>
      </c>
      <c r="AT190" s="785">
        <f>+IFERROR(AT189/'P&amp;L'!AT$8,"NM")</f>
        <v>0</v>
      </c>
      <c r="AU190" s="785">
        <f>+IFERROR(AU189/'P&amp;L'!AU$8,"NM")</f>
        <v>0</v>
      </c>
      <c r="AV190" s="785">
        <f>+IFERROR(AV189/'P&amp;L'!AV$8,"NM")</f>
        <v>-3.5809366494277133E-3</v>
      </c>
      <c r="AW190" s="786">
        <f>+IFERROR(AW189/'P&amp;L'!AW$8,"NM")</f>
        <v>-9.3295446383484038E-4</v>
      </c>
      <c r="AX190" s="787"/>
      <c r="AY190" s="782">
        <f>+IFERROR(AY189/'P&amp;L'!AY$8,"NM")</f>
        <v>-5.96291436887129E-3</v>
      </c>
      <c r="AZ190" s="785">
        <f>+IFERROR(AZ189/'P&amp;L'!AZ$8,"NM")</f>
        <v>-6.3900935923939346E-3</v>
      </c>
      <c r="BA190" s="785">
        <f>+IFERROR(BA189/'P&amp;L'!BA$8,"NM")</f>
        <v>-5.2390245730609721E-3</v>
      </c>
      <c r="BB190" s="785">
        <f>+IFERROR(BB189/'P&amp;L'!BB$8,"NM")</f>
        <v>-5.8245313919365726E-3</v>
      </c>
      <c r="BC190" s="786">
        <f>+IFERROR(BC189/'P&amp;L'!BC$8,"NM")</f>
        <v>-5.8485579880888424E-3</v>
      </c>
      <c r="BD190" s="787"/>
      <c r="BE190" s="782">
        <f>+IFERROR(BE189/'P&amp;L'!BE$8,"NM")</f>
        <v>-1.7519801419930128E-3</v>
      </c>
      <c r="BF190" s="785">
        <f>+IFERROR(BF189/'P&amp;L'!BF$8,"NM")</f>
        <v>0</v>
      </c>
      <c r="BG190" s="785">
        <f>+IFERROR(BG189/'P&amp;L'!BG$8,"NM")</f>
        <v>-8.0194154383552026E-4</v>
      </c>
      <c r="BH190" s="785">
        <f>+IFERROR(BH189/'P&amp;L'!BH$8,"NM")</f>
        <v>0</v>
      </c>
      <c r="BI190" s="786">
        <f>+IFERROR(BI189/'P&amp;L'!BI$8,"NM")</f>
        <v>-6.0930941403936306E-4</v>
      </c>
      <c r="BJ190" s="787"/>
      <c r="BK190" s="782">
        <f>+IFERROR(BK189/'P&amp;L'!BK$8,"NM")</f>
        <v>-1.3781291879177834E-3</v>
      </c>
      <c r="BL190" s="785">
        <f>+IFERROR(BL189/'P&amp;L'!BL$8,"NM")</f>
        <v>-7.1331666781769684E-4</v>
      </c>
      <c r="BM190" s="785">
        <f>+IFERROR(BM189/'P&amp;L'!BM$8,"NM")</f>
        <v>7.0505325420953729E-4</v>
      </c>
      <c r="BN190" s="785">
        <f>+IFERROR(BN189/'P&amp;L'!BN$8,"NM")</f>
        <v>1.1939076338118668E-3</v>
      </c>
      <c r="BO190" s="786">
        <f>+IFERROR(BO189/'P&amp;L'!BO$8,"NM")</f>
        <v>-1.6354703007208995E-6</v>
      </c>
      <c r="BP190" s="787"/>
      <c r="BQ190" s="782">
        <f>+IFERROR(BQ189/'P&amp;L'!BQ$8,"NM")</f>
        <v>1.2095312717360952E-3</v>
      </c>
      <c r="BR190" s="785">
        <f>+IFERROR(BR189/'P&amp;L'!BR$8,"NM")</f>
        <v>-7.5121958244666145E-4</v>
      </c>
      <c r="BS190" s="785">
        <f>+IFERROR(BS189/'P&amp;L'!BS$8,"NM")</f>
        <v>-1.2554613567761939E-3</v>
      </c>
      <c r="BT190" s="785">
        <f>+IFERROR(BT189/'P&amp;L'!BT$8,"NM")</f>
        <v>2.5196777783107003E-4</v>
      </c>
      <c r="BU190" s="786">
        <f>+IFERROR(BU189/'P&amp;L'!BU$8,"NM")</f>
        <v>-1.5680744180206259E-4</v>
      </c>
      <c r="BV190" s="787"/>
      <c r="BW190" s="782">
        <f>+IFERROR(BW189/'P&amp;L'!BW$8,"NM")</f>
        <v>0</v>
      </c>
      <c r="BX190" s="785">
        <f>+IFERROR(BX189/'P&amp;L'!BX$8,"NM")</f>
        <v>0</v>
      </c>
      <c r="BY190" s="785">
        <f>+IFERROR(BY189/'P&amp;L'!BY$8,"NM")</f>
        <v>0</v>
      </c>
      <c r="BZ190" s="785">
        <f>+IFERROR(BZ189/'P&amp;L'!BZ$8,"NM")</f>
        <v>0</v>
      </c>
      <c r="CA190" s="786">
        <f>+IFERROR(CA189/'P&amp;L'!CA$8,"NM")</f>
        <v>0</v>
      </c>
      <c r="CB190" s="787"/>
      <c r="CC190" s="782">
        <f>+IFERROR(CC189/'P&amp;L'!CC$8,"NM")</f>
        <v>0</v>
      </c>
      <c r="CD190" s="785">
        <f>+IFERROR(CD189/'P&amp;L'!CD$8,"NM")</f>
        <v>0</v>
      </c>
      <c r="CE190" s="785">
        <f>+IFERROR(CE189/'P&amp;L'!CE$8,"NM")</f>
        <v>0</v>
      </c>
      <c r="CF190" s="785">
        <f>+IFERROR(CF189/'P&amp;L'!CF$8,"NM")</f>
        <v>0</v>
      </c>
      <c r="CG190" s="786">
        <f>+IFERROR(CG189/'P&amp;L'!CG$8,"NM")</f>
        <v>0</v>
      </c>
    </row>
    <row r="191" spans="2:85" x14ac:dyDescent="0.2">
      <c r="B191" s="113" t="s">
        <v>438</v>
      </c>
      <c r="C191" s="466">
        <v>0</v>
      </c>
      <c r="D191" s="365">
        <v>0</v>
      </c>
      <c r="E191" s="365">
        <v>0</v>
      </c>
      <c r="F191" s="365">
        <v>0</v>
      </c>
      <c r="G191" s="460">
        <f>SUM(C191:F191)</f>
        <v>0</v>
      </c>
      <c r="H191" s="364"/>
      <c r="I191" s="466">
        <v>0</v>
      </c>
      <c r="J191" s="365">
        <v>0</v>
      </c>
      <c r="K191" s="365">
        <v>0</v>
      </c>
      <c r="L191" s="365">
        <v>0</v>
      </c>
      <c r="M191" s="460">
        <f>SUM(I191:L191)</f>
        <v>0</v>
      </c>
      <c r="N191" s="364"/>
      <c r="O191" s="466">
        <v>0</v>
      </c>
      <c r="P191" s="365">
        <v>0</v>
      </c>
      <c r="Q191" s="365">
        <v>0</v>
      </c>
      <c r="R191" s="365">
        <v>0</v>
      </c>
      <c r="S191" s="460">
        <f>SUM(O191:R191)</f>
        <v>0</v>
      </c>
      <c r="T191" s="364"/>
      <c r="U191" s="466">
        <v>0</v>
      </c>
      <c r="V191" s="365">
        <v>0</v>
      </c>
      <c r="W191" s="365">
        <v>0</v>
      </c>
      <c r="X191" s="365">
        <v>0</v>
      </c>
      <c r="Y191" s="460">
        <f>SUM(U191:X191)</f>
        <v>0</v>
      </c>
      <c r="Z191" s="364"/>
      <c r="AA191" s="466">
        <v>0</v>
      </c>
      <c r="AB191" s="365">
        <v>0</v>
      </c>
      <c r="AC191" s="365">
        <v>0</v>
      </c>
      <c r="AD191" s="365">
        <v>0</v>
      </c>
      <c r="AE191" s="460">
        <f>SUM(AA191:AD191)</f>
        <v>0</v>
      </c>
      <c r="AF191" s="364"/>
      <c r="AG191" s="466">
        <v>0</v>
      </c>
      <c r="AH191" s="365">
        <v>0</v>
      </c>
      <c r="AI191" s="365">
        <v>0</v>
      </c>
      <c r="AJ191" s="365">
        <v>0</v>
      </c>
      <c r="AK191" s="460">
        <f>SUM(AG191:AJ191)</f>
        <v>0</v>
      </c>
      <c r="AL191" s="364"/>
      <c r="AM191" s="466">
        <v>-7.2</v>
      </c>
      <c r="AN191" s="365">
        <v>-3.2</v>
      </c>
      <c r="AO191" s="365">
        <v>-1.8</v>
      </c>
      <c r="AP191" s="365">
        <v>-2</v>
      </c>
      <c r="AQ191" s="460">
        <f>SUM(AM191:AP191)</f>
        <v>-14.200000000000001</v>
      </c>
      <c r="AR191" s="364"/>
      <c r="AS191" s="466">
        <v>-4.5</v>
      </c>
      <c r="AT191" s="365">
        <v>-4.5</v>
      </c>
      <c r="AU191" s="365">
        <v>-5</v>
      </c>
      <c r="AV191" s="365">
        <v>1.5</v>
      </c>
      <c r="AW191" s="460">
        <f>SUM(AS191:AV191)</f>
        <v>-12.5</v>
      </c>
      <c r="AX191" s="364"/>
      <c r="AY191" s="466">
        <v>0.7</v>
      </c>
      <c r="AZ191" s="365">
        <v>-3.5</v>
      </c>
      <c r="BA191" s="365">
        <v>0</v>
      </c>
      <c r="BB191" s="365">
        <v>0</v>
      </c>
      <c r="BC191" s="460">
        <f>SUM(AY191:BB191)</f>
        <v>-2.8</v>
      </c>
      <c r="BD191" s="364"/>
      <c r="BE191" s="466">
        <v>-11.2</v>
      </c>
      <c r="BF191" s="365">
        <v>-2.7</v>
      </c>
      <c r="BG191" s="365">
        <v>-4</v>
      </c>
      <c r="BH191" s="365">
        <v>-7</v>
      </c>
      <c r="BI191" s="460">
        <f>SUM(BE191:BH191)</f>
        <v>-24.9</v>
      </c>
      <c r="BJ191" s="364"/>
      <c r="BK191" s="466">
        <v>-2</v>
      </c>
      <c r="BL191" s="365">
        <v>-1.8</v>
      </c>
      <c r="BM191" s="365">
        <f>-2.2+6</f>
        <v>3.8</v>
      </c>
      <c r="BN191" s="365">
        <v>7.5</v>
      </c>
      <c r="BO191" s="460">
        <f>SUM(BK191:BN191)</f>
        <v>7.5</v>
      </c>
      <c r="BP191" s="364"/>
      <c r="BQ191" s="466">
        <v>0</v>
      </c>
      <c r="BR191" s="365">
        <v>0</v>
      </c>
      <c r="BS191" s="365">
        <v>0</v>
      </c>
      <c r="BT191" s="365">
        <v>0</v>
      </c>
      <c r="BU191" s="460">
        <f>SUM(BQ191:BT191)</f>
        <v>0</v>
      </c>
      <c r="BV191" s="364"/>
      <c r="BW191" s="466">
        <v>0</v>
      </c>
      <c r="BX191" s="365">
        <v>0</v>
      </c>
      <c r="BY191" s="365">
        <v>0</v>
      </c>
      <c r="BZ191" s="365">
        <v>0</v>
      </c>
      <c r="CA191" s="460">
        <f>SUM(BW191:BZ191)</f>
        <v>0</v>
      </c>
      <c r="CB191" s="364"/>
      <c r="CC191" s="466">
        <v>0</v>
      </c>
      <c r="CD191" s="365">
        <v>0</v>
      </c>
      <c r="CE191" s="365">
        <v>0</v>
      </c>
      <c r="CF191" s="365">
        <v>0</v>
      </c>
      <c r="CG191" s="460">
        <f>SUM(CC191:CF191)</f>
        <v>0</v>
      </c>
    </row>
    <row r="192" spans="2:85" x14ac:dyDescent="0.2">
      <c r="B192" s="478" t="s">
        <v>447</v>
      </c>
      <c r="C192" s="467">
        <f>+IFERROR(C191/'P&amp;L'!C$8,"NM")</f>
        <v>0</v>
      </c>
      <c r="D192" s="366">
        <f>+IFERROR(D191/'P&amp;L'!D$8,"NM")</f>
        <v>0</v>
      </c>
      <c r="E192" s="366">
        <f>+IFERROR(E191/'P&amp;L'!E$8,"NM")</f>
        <v>0</v>
      </c>
      <c r="F192" s="366">
        <f>+IFERROR(F191/'P&amp;L'!F$8,"NM")</f>
        <v>0</v>
      </c>
      <c r="G192" s="461">
        <f>+IFERROR(G191/'P&amp;L'!G$8,"NM")</f>
        <v>0</v>
      </c>
      <c r="H192" s="367"/>
      <c r="I192" s="467">
        <f>+IFERROR(I191/'P&amp;L'!I$8,"NM")</f>
        <v>0</v>
      </c>
      <c r="J192" s="366">
        <f>+IFERROR(J191/'P&amp;L'!J$8,"NM")</f>
        <v>0</v>
      </c>
      <c r="K192" s="366">
        <f>+IFERROR(K191/'P&amp;L'!K$8,"NM")</f>
        <v>0</v>
      </c>
      <c r="L192" s="366">
        <f>+IFERROR(L191/'P&amp;L'!L$8,"NM")</f>
        <v>0</v>
      </c>
      <c r="M192" s="461">
        <f>+IFERROR(M191/'P&amp;L'!M$8,"NM")</f>
        <v>0</v>
      </c>
      <c r="N192" s="367"/>
      <c r="O192" s="467">
        <f>+IFERROR(O191/'P&amp;L'!O$8,"NM")</f>
        <v>0</v>
      </c>
      <c r="P192" s="366">
        <f>+IFERROR(P191/'P&amp;L'!P$8,"NM")</f>
        <v>0</v>
      </c>
      <c r="Q192" s="366">
        <f>+IFERROR(Q191/'P&amp;L'!Q$8,"NM")</f>
        <v>0</v>
      </c>
      <c r="R192" s="366">
        <f>+IFERROR(R191/'P&amp;L'!R$8,"NM")</f>
        <v>0</v>
      </c>
      <c r="S192" s="461">
        <f>+IFERROR(S191/'P&amp;L'!S$8,"NM")</f>
        <v>0</v>
      </c>
      <c r="T192" s="367"/>
      <c r="U192" s="467">
        <f>+IFERROR(U191/'P&amp;L'!U$8,"NM")</f>
        <v>0</v>
      </c>
      <c r="V192" s="366">
        <f>+IFERROR(V191/'P&amp;L'!V$8,"NM")</f>
        <v>0</v>
      </c>
      <c r="W192" s="366">
        <f>+IFERROR(W191/'P&amp;L'!W$8,"NM")</f>
        <v>0</v>
      </c>
      <c r="X192" s="366">
        <f>+IFERROR(X191/'P&amp;L'!X$8,"NM")</f>
        <v>0</v>
      </c>
      <c r="Y192" s="461">
        <f>+IFERROR(Y191/'P&amp;L'!Y$8,"NM")</f>
        <v>0</v>
      </c>
      <c r="Z192" s="367"/>
      <c r="AA192" s="467">
        <f>+IFERROR(AA191/'P&amp;L'!AA$8,"NM")</f>
        <v>0</v>
      </c>
      <c r="AB192" s="366">
        <f>+IFERROR(AB191/'P&amp;L'!AB$8,"NM")</f>
        <v>0</v>
      </c>
      <c r="AC192" s="366">
        <f>+IFERROR(AC191/'P&amp;L'!AC$8,"NM")</f>
        <v>0</v>
      </c>
      <c r="AD192" s="366">
        <f>+IFERROR(AD191/'P&amp;L'!AD$8,"NM")</f>
        <v>0</v>
      </c>
      <c r="AE192" s="461">
        <f>+IFERROR(AE191/'P&amp;L'!AE$8,"NM")</f>
        <v>0</v>
      </c>
      <c r="AF192" s="367"/>
      <c r="AG192" s="467">
        <f>+IFERROR(AG191/'P&amp;L'!AG$8,"NM")</f>
        <v>0</v>
      </c>
      <c r="AH192" s="366">
        <f>+IFERROR(AH191/'P&amp;L'!AH$8,"NM")</f>
        <v>0</v>
      </c>
      <c r="AI192" s="366">
        <f>+IFERROR(AI191/'P&amp;L'!AI$8,"NM")</f>
        <v>0</v>
      </c>
      <c r="AJ192" s="366">
        <f>+IFERROR(AJ191/'P&amp;L'!AJ$8,"NM")</f>
        <v>0</v>
      </c>
      <c r="AK192" s="461">
        <f>+IFERROR(AK191/'P&amp;L'!AK$8,"NM")</f>
        <v>0</v>
      </c>
      <c r="AL192" s="367"/>
      <c r="AM192" s="782">
        <f>+IFERROR(AM191/'P&amp;L'!AM$8,"NM")</f>
        <v>-3.1392916798742192E-3</v>
      </c>
      <c r="AN192" s="785">
        <f>+IFERROR(AN191/'P&amp;L'!AN$8,"NM")</f>
        <v>-1.3378989133752265E-3</v>
      </c>
      <c r="AO192" s="785">
        <f>+IFERROR(AO191/'P&amp;L'!AO$8,"NM")</f>
        <v>-7.6629787871718331E-4</v>
      </c>
      <c r="AP192" s="785">
        <f>+IFERROR(AP191/'P&amp;L'!AP$8,"NM")</f>
        <v>-7.9164967918396727E-4</v>
      </c>
      <c r="AQ192" s="461">
        <f>+IFERROR(AQ191/'P&amp;L'!AQ$8,"NM")</f>
        <v>-1.4852551296999042E-3</v>
      </c>
      <c r="AR192" s="367"/>
      <c r="AS192" s="782">
        <f>+IFERROR(AS191/'P&amp;L'!AS$8,"NM")</f>
        <v>-1.8517306892265072E-3</v>
      </c>
      <c r="AT192" s="785">
        <f>+IFERROR(AT191/'P&amp;L'!AT$8,"NM")</f>
        <v>-1.7205741670700458E-3</v>
      </c>
      <c r="AU192" s="785">
        <f>+IFERROR(AU191/'P&amp;L'!AU$8,"NM")</f>
        <v>-1.9056846191050983E-3</v>
      </c>
      <c r="AV192" s="785">
        <f>+IFERROR(AV191/'P&amp;L'!AV$8,"NM")</f>
        <v>5.5512461437343466E-4</v>
      </c>
      <c r="AW192" s="786">
        <f>+IFERROR(AW191/'P&amp;L'!AW$8,"NM")</f>
        <v>-1.2052386420720849E-3</v>
      </c>
      <c r="AX192" s="787"/>
      <c r="AY192" s="782">
        <f>+IFERROR(AY191/'P&amp;L'!AY$8,"NM")</f>
        <v>2.8413172996445105E-4</v>
      </c>
      <c r="AZ192" s="785">
        <f>+IFERROR(AZ191/'P&amp;L'!AZ$8,"NM")</f>
        <v>-1.3311426528532092E-3</v>
      </c>
      <c r="BA192" s="785">
        <f>+IFERROR(BA191/'P&amp;L'!BA$8,"NM")</f>
        <v>0</v>
      </c>
      <c r="BB192" s="785">
        <f>+IFERROR(BB191/'P&amp;L'!BB$8,"NM")</f>
        <v>0</v>
      </c>
      <c r="BC192" s="786">
        <f>+IFERROR(BC191/'P&amp;L'!BC$8,"NM")</f>
        <v>-2.6341241946282871E-4</v>
      </c>
      <c r="BD192" s="787"/>
      <c r="BE192" s="782">
        <f>+IFERROR(BE191/'P&amp;L'!BE$8,"NM")</f>
        <v>-4.1283382406496821E-3</v>
      </c>
      <c r="BF192" s="785">
        <f>+IFERROR(BF191/'P&amp;L'!BF$8,"NM")</f>
        <v>-9.3990524362692028E-4</v>
      </c>
      <c r="BG192" s="785">
        <f>+IFERROR(BG191/'P&amp;L'!BG$8,"NM")</f>
        <v>-1.3960884394104598E-3</v>
      </c>
      <c r="BH192" s="785">
        <f>+IFERROR(BH191/'P&amp;L'!BH$8,"NM")</f>
        <v>-2.2429183058661284E-3</v>
      </c>
      <c r="BI192" s="786">
        <f>+IFERROR(BI191/'P&amp;L'!BI$8,"NM")</f>
        <v>-2.1518073280360271E-3</v>
      </c>
      <c r="BJ192" s="787"/>
      <c r="BK192" s="782">
        <f>+IFERROR(BK191/'P&amp;L'!BK$8,"NM")</f>
        <v>-6.8424070493214393E-4</v>
      </c>
      <c r="BL192" s="785">
        <f>+IFERROR(BL191/'P&amp;L'!BL$8,"NM")</f>
        <v>-5.8833950327149447E-4</v>
      </c>
      <c r="BM192" s="785">
        <f>+IFERROR(BM191/'P&amp;L'!BM$8,"NM")</f>
        <v>1.2021196532960381E-3</v>
      </c>
      <c r="BN192" s="785">
        <f>+IFERROR(BN191/'P&amp;L'!BN$8,"NM")</f>
        <v>2.2603610429486679E-3</v>
      </c>
      <c r="BO192" s="786">
        <f>+IFERROR(BO191/'P&amp;L'!BO$8,"NM")</f>
        <v>6.0185163265897331E-4</v>
      </c>
      <c r="BP192" s="787"/>
      <c r="BQ192" s="782">
        <f>+IFERROR(BQ191/'P&amp;L'!BQ$8,"NM")</f>
        <v>0</v>
      </c>
      <c r="BR192" s="785">
        <f>+IFERROR(BR191/'P&amp;L'!BR$8,"NM")</f>
        <v>0</v>
      </c>
      <c r="BS192" s="785">
        <f>+IFERROR(BS191/'P&amp;L'!BS$8,"NM")</f>
        <v>0</v>
      </c>
      <c r="BT192" s="785">
        <f>+IFERROR(BT191/'P&amp;L'!BT$8,"NM")</f>
        <v>0</v>
      </c>
      <c r="BU192" s="786">
        <f>+IFERROR(BU191/'P&amp;L'!BU$8,"NM")</f>
        <v>0</v>
      </c>
      <c r="BV192" s="787"/>
      <c r="BW192" s="782">
        <f>+IFERROR(BW191/'P&amp;L'!BW$8,"NM")</f>
        <v>0</v>
      </c>
      <c r="BX192" s="785">
        <f>+IFERROR(BX191/'P&amp;L'!BX$8,"NM")</f>
        <v>0</v>
      </c>
      <c r="BY192" s="785">
        <f>+IFERROR(BY191/'P&amp;L'!BY$8,"NM")</f>
        <v>0</v>
      </c>
      <c r="BZ192" s="785">
        <f>+IFERROR(BZ191/'P&amp;L'!BZ$8,"NM")</f>
        <v>0</v>
      </c>
      <c r="CA192" s="786">
        <f>+IFERROR(CA191/'P&amp;L'!CA$8,"NM")</f>
        <v>0</v>
      </c>
      <c r="CB192" s="787"/>
      <c r="CC192" s="782">
        <f>+IFERROR(CC191/'P&amp;L'!CC$8,"NM")</f>
        <v>0</v>
      </c>
      <c r="CD192" s="785">
        <f>+IFERROR(CD191/'P&amp;L'!CD$8,"NM")</f>
        <v>0</v>
      </c>
      <c r="CE192" s="785">
        <f>+IFERROR(CE191/'P&amp;L'!CE$8,"NM")</f>
        <v>0</v>
      </c>
      <c r="CF192" s="785">
        <f>+IFERROR(CF191/'P&amp;L'!CF$8,"NM")</f>
        <v>0</v>
      </c>
      <c r="CG192" s="786">
        <f>+IFERROR(CG191/'P&amp;L'!CG$8,"NM")</f>
        <v>0</v>
      </c>
    </row>
    <row r="193" spans="2:85" x14ac:dyDescent="0.2">
      <c r="B193" s="113" t="s">
        <v>438</v>
      </c>
      <c r="C193" s="466">
        <v>0</v>
      </c>
      <c r="D193" s="365">
        <v>0</v>
      </c>
      <c r="E193" s="365">
        <v>0</v>
      </c>
      <c r="F193" s="365">
        <v>0</v>
      </c>
      <c r="G193" s="460">
        <f>SUM(C193:F193)</f>
        <v>0</v>
      </c>
      <c r="H193" s="364"/>
      <c r="I193" s="466">
        <v>0</v>
      </c>
      <c r="J193" s="365">
        <v>0</v>
      </c>
      <c r="K193" s="365">
        <v>0</v>
      </c>
      <c r="L193" s="365">
        <v>0</v>
      </c>
      <c r="M193" s="460">
        <f>SUM(I193:L193)</f>
        <v>0</v>
      </c>
      <c r="N193" s="364"/>
      <c r="O193" s="466">
        <v>0</v>
      </c>
      <c r="P193" s="365">
        <v>0</v>
      </c>
      <c r="Q193" s="365">
        <v>0</v>
      </c>
      <c r="R193" s="365">
        <v>0</v>
      </c>
      <c r="S193" s="460">
        <f>SUM(O193:R193)</f>
        <v>0</v>
      </c>
      <c r="T193" s="364"/>
      <c r="U193" s="466">
        <v>0</v>
      </c>
      <c r="V193" s="365">
        <v>0</v>
      </c>
      <c r="W193" s="365">
        <v>0</v>
      </c>
      <c r="X193" s="365">
        <v>0</v>
      </c>
      <c r="Y193" s="460">
        <f>SUM(U193:X193)</f>
        <v>0</v>
      </c>
      <c r="Z193" s="364"/>
      <c r="AA193" s="466">
        <v>0</v>
      </c>
      <c r="AB193" s="365">
        <v>0</v>
      </c>
      <c r="AC193" s="365">
        <v>0</v>
      </c>
      <c r="AD193" s="365">
        <v>0</v>
      </c>
      <c r="AE193" s="460">
        <f>SUM(AA193:AD193)</f>
        <v>0</v>
      </c>
      <c r="AF193" s="364"/>
      <c r="AG193" s="466">
        <v>0</v>
      </c>
      <c r="AH193" s="365">
        <v>0</v>
      </c>
      <c r="AI193" s="365">
        <v>0</v>
      </c>
      <c r="AJ193" s="365">
        <v>0</v>
      </c>
      <c r="AK193" s="460">
        <f>SUM(AG193:AJ193)</f>
        <v>0</v>
      </c>
      <c r="AL193" s="364"/>
      <c r="AM193" s="466">
        <v>0</v>
      </c>
      <c r="AN193" s="365">
        <v>0</v>
      </c>
      <c r="AO193" s="365">
        <v>0</v>
      </c>
      <c r="AP193" s="365">
        <v>0</v>
      </c>
      <c r="AQ193" s="460">
        <f>SUM(AM193:AP193)</f>
        <v>0</v>
      </c>
      <c r="AR193" s="364"/>
      <c r="AS193" s="466">
        <v>0</v>
      </c>
      <c r="AT193" s="365">
        <v>0</v>
      </c>
      <c r="AU193" s="365">
        <v>0</v>
      </c>
      <c r="AV193" s="365">
        <v>0</v>
      </c>
      <c r="AW193" s="460">
        <f>SUM(AS193:AV193)</f>
        <v>0</v>
      </c>
      <c r="AX193" s="364"/>
      <c r="AY193" s="466">
        <v>0</v>
      </c>
      <c r="AZ193" s="365">
        <v>0</v>
      </c>
      <c r="BA193" s="365">
        <v>0</v>
      </c>
      <c r="BB193" s="365">
        <v>0</v>
      </c>
      <c r="BC193" s="460">
        <f>SUM(AY193:BB193)</f>
        <v>0</v>
      </c>
      <c r="BD193" s="364"/>
      <c r="BE193" s="466">
        <v>0</v>
      </c>
      <c r="BF193" s="365">
        <v>0</v>
      </c>
      <c r="BG193" s="365">
        <v>0</v>
      </c>
      <c r="BH193" s="365">
        <v>0</v>
      </c>
      <c r="BI193" s="460">
        <f>SUM(BE193:BH193)</f>
        <v>0</v>
      </c>
      <c r="BJ193" s="364"/>
      <c r="BK193" s="466">
        <v>0</v>
      </c>
      <c r="BL193" s="365">
        <v>0</v>
      </c>
      <c r="BM193" s="365">
        <v>-4.4000000000000004</v>
      </c>
      <c r="BN193" s="365">
        <v>0</v>
      </c>
      <c r="BO193" s="460">
        <f>SUM(BK193:BN193)</f>
        <v>-4.4000000000000004</v>
      </c>
      <c r="BP193" s="364"/>
      <c r="BQ193" s="466">
        <v>0</v>
      </c>
      <c r="BR193" s="365">
        <v>0</v>
      </c>
      <c r="BS193" s="365">
        <v>0</v>
      </c>
      <c r="BT193" s="365">
        <v>0</v>
      </c>
      <c r="BU193" s="460">
        <f>SUM(BQ193:BT193)</f>
        <v>0</v>
      </c>
      <c r="BV193" s="364"/>
      <c r="BW193" s="466">
        <v>0</v>
      </c>
      <c r="BX193" s="365">
        <v>0</v>
      </c>
      <c r="BY193" s="365">
        <v>0</v>
      </c>
      <c r="BZ193" s="365">
        <v>0</v>
      </c>
      <c r="CA193" s="460">
        <f>SUM(BW193:BZ193)</f>
        <v>0</v>
      </c>
      <c r="CB193" s="364"/>
      <c r="CC193" s="466">
        <v>0</v>
      </c>
      <c r="CD193" s="365">
        <v>0</v>
      </c>
      <c r="CE193" s="365">
        <v>0</v>
      </c>
      <c r="CF193" s="365">
        <v>0</v>
      </c>
      <c r="CG193" s="460">
        <f>SUM(CC193:CF193)</f>
        <v>0</v>
      </c>
    </row>
    <row r="194" spans="2:85" x14ac:dyDescent="0.2">
      <c r="B194" s="478" t="s">
        <v>447</v>
      </c>
      <c r="C194" s="467">
        <f>+IFERROR(C193/'P&amp;L'!C$8,"NM")</f>
        <v>0</v>
      </c>
      <c r="D194" s="366">
        <f>+IFERROR(D193/'P&amp;L'!D$8,"NM")</f>
        <v>0</v>
      </c>
      <c r="E194" s="366">
        <f>+IFERROR(E193/'P&amp;L'!E$8,"NM")</f>
        <v>0</v>
      </c>
      <c r="F194" s="366">
        <f>+IFERROR(F193/'P&amp;L'!F$8,"NM")</f>
        <v>0</v>
      </c>
      <c r="G194" s="461">
        <f>+IFERROR(G193/'P&amp;L'!G$8,"NM")</f>
        <v>0</v>
      </c>
      <c r="H194" s="367"/>
      <c r="I194" s="467">
        <f>+IFERROR(I193/'P&amp;L'!I$8,"NM")</f>
        <v>0</v>
      </c>
      <c r="J194" s="366">
        <f>+IFERROR(J193/'P&amp;L'!J$8,"NM")</f>
        <v>0</v>
      </c>
      <c r="K194" s="366">
        <f>+IFERROR(K193/'P&amp;L'!K$8,"NM")</f>
        <v>0</v>
      </c>
      <c r="L194" s="366">
        <f>+IFERROR(L193/'P&amp;L'!L$8,"NM")</f>
        <v>0</v>
      </c>
      <c r="M194" s="461">
        <f>+IFERROR(M193/'P&amp;L'!M$8,"NM")</f>
        <v>0</v>
      </c>
      <c r="N194" s="367"/>
      <c r="O194" s="467">
        <f>+IFERROR(O193/'P&amp;L'!O$8,"NM")</f>
        <v>0</v>
      </c>
      <c r="P194" s="366">
        <f>+IFERROR(P193/'P&amp;L'!P$8,"NM")</f>
        <v>0</v>
      </c>
      <c r="Q194" s="366">
        <f>+IFERROR(Q193/'P&amp;L'!Q$8,"NM")</f>
        <v>0</v>
      </c>
      <c r="R194" s="366">
        <f>+IFERROR(R193/'P&amp;L'!R$8,"NM")</f>
        <v>0</v>
      </c>
      <c r="S194" s="461">
        <f>+IFERROR(S193/'P&amp;L'!S$8,"NM")</f>
        <v>0</v>
      </c>
      <c r="T194" s="367"/>
      <c r="U194" s="467">
        <f>+IFERROR(U193/'P&amp;L'!U$8,"NM")</f>
        <v>0</v>
      </c>
      <c r="V194" s="366">
        <f>+IFERROR(V193/'P&amp;L'!V$8,"NM")</f>
        <v>0</v>
      </c>
      <c r="W194" s="366">
        <f>+IFERROR(W193/'P&amp;L'!W$8,"NM")</f>
        <v>0</v>
      </c>
      <c r="X194" s="366">
        <f>+IFERROR(X193/'P&amp;L'!X$8,"NM")</f>
        <v>0</v>
      </c>
      <c r="Y194" s="461">
        <f>+IFERROR(Y193/'P&amp;L'!Y$8,"NM")</f>
        <v>0</v>
      </c>
      <c r="Z194" s="367"/>
      <c r="AA194" s="467">
        <f>+IFERROR(AA193/'P&amp;L'!AA$8,"NM")</f>
        <v>0</v>
      </c>
      <c r="AB194" s="366">
        <f>+IFERROR(AB193/'P&amp;L'!AB$8,"NM")</f>
        <v>0</v>
      </c>
      <c r="AC194" s="366">
        <f>+IFERROR(AC193/'P&amp;L'!AC$8,"NM")</f>
        <v>0</v>
      </c>
      <c r="AD194" s="366">
        <f>+IFERROR(AD193/'P&amp;L'!AD$8,"NM")</f>
        <v>0</v>
      </c>
      <c r="AE194" s="461">
        <f>+IFERROR(AE193/'P&amp;L'!AE$8,"NM")</f>
        <v>0</v>
      </c>
      <c r="AF194" s="367"/>
      <c r="AG194" s="467">
        <f>+IFERROR(AG193/'P&amp;L'!AG$8,"NM")</f>
        <v>0</v>
      </c>
      <c r="AH194" s="366">
        <f>+IFERROR(AH193/'P&amp;L'!AH$8,"NM")</f>
        <v>0</v>
      </c>
      <c r="AI194" s="366">
        <f>+IFERROR(AI193/'P&amp;L'!AI$8,"NM")</f>
        <v>0</v>
      </c>
      <c r="AJ194" s="366">
        <f>+IFERROR(AJ193/'P&amp;L'!AJ$8,"NM")</f>
        <v>0</v>
      </c>
      <c r="AK194" s="461">
        <f>+IFERROR(AK193/'P&amp;L'!AK$8,"NM")</f>
        <v>0</v>
      </c>
      <c r="AL194" s="367"/>
      <c r="AM194" s="467">
        <f>+IFERROR(AM193/'P&amp;L'!AM$8,"NM")</f>
        <v>0</v>
      </c>
      <c r="AN194" s="366">
        <f>+IFERROR(AN193/'P&amp;L'!AN$8,"NM")</f>
        <v>0</v>
      </c>
      <c r="AO194" s="366">
        <f>+IFERROR(AO193/'P&amp;L'!AO$8,"NM")</f>
        <v>0</v>
      </c>
      <c r="AP194" s="366">
        <f>+IFERROR(AP193/'P&amp;L'!AP$8,"NM")</f>
        <v>0</v>
      </c>
      <c r="AQ194" s="461">
        <f>+IFERROR(AQ193/'P&amp;L'!AQ$8,"NM")</f>
        <v>0</v>
      </c>
      <c r="AR194" s="367"/>
      <c r="AS194" s="782">
        <f>+IFERROR(AS193/'P&amp;L'!AS$8,"NM")</f>
        <v>0</v>
      </c>
      <c r="AT194" s="785">
        <f>+IFERROR(AT193/'P&amp;L'!AT$8,"NM")</f>
        <v>0</v>
      </c>
      <c r="AU194" s="785">
        <f>+IFERROR(AU193/'P&amp;L'!AU$8,"NM")</f>
        <v>0</v>
      </c>
      <c r="AV194" s="785">
        <f>+IFERROR(AV193/'P&amp;L'!AV$8,"NM")</f>
        <v>0</v>
      </c>
      <c r="AW194" s="786">
        <f>+IFERROR(AW193/'P&amp;L'!AW$8,"NM")</f>
        <v>0</v>
      </c>
      <c r="AX194" s="787"/>
      <c r="AY194" s="782">
        <f>+IFERROR(AY193/'P&amp;L'!AY$8,"NM")</f>
        <v>0</v>
      </c>
      <c r="AZ194" s="785">
        <f>+IFERROR(AZ193/'P&amp;L'!AZ$8,"NM")</f>
        <v>0</v>
      </c>
      <c r="BA194" s="785">
        <f>+IFERROR(BA193/'P&amp;L'!BA$8,"NM")</f>
        <v>0</v>
      </c>
      <c r="BB194" s="785">
        <f>+IFERROR(BB193/'P&amp;L'!BB$8,"NM")</f>
        <v>0</v>
      </c>
      <c r="BC194" s="786">
        <f>+IFERROR(BC193/'P&amp;L'!BC$8,"NM")</f>
        <v>0</v>
      </c>
      <c r="BD194" s="787"/>
      <c r="BE194" s="782">
        <f>+IFERROR(BE193/'P&amp;L'!BE$8,"NM")</f>
        <v>0</v>
      </c>
      <c r="BF194" s="785">
        <f>+IFERROR(BF193/'P&amp;L'!BF$8,"NM")</f>
        <v>0</v>
      </c>
      <c r="BG194" s="785">
        <f>+IFERROR(BG193/'P&amp;L'!BG$8,"NM")</f>
        <v>0</v>
      </c>
      <c r="BH194" s="785">
        <f>+IFERROR(BH193/'P&amp;L'!BH$8,"NM")</f>
        <v>0</v>
      </c>
      <c r="BI194" s="786">
        <f>+IFERROR(BI193/'P&amp;L'!BI$8,"NM")</f>
        <v>0</v>
      </c>
      <c r="BJ194" s="787"/>
      <c r="BK194" s="782">
        <f>+IFERROR(BK193/'P&amp;L'!BK$8,"NM")</f>
        <v>0</v>
      </c>
      <c r="BL194" s="785">
        <f>+IFERROR(BL193/'P&amp;L'!BL$8,"NM")</f>
        <v>0</v>
      </c>
      <c r="BM194" s="785">
        <f>+IFERROR(BM193/'P&amp;L'!BM$8,"NM")</f>
        <v>-1.391928019605939E-3</v>
      </c>
      <c r="BN194" s="785">
        <f>+IFERROR(BN193/'P&amp;L'!BN$8,"NM")</f>
        <v>0</v>
      </c>
      <c r="BO194" s="786">
        <f>+IFERROR(BO193/'P&amp;L'!BO$8,"NM")</f>
        <v>-3.5308629115993103E-4</v>
      </c>
      <c r="BP194" s="787"/>
      <c r="BQ194" s="782">
        <f>+IFERROR(BQ193/'P&amp;L'!BQ$8,"NM")</f>
        <v>0</v>
      </c>
      <c r="BR194" s="785">
        <f>+IFERROR(BR193/'P&amp;L'!BR$8,"NM")</f>
        <v>0</v>
      </c>
      <c r="BS194" s="785">
        <f>+IFERROR(BS193/'P&amp;L'!BS$8,"NM")</f>
        <v>0</v>
      </c>
      <c r="BT194" s="785">
        <f>+IFERROR(BT193/'P&amp;L'!BT$8,"NM")</f>
        <v>0</v>
      </c>
      <c r="BU194" s="786">
        <f>+IFERROR(BU193/'P&amp;L'!BU$8,"NM")</f>
        <v>0</v>
      </c>
      <c r="BV194" s="787"/>
      <c r="BW194" s="782">
        <f>+IFERROR(BW193/'P&amp;L'!BW$8,"NM")</f>
        <v>0</v>
      </c>
      <c r="BX194" s="785">
        <f>+IFERROR(BX193/'P&amp;L'!BX$8,"NM")</f>
        <v>0</v>
      </c>
      <c r="BY194" s="785">
        <f>+IFERROR(BY193/'P&amp;L'!BY$8,"NM")</f>
        <v>0</v>
      </c>
      <c r="BZ194" s="785">
        <f>+IFERROR(BZ193/'P&amp;L'!BZ$8,"NM")</f>
        <v>0</v>
      </c>
      <c r="CA194" s="786">
        <f>+IFERROR(CA193/'P&amp;L'!CA$8,"NM")</f>
        <v>0</v>
      </c>
      <c r="CB194" s="787"/>
      <c r="CC194" s="782">
        <f>+IFERROR(CC193/'P&amp;L'!CC$8,"NM")</f>
        <v>0</v>
      </c>
      <c r="CD194" s="785">
        <f>+IFERROR(CD193/'P&amp;L'!CD$8,"NM")</f>
        <v>0</v>
      </c>
      <c r="CE194" s="785">
        <f>+IFERROR(CE193/'P&amp;L'!CE$8,"NM")</f>
        <v>0</v>
      </c>
      <c r="CF194" s="785">
        <f>+IFERROR(CF193/'P&amp;L'!CF$8,"NM")</f>
        <v>0</v>
      </c>
      <c r="CG194" s="786">
        <f>+IFERROR(CG193/'P&amp;L'!CG$8,"NM")</f>
        <v>0</v>
      </c>
    </row>
    <row r="195" spans="2:85" x14ac:dyDescent="0.2">
      <c r="B195" s="113" t="s">
        <v>445</v>
      </c>
      <c r="C195" s="466">
        <v>0</v>
      </c>
      <c r="D195" s="365">
        <v>0</v>
      </c>
      <c r="E195" s="365">
        <v>0</v>
      </c>
      <c r="F195" s="365">
        <v>0</v>
      </c>
      <c r="G195" s="460">
        <f>SUM(C195:F195)</f>
        <v>0</v>
      </c>
      <c r="H195" s="364"/>
      <c r="I195" s="466">
        <v>0</v>
      </c>
      <c r="J195" s="365">
        <v>0</v>
      </c>
      <c r="K195" s="365">
        <v>0</v>
      </c>
      <c r="L195" s="365">
        <v>0</v>
      </c>
      <c r="M195" s="460">
        <f>SUM(I195:L195)</f>
        <v>0</v>
      </c>
      <c r="N195" s="364"/>
      <c r="O195" s="466">
        <v>0</v>
      </c>
      <c r="P195" s="365">
        <v>0</v>
      </c>
      <c r="Q195" s="365">
        <v>0</v>
      </c>
      <c r="R195" s="365">
        <v>0</v>
      </c>
      <c r="S195" s="460">
        <f>SUM(O195:R195)</f>
        <v>0</v>
      </c>
      <c r="T195" s="364"/>
      <c r="U195" s="466">
        <v>0</v>
      </c>
      <c r="V195" s="365">
        <v>0</v>
      </c>
      <c r="W195" s="365">
        <v>0</v>
      </c>
      <c r="X195" s="365">
        <v>0</v>
      </c>
      <c r="Y195" s="460">
        <f>SUM(U195:X195)</f>
        <v>0</v>
      </c>
      <c r="Z195" s="364"/>
      <c r="AA195" s="466">
        <v>0</v>
      </c>
      <c r="AB195" s="365">
        <v>0</v>
      </c>
      <c r="AC195" s="365">
        <v>0</v>
      </c>
      <c r="AD195" s="365">
        <v>0</v>
      </c>
      <c r="AE195" s="460">
        <f>SUM(AA195:AD195)</f>
        <v>0</v>
      </c>
      <c r="AF195" s="364"/>
      <c r="AG195" s="466">
        <v>0</v>
      </c>
      <c r="AH195" s="365">
        <v>0</v>
      </c>
      <c r="AI195" s="365">
        <v>0</v>
      </c>
      <c r="AJ195" s="365">
        <v>0</v>
      </c>
      <c r="AK195" s="460">
        <f>SUM(AG195:AJ195)</f>
        <v>0</v>
      </c>
      <c r="AL195" s="364"/>
      <c r="AM195" s="466">
        <v>0</v>
      </c>
      <c r="AN195" s="365">
        <v>0</v>
      </c>
      <c r="AO195" s="365">
        <v>0</v>
      </c>
      <c r="AP195" s="365">
        <v>0</v>
      </c>
      <c r="AQ195" s="460">
        <f>SUM(AM195:AP195)</f>
        <v>0</v>
      </c>
      <c r="AR195" s="364"/>
      <c r="AS195" s="466">
        <v>0</v>
      </c>
      <c r="AT195" s="365">
        <v>0</v>
      </c>
      <c r="AU195" s="365">
        <v>0</v>
      </c>
      <c r="AV195" s="365">
        <v>0</v>
      </c>
      <c r="AW195" s="460">
        <f>SUM(AS195:AV195)</f>
        <v>0</v>
      </c>
      <c r="AX195" s="364"/>
      <c r="AY195" s="466">
        <v>0</v>
      </c>
      <c r="AZ195" s="365">
        <v>0</v>
      </c>
      <c r="BA195" s="365">
        <v>0</v>
      </c>
      <c r="BB195" s="365">
        <v>0</v>
      </c>
      <c r="BC195" s="460">
        <f>SUM(AY195:BB195)</f>
        <v>0</v>
      </c>
      <c r="BD195" s="364"/>
      <c r="BE195" s="466">
        <v>0</v>
      </c>
      <c r="BF195" s="365">
        <v>0</v>
      </c>
      <c r="BG195" s="365">
        <v>0</v>
      </c>
      <c r="BH195" s="365">
        <v>0</v>
      </c>
      <c r="BI195" s="460">
        <f>SUM(BE195:BH195)</f>
        <v>0</v>
      </c>
      <c r="BJ195" s="364"/>
      <c r="BK195" s="466">
        <v>0</v>
      </c>
      <c r="BL195" s="365">
        <v>0</v>
      </c>
      <c r="BM195" s="365">
        <v>0</v>
      </c>
      <c r="BN195" s="365">
        <v>0</v>
      </c>
      <c r="BO195" s="460">
        <f>SUM(BK195:BN195)</f>
        <v>0</v>
      </c>
      <c r="BP195" s="364"/>
      <c r="BQ195" s="466">
        <v>0</v>
      </c>
      <c r="BR195" s="365">
        <v>0</v>
      </c>
      <c r="BS195" s="365">
        <v>0</v>
      </c>
      <c r="BT195" s="365">
        <v>0</v>
      </c>
      <c r="BU195" s="460">
        <f>SUM(BQ195:BT195)</f>
        <v>0</v>
      </c>
      <c r="BV195" s="364"/>
      <c r="BW195" s="466">
        <v>0</v>
      </c>
      <c r="BX195" s="365">
        <v>0</v>
      </c>
      <c r="BY195" s="365">
        <v>0</v>
      </c>
      <c r="BZ195" s="365">
        <v>0</v>
      </c>
      <c r="CA195" s="460">
        <f>SUM(BW195:BZ195)</f>
        <v>0</v>
      </c>
      <c r="CB195" s="364"/>
      <c r="CC195" s="466">
        <v>0</v>
      </c>
      <c r="CD195" s="365">
        <v>0</v>
      </c>
      <c r="CE195" s="365">
        <v>0</v>
      </c>
      <c r="CF195" s="365">
        <v>0</v>
      </c>
      <c r="CG195" s="460">
        <f>SUM(CC195:CF195)</f>
        <v>0</v>
      </c>
    </row>
    <row r="196" spans="2:85" x14ac:dyDescent="0.2">
      <c r="B196" s="478" t="s">
        <v>447</v>
      </c>
      <c r="C196" s="467">
        <f>+IFERROR(C195/'P&amp;L'!C$8,"NM")</f>
        <v>0</v>
      </c>
      <c r="D196" s="366">
        <f>+IFERROR(D195/'P&amp;L'!D$8,"NM")</f>
        <v>0</v>
      </c>
      <c r="E196" s="366">
        <f>+IFERROR(E195/'P&amp;L'!E$8,"NM")</f>
        <v>0</v>
      </c>
      <c r="F196" s="366">
        <f>+IFERROR(F195/'P&amp;L'!F$8,"NM")</f>
        <v>0</v>
      </c>
      <c r="G196" s="461">
        <f>+IFERROR(G195/'P&amp;L'!G$8,"NM")</f>
        <v>0</v>
      </c>
      <c r="H196" s="367"/>
      <c r="I196" s="467">
        <f>+IFERROR(I195/'P&amp;L'!I$8,"NM")</f>
        <v>0</v>
      </c>
      <c r="J196" s="366">
        <f>+IFERROR(J195/'P&amp;L'!J$8,"NM")</f>
        <v>0</v>
      </c>
      <c r="K196" s="366">
        <f>+IFERROR(K195/'P&amp;L'!K$8,"NM")</f>
        <v>0</v>
      </c>
      <c r="L196" s="366">
        <f>+IFERROR(L195/'P&amp;L'!L$8,"NM")</f>
        <v>0</v>
      </c>
      <c r="M196" s="461">
        <f>+IFERROR(M195/'P&amp;L'!M$8,"NM")</f>
        <v>0</v>
      </c>
      <c r="N196" s="367"/>
      <c r="O196" s="467">
        <f>+IFERROR(O195/'P&amp;L'!O$8,"NM")</f>
        <v>0</v>
      </c>
      <c r="P196" s="366">
        <f>+IFERROR(P195/'P&amp;L'!P$8,"NM")</f>
        <v>0</v>
      </c>
      <c r="Q196" s="366">
        <f>+IFERROR(Q195/'P&amp;L'!Q$8,"NM")</f>
        <v>0</v>
      </c>
      <c r="R196" s="366">
        <f>+IFERROR(R195/'P&amp;L'!R$8,"NM")</f>
        <v>0</v>
      </c>
      <c r="S196" s="461">
        <f>+IFERROR(S195/'P&amp;L'!S$8,"NM")</f>
        <v>0</v>
      </c>
      <c r="T196" s="367"/>
      <c r="U196" s="467">
        <f>+IFERROR(U195/'P&amp;L'!U$8,"NM")</f>
        <v>0</v>
      </c>
      <c r="V196" s="366">
        <f>+IFERROR(V195/'P&amp;L'!V$8,"NM")</f>
        <v>0</v>
      </c>
      <c r="W196" s="366">
        <f>+IFERROR(W195/'P&amp;L'!W$8,"NM")</f>
        <v>0</v>
      </c>
      <c r="X196" s="366">
        <f>+IFERROR(X195/'P&amp;L'!X$8,"NM")</f>
        <v>0</v>
      </c>
      <c r="Y196" s="461">
        <f>+IFERROR(Y195/'P&amp;L'!Y$8,"NM")</f>
        <v>0</v>
      </c>
      <c r="Z196" s="367"/>
      <c r="AA196" s="467">
        <f>+IFERROR(AA195/'P&amp;L'!AA$8,"NM")</f>
        <v>0</v>
      </c>
      <c r="AB196" s="366">
        <f>+IFERROR(AB195/'P&amp;L'!AB$8,"NM")</f>
        <v>0</v>
      </c>
      <c r="AC196" s="366">
        <f>+IFERROR(AC195/'P&amp;L'!AC$8,"NM")</f>
        <v>0</v>
      </c>
      <c r="AD196" s="366">
        <f>+IFERROR(AD195/'P&amp;L'!AD$8,"NM")</f>
        <v>0</v>
      </c>
      <c r="AE196" s="461">
        <f>+IFERROR(AE195/'P&amp;L'!AE$8,"NM")</f>
        <v>0</v>
      </c>
      <c r="AF196" s="367"/>
      <c r="AG196" s="467">
        <f>+IFERROR(AG195/'P&amp;L'!AG$8,"NM")</f>
        <v>0</v>
      </c>
      <c r="AH196" s="366">
        <f>+IFERROR(AH195/'P&amp;L'!AH$8,"NM")</f>
        <v>0</v>
      </c>
      <c r="AI196" s="366">
        <f>+IFERROR(AI195/'P&amp;L'!AI$8,"NM")</f>
        <v>0</v>
      </c>
      <c r="AJ196" s="366">
        <f>+IFERROR(AJ195/'P&amp;L'!AJ$8,"NM")</f>
        <v>0</v>
      </c>
      <c r="AK196" s="461">
        <f>+IFERROR(AK195/'P&amp;L'!AK$8,"NM")</f>
        <v>0</v>
      </c>
      <c r="AL196" s="367"/>
      <c r="AM196" s="467">
        <f>+IFERROR(AM195/'P&amp;L'!AM$8,"NM")</f>
        <v>0</v>
      </c>
      <c r="AN196" s="366">
        <f>+IFERROR(AN195/'P&amp;L'!AN$8,"NM")</f>
        <v>0</v>
      </c>
      <c r="AO196" s="366">
        <f>+IFERROR(AO195/'P&amp;L'!AO$8,"NM")</f>
        <v>0</v>
      </c>
      <c r="AP196" s="366">
        <f>+IFERROR(AP195/'P&amp;L'!AP$8,"NM")</f>
        <v>0</v>
      </c>
      <c r="AQ196" s="461">
        <f>+IFERROR(AQ195/'P&amp;L'!AQ$8,"NM")</f>
        <v>0</v>
      </c>
      <c r="AR196" s="367"/>
      <c r="AS196" s="782">
        <f>+IFERROR(AS195/'P&amp;L'!AS$8,"NM")</f>
        <v>0</v>
      </c>
      <c r="AT196" s="785">
        <f>+IFERROR(AT195/'P&amp;L'!AT$8,"NM")</f>
        <v>0</v>
      </c>
      <c r="AU196" s="785">
        <f>+IFERROR(AU195/'P&amp;L'!AU$8,"NM")</f>
        <v>0</v>
      </c>
      <c r="AV196" s="785">
        <f>+IFERROR(AV195/'P&amp;L'!AV$8,"NM")</f>
        <v>0</v>
      </c>
      <c r="AW196" s="786">
        <f>+IFERROR(AW195/'P&amp;L'!AW$8,"NM")</f>
        <v>0</v>
      </c>
      <c r="AX196" s="787"/>
      <c r="AY196" s="782">
        <f>+IFERROR(AY195/'P&amp;L'!AY$8,"NM")</f>
        <v>0</v>
      </c>
      <c r="AZ196" s="785">
        <f>+IFERROR(AZ195/'P&amp;L'!AZ$8,"NM")</f>
        <v>0</v>
      </c>
      <c r="BA196" s="785">
        <f>+IFERROR(BA195/'P&amp;L'!BA$8,"NM")</f>
        <v>0</v>
      </c>
      <c r="BB196" s="785">
        <f>+IFERROR(BB195/'P&amp;L'!BB$8,"NM")</f>
        <v>0</v>
      </c>
      <c r="BC196" s="786">
        <f>+IFERROR(BC195/'P&amp;L'!BC$8,"NM")</f>
        <v>0</v>
      </c>
      <c r="BD196" s="787"/>
      <c r="BE196" s="782">
        <f>+IFERROR(BE195/'P&amp;L'!BE$8,"NM")</f>
        <v>0</v>
      </c>
      <c r="BF196" s="785">
        <f>+IFERROR(BF195/'P&amp;L'!BF$8,"NM")</f>
        <v>0</v>
      </c>
      <c r="BG196" s="785">
        <f>+IFERROR(BG195/'P&amp;L'!BG$8,"NM")</f>
        <v>0</v>
      </c>
      <c r="BH196" s="785">
        <f>+IFERROR(BH195/'P&amp;L'!BH$8,"NM")</f>
        <v>0</v>
      </c>
      <c r="BI196" s="786">
        <f>+IFERROR(BI195/'P&amp;L'!BI$8,"NM")</f>
        <v>0</v>
      </c>
      <c r="BJ196" s="787"/>
      <c r="BK196" s="782">
        <f>+IFERROR(BK195/'P&amp;L'!BK$8,"NM")</f>
        <v>0</v>
      </c>
      <c r="BL196" s="785">
        <f>+IFERROR(BL195/'P&amp;L'!BL$8,"NM")</f>
        <v>0</v>
      </c>
      <c r="BM196" s="785">
        <f>+IFERROR(BM195/'P&amp;L'!BM$8,"NM")</f>
        <v>0</v>
      </c>
      <c r="BN196" s="785">
        <f>+IFERROR(BN195/'P&amp;L'!BN$8,"NM")</f>
        <v>0</v>
      </c>
      <c r="BO196" s="786">
        <f>+IFERROR(BO195/'P&amp;L'!BO$8,"NM")</f>
        <v>0</v>
      </c>
      <c r="BP196" s="787"/>
      <c r="BQ196" s="782">
        <f>+IFERROR(BQ195/'P&amp;L'!BQ$8,"NM")</f>
        <v>0</v>
      </c>
      <c r="BR196" s="785">
        <f>+IFERROR(BR195/'P&amp;L'!BR$8,"NM")</f>
        <v>0</v>
      </c>
      <c r="BS196" s="785">
        <f>+IFERROR(BS195/'P&amp;L'!BS$8,"NM")</f>
        <v>0</v>
      </c>
      <c r="BT196" s="785">
        <f>+IFERROR(BT195/'P&amp;L'!BT$8,"NM")</f>
        <v>0</v>
      </c>
      <c r="BU196" s="786">
        <f>+IFERROR(BU195/'P&amp;L'!BU$8,"NM")</f>
        <v>0</v>
      </c>
      <c r="BV196" s="787"/>
      <c r="BW196" s="782">
        <f>+IFERROR(BW195/'P&amp;L'!BW$8,"NM")</f>
        <v>0</v>
      </c>
      <c r="BX196" s="785">
        <f>+IFERROR(BX195/'P&amp;L'!BX$8,"NM")</f>
        <v>0</v>
      </c>
      <c r="BY196" s="785">
        <f>+IFERROR(BY195/'P&amp;L'!BY$8,"NM")</f>
        <v>0</v>
      </c>
      <c r="BZ196" s="785">
        <f>+IFERROR(BZ195/'P&amp;L'!BZ$8,"NM")</f>
        <v>0</v>
      </c>
      <c r="CA196" s="786">
        <f>+IFERROR(CA195/'P&amp;L'!CA$8,"NM")</f>
        <v>0</v>
      </c>
      <c r="CB196" s="787"/>
      <c r="CC196" s="782">
        <f>+IFERROR(CC195/'P&amp;L'!CC$8,"NM")</f>
        <v>0</v>
      </c>
      <c r="CD196" s="785">
        <f>+IFERROR(CD195/'P&amp;L'!CD$8,"NM")</f>
        <v>0</v>
      </c>
      <c r="CE196" s="785">
        <f>+IFERROR(CE195/'P&amp;L'!CE$8,"NM")</f>
        <v>0</v>
      </c>
      <c r="CF196" s="785">
        <f>+IFERROR(CF195/'P&amp;L'!CF$8,"NM")</f>
        <v>0</v>
      </c>
      <c r="CG196" s="786">
        <f>+IFERROR(CG195/'P&amp;L'!CG$8,"NM")</f>
        <v>0</v>
      </c>
    </row>
    <row r="197" spans="2:85" x14ac:dyDescent="0.2">
      <c r="B197" s="113" t="s">
        <v>446</v>
      </c>
      <c r="C197" s="466">
        <v>0</v>
      </c>
      <c r="D197" s="365">
        <v>0</v>
      </c>
      <c r="E197" s="365">
        <v>0</v>
      </c>
      <c r="F197" s="365">
        <v>0</v>
      </c>
      <c r="G197" s="460">
        <f>SUM(C197:F197)</f>
        <v>0</v>
      </c>
      <c r="H197" s="364"/>
      <c r="I197" s="466">
        <v>0</v>
      </c>
      <c r="J197" s="365">
        <v>0</v>
      </c>
      <c r="K197" s="365">
        <v>0</v>
      </c>
      <c r="L197" s="365">
        <v>0</v>
      </c>
      <c r="M197" s="460">
        <f>SUM(I197:L197)</f>
        <v>0</v>
      </c>
      <c r="N197" s="364"/>
      <c r="O197" s="466">
        <v>0</v>
      </c>
      <c r="P197" s="365">
        <v>0</v>
      </c>
      <c r="Q197" s="365">
        <v>0</v>
      </c>
      <c r="R197" s="365">
        <v>0</v>
      </c>
      <c r="S197" s="460">
        <f>SUM(O197:R197)</f>
        <v>0</v>
      </c>
      <c r="T197" s="364"/>
      <c r="U197" s="466">
        <v>0</v>
      </c>
      <c r="V197" s="365">
        <v>0</v>
      </c>
      <c r="W197" s="365">
        <v>0</v>
      </c>
      <c r="X197" s="365">
        <v>0</v>
      </c>
      <c r="Y197" s="460">
        <f>SUM(U197:X197)</f>
        <v>0</v>
      </c>
      <c r="Z197" s="364"/>
      <c r="AA197" s="466">
        <v>0</v>
      </c>
      <c r="AB197" s="365">
        <v>0</v>
      </c>
      <c r="AC197" s="365">
        <v>0</v>
      </c>
      <c r="AD197" s="365">
        <v>0</v>
      </c>
      <c r="AE197" s="460">
        <f>SUM(AA197:AD197)</f>
        <v>0</v>
      </c>
      <c r="AF197" s="364"/>
      <c r="AG197" s="466">
        <v>0</v>
      </c>
      <c r="AH197" s="365">
        <v>0</v>
      </c>
      <c r="AI197" s="365">
        <v>0</v>
      </c>
      <c r="AJ197" s="365">
        <v>0</v>
      </c>
      <c r="AK197" s="460">
        <f>SUM(AG197:AJ197)</f>
        <v>0</v>
      </c>
      <c r="AL197" s="364"/>
      <c r="AM197" s="466">
        <v>0</v>
      </c>
      <c r="AN197" s="365">
        <v>0</v>
      </c>
      <c r="AO197" s="365">
        <v>0</v>
      </c>
      <c r="AP197" s="365">
        <v>0</v>
      </c>
      <c r="AQ197" s="460">
        <f>SUM(AM197:AP197)</f>
        <v>0</v>
      </c>
      <c r="AR197" s="364"/>
      <c r="AS197" s="466">
        <v>0</v>
      </c>
      <c r="AT197" s="365">
        <v>0</v>
      </c>
      <c r="AU197" s="365">
        <v>0</v>
      </c>
      <c r="AV197" s="365">
        <v>0</v>
      </c>
      <c r="AW197" s="460">
        <f>SUM(AS197:AV197)</f>
        <v>0</v>
      </c>
      <c r="AX197" s="364"/>
      <c r="AY197" s="466">
        <v>0</v>
      </c>
      <c r="AZ197" s="365">
        <v>0</v>
      </c>
      <c r="BA197" s="365">
        <v>0</v>
      </c>
      <c r="BB197" s="365">
        <v>0</v>
      </c>
      <c r="BC197" s="460">
        <f>SUM(AY197:BB197)</f>
        <v>0</v>
      </c>
      <c r="BD197" s="364"/>
      <c r="BE197" s="466">
        <v>0</v>
      </c>
      <c r="BF197" s="365">
        <v>0</v>
      </c>
      <c r="BG197" s="365">
        <v>0</v>
      </c>
      <c r="BH197" s="365">
        <v>0</v>
      </c>
      <c r="BI197" s="460">
        <f>SUM(BE197:BH197)</f>
        <v>0</v>
      </c>
      <c r="BJ197" s="364"/>
      <c r="BK197" s="466">
        <v>0</v>
      </c>
      <c r="BL197" s="365">
        <v>0</v>
      </c>
      <c r="BM197" s="365">
        <v>0</v>
      </c>
      <c r="BN197" s="365">
        <v>0</v>
      </c>
      <c r="BO197" s="460">
        <f>SUM(BK197:BN197)</f>
        <v>0</v>
      </c>
      <c r="BP197" s="364"/>
      <c r="BQ197" s="466">
        <v>0</v>
      </c>
      <c r="BR197" s="365">
        <v>1</v>
      </c>
      <c r="BS197" s="365">
        <v>2</v>
      </c>
      <c r="BT197" s="365">
        <v>2</v>
      </c>
      <c r="BU197" s="460">
        <f>SUM(BQ197:BT197)</f>
        <v>5</v>
      </c>
      <c r="BV197" s="364"/>
      <c r="BW197" s="466">
        <f>2-BQ197</f>
        <v>2</v>
      </c>
      <c r="BX197" s="365">
        <f>2-BR197</f>
        <v>1</v>
      </c>
      <c r="BY197" s="365">
        <f>3-BS197</f>
        <v>1</v>
      </c>
      <c r="BZ197" s="365">
        <f>3-BT197</f>
        <v>1</v>
      </c>
      <c r="CA197" s="460">
        <f>SUM(BW197:BZ197)</f>
        <v>5</v>
      </c>
      <c r="CB197" s="364"/>
      <c r="CC197" s="466">
        <f>6-BW197-BQ197</f>
        <v>4</v>
      </c>
      <c r="CD197" s="365">
        <f t="shared" ref="CD197:CF197" si="120">6-BX197-BR197</f>
        <v>4</v>
      </c>
      <c r="CE197" s="365">
        <f t="shared" si="120"/>
        <v>3</v>
      </c>
      <c r="CF197" s="365">
        <f t="shared" si="120"/>
        <v>3</v>
      </c>
      <c r="CG197" s="460">
        <f>SUM(CC197:CF197)</f>
        <v>14</v>
      </c>
    </row>
    <row r="198" spans="2:85" x14ac:dyDescent="0.2">
      <c r="B198" s="478" t="s">
        <v>447</v>
      </c>
      <c r="C198" s="467">
        <f>+IFERROR(C197/'P&amp;L'!C$8,"NM")</f>
        <v>0</v>
      </c>
      <c r="D198" s="366">
        <f>+IFERROR(D197/'P&amp;L'!D$8,"NM")</f>
        <v>0</v>
      </c>
      <c r="E198" s="366">
        <f>+IFERROR(E197/'P&amp;L'!E$8,"NM")</f>
        <v>0</v>
      </c>
      <c r="F198" s="366">
        <f>+IFERROR(F197/'P&amp;L'!F$8,"NM")</f>
        <v>0</v>
      </c>
      <c r="G198" s="461">
        <f>+IFERROR(G197/'P&amp;L'!G$8,"NM")</f>
        <v>0</v>
      </c>
      <c r="H198" s="367"/>
      <c r="I198" s="467">
        <f>+IFERROR(I197/'P&amp;L'!I$8,"NM")</f>
        <v>0</v>
      </c>
      <c r="J198" s="366">
        <f>+IFERROR(J197/'P&amp;L'!J$8,"NM")</f>
        <v>0</v>
      </c>
      <c r="K198" s="366">
        <f>+IFERROR(K197/'P&amp;L'!K$8,"NM")</f>
        <v>0</v>
      </c>
      <c r="L198" s="366">
        <f>+IFERROR(L197/'P&amp;L'!L$8,"NM")</f>
        <v>0</v>
      </c>
      <c r="M198" s="461">
        <f>+IFERROR(M197/'P&amp;L'!M$8,"NM")</f>
        <v>0</v>
      </c>
      <c r="N198" s="367"/>
      <c r="O198" s="467">
        <f>+IFERROR(O197/'P&amp;L'!O$8,"NM")</f>
        <v>0</v>
      </c>
      <c r="P198" s="366">
        <f>+IFERROR(P197/'P&amp;L'!P$8,"NM")</f>
        <v>0</v>
      </c>
      <c r="Q198" s="366">
        <f>+IFERROR(Q197/'P&amp;L'!Q$8,"NM")</f>
        <v>0</v>
      </c>
      <c r="R198" s="366">
        <f>+IFERROR(R197/'P&amp;L'!R$8,"NM")</f>
        <v>0</v>
      </c>
      <c r="S198" s="461">
        <f>+IFERROR(S197/'P&amp;L'!S$8,"NM")</f>
        <v>0</v>
      </c>
      <c r="T198" s="367"/>
      <c r="U198" s="467">
        <f>+IFERROR(U197/'P&amp;L'!U$8,"NM")</f>
        <v>0</v>
      </c>
      <c r="V198" s="366">
        <f>+IFERROR(V197/'P&amp;L'!V$8,"NM")</f>
        <v>0</v>
      </c>
      <c r="W198" s="366">
        <f>+IFERROR(W197/'P&amp;L'!W$8,"NM")</f>
        <v>0</v>
      </c>
      <c r="X198" s="366">
        <f>+IFERROR(X197/'P&amp;L'!X$8,"NM")</f>
        <v>0</v>
      </c>
      <c r="Y198" s="461">
        <f>+IFERROR(Y197/'P&amp;L'!Y$8,"NM")</f>
        <v>0</v>
      </c>
      <c r="Z198" s="367"/>
      <c r="AA198" s="467">
        <f>+IFERROR(AA197/'P&amp;L'!AA$8,"NM")</f>
        <v>0</v>
      </c>
      <c r="AB198" s="366">
        <f>+IFERROR(AB197/'P&amp;L'!AB$8,"NM")</f>
        <v>0</v>
      </c>
      <c r="AC198" s="366">
        <f>+IFERROR(AC197/'P&amp;L'!AC$8,"NM")</f>
        <v>0</v>
      </c>
      <c r="AD198" s="366">
        <f>+IFERROR(AD197/'P&amp;L'!AD$8,"NM")</f>
        <v>0</v>
      </c>
      <c r="AE198" s="461">
        <f>+IFERROR(AE197/'P&amp;L'!AE$8,"NM")</f>
        <v>0</v>
      </c>
      <c r="AF198" s="367"/>
      <c r="AG198" s="467">
        <f>+IFERROR(AG197/'P&amp;L'!AG$8,"NM")</f>
        <v>0</v>
      </c>
      <c r="AH198" s="366">
        <f>+IFERROR(AH197/'P&amp;L'!AH$8,"NM")</f>
        <v>0</v>
      </c>
      <c r="AI198" s="366">
        <f>+IFERROR(AI197/'P&amp;L'!AI$8,"NM")</f>
        <v>0</v>
      </c>
      <c r="AJ198" s="366">
        <f>+IFERROR(AJ197/'P&amp;L'!AJ$8,"NM")</f>
        <v>0</v>
      </c>
      <c r="AK198" s="461">
        <f>+IFERROR(AK197/'P&amp;L'!AK$8,"NM")</f>
        <v>0</v>
      </c>
      <c r="AL198" s="367"/>
      <c r="AM198" s="467">
        <f>+IFERROR(AM197/'P&amp;L'!AM$8,"NM")</f>
        <v>0</v>
      </c>
      <c r="AN198" s="366">
        <f>+IFERROR(AN197/'P&amp;L'!AN$8,"NM")</f>
        <v>0</v>
      </c>
      <c r="AO198" s="366">
        <f>+IFERROR(AO197/'P&amp;L'!AO$8,"NM")</f>
        <v>0</v>
      </c>
      <c r="AP198" s="366">
        <f>+IFERROR(AP197/'P&amp;L'!AP$8,"NM")</f>
        <v>0</v>
      </c>
      <c r="AQ198" s="461">
        <f>+IFERROR(AQ197/'P&amp;L'!AQ$8,"NM")</f>
        <v>0</v>
      </c>
      <c r="AR198" s="367"/>
      <c r="AS198" s="782">
        <f>+IFERROR(AS197/'P&amp;L'!AS$8,"NM")</f>
        <v>0</v>
      </c>
      <c r="AT198" s="785">
        <f>+IFERROR(AT197/'P&amp;L'!AT$8,"NM")</f>
        <v>0</v>
      </c>
      <c r="AU198" s="785">
        <f>+IFERROR(AU197/'P&amp;L'!AU$8,"NM")</f>
        <v>0</v>
      </c>
      <c r="AV198" s="785">
        <f>+IFERROR(AV197/'P&amp;L'!AV$8,"NM")</f>
        <v>0</v>
      </c>
      <c r="AW198" s="786">
        <f>+IFERROR(AW197/'P&amp;L'!AW$8,"NM")</f>
        <v>0</v>
      </c>
      <c r="AX198" s="787"/>
      <c r="AY198" s="782">
        <f>+IFERROR(AY197/'P&amp;L'!AY$8,"NM")</f>
        <v>0</v>
      </c>
      <c r="AZ198" s="785">
        <f>+IFERROR(AZ197/'P&amp;L'!AZ$8,"NM")</f>
        <v>0</v>
      </c>
      <c r="BA198" s="785">
        <f>+IFERROR(BA197/'P&amp;L'!BA$8,"NM")</f>
        <v>0</v>
      </c>
      <c r="BB198" s="785">
        <f>+IFERROR(BB197/'P&amp;L'!BB$8,"NM")</f>
        <v>0</v>
      </c>
      <c r="BC198" s="786">
        <f>+IFERROR(BC197/'P&amp;L'!BC$8,"NM")</f>
        <v>0</v>
      </c>
      <c r="BD198" s="787"/>
      <c r="BE198" s="782">
        <f>+IFERROR(BE197/'P&amp;L'!BE$8,"NM")</f>
        <v>0</v>
      </c>
      <c r="BF198" s="785">
        <f>+IFERROR(BF197/'P&amp;L'!BF$8,"NM")</f>
        <v>0</v>
      </c>
      <c r="BG198" s="785">
        <f>+IFERROR(BG197/'P&amp;L'!BG$8,"NM")</f>
        <v>0</v>
      </c>
      <c r="BH198" s="785">
        <f>+IFERROR(BH197/'P&amp;L'!BH$8,"NM")</f>
        <v>0</v>
      </c>
      <c r="BI198" s="786">
        <f>+IFERROR(BI197/'P&amp;L'!BI$8,"NM")</f>
        <v>0</v>
      </c>
      <c r="BJ198" s="787"/>
      <c r="BK198" s="782">
        <f>+IFERROR(BK197/'P&amp;L'!BK$8,"NM")</f>
        <v>0</v>
      </c>
      <c r="BL198" s="785">
        <f>+IFERROR(BL197/'P&amp;L'!BL$8,"NM")</f>
        <v>0</v>
      </c>
      <c r="BM198" s="785">
        <f>+IFERROR(BM197/'P&amp;L'!BM$8,"NM")</f>
        <v>0</v>
      </c>
      <c r="BN198" s="785">
        <f>+IFERROR(BN197/'P&amp;L'!BN$8,"NM")</f>
        <v>0</v>
      </c>
      <c r="BO198" s="786">
        <f>+IFERROR(BO197/'P&amp;L'!BO$8,"NM")</f>
        <v>0</v>
      </c>
      <c r="BP198" s="787"/>
      <c r="BQ198" s="782">
        <f>+IFERROR(BQ197/'P&amp;L'!BQ$8,"NM")</f>
        <v>0</v>
      </c>
      <c r="BR198" s="785">
        <f>+IFERROR(BR197/'P&amp;L'!BR$8,"NM")</f>
        <v>3.0582721898581245E-4</v>
      </c>
      <c r="BS198" s="785">
        <f>+IFERROR(BS197/'P&amp;L'!BS$8,"NM")</f>
        <v>5.9876274779362224E-4</v>
      </c>
      <c r="BT198" s="785">
        <f>+IFERROR(BT197/'P&amp;L'!BT$8,"NM")</f>
        <v>5.7746613829515951E-4</v>
      </c>
      <c r="BU198" s="786">
        <f>+IFERROR(BU197/'P&amp;L'!BU$8,"NM")</f>
        <v>3.803551363341018E-4</v>
      </c>
      <c r="BV198" s="787"/>
      <c r="BW198" s="782">
        <f>+IFERROR(BW197/'P&amp;L'!BW$8,"NM")</f>
        <v>6.1930029092736091E-4</v>
      </c>
      <c r="BX198" s="785">
        <f>+IFERROR(BX197/'P&amp;L'!BX$8,"NM")</f>
        <v>2.9316550572019951E-4</v>
      </c>
      <c r="BY198" s="785">
        <f>+IFERROR(BY197/'P&amp;L'!BY$8,"NM")</f>
        <v>2.8695957013147967E-4</v>
      </c>
      <c r="BZ198" s="785">
        <f>+IFERROR(BZ197/'P&amp;L'!BZ$8,"NM")</f>
        <v>2.7695709660887296E-4</v>
      </c>
      <c r="CA198" s="786">
        <f>+IFERROR(CA197/'P&amp;L'!CA$8,"NM")</f>
        <v>3.6400771498886251E-4</v>
      </c>
      <c r="CB198" s="787"/>
      <c r="CC198" s="782">
        <f>+IFERROR(CC197/'P&amp;L'!CC$8,"NM")</f>
        <v>1.191476495625191E-3</v>
      </c>
      <c r="CD198" s="785">
        <f>+IFERROR(CD197/'P&amp;L'!CD$8,"NM")</f>
        <v>1.1277256006948309E-3</v>
      </c>
      <c r="CE198" s="785">
        <f>+IFERROR(CE197/'P&amp;L'!CE$8,"NM")</f>
        <v>8.2792651476995202E-4</v>
      </c>
      <c r="CF198" s="785">
        <f>+IFERROR(CF197/'P&amp;L'!CF$8,"NM")</f>
        <v>7.993889726302636E-4</v>
      </c>
      <c r="CG198" s="786">
        <f>+IFERROR(CG197/'P&amp;L'!CG$8,"NM")</f>
        <v>9.8035662143537141E-4</v>
      </c>
    </row>
    <row r="199" spans="2:85" x14ac:dyDescent="0.2">
      <c r="B199" s="84" t="s">
        <v>439</v>
      </c>
      <c r="C199" s="155">
        <f>+C186-C189-C191-C193-C195-C197</f>
        <v>73.720999999999947</v>
      </c>
      <c r="D199" s="32">
        <f>+D186-D189-D191-D193-D195-D197</f>
        <v>90.852000000000032</v>
      </c>
      <c r="E199" s="32">
        <f>+E186-E189-E191-E193-E195-E197</f>
        <v>96.700000000000159</v>
      </c>
      <c r="F199" s="32">
        <f>+F186-F189-F191-F193-F195-F197</f>
        <v>126.66600000000028</v>
      </c>
      <c r="G199" s="462">
        <f>SUM(C199:F199)</f>
        <v>387.93900000000042</v>
      </c>
      <c r="H199" s="364"/>
      <c r="I199" s="155">
        <f>+I186-I189-I191-I193-I195-I197</f>
        <v>85.275000000000091</v>
      </c>
      <c r="J199" s="32">
        <f>+J186-J189-J191-J193-J195-J197</f>
        <v>113.99200000000013</v>
      </c>
      <c r="K199" s="32">
        <f>+K186-K189-K191-K193-K195-K197</f>
        <v>115.41400000000004</v>
      </c>
      <c r="L199" s="32">
        <f>+L186-L189-L191-L193-L195-L197</f>
        <v>127.84499999999821</v>
      </c>
      <c r="M199" s="462">
        <f>SUM(I199:L199)</f>
        <v>442.52599999999848</v>
      </c>
      <c r="N199" s="364"/>
      <c r="O199" s="155">
        <f>+O186-O189-O191-O193-O195-O197</f>
        <v>94.630999999999801</v>
      </c>
      <c r="P199" s="32">
        <f>+P186-P189-P191-P193-P195-P197</f>
        <v>121.96999999999991</v>
      </c>
      <c r="Q199" s="32">
        <f>+Q186-Q189-Q191-Q193-Q195-Q197</f>
        <v>113.88500000000005</v>
      </c>
      <c r="R199" s="32">
        <f>+R186-R189-R191-R193-R195-R197</f>
        <v>136.61900000000105</v>
      </c>
      <c r="S199" s="462">
        <f>SUM(O199:R199)</f>
        <v>467.10500000000081</v>
      </c>
      <c r="T199" s="364"/>
      <c r="U199" s="155">
        <f>+U186-U189-U191-U193-U195-U197</f>
        <v>116.04399999999993</v>
      </c>
      <c r="V199" s="32">
        <f>+V186-V189-V191-V193-V195-V197</f>
        <v>138.00600000000003</v>
      </c>
      <c r="W199" s="32">
        <f>+W186-W189-W191-W193-W195-W197</f>
        <v>137.36799999999988</v>
      </c>
      <c r="X199" s="32">
        <f>+X186-X189-X191-X193-X195-X197</f>
        <v>141.99800000000027</v>
      </c>
      <c r="Y199" s="462">
        <f>SUM(U199:X199)</f>
        <v>533.41600000000017</v>
      </c>
      <c r="Z199" s="364"/>
      <c r="AA199" s="155">
        <f>+AA186-AA189-AA191-AA193-AA195-AA197</f>
        <v>124.2999999999999</v>
      </c>
      <c r="AB199" s="32">
        <f>+AB186-AB189-AB191-AB193-AB195-AB197</f>
        <v>151.21499999999992</v>
      </c>
      <c r="AC199" s="32">
        <f>+AC186-AC189-AC191-AC193-AC195-AC197</f>
        <v>143.26100000000031</v>
      </c>
      <c r="AD199" s="32">
        <f>+AD186-AD189-AD191-AD193-AD195-AD197</f>
        <v>163.37300000000005</v>
      </c>
      <c r="AE199" s="462">
        <f>SUM(AA199:AD199)</f>
        <v>582.14900000000011</v>
      </c>
      <c r="AF199" s="364"/>
      <c r="AG199" s="155">
        <f>+AG186-AG189-AG191-AG193-AG195-AG197</f>
        <v>145.12699999999973</v>
      </c>
      <c r="AH199" s="32">
        <f>+AH186-AH189-AH191-AH193-AH195-AH197</f>
        <v>158.06200000000018</v>
      </c>
      <c r="AI199" s="32">
        <f>+AI186-AI189-AI191-AI193-AI195-AI197</f>
        <v>149.62200000000007</v>
      </c>
      <c r="AJ199" s="32">
        <f>+AJ186-AJ189-AJ191-AJ193-AJ195-AJ197</f>
        <v>181.34200000000192</v>
      </c>
      <c r="AK199" s="462">
        <f>SUM(AG199:AJ199)</f>
        <v>634.15300000000184</v>
      </c>
      <c r="AL199" s="364"/>
      <c r="AM199" s="155">
        <f>+AM186-AM189-AM191-AM193-AM195-AM197</f>
        <v>160.82899999999995</v>
      </c>
      <c r="AN199" s="32">
        <f>+AN186-AN189-AN191-AN193-AN195-AN197</f>
        <v>179.26499999999999</v>
      </c>
      <c r="AO199" s="32">
        <f>+AO186-AO189-AO191-AO193-AO195-AO197</f>
        <v>162.27700000000016</v>
      </c>
      <c r="AP199" s="32">
        <f>+AP186-AP189-AP191-AP193-AP195-AP197</f>
        <v>188.8830000000014</v>
      </c>
      <c r="AQ199" s="462">
        <f>SUM(AM199:AP199)</f>
        <v>691.2540000000015</v>
      </c>
      <c r="AR199" s="364"/>
      <c r="AS199" s="155">
        <f>+AS186-AS189-AS191-AS193-AS195-AS197</f>
        <v>161.76800000000014</v>
      </c>
      <c r="AT199" s="32">
        <f>+AT186-AT189-AT191-AT193-AT195-AT197</f>
        <v>185.34399999999994</v>
      </c>
      <c r="AU199" s="32">
        <f>+AU186-AU189-AU191-AU193-AU195-AU197</f>
        <v>179.08799999999974</v>
      </c>
      <c r="AV199" s="32">
        <f>+AV186-AV189-AV191-AV193-AV195-AV197</f>
        <v>211.11803459667226</v>
      </c>
      <c r="AW199" s="462">
        <f>SUM(AS199:AV199)</f>
        <v>737.31803459667208</v>
      </c>
      <c r="AX199" s="364"/>
      <c r="AY199" s="155">
        <f>+AY186-AY189-AY191-AY193-AY195-AY197</f>
        <v>182.21951013321245</v>
      </c>
      <c r="AZ199" s="32">
        <f>+AZ186-AZ189-AZ191-AZ193-AZ195-AZ197</f>
        <v>210.55360088435327</v>
      </c>
      <c r="BA199" s="32">
        <f>+BA186-BA189-BA191-BA193-BA195-BA197</f>
        <v>211.39115556418739</v>
      </c>
      <c r="BB199" s="32">
        <f>+BB186-BB189-BB191-BB193-BB195-BB197</f>
        <v>229.70726138683528</v>
      </c>
      <c r="BC199" s="462">
        <f>SUM(AY199:BB199)</f>
        <v>833.87152796858834</v>
      </c>
      <c r="BD199" s="364"/>
      <c r="BE199" s="155">
        <f>+BE186-BE189-BE191-BE193-BE195-BE197</f>
        <v>196.20504503810085</v>
      </c>
      <c r="BF199" s="32">
        <f>+BF186-BF189-BF191-BF193-BF195-BF197</f>
        <v>203.76000000000028</v>
      </c>
      <c r="BG199" s="32">
        <f>+BG186-BG189-BG191-BG193-BG195-BG197</f>
        <v>212.38868121043726</v>
      </c>
      <c r="BH199" s="32">
        <f>+BH186-BH189-BH191-BH193-BH195-BH197</f>
        <v>237.06200000000001</v>
      </c>
      <c r="BI199" s="462">
        <f>SUM(BE199:BH199)</f>
        <v>849.41572624853836</v>
      </c>
      <c r="BJ199" s="364"/>
      <c r="BK199" s="155">
        <f>+BK186-BK189-BK191-BK193-BK195-BK197</f>
        <v>199.99619995356599</v>
      </c>
      <c r="BL199" s="32">
        <f>+BL186-BL189-BL191-BL193-BL195-BL197</f>
        <v>214.64436238588846</v>
      </c>
      <c r="BM199" s="32">
        <f>+BM186-BM189-BM191-BM193-BM195-BM197</f>
        <v>211.91926814402368</v>
      </c>
      <c r="BN199" s="32">
        <f>+BN186-BN189-BN191-BN193-BN195-BN197</f>
        <v>229.72955000000013</v>
      </c>
      <c r="BO199" s="462">
        <f>SUM(BK199:BN199)</f>
        <v>856.28938048347823</v>
      </c>
      <c r="BP199" s="364"/>
      <c r="BQ199" s="155">
        <f>+BQ186-BQ189-BQ191-BQ193-BQ195-BQ197</f>
        <v>203.41082158777101</v>
      </c>
      <c r="BR199" s="32">
        <f>+BR186-BR189-BR191-BR193-BR195-BR197</f>
        <v>235.33084479242942</v>
      </c>
      <c r="BS199" s="32">
        <f>+BS186-BS189-BS191-BS193-BS195-BS197</f>
        <v>237.85313301196956</v>
      </c>
      <c r="BT199" s="32">
        <f>+BT186-BT189-BT191-BT193-BT195-BT197</f>
        <v>257.68562952301778</v>
      </c>
      <c r="BU199" s="462">
        <f>SUM(BQ199:BT199)</f>
        <v>934.28042891518771</v>
      </c>
      <c r="BV199" s="364"/>
      <c r="BW199" s="155">
        <f>+BW186-BW189-BW191-BW193-BW195-BW197</f>
        <v>210.10083368458095</v>
      </c>
      <c r="BX199" s="32">
        <f>+BX186-BX189-BX191-BX193-BX195-BX197</f>
        <v>230.59044496601712</v>
      </c>
      <c r="BY199" s="32">
        <f>+BY186-BY189-BY191-BY193-BY195-BY197</f>
        <v>232.17123012073864</v>
      </c>
      <c r="BZ199" s="32">
        <f>+BZ186-BZ189-BZ191-BZ193-BZ195-BZ197</f>
        <v>257.498981713852</v>
      </c>
      <c r="CA199" s="462">
        <f>SUM(BW199:BZ199)</f>
        <v>930.36149048518871</v>
      </c>
      <c r="CB199" s="364"/>
      <c r="CC199" s="155">
        <f>+CC186-CC189-CC191-CC193-CC195-CC197</f>
        <v>204.4856795223576</v>
      </c>
      <c r="CD199" s="32">
        <f>+CD186-CD189-CD191-CD193-CD195-CD197</f>
        <v>224.10431946895869</v>
      </c>
      <c r="CE199" s="32">
        <f>+CE186-CE189-CE191-CE193-CE195-CE197</f>
        <v>226.42399891490436</v>
      </c>
      <c r="CF199" s="32">
        <f>+CF186-CF189-CF191-CF193-CF195-CF197</f>
        <v>252.17866724257169</v>
      </c>
      <c r="CG199" s="462">
        <f>SUM(CC199:CF199)</f>
        <v>907.19266514879234</v>
      </c>
    </row>
    <row r="200" spans="2:85" x14ac:dyDescent="0.2">
      <c r="B200" s="84" t="s">
        <v>440</v>
      </c>
      <c r="C200" s="468">
        <f>+C199/'P&amp;L'!C$8</f>
        <v>5.6270074374412234E-2</v>
      </c>
      <c r="D200" s="44">
        <f>+D199/'P&amp;L'!D$8</f>
        <v>6.5501720598954469E-2</v>
      </c>
      <c r="E200" s="44">
        <f>+E199/'P&amp;L'!E$8</f>
        <v>6.4227952775517766E-2</v>
      </c>
      <c r="F200" s="44">
        <f>+F199/'P&amp;L'!F$8</f>
        <v>7.4435151754485104E-2</v>
      </c>
      <c r="G200" s="463">
        <f>+G199/'P&amp;L'!G$8</f>
        <v>6.5703195709787457E-2</v>
      </c>
      <c r="H200" s="364"/>
      <c r="I200" s="468">
        <f>+I199/'P&amp;L'!I$8</f>
        <v>5.6036462635458473E-2</v>
      </c>
      <c r="J200" s="44">
        <f>+J199/'P&amp;L'!J$8</f>
        <v>6.9471268262627214E-2</v>
      </c>
      <c r="K200" s="44">
        <f>+K199/'P&amp;L'!K$8</f>
        <v>7.0194239296829081E-2</v>
      </c>
      <c r="L200" s="44">
        <f>+L199/'P&amp;L'!L$8</f>
        <v>8.1244884263612482E-2</v>
      </c>
      <c r="M200" s="463">
        <f>+M199/'P&amp;L'!M$8</f>
        <v>6.9356952285063445E-2</v>
      </c>
      <c r="N200" s="364"/>
      <c r="O200" s="468">
        <f>+O199/'P&amp;L'!O$8</f>
        <v>6.3707933550021814E-2</v>
      </c>
      <c r="P200" s="44">
        <f>+P199/'P&amp;L'!P$8</f>
        <v>7.5878698596645283E-2</v>
      </c>
      <c r="Q200" s="44">
        <f>+Q199/'P&amp;L'!Q$8</f>
        <v>6.8628862991154241E-2</v>
      </c>
      <c r="R200" s="44">
        <f>+R199/'P&amp;L'!R$8</f>
        <v>7.6490931822241565E-2</v>
      </c>
      <c r="S200" s="463">
        <f>+S199/'P&amp;L'!S$8</f>
        <v>7.1440959901724346E-2</v>
      </c>
      <c r="T200" s="364"/>
      <c r="U200" s="468">
        <f>+U199/'P&amp;L'!U$8</f>
        <v>6.592247956325871E-2</v>
      </c>
      <c r="V200" s="44">
        <f>+V199/'P&amp;L'!V$8</f>
        <v>7.4621999231102409E-2</v>
      </c>
      <c r="W200" s="44">
        <f>+W199/'P&amp;L'!W$8</f>
        <v>7.2546713486216816E-2</v>
      </c>
      <c r="X200" s="44">
        <f>+X199/'P&amp;L'!X$8</f>
        <v>7.0172092067081637E-2</v>
      </c>
      <c r="Y200" s="463">
        <f>+Y199/'P&amp;L'!Y$8</f>
        <v>7.0868989303541102E-2</v>
      </c>
      <c r="Z200" s="364"/>
      <c r="AA200" s="468">
        <f>+AA199/'P&amp;L'!AA$8</f>
        <v>6.381686459478339E-2</v>
      </c>
      <c r="AB200" s="44">
        <f>+AB199/'P&amp;L'!AB$8</f>
        <v>7.0971632936582402E-2</v>
      </c>
      <c r="AC200" s="44">
        <f>+AC199/'P&amp;L'!AC$8</f>
        <v>6.7841774348828307E-2</v>
      </c>
      <c r="AD200" s="44">
        <f>+AD199/'P&amp;L'!AD$8</f>
        <v>6.9813105837750453E-2</v>
      </c>
      <c r="AE200" s="463">
        <f>+AE199/'P&amp;L'!AE$8</f>
        <v>6.8245308866970028E-2</v>
      </c>
      <c r="AF200" s="364"/>
      <c r="AG200" s="468">
        <f>+AG199/'P&amp;L'!AG$8</f>
        <v>6.9140393679142376E-2</v>
      </c>
      <c r="AH200" s="44">
        <f>+AH199/'P&amp;L'!AH$8</f>
        <v>7.1798976311997789E-2</v>
      </c>
      <c r="AI200" s="44">
        <f>+AI199/'P&amp;L'!AI$8</f>
        <v>6.7063249812420872E-2</v>
      </c>
      <c r="AJ200" s="44">
        <f>+AJ199/'P&amp;L'!AJ$8</f>
        <v>7.5294443950810377E-2</v>
      </c>
      <c r="AK200" s="463">
        <f>+AK199/'P&amp;L'!AK$8</f>
        <v>7.0934601883877402E-2</v>
      </c>
      <c r="AL200" s="364"/>
      <c r="AM200" s="468">
        <f>+AM199/'P&amp;L'!AM$8</f>
        <v>7.0123491886457029E-2</v>
      </c>
      <c r="AN200" s="44">
        <f>+AN199/'P&amp;L'!AN$8</f>
        <v>7.4949515220690599E-2</v>
      </c>
      <c r="AO200" s="44">
        <f>+AO199/'P&amp;L'!AO$8</f>
        <v>6.908473381366026E-2</v>
      </c>
      <c r="AP200" s="44">
        <f>+AP199/'P&amp;L'!AP$8</f>
        <v>7.4764583176653202E-2</v>
      </c>
      <c r="AQ200" s="463">
        <f>+AQ199/'P&amp;L'!AQ$8</f>
        <v>7.2302010522928145E-2</v>
      </c>
      <c r="AR200" s="364"/>
      <c r="AS200" s="468">
        <f>+AS199/'P&amp;L'!AS$8</f>
        <v>6.6566837807731982E-2</v>
      </c>
      <c r="AT200" s="44">
        <f>+AT199/'P&amp;L'!AT$8</f>
        <v>7.0866244093651207E-2</v>
      </c>
      <c r="AU200" s="44">
        <f>+AU199/'P&amp;L'!AU$8</f>
        <v>6.8257049413258664E-2</v>
      </c>
      <c r="AV200" s="44">
        <f>+AV199/'P&amp;L'!AV$8</f>
        <v>7.813121169517008E-2</v>
      </c>
      <c r="AW200" s="463">
        <f>+AW199/'P&amp;L'!AW$8</f>
        <v>7.109153494340413E-2</v>
      </c>
      <c r="AX200" s="364"/>
      <c r="AY200" s="468">
        <f>+AY199/'P&amp;L'!AY$8</f>
        <v>7.3963349496320677E-2</v>
      </c>
      <c r="AZ200" s="44">
        <f>+AZ199/'P&amp;L'!AZ$8</f>
        <v>8.0079108242569655E-2</v>
      </c>
      <c r="BA200" s="44">
        <f>+BA199/'P&amp;L'!BA$8</f>
        <v>7.870593523585305E-2</v>
      </c>
      <c r="BB200" s="44">
        <f>+BB199/'P&amp;L'!BB$8</f>
        <v>8.0573086068008754E-2</v>
      </c>
      <c r="BC200" s="463">
        <f>+BC199/'P&amp;L'!BC$8</f>
        <v>7.8447184536918471E-2</v>
      </c>
      <c r="BD200" s="364"/>
      <c r="BE200" s="468">
        <f>+BE199/'P&amp;L'!BE$8</f>
        <v>7.23214991463558E-2</v>
      </c>
      <c r="BF200" s="44">
        <f>+BF199/'P&amp;L'!BF$8</f>
        <v>7.0931515719045005E-2</v>
      </c>
      <c r="BG200" s="44">
        <f>+BG199/'P&amp;L'!BG$8</f>
        <v>7.4128345624881242E-2</v>
      </c>
      <c r="BH200" s="44">
        <f>+BH199/'P&amp;L'!BH$8</f>
        <v>7.5958671346462309E-2</v>
      </c>
      <c r="BI200" s="463">
        <f>+BI199/'P&amp;L'!BI$8</f>
        <v>7.3404778485568228E-2</v>
      </c>
      <c r="BJ200" s="364"/>
      <c r="BK200" s="468">
        <f>+BK199/'P&amp;L'!BK$8</f>
        <v>6.8422770419988996E-2</v>
      </c>
      <c r="BL200" s="44">
        <f>+BL199/'P&amp;L'!BL$8</f>
        <v>7.0157643081189033E-2</v>
      </c>
      <c r="BM200" s="44">
        <f>+BM199/'P&amp;L'!BM$8</f>
        <v>6.7040083460011543E-2</v>
      </c>
      <c r="BN200" s="44">
        <f>+BN199/'P&amp;L'!BN$8</f>
        <v>6.9236230031217136E-2</v>
      </c>
      <c r="BO200" s="463">
        <f>+BO199/'P&amp;L'!BO$8</f>
        <v>6.8714554889669627E-2</v>
      </c>
      <c r="BP200" s="364"/>
      <c r="BQ200" s="468">
        <f>+BQ199/'P&amp;L'!BQ$8</f>
        <v>6.621098118764765E-2</v>
      </c>
      <c r="BR200" s="44">
        <f>+BR199/'P&amp;L'!BR$8</f>
        <v>7.1970577804450556E-2</v>
      </c>
      <c r="BS200" s="44">
        <f>+BS199/'P&amp;L'!BS$8</f>
        <v>7.1208797746784402E-2</v>
      </c>
      <c r="BT200" s="44">
        <f>+BT199/'P&amp;L'!BT$8</f>
        <v>7.4402362687407117E-2</v>
      </c>
      <c r="BU200" s="463">
        <f>+BU199/'P&amp;L'!BU$8</f>
        <v>7.1071671982863863E-2</v>
      </c>
      <c r="BV200" s="364"/>
      <c r="BW200" s="468">
        <f>+BW199/'P&amp;L'!BW$8</f>
        <v>6.5057753712471023E-2</v>
      </c>
      <c r="BX200" s="44">
        <f>+BX199/'P&amp;L'!BX$8</f>
        <v>6.7601164412708234E-2</v>
      </c>
      <c r="BY200" s="44">
        <f>+BY199/'P&amp;L'!BY$8</f>
        <v>6.6623756392344011E-2</v>
      </c>
      <c r="BZ200" s="44">
        <f>+BZ199/'P&amp;L'!BZ$8</f>
        <v>7.1316170355209721E-2</v>
      </c>
      <c r="CA200" s="463">
        <f>+CA199/'P&amp;L'!CA$8</f>
        <v>6.7731752053029184E-2</v>
      </c>
      <c r="CB200" s="364"/>
      <c r="CC200" s="468">
        <f>+CC199/'P&amp;L'!CC$8</f>
        <v>6.0909970210708625E-2</v>
      </c>
      <c r="CD200" s="44">
        <f>+CD199/'P&amp;L'!CD$8</f>
        <v>6.3182044572859433E-2</v>
      </c>
      <c r="CE200" s="44">
        <f>+CE199/'P&amp;L'!CE$8</f>
        <v>6.2487477427297385E-2</v>
      </c>
      <c r="CF200" s="44">
        <f>+CF199/'P&amp;L'!CF$8</f>
        <v>6.7196281908769501E-2</v>
      </c>
      <c r="CG200" s="463">
        <f>+CG199/'P&amp;L'!CG$8</f>
        <v>6.3526595442587153E-2</v>
      </c>
    </row>
    <row r="201" spans="2:85" x14ac:dyDescent="0.2">
      <c r="B201" s="418" t="s">
        <v>441</v>
      </c>
      <c r="C201" s="470"/>
      <c r="D201" s="472"/>
      <c r="E201" s="472"/>
      <c r="F201" s="472"/>
      <c r="G201" s="473"/>
      <c r="H201" s="471"/>
      <c r="I201" s="470">
        <f>+I200-C187</f>
        <v>-2.3361173895376092E-4</v>
      </c>
      <c r="J201" s="471">
        <f>+J200-D187</f>
        <v>3.9695476636727456E-3</v>
      </c>
      <c r="K201" s="471">
        <f>+K200-E187</f>
        <v>5.9662865213113148E-3</v>
      </c>
      <c r="L201" s="471">
        <f>+L200-F187</f>
        <v>6.809732509127378E-3</v>
      </c>
      <c r="M201" s="473">
        <f>+M200-G187</f>
        <v>3.6537565752759738E-3</v>
      </c>
      <c r="N201" s="471"/>
      <c r="O201" s="470">
        <f>+O200-I187</f>
        <v>7.6714709145633414E-3</v>
      </c>
      <c r="P201" s="471">
        <f>+P200-J187</f>
        <v>6.4074303340180688E-3</v>
      </c>
      <c r="Q201" s="471">
        <f>+Q200-K187</f>
        <v>-1.5653763056748399E-3</v>
      </c>
      <c r="R201" s="471">
        <f>+R200-L187</f>
        <v>-4.7539524413709178E-3</v>
      </c>
      <c r="S201" s="473">
        <f>+S200-M187</f>
        <v>2.0840076166607907E-3</v>
      </c>
      <c r="T201" s="471"/>
      <c r="U201" s="470">
        <f>+U200-O187</f>
        <v>2.2145460132368955E-3</v>
      </c>
      <c r="V201" s="471">
        <f>+V200-P187</f>
        <v>-1.2566993655428738E-3</v>
      </c>
      <c r="W201" s="471">
        <f>+W200-Q187</f>
        <v>3.9178504950625748E-3</v>
      </c>
      <c r="X201" s="471">
        <f>+X200-R187</f>
        <v>-6.3188397551599274E-3</v>
      </c>
      <c r="Y201" s="473">
        <f>+Y200-S187</f>
        <v>-5.7197059818323015E-4</v>
      </c>
      <c r="Z201" s="471"/>
      <c r="AA201" s="470">
        <f>+AA200-U187</f>
        <v>-2.1056149684753195E-3</v>
      </c>
      <c r="AB201" s="471">
        <f>+AB200-V187</f>
        <v>-3.6503662945200077E-3</v>
      </c>
      <c r="AC201" s="471">
        <f>+AC200-W187</f>
        <v>-4.7049391373885086E-3</v>
      </c>
      <c r="AD201" s="471">
        <f>+AD200-X187</f>
        <v>-3.5898622933118463E-4</v>
      </c>
      <c r="AE201" s="473">
        <f>+AE200-Y187</f>
        <v>-2.6236804365710742E-3</v>
      </c>
      <c r="AF201" s="471"/>
      <c r="AG201" s="470">
        <f>+AG200-AA187</f>
        <v>5.3235290843589855E-3</v>
      </c>
      <c r="AH201" s="471">
        <f>+AH200-AB187</f>
        <v>8.2734337541538749E-4</v>
      </c>
      <c r="AI201" s="471">
        <f>+AI200-AC187</f>
        <v>-7.7852453640743502E-4</v>
      </c>
      <c r="AJ201" s="471">
        <f>+AJ200-AD187</f>
        <v>5.4813381130599248E-3</v>
      </c>
      <c r="AK201" s="473">
        <f>+AK200-AE187</f>
        <v>2.6892930169073459E-3</v>
      </c>
      <c r="AL201" s="471"/>
      <c r="AM201" s="788">
        <f>+AM200-AG187</f>
        <v>9.8309820731465325E-4</v>
      </c>
      <c r="AN201" s="789">
        <f>+AN200-AH187</f>
        <v>3.1505389086928098E-3</v>
      </c>
      <c r="AO201" s="789">
        <f>+AO200-AI187</f>
        <v>2.0214840012393875E-3</v>
      </c>
      <c r="AP201" s="789">
        <f>+AP200-AJ187</f>
        <v>-5.2986077415717592E-4</v>
      </c>
      <c r="AQ201" s="473">
        <f>+AQ200-AK187</f>
        <v>1.3674086390508405E-3</v>
      </c>
      <c r="AR201" s="471"/>
      <c r="AS201" s="788">
        <f>+AS200-AM187</f>
        <v>-4.1736239885083182E-4</v>
      </c>
      <c r="AT201" s="789">
        <f>+AT200-AN187</f>
        <v>-2.7453722136641795E-3</v>
      </c>
      <c r="AU201" s="789">
        <f>+AU200-AO187</f>
        <v>-6.1386521684414497E-5</v>
      </c>
      <c r="AV201" s="789">
        <f>+AV200-AP187</f>
        <v>4.1582781977008432E-3</v>
      </c>
      <c r="AW201" s="473">
        <f>+AW200-AQ187</f>
        <v>2.7477955017593536E-4</v>
      </c>
      <c r="AX201" s="471"/>
      <c r="AY201" s="788">
        <f>+AY200-AS187</f>
        <v>9.2482423778151995E-3</v>
      </c>
      <c r="AZ201" s="789">
        <f>+AZ200-AT187</f>
        <v>1.0933438315988489E-2</v>
      </c>
      <c r="BA201" s="789">
        <f>+BA200-AU187</f>
        <v>1.2354570441699478E-2</v>
      </c>
      <c r="BB201" s="789">
        <f>+BB200-AV187</f>
        <v>5.4676864078929549E-3</v>
      </c>
      <c r="BC201" s="473">
        <f>+BC200-AW187</f>
        <v>9.4938426994212871E-3</v>
      </c>
      <c r="BD201" s="471"/>
      <c r="BE201" s="788">
        <f>+BE200-AY187</f>
        <v>4.0369322889419745E-3</v>
      </c>
      <c r="BF201" s="789">
        <f>+BF200-AZ187</f>
        <v>-1.4263562782775158E-3</v>
      </c>
      <c r="BG201" s="789">
        <f>+BG200-BA187</f>
        <v>6.6143496208916075E-4</v>
      </c>
      <c r="BH201" s="789">
        <f>+BH200-BB187</f>
        <v>1.2101166703901295E-3</v>
      </c>
      <c r="BI201" s="473">
        <f>+BI200-BC187</f>
        <v>1.0695643562014107E-3</v>
      </c>
      <c r="BJ201" s="471"/>
      <c r="BK201" s="788">
        <f>+BK200-BE187</f>
        <v>1.9815896562758867E-3</v>
      </c>
      <c r="BL201" s="789">
        <f>+BL200-BF187</f>
        <v>1.6603260577094381E-4</v>
      </c>
      <c r="BM201" s="789">
        <f>+BM200-BG187</f>
        <v>-4.8902321816237243E-3</v>
      </c>
      <c r="BN201" s="789">
        <f>+BN200-BH187</f>
        <v>-4.4795230093790384E-3</v>
      </c>
      <c r="BO201" s="473">
        <f>+BO200-BI187</f>
        <v>-1.9291068538231926E-3</v>
      </c>
      <c r="BP201" s="471"/>
      <c r="BQ201" s="470">
        <f>+BQ200-BK187</f>
        <v>-1.4941933949141895E-4</v>
      </c>
      <c r="BR201" s="471">
        <f>+BR200-BL187</f>
        <v>3.114590894350705E-3</v>
      </c>
      <c r="BS201" s="471">
        <f>+BS200-BM187</f>
        <v>3.6534693988732186E-3</v>
      </c>
      <c r="BT201" s="471">
        <f>+BT200-BN187</f>
        <v>1.7118639794294482E-3</v>
      </c>
      <c r="BU201" s="473">
        <f>+BU200-BO187</f>
        <v>2.1099872219959154E-3</v>
      </c>
      <c r="BV201" s="471"/>
      <c r="BW201" s="470">
        <f>+BW200-BQ187</f>
        <v>-2.3627587469127187E-3</v>
      </c>
      <c r="BX201" s="471">
        <f>+BX200-BR187</f>
        <v>-3.9240210282814741E-3</v>
      </c>
      <c r="BY201" s="471">
        <f>+BY200-BS187</f>
        <v>-3.9283427454578218E-3</v>
      </c>
      <c r="BZ201" s="471">
        <f>+BZ200-BT187</f>
        <v>-3.9156262483236309E-3</v>
      </c>
      <c r="CA201" s="473">
        <f>+CA200-BU187</f>
        <v>-3.5634676243667673E-3</v>
      </c>
      <c r="CB201" s="471"/>
      <c r="CC201" s="470">
        <f>+CC200-BW187</f>
        <v>-4.7670837926897663E-3</v>
      </c>
      <c r="CD201" s="471">
        <f>+CD200-BX187</f>
        <v>-4.7122853455690006E-3</v>
      </c>
      <c r="CE201" s="471">
        <f>+CE200-BY187</f>
        <v>-4.4232385351780992E-3</v>
      </c>
      <c r="CF201" s="471">
        <f>+CF200-BZ187</f>
        <v>-4.3968455430490883E-3</v>
      </c>
      <c r="CG201" s="473">
        <f>+CG200-CA187</f>
        <v>-4.5691643254309328E-3</v>
      </c>
    </row>
    <row r="202" spans="2:85" x14ac:dyDescent="0.2">
      <c r="B202" s="490" t="s">
        <v>442</v>
      </c>
      <c r="C202" s="485"/>
      <c r="D202" s="438"/>
      <c r="E202" s="438"/>
      <c r="F202" s="438"/>
      <c r="G202" s="486"/>
      <c r="H202" s="472"/>
      <c r="I202" s="487"/>
      <c r="J202" s="488"/>
      <c r="K202" s="488"/>
      <c r="L202" s="488"/>
      <c r="M202" s="489"/>
      <c r="N202" s="472"/>
      <c r="O202" s="485">
        <f>+O201+I201</f>
        <v>7.4378591756095805E-3</v>
      </c>
      <c r="P202" s="438">
        <f>+P201+J201</f>
        <v>1.0376977997690814E-2</v>
      </c>
      <c r="Q202" s="438">
        <f>+Q201+K201</f>
        <v>4.4009102156364749E-3</v>
      </c>
      <c r="R202" s="438">
        <f>+R201+L201</f>
        <v>2.0557800677564603E-3</v>
      </c>
      <c r="S202" s="486">
        <f>+S201+M201</f>
        <v>5.7377641919367645E-3</v>
      </c>
      <c r="T202" s="472"/>
      <c r="U202" s="485">
        <f>+U201+O201</f>
        <v>9.8860169278002369E-3</v>
      </c>
      <c r="V202" s="438">
        <f>+V201+P201</f>
        <v>5.1507309684751951E-3</v>
      </c>
      <c r="W202" s="438">
        <f>+W201+Q201</f>
        <v>2.3524741893877349E-3</v>
      </c>
      <c r="X202" s="438">
        <f>+X201+R201</f>
        <v>-1.1072792196530845E-2</v>
      </c>
      <c r="Y202" s="486">
        <f>+Y201+S201</f>
        <v>1.5120370184775606E-3</v>
      </c>
      <c r="Z202" s="472"/>
      <c r="AA202" s="485">
        <f>+AA201+U201</f>
        <v>1.08931044761576E-4</v>
      </c>
      <c r="AB202" s="438">
        <f>+AB201+V201</f>
        <v>-4.9070656600628815E-3</v>
      </c>
      <c r="AC202" s="438">
        <f>+AC201+W201</f>
        <v>-7.8708864232593378E-4</v>
      </c>
      <c r="AD202" s="438">
        <f>+AD201+X201</f>
        <v>-6.677825984491112E-3</v>
      </c>
      <c r="AE202" s="486">
        <f>+AE201+Y201</f>
        <v>-3.1956510347543043E-3</v>
      </c>
      <c r="AF202" s="472"/>
      <c r="AG202" s="485">
        <f>+AG201+AA201</f>
        <v>3.217914115883666E-3</v>
      </c>
      <c r="AH202" s="438">
        <f>+AH201+AB201</f>
        <v>-2.8230229191046202E-3</v>
      </c>
      <c r="AI202" s="438">
        <f>+AI201+AC201</f>
        <v>-5.4834636737959436E-3</v>
      </c>
      <c r="AJ202" s="438">
        <f>+AJ201+AD201</f>
        <v>5.1223518837287402E-3</v>
      </c>
      <c r="AK202" s="486">
        <f>+AK201+AE201</f>
        <v>6.5612580336271709E-5</v>
      </c>
      <c r="AL202" s="472"/>
      <c r="AM202" s="485">
        <f>+AM201+AG201</f>
        <v>6.3066272916736388E-3</v>
      </c>
      <c r="AN202" s="438">
        <f>+AN201+AH201</f>
        <v>3.9778822841081973E-3</v>
      </c>
      <c r="AO202" s="438">
        <f>+AO201+AI201</f>
        <v>1.2429594648319525E-3</v>
      </c>
      <c r="AP202" s="438">
        <f>+AP201+AJ201</f>
        <v>4.9514773389027489E-3</v>
      </c>
      <c r="AQ202" s="486">
        <f>+AQ201+AK201</f>
        <v>4.0567016559581864E-3</v>
      </c>
      <c r="AR202" s="472"/>
      <c r="AS202" s="485">
        <f>+AS201+AM201</f>
        <v>5.6573580846382143E-4</v>
      </c>
      <c r="AT202" s="438">
        <f>+AT201+AN201</f>
        <v>4.0516669502863034E-4</v>
      </c>
      <c r="AU202" s="438">
        <f>+AU201+AO201</f>
        <v>1.960097479554973E-3</v>
      </c>
      <c r="AV202" s="438">
        <f>+AV201+AP201</f>
        <v>3.6284174235436673E-3</v>
      </c>
      <c r="AW202" s="486">
        <f>+AW201+AQ201</f>
        <v>1.6421881892267759E-3</v>
      </c>
      <c r="AX202" s="472"/>
      <c r="AY202" s="485">
        <f>+AY201+AS201</f>
        <v>8.8308799789643677E-3</v>
      </c>
      <c r="AZ202" s="438">
        <f>+AZ201+AT201</f>
        <v>8.1880661023243095E-3</v>
      </c>
      <c r="BA202" s="438">
        <f>+BA201+AU201</f>
        <v>1.2293183920015063E-2</v>
      </c>
      <c r="BB202" s="438">
        <f>+BB201+AV201</f>
        <v>9.6259646055937981E-3</v>
      </c>
      <c r="BC202" s="486">
        <f>+BC201+AW201</f>
        <v>9.7686222495972225E-3</v>
      </c>
      <c r="BD202" s="472"/>
      <c r="BE202" s="485">
        <f>+BE201+AY201</f>
        <v>1.3285174666757174E-2</v>
      </c>
      <c r="BF202" s="438">
        <f>+BF201+AZ201</f>
        <v>9.5070820377109733E-3</v>
      </c>
      <c r="BG202" s="438">
        <f>+BG201+BA201</f>
        <v>1.3016005403788639E-2</v>
      </c>
      <c r="BH202" s="438">
        <f>+BH201+BB201</f>
        <v>6.6778030782830844E-3</v>
      </c>
      <c r="BI202" s="486">
        <f>+BI201+BC201</f>
        <v>1.0563407055622698E-2</v>
      </c>
      <c r="BJ202" s="472"/>
      <c r="BK202" s="485">
        <f>+BK201+BE201</f>
        <v>6.0185219452178612E-3</v>
      </c>
      <c r="BL202" s="438">
        <f>+BL201+BF201</f>
        <v>-1.260323672506572E-3</v>
      </c>
      <c r="BM202" s="438">
        <f>+BM201+BG201</f>
        <v>-4.2287972195345636E-3</v>
      </c>
      <c r="BN202" s="438">
        <f>+BN201+BH201</f>
        <v>-3.2694063389889089E-3</v>
      </c>
      <c r="BO202" s="486">
        <f>+BO201+BI201</f>
        <v>-8.5954249762178192E-4</v>
      </c>
      <c r="BP202" s="472"/>
      <c r="BQ202" s="485">
        <f>+BQ201+BK201</f>
        <v>1.8321703167844677E-3</v>
      </c>
      <c r="BR202" s="438">
        <f>+BR201+BL201</f>
        <v>3.2806235001216488E-3</v>
      </c>
      <c r="BS202" s="438">
        <f>+BS201+BM201</f>
        <v>-1.2367627827505057E-3</v>
      </c>
      <c r="BT202" s="438">
        <f>+BT201+BN201</f>
        <v>-2.7676590299495901E-3</v>
      </c>
      <c r="BU202" s="486">
        <f>+BU201+BO201</f>
        <v>1.8088036817272279E-4</v>
      </c>
      <c r="BV202" s="472"/>
      <c r="BW202" s="485">
        <f>+BW201+BQ201</f>
        <v>-2.5121780864041376E-3</v>
      </c>
      <c r="BX202" s="438">
        <f>+BX201+BR201</f>
        <v>-8.0943013393076912E-4</v>
      </c>
      <c r="BY202" s="438">
        <f>+BY201+BS201</f>
        <v>-2.7487334658460316E-4</v>
      </c>
      <c r="BZ202" s="438">
        <f>+BZ201+BT201</f>
        <v>-2.2037622688941827E-3</v>
      </c>
      <c r="CA202" s="486">
        <f>+CA201+BU201</f>
        <v>-1.453480402370852E-3</v>
      </c>
      <c r="CB202" s="472"/>
      <c r="CC202" s="485">
        <f>+CC201+BW201</f>
        <v>-7.129842539602485E-3</v>
      </c>
      <c r="CD202" s="438">
        <f>+CD201+BX201</f>
        <v>-8.6363063738504747E-3</v>
      </c>
      <c r="CE202" s="438">
        <f>+CE201+BY201</f>
        <v>-8.351581280635921E-3</v>
      </c>
      <c r="CF202" s="438">
        <f>+CF201+BZ201</f>
        <v>-8.3124717913727192E-3</v>
      </c>
      <c r="CG202" s="486">
        <f>+CG201+CA201</f>
        <v>-8.1326319497977001E-3</v>
      </c>
    </row>
    <row r="203" spans="2:85" x14ac:dyDescent="0.2">
      <c r="B203" s="479" t="s">
        <v>443</v>
      </c>
      <c r="C203" s="469"/>
      <c r="D203" s="368"/>
      <c r="E203" s="368"/>
      <c r="F203" s="368"/>
      <c r="G203" s="464"/>
      <c r="H203" s="477"/>
      <c r="I203" s="474">
        <f>+((I199-C186)/(RevBuild!C174*RevBuild!I179))</f>
        <v>0.2939661875277364</v>
      </c>
      <c r="J203" s="475">
        <f>+((J199-D186)/(RevBuild!D174*RevBuild!J179))</f>
        <v>0.41708212660695754</v>
      </c>
      <c r="K203" s="475">
        <f>+((K199-E186)/(RevBuild!E174*RevBuild!K179))</f>
        <v>0.56499102577842919</v>
      </c>
      <c r="L203" s="475">
        <f>+((L199-F186)/(RevBuild!F174*RevBuild!L179))</f>
        <v>-2.3094606792241918E-2</v>
      </c>
      <c r="M203" s="476">
        <f>+((M199-G186)/(RevBuild!G174*RevBuild!M179))</f>
        <v>0.71024765832436032</v>
      </c>
      <c r="N203" s="477"/>
      <c r="O203" s="469">
        <f>+((O199-I186)/(RevBuild!I174*RevBuild!O179))</f>
        <v>1.2296151144352576</v>
      </c>
      <c r="P203" s="368">
        <f>+((P199-J186)/(RevBuild!J174*RevBuild!P179))</f>
        <v>0.69458731214123326</v>
      </c>
      <c r="Q203" s="368">
        <f>+((Q199-K186)/(RevBuild!K174*RevBuild!Q179))</f>
        <v>0.15498840678607936</v>
      </c>
      <c r="R203" s="368">
        <f>+((R199-L186)/(RevBuild!L174*RevBuild!R179))</f>
        <v>0.18586116378666259</v>
      </c>
      <c r="S203" s="464">
        <f>+((S199-M186)/(RevBuild!M174*RevBuild!S179))</f>
        <v>0.43551318262384181</v>
      </c>
      <c r="T203" s="477"/>
      <c r="U203" s="469">
        <f>+((U199-O186)/(RevBuild!O174*RevBuild!U179))</f>
        <v>0.45049256490560319</v>
      </c>
      <c r="V203" s="368">
        <f>+((V199-P186)/(RevBuild!P174*RevBuild!V179))</f>
        <v>0.4750546819459171</v>
      </c>
      <c r="W203" s="368">
        <f>+((W199-Q186)/(RevBuild!Q174*RevBuild!W179))</f>
        <v>0.3824653816548611</v>
      </c>
      <c r="X203" s="368">
        <f>+((X199-R186)/(RevBuild!R174*RevBuild!X179))</f>
        <v>9.1261258587923236E-2</v>
      </c>
      <c r="Y203" s="464">
        <f>+((Y199-S186)/(RevBuild!S174*RevBuild!Y179))</f>
        <v>0.32887756825155329</v>
      </c>
      <c r="Z203" s="477"/>
      <c r="AA203" s="469">
        <f>+((AA199-U186)/(RevBuild!U174*RevBuild!AA179))</f>
        <v>0.12342323675644407</v>
      </c>
      <c r="AB203" s="368">
        <f>+((AB199-V186)/(RevBuild!V174*RevBuild!AB179))</f>
        <v>0.12754129580334281</v>
      </c>
      <c r="AC203" s="368">
        <f>+((AC199-W186)/(RevBuild!W174*RevBuild!AC179))</f>
        <v>9.4309332016434308E-2</v>
      </c>
      <c r="AD203" s="368">
        <f>+((AD199-X186)/(RevBuild!X174*RevBuild!AD179))</f>
        <v>0.19930236433490181</v>
      </c>
      <c r="AE203" s="464">
        <f>+((AE199-Y186)/(RevBuild!Y174*RevBuild!AE179))</f>
        <v>0.14325095143067848</v>
      </c>
      <c r="AF203" s="477"/>
      <c r="AG203" s="469">
        <f>+((AG199-AA186)/(RevBuild!AA174*RevBuild!AG179))</f>
        <v>0.13708705560529158</v>
      </c>
      <c r="AH203" s="368">
        <f>+((AH199-AB186)/(RevBuild!AB174*RevBuild!AH179))</f>
        <v>6.9860617507867262E-2</v>
      </c>
      <c r="AI203" s="368">
        <f>+((AI199-AC186)/(RevBuild!AC174*RevBuild!AI179))</f>
        <v>6.8460795114714312E-2</v>
      </c>
      <c r="AJ203" s="368">
        <f>+((AJ199-AD186)/(RevBuild!AD174*RevBuild!AJ179))</f>
        <v>0.1279762362608538</v>
      </c>
      <c r="AK203" s="464">
        <f>+((AK199-AE186)/(RevBuild!AE174*RevBuild!AK179))</f>
        <v>0.1076112174161515</v>
      </c>
      <c r="AL203" s="477"/>
      <c r="AM203" s="469">
        <f>+((AM199-AG186)/(RevBuild!AG174*RevBuild!AM179))</f>
        <v>0.22668598131707657</v>
      </c>
      <c r="AN203" s="368">
        <f>+((AN199-AH186)/(RevBuild!AH174*RevBuild!AN179))</f>
        <v>0.24078426420380514</v>
      </c>
      <c r="AO203" s="368">
        <f>+((AO199-AI186)/(RevBuild!AI174*RevBuild!AO179))</f>
        <v>0.1668293170114554</v>
      </c>
      <c r="AP203" s="368">
        <f>+((AP199-AJ186)/(RevBuild!AJ174*RevBuild!AP179))</f>
        <v>8.4623648526886266E-2</v>
      </c>
      <c r="AQ203" s="464">
        <f>+((AQ199-AK186)/(RevBuild!AK174*RevBuild!AQ179))</f>
        <v>0.17717059695377266</v>
      </c>
      <c r="AR203" s="477"/>
      <c r="AS203" s="469">
        <f>+((AS199-AM186)/(RevBuild!AM174*RevBuild!AS179))</f>
        <v>0.12236922884337564</v>
      </c>
      <c r="AT203" s="368">
        <f>+((AT199-AN186)/(RevBuild!AN174*RevBuild!AT179))</f>
        <v>9.0220668729713974E-2</v>
      </c>
      <c r="AU203" s="368">
        <f>+((AU199-AO186)/(RevBuild!AO174*RevBuild!AU179))</f>
        <v>0.12379834913893389</v>
      </c>
      <c r="AV203" s="368">
        <f>+((AV199-AP186)/(RevBuild!AP174*RevBuild!AV179))</f>
        <v>0.19577201391292692</v>
      </c>
      <c r="AW203" s="464">
        <f>+((AW199-AQ186)/(RevBuild!AQ174*RevBuild!AW179))</f>
        <v>0.13588743615794496</v>
      </c>
      <c r="AX203" s="477"/>
      <c r="AY203" s="469">
        <f>+((AY199-AS186)/(RevBuild!AS174*RevBuild!AY179))</f>
        <v>0.21390498637136765</v>
      </c>
      <c r="AZ203" s="368">
        <f>+((AZ199-AT186)/(RevBuild!AT174*RevBuild!AZ179))</f>
        <v>0.29126821535942871</v>
      </c>
      <c r="BA203" s="368">
        <f>+((BA199-AU186)/(RevBuild!AU174*RevBuild!BA179))</f>
        <v>0.29620020751148812</v>
      </c>
      <c r="BB203" s="368">
        <f>+((BB199-AV186)/(RevBuild!AV174*RevBuild!BB179))</f>
        <v>0.15239031185611265</v>
      </c>
      <c r="BC203" s="464">
        <f>+((BC199-AW186)/(RevBuild!AW174*RevBuild!BC179))</f>
        <v>0.22822783434327229</v>
      </c>
      <c r="BD203" s="477"/>
      <c r="BE203" s="469">
        <f>+((BE199-AY186)/(RevBuild!AY174*RevBuild!BE179))</f>
        <v>0.12210264322947693</v>
      </c>
      <c r="BF203" s="368">
        <f>+((BF199-AZ186)/(RevBuild!AZ174*RevBuild!BF179))</f>
        <v>6.7598026145644474E-2</v>
      </c>
      <c r="BG203" s="368">
        <f>+((BG199-BA186)/(RevBuild!BA174*RevBuild!BG179))</f>
        <v>9.3507116721845612E-2</v>
      </c>
      <c r="BH203" s="368">
        <f>+((BH199-BB186)/(RevBuild!BB174*RevBuild!BH179))</f>
        <v>0.20010263026724445</v>
      </c>
      <c r="BI203" s="464">
        <f>+((BI199-BC186)/(RevBuild!BC174*RevBuild!BI179))</f>
        <v>0.11342439679534719</v>
      </c>
      <c r="BJ203" s="477"/>
      <c r="BK203" s="469">
        <f>+((BK199-BE186)/(RevBuild!BE174*RevBuild!BK179))</f>
        <v>0.12317151328250034</v>
      </c>
      <c r="BL203" s="368">
        <f>+((BL199-BF186)/(RevBuild!BF174*RevBuild!BL179))</f>
        <v>0.10010818223636642</v>
      </c>
      <c r="BM203" s="368">
        <f>+((BM199-BG186)/(RevBuild!BG174*RevBuild!BM179))</f>
        <v>3.7670267489146751E-2</v>
      </c>
      <c r="BN203" s="368">
        <f>+((BN199-BH186)/(RevBuild!BH174*RevBuild!BN179))</f>
        <v>-2.0842620927255394E-3</v>
      </c>
      <c r="BO203" s="464">
        <f>+((BO199-BI186)/(RevBuild!BI174*RevBuild!BO179))</f>
        <v>6.362377352133973E-2</v>
      </c>
      <c r="BP203" s="477"/>
      <c r="BQ203" s="469">
        <f>+((BQ199-BK186)/(RevBuild!BK174*RevBuild!BQ179))</f>
        <v>8.2398892957600681E-2</v>
      </c>
      <c r="BR203" s="368">
        <f>+((BR199-BL186)/(RevBuild!BL174*RevBuild!BR179))</f>
        <v>0.14379257827928091</v>
      </c>
      <c r="BS203" s="368">
        <f>+((BS199-BM186)/(RevBuild!BM174*RevBuild!BS179))</f>
        <v>0.15560877084449523</v>
      </c>
      <c r="BT203" s="368">
        <f>+((BT199-BN186)/(RevBuild!BN174*RevBuild!BT179))</f>
        <v>0.10650541225602059</v>
      </c>
      <c r="BU203" s="464">
        <f>+((BU199-BO186)/(RevBuild!BO174*RevBuild!BU179))</f>
        <v>0.12543301954403754</v>
      </c>
      <c r="BV203" s="477"/>
      <c r="BW203" s="469">
        <f>+((BW199-BQ186)/(RevBuild!BQ174*RevBuild!BW179))</f>
        <v>2.2464001445573225E-2</v>
      </c>
      <c r="BX203" s="368">
        <f>+((BX199-BR186)/(RevBuild!BR174*RevBuild!BX179))</f>
        <v>-2.325443980770095E-2</v>
      </c>
      <c r="BY203" s="368">
        <f>+((BY199-BS186)/(RevBuild!BS174*RevBuild!BY179))</f>
        <v>-2.4125990332190404E-2</v>
      </c>
      <c r="BZ203" s="368">
        <f>+((BZ199-BT186)/(RevBuild!BT174*RevBuild!BZ179))</f>
        <v>-2.0774777851119596E-2</v>
      </c>
      <c r="CA203" s="464">
        <f>+((CA199-BU186)/(RevBuild!BU174*RevBuild!CA179))</f>
        <v>-1.2127286881868666E-2</v>
      </c>
      <c r="CB203" s="477"/>
      <c r="CC203" s="469">
        <f>+((CC199-BW186)/(RevBuild!BW174*RevBuild!CC179))</f>
        <v>-5.9620076016613247E-2</v>
      </c>
      <c r="CD203" s="368">
        <f>+((CD199-BX186)/(RevBuild!BX174*RevBuild!CD179))</f>
        <v>-5.5077589004216269E-2</v>
      </c>
      <c r="CE203" s="368">
        <f>+((CE199-BY186)/(RevBuild!BY174*RevBuild!CE179))</f>
        <v>-4.8646739732569437E-2</v>
      </c>
      <c r="CF203" s="368">
        <f>+((CF199-BZ186)/(RevBuild!BZ174*RevBuild!CF179))</f>
        <v>-4.4447019934300794E-2</v>
      </c>
      <c r="CG203" s="464">
        <f>+((CG199-CA186)/(RevBuild!CA174*RevBuild!CG179))</f>
        <v>-5.1729103630976263E-2</v>
      </c>
    </row>
    <row r="204" spans="2:85" x14ac:dyDescent="0.2">
      <c r="B204" s="873"/>
      <c r="C204" s="874"/>
      <c r="D204" s="874"/>
      <c r="E204" s="874"/>
      <c r="F204" s="874"/>
      <c r="G204" s="874"/>
      <c r="H204" s="477"/>
      <c r="I204" s="874"/>
      <c r="J204" s="874"/>
      <c r="K204" s="874"/>
      <c r="L204" s="874"/>
      <c r="M204" s="874"/>
      <c r="N204" s="477"/>
      <c r="O204" s="874"/>
      <c r="P204" s="874"/>
      <c r="Q204" s="874"/>
      <c r="R204" s="874"/>
      <c r="S204" s="874"/>
      <c r="T204" s="477"/>
      <c r="U204" s="874"/>
      <c r="V204" s="874"/>
      <c r="W204" s="874"/>
      <c r="X204" s="874"/>
      <c r="Y204" s="874"/>
      <c r="Z204" s="477"/>
      <c r="AA204" s="874"/>
      <c r="AB204" s="874"/>
      <c r="AC204" s="874"/>
      <c r="AD204" s="874"/>
      <c r="AE204" s="874"/>
      <c r="AF204" s="477"/>
      <c r="AG204" s="874"/>
      <c r="AH204" s="874"/>
      <c r="AI204" s="874"/>
      <c r="AJ204" s="874"/>
      <c r="AK204" s="874"/>
      <c r="AL204" s="477"/>
      <c r="AM204" s="874"/>
      <c r="AN204" s="874"/>
      <c r="AO204" s="874"/>
      <c r="AP204" s="874"/>
      <c r="AQ204" s="874"/>
      <c r="AR204" s="477"/>
      <c r="AS204" s="874"/>
      <c r="AT204" s="874"/>
      <c r="AU204" s="874"/>
      <c r="AV204" s="874"/>
      <c r="AW204" s="874"/>
      <c r="AX204" s="477"/>
      <c r="AY204" s="874"/>
      <c r="AZ204" s="874"/>
      <c r="BA204" s="874"/>
      <c r="BB204" s="874"/>
      <c r="BC204" s="874"/>
      <c r="BD204" s="477"/>
      <c r="BE204" s="874"/>
      <c r="BF204" s="874"/>
      <c r="BG204" s="874"/>
      <c r="BH204" s="874"/>
      <c r="BI204" s="874"/>
      <c r="BJ204" s="477"/>
      <c r="BK204" s="874"/>
      <c r="BL204" s="874"/>
      <c r="BM204" s="874"/>
      <c r="BN204" s="874"/>
      <c r="BO204" s="874"/>
      <c r="BP204" s="477"/>
      <c r="BQ204" s="874"/>
      <c r="BR204" s="874"/>
      <c r="BS204" s="874"/>
      <c r="BT204" s="874"/>
      <c r="BU204" s="874"/>
      <c r="BV204" s="477"/>
      <c r="BW204" s="874"/>
      <c r="BX204" s="874"/>
      <c r="BY204" s="874"/>
      <c r="BZ204" s="874"/>
      <c r="CA204" s="874"/>
      <c r="CB204" s="477"/>
      <c r="CC204" s="874"/>
      <c r="CD204" s="874"/>
      <c r="CE204" s="874"/>
      <c r="CF204" s="874"/>
      <c r="CG204" s="874"/>
    </row>
    <row r="205" spans="2:85" x14ac:dyDescent="0.2">
      <c r="B205" s="873"/>
      <c r="C205" s="874"/>
      <c r="D205" s="874"/>
      <c r="E205" s="874"/>
      <c r="F205" s="874"/>
      <c r="G205" s="874"/>
      <c r="H205" s="477"/>
      <c r="I205" s="874"/>
      <c r="J205" s="874"/>
      <c r="K205" s="874"/>
      <c r="L205" s="874"/>
      <c r="M205" s="874"/>
      <c r="N205" s="477"/>
      <c r="O205" s="874"/>
      <c r="P205" s="874"/>
      <c r="Q205" s="874"/>
      <c r="R205" s="874"/>
      <c r="S205" s="874"/>
      <c r="T205" s="477"/>
      <c r="U205" s="874"/>
      <c r="V205" s="874"/>
      <c r="W205" s="874"/>
      <c r="X205" s="874"/>
      <c r="Y205" s="874"/>
      <c r="Z205" s="477"/>
      <c r="AA205" s="874"/>
      <c r="AB205" s="874"/>
      <c r="AC205" s="874"/>
      <c r="AD205" s="874"/>
      <c r="AE205" s="874"/>
      <c r="AF205" s="477"/>
      <c r="AG205" s="874"/>
      <c r="AH205" s="874"/>
      <c r="AI205" s="874"/>
      <c r="AJ205" s="874"/>
      <c r="AK205" s="874"/>
      <c r="AL205" s="477"/>
      <c r="AM205" s="874"/>
      <c r="AN205" s="874"/>
      <c r="AO205" s="874"/>
      <c r="AP205" s="874"/>
      <c r="AQ205" s="874"/>
      <c r="AR205" s="477"/>
      <c r="AS205" s="874"/>
      <c r="AT205" s="874"/>
      <c r="AU205" s="874"/>
      <c r="AV205" s="874"/>
      <c r="AW205" s="874"/>
      <c r="AX205" s="477"/>
      <c r="AY205" s="874"/>
      <c r="AZ205" s="874"/>
      <c r="BA205" s="874"/>
      <c r="BB205" s="874"/>
      <c r="BC205" s="874"/>
      <c r="BD205" s="477"/>
      <c r="BE205" s="874"/>
      <c r="BF205" s="874"/>
      <c r="BG205" s="874"/>
      <c r="BH205" s="874"/>
      <c r="BI205" s="874"/>
      <c r="BJ205" s="477"/>
      <c r="BK205" s="874"/>
      <c r="BL205" s="874"/>
      <c r="BM205" s="874"/>
      <c r="BN205" s="874"/>
      <c r="BO205" s="874"/>
      <c r="BP205" s="477"/>
      <c r="BQ205" s="874"/>
      <c r="BR205" s="874"/>
      <c r="BS205" s="874"/>
      <c r="BT205" s="874"/>
      <c r="BU205" s="874"/>
      <c r="BV205" s="477"/>
      <c r="BW205" s="874"/>
      <c r="BX205" s="874"/>
      <c r="BY205" s="874"/>
      <c r="BZ205" s="874"/>
      <c r="CA205" s="874"/>
      <c r="CB205" s="477"/>
      <c r="CC205" s="874"/>
      <c r="CD205" s="874"/>
      <c r="CE205" s="874"/>
      <c r="CF205" s="874"/>
      <c r="CG205" s="874"/>
    </row>
    <row r="206" spans="2:85" x14ac:dyDescent="0.2">
      <c r="B206" s="7"/>
      <c r="C206" s="7"/>
      <c r="D206" s="7"/>
      <c r="E206" s="7"/>
      <c r="F206" s="7"/>
      <c r="G206" s="7"/>
      <c r="I206" s="7"/>
      <c r="J206" s="7"/>
      <c r="K206" s="7"/>
      <c r="L206" s="7"/>
      <c r="M206" s="7"/>
      <c r="O206" s="7"/>
      <c r="P206" s="7"/>
      <c r="Q206" s="7"/>
      <c r="R206" s="7"/>
      <c r="S206" s="7"/>
      <c r="U206" s="7"/>
      <c r="V206" s="7"/>
      <c r="W206" s="7"/>
      <c r="X206" s="7"/>
      <c r="Y206" s="7"/>
      <c r="AA206" s="7"/>
      <c r="AB206" s="7"/>
      <c r="AC206" s="7"/>
      <c r="AD206" s="7"/>
      <c r="AE206" s="7"/>
      <c r="AG206" s="7"/>
      <c r="AH206" s="7"/>
      <c r="AI206" s="7"/>
      <c r="AJ206" s="7"/>
      <c r="AK206" s="7"/>
      <c r="AM206" s="7"/>
      <c r="AN206" s="7"/>
      <c r="AO206" s="7"/>
      <c r="AP206" s="7"/>
      <c r="AQ206" s="7"/>
      <c r="AS206" s="7"/>
      <c r="AT206" s="7"/>
      <c r="AU206" s="7"/>
      <c r="AV206" s="7"/>
      <c r="AW206" s="7"/>
      <c r="AY206" s="7"/>
      <c r="AZ206" s="7"/>
      <c r="BA206" s="7"/>
      <c r="BB206" s="7"/>
      <c r="BC206" s="7"/>
      <c r="BE206" s="7"/>
      <c r="BF206" s="7"/>
      <c r="BG206" s="7"/>
      <c r="BH206" s="7"/>
      <c r="BI206" s="7"/>
      <c r="BK206" s="280"/>
      <c r="BL206" s="280"/>
      <c r="BM206" s="280"/>
      <c r="BN206" s="1304"/>
      <c r="BO206" s="7"/>
      <c r="BQ206" s="7"/>
      <c r="BR206" s="7"/>
      <c r="BS206" s="7"/>
      <c r="BT206" s="7"/>
      <c r="BU206" s="7"/>
      <c r="BW206" s="7"/>
      <c r="BX206" s="7"/>
      <c r="BY206" s="7"/>
      <c r="BZ206" s="7"/>
      <c r="CA206" s="7"/>
      <c r="CC206" s="7"/>
      <c r="CD206" s="7"/>
      <c r="CE206" s="7"/>
      <c r="CF206" s="7"/>
      <c r="CG206" s="7"/>
    </row>
    <row r="207" spans="2:85" x14ac:dyDescent="0.2">
      <c r="BN207" s="1305"/>
    </row>
  </sheetData>
  <mergeCells count="14">
    <mergeCell ref="BK5:BN5"/>
    <mergeCell ref="BQ5:BT5"/>
    <mergeCell ref="BW5:BZ5"/>
    <mergeCell ref="CC5:CF5"/>
    <mergeCell ref="AG5:AJ5"/>
    <mergeCell ref="AM5:AP5"/>
    <mergeCell ref="AS5:AV5"/>
    <mergeCell ref="AY5:BB5"/>
    <mergeCell ref="BE5:BH5"/>
    <mergeCell ref="C5:F5"/>
    <mergeCell ref="I5:L5"/>
    <mergeCell ref="O5:R5"/>
    <mergeCell ref="U5:X5"/>
    <mergeCell ref="AA5:AD5"/>
  </mergeCells>
  <phoneticPr fontId="12" type="noConversion"/>
  <printOptions horizontalCentered="1" verticalCentered="1"/>
  <pageMargins left="0" right="0" top="0" bottom="0" header="0" footer="0"/>
  <pageSetup paperSize="5" scale="35" orientation="landscape" r:id="rId1"/>
  <headerFooter alignWithMargins="0"/>
  <rowBreaks count="2" manualBreakCount="2">
    <brk id="59" max="16383" man="1"/>
    <brk id="159" max="86" man="1"/>
  </rowBreaks>
  <ignoredErrors>
    <ignoredError sqref="C61:BG68 BI61:BJ68 BO61:CG68 BK61:BM61" formulaRange="1"/>
    <ignoredError sqref="BC24:BI24 BO24:CG24 AK55:BI55 BI190:BI203 BO142:BO144 AE190:AK198 BK154:BL155 AK154:BI155 AK10:BC10 BI9:BI10 BI99 AK99:BC101 Y134:BI138 M125:BI125 BI178 BI142 BI144 BK55:BO55 BO9:BO10 BU9:CG9 BO99:BO101 BM191 BU10 BQ55:CG55 BN154:CG155 BU100:CG102 BS143:BT144 BO134:BO137 BU143:CG146 BU142 BU99 BN152:CG152 AK152:BI152 BK152:BL152 BU114:CG141 BV103:CG103 BU112:CG112 BU104:CG110 BG110:BO110 AK110:BC110 BO125 AK142:BC144 BI101 CA99:CG99 CA10:CG10" formula="1"/>
    <ignoredError sqref="G173:G174 M173:M174 S173:S174 Y173:Y174 AE174" evalError="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pageSetUpPr fitToPage="1"/>
  </sheetPr>
  <dimension ref="A1:CJ541"/>
  <sheetViews>
    <sheetView showGridLines="0" zoomScaleNormal="100" zoomScaleSheetLayoutView="115" zoomScalePageLayoutView="40" workbookViewId="0">
      <pane xSplit="2" ySplit="5" topLeftCell="AL6" activePane="bottomRight" state="frozen"/>
      <selection pane="topRight" activeCell="C1" sqref="C1"/>
      <selection pane="bottomLeft" activeCell="A6" sqref="A6"/>
      <selection pane="bottomRight" sqref="A1:XFD1048576"/>
    </sheetView>
  </sheetViews>
  <sheetFormatPr defaultRowHeight="11.25" outlineLevelRow="1" outlineLevelCol="1" x14ac:dyDescent="0.2"/>
  <cols>
    <col min="1" max="1" width="1.7109375" style="9" customWidth="1"/>
    <col min="2" max="2" width="29.140625" style="9" customWidth="1"/>
    <col min="3" max="7" width="7.28515625" style="9" hidden="1" customWidth="1" outlineLevel="1"/>
    <col min="8" max="8" width="0.85546875" style="7" hidden="1" customWidth="1" outlineLevel="1"/>
    <col min="9" max="13" width="7.28515625" style="9" hidden="1" customWidth="1" outlineLevel="1"/>
    <col min="14" max="14" width="0.85546875" style="7" hidden="1" customWidth="1" outlineLevel="1"/>
    <col min="15" max="19" width="7.28515625" style="9" hidden="1" customWidth="1" outlineLevel="1"/>
    <col min="20" max="20" width="0.85546875" style="7" hidden="1" customWidth="1" outlineLevel="1"/>
    <col min="21" max="25" width="7.28515625" style="9" hidden="1" customWidth="1" outlineLevel="1"/>
    <col min="26" max="26" width="0.85546875" style="7" hidden="1" customWidth="1" outlineLevel="1"/>
    <col min="27" max="31" width="7.28515625" style="9" hidden="1" customWidth="1" outlineLevel="1"/>
    <col min="32" max="32" width="0.85546875" style="7" hidden="1" customWidth="1" outlineLevel="1"/>
    <col min="33" max="36" width="7.28515625" style="9" hidden="1" customWidth="1" outlineLevel="1"/>
    <col min="37" max="37" width="8.7109375" style="9" customWidth="1" collapsed="1"/>
    <col min="38" max="38" width="0.85546875" style="7" customWidth="1"/>
    <col min="39" max="42" width="7.28515625" style="9" hidden="1" customWidth="1" outlineLevel="1"/>
    <col min="43" max="43" width="8.7109375" style="9" customWidth="1" collapsed="1"/>
    <col min="44" max="44" width="0.85546875" style="7" customWidth="1"/>
    <col min="45" max="48" width="7.28515625" style="9" hidden="1" customWidth="1" outlineLevel="1"/>
    <col min="49" max="49" width="8.7109375" style="9" customWidth="1" collapsed="1"/>
    <col min="50" max="50" width="0.85546875" style="7" customWidth="1"/>
    <col min="51" max="54" width="7.28515625" style="9" hidden="1" customWidth="1" outlineLevel="1"/>
    <col min="55" max="55" width="8.7109375" style="9" customWidth="1" collapsed="1"/>
    <col min="56" max="56" width="0.85546875" style="7" customWidth="1"/>
    <col min="57" max="60" width="7.28515625" style="9" hidden="1" customWidth="1" outlineLevel="1"/>
    <col min="61" max="61" width="8.7109375" style="9" customWidth="1" collapsed="1"/>
    <col min="62" max="62" width="0.85546875" style="7" customWidth="1"/>
    <col min="63" max="66" width="7.28515625" style="9" customWidth="1" outlineLevel="1"/>
    <col min="67" max="67" width="8.7109375" style="9" customWidth="1"/>
    <col min="68" max="68" width="0.85546875" style="7" customWidth="1"/>
    <col min="69" max="72" width="7.28515625" style="9" customWidth="1" outlineLevel="1"/>
    <col min="73" max="73" width="8.7109375" style="9" customWidth="1"/>
    <col min="74" max="74" width="0.85546875" style="7" customWidth="1"/>
    <col min="75" max="78" width="7.28515625" style="9" customWidth="1" outlineLevel="1"/>
    <col min="79" max="79" width="8.7109375" style="9" customWidth="1"/>
    <col min="80" max="80" width="0.85546875" style="7" customWidth="1"/>
    <col min="81" max="84" width="7.28515625" style="9" hidden="1" customWidth="1" outlineLevel="1"/>
    <col min="85" max="85" width="8.7109375" style="9" customWidth="1" collapsed="1"/>
    <col min="86" max="86" width="9.140625" style="7"/>
    <col min="87" max="87" width="12" style="7" bestFit="1" customWidth="1"/>
    <col min="88" max="16384" width="9.140625" style="7"/>
  </cols>
  <sheetData>
    <row r="1" spans="1:88" ht="11.25" customHeight="1" x14ac:dyDescent="0.2">
      <c r="A1" s="78"/>
      <c r="B1" s="164" t="s">
        <v>263</v>
      </c>
      <c r="C1" s="36"/>
      <c r="D1" s="36"/>
      <c r="E1" s="36"/>
      <c r="F1" s="36"/>
      <c r="G1" s="36"/>
      <c r="H1" s="36"/>
      <c r="I1" s="36"/>
      <c r="J1" s="36"/>
      <c r="K1" s="36"/>
      <c r="L1" s="36"/>
      <c r="M1" s="36"/>
      <c r="N1" s="36"/>
      <c r="O1" s="36"/>
      <c r="P1" s="36"/>
      <c r="Q1" s="36"/>
      <c r="R1" s="36"/>
      <c r="S1" s="36"/>
      <c r="T1" s="36"/>
      <c r="U1" s="36"/>
      <c r="V1" s="36"/>
      <c r="W1" s="36"/>
      <c r="X1" s="36"/>
      <c r="Y1" s="36"/>
      <c r="Z1" s="36"/>
      <c r="AA1" s="78"/>
      <c r="AB1" s="36"/>
      <c r="AC1" s="36"/>
      <c r="AD1" s="86"/>
      <c r="AE1" s="36"/>
      <c r="AF1" s="36"/>
      <c r="AG1" s="36"/>
      <c r="AH1" s="36"/>
      <c r="AI1" s="36"/>
      <c r="AJ1" s="36"/>
      <c r="AK1" s="78"/>
      <c r="AL1" s="36"/>
      <c r="AM1" s="78"/>
      <c r="AN1" s="78"/>
      <c r="AO1" s="78"/>
      <c r="AP1" s="36"/>
      <c r="AQ1" s="36"/>
      <c r="AR1" s="36"/>
      <c r="AS1" s="36"/>
      <c r="AT1" s="36"/>
      <c r="AU1" s="36"/>
      <c r="AV1" s="36"/>
      <c r="AW1" s="36"/>
      <c r="AX1" s="36"/>
      <c r="AY1" s="36"/>
      <c r="AZ1" s="36"/>
      <c r="BA1" s="36"/>
      <c r="BB1" s="249"/>
      <c r="BC1" s="249"/>
      <c r="BD1" s="36"/>
      <c r="BE1" s="44"/>
      <c r="BF1" s="60"/>
      <c r="BG1" s="249"/>
      <c r="BH1" s="249"/>
      <c r="BI1" s="36"/>
      <c r="BJ1" s="36"/>
      <c r="BK1" s="36"/>
      <c r="BL1" s="36"/>
      <c r="BM1" s="36"/>
      <c r="BN1" s="36"/>
      <c r="BO1" s="36"/>
      <c r="BP1" s="36"/>
      <c r="BQ1" s="36"/>
      <c r="BR1" s="36"/>
      <c r="BS1" s="36"/>
      <c r="BT1" s="36"/>
      <c r="BU1" s="36"/>
      <c r="BV1" s="36"/>
      <c r="BW1" s="36"/>
      <c r="BX1" s="36"/>
      <c r="BY1" s="36"/>
      <c r="BZ1" s="36"/>
      <c r="CA1" s="36"/>
      <c r="CB1" s="36"/>
      <c r="CC1" s="36"/>
      <c r="CD1" s="36"/>
      <c r="CE1" s="36"/>
      <c r="CF1" s="36"/>
      <c r="CG1" s="36"/>
    </row>
    <row r="2" spans="1:88" x14ac:dyDescent="0.2">
      <c r="A2" s="78"/>
      <c r="B2" s="4" t="s">
        <v>14</v>
      </c>
      <c r="C2" s="17"/>
      <c r="D2" s="17"/>
      <c r="E2" s="17"/>
      <c r="F2" s="17"/>
      <c r="G2" s="17"/>
      <c r="H2" s="36"/>
      <c r="I2" s="36"/>
      <c r="J2" s="36"/>
      <c r="K2" s="36"/>
      <c r="L2" s="36"/>
      <c r="M2" s="36"/>
      <c r="N2" s="36"/>
      <c r="O2" s="36"/>
      <c r="P2" s="36"/>
      <c r="Q2" s="36"/>
      <c r="R2" s="36"/>
      <c r="S2" s="36"/>
      <c r="T2" s="36"/>
      <c r="U2" s="36"/>
      <c r="V2" s="201"/>
      <c r="W2" s="36"/>
      <c r="X2" s="36"/>
      <c r="Y2" s="36"/>
      <c r="Z2" s="36"/>
      <c r="AA2" s="44"/>
      <c r="AB2" s="201"/>
      <c r="AC2" s="36"/>
      <c r="AD2" s="250"/>
      <c r="AE2" s="36"/>
      <c r="AF2" s="36"/>
      <c r="AG2" s="60"/>
      <c r="AH2" s="36"/>
      <c r="AI2" s="36"/>
      <c r="AJ2" s="251"/>
      <c r="AK2" s="36"/>
      <c r="AL2" s="36"/>
      <c r="AM2" s="36"/>
      <c r="AN2" s="36"/>
      <c r="AO2" s="36"/>
      <c r="AP2" s="36"/>
      <c r="AQ2" s="36"/>
      <c r="AR2" s="36"/>
      <c r="AS2" s="60"/>
      <c r="AT2" s="36"/>
      <c r="AU2" s="47"/>
      <c r="AV2" s="36"/>
      <c r="AW2" s="36"/>
      <c r="AX2" s="36"/>
      <c r="AY2" s="60"/>
      <c r="BD2" s="36"/>
      <c r="BG2" s="249"/>
      <c r="BH2" s="249"/>
      <c r="BI2" s="44"/>
      <c r="BJ2" s="36"/>
      <c r="BK2" s="60"/>
      <c r="BL2" s="36"/>
      <c r="BM2" s="36"/>
      <c r="BP2" s="36"/>
      <c r="BQ2" s="36"/>
      <c r="BR2" s="36"/>
      <c r="BS2" s="36"/>
      <c r="BT2" s="36"/>
      <c r="BU2" s="36"/>
      <c r="BV2" s="36"/>
      <c r="BW2" s="36"/>
      <c r="BX2" s="36"/>
      <c r="BY2" s="36"/>
      <c r="BZ2" s="36"/>
      <c r="CA2" s="36"/>
      <c r="CB2" s="36"/>
      <c r="CC2" s="36"/>
      <c r="CD2" s="36"/>
      <c r="CE2" s="36"/>
      <c r="CF2" s="36"/>
      <c r="CG2" s="36"/>
    </row>
    <row r="3" spans="1:88" ht="11.25" customHeight="1" x14ac:dyDescent="0.2">
      <c r="A3" s="78"/>
      <c r="B3" s="69" t="s">
        <v>214</v>
      </c>
      <c r="H3" s="36"/>
      <c r="N3" s="36"/>
      <c r="T3" s="36"/>
      <c r="Z3" s="36"/>
      <c r="AF3" s="36"/>
      <c r="AL3" s="36"/>
      <c r="AR3" s="36"/>
      <c r="AX3" s="36"/>
      <c r="AY3" s="182"/>
      <c r="AZ3" s="182"/>
      <c r="BA3" s="182"/>
      <c r="BB3" s="182"/>
      <c r="BD3" s="36"/>
      <c r="BE3" s="252"/>
      <c r="BF3" s="182"/>
      <c r="BI3" s="253"/>
      <c r="BJ3" s="36"/>
      <c r="BK3" s="36"/>
      <c r="BL3" s="36"/>
      <c r="BM3" s="36"/>
      <c r="BN3" s="36"/>
      <c r="BO3" s="36"/>
      <c r="BP3" s="36"/>
      <c r="BQ3" s="36"/>
      <c r="BR3" s="36"/>
      <c r="BS3" s="36"/>
      <c r="BT3" s="36"/>
      <c r="BU3" s="36"/>
      <c r="BV3" s="36"/>
      <c r="BW3" s="36"/>
      <c r="BX3" s="36"/>
      <c r="BY3" s="36"/>
      <c r="BZ3" s="36"/>
      <c r="CA3" s="36"/>
      <c r="CB3" s="36"/>
      <c r="CC3" s="36"/>
      <c r="CD3" s="36"/>
      <c r="CE3" s="36"/>
      <c r="CF3" s="36"/>
      <c r="CG3" s="36"/>
    </row>
    <row r="4" spans="1:88" s="1120" customFormat="1" ht="11.25" customHeight="1" x14ac:dyDescent="0.2">
      <c r="A4" s="86"/>
      <c r="B4" s="6" t="s">
        <v>213</v>
      </c>
      <c r="C4" s="1422" t="s">
        <v>32</v>
      </c>
      <c r="D4" s="1423"/>
      <c r="E4" s="1423"/>
      <c r="F4" s="1424"/>
      <c r="G4" s="389" t="str">
        <f>C4</f>
        <v>2007A</v>
      </c>
      <c r="H4" s="85"/>
      <c r="I4" s="1422" t="s">
        <v>33</v>
      </c>
      <c r="J4" s="1423"/>
      <c r="K4" s="1423"/>
      <c r="L4" s="1424"/>
      <c r="M4" s="389" t="str">
        <f>I4</f>
        <v>2008A</v>
      </c>
      <c r="N4" s="85"/>
      <c r="O4" s="1422" t="s">
        <v>34</v>
      </c>
      <c r="P4" s="1423"/>
      <c r="Q4" s="1423"/>
      <c r="R4" s="1424"/>
      <c r="S4" s="389" t="str">
        <f>O4</f>
        <v>2009A</v>
      </c>
      <c r="T4" s="85"/>
      <c r="U4" s="1422" t="s">
        <v>100</v>
      </c>
      <c r="V4" s="1423"/>
      <c r="W4" s="1423"/>
      <c r="X4" s="1423"/>
      <c r="Y4" s="389" t="str">
        <f>U4</f>
        <v>2010A</v>
      </c>
      <c r="Z4" s="85"/>
      <c r="AA4" s="1422" t="s">
        <v>130</v>
      </c>
      <c r="AB4" s="1423"/>
      <c r="AC4" s="1423"/>
      <c r="AD4" s="1423"/>
      <c r="AE4" s="389" t="str">
        <f>AA4</f>
        <v>2011A</v>
      </c>
      <c r="AF4" s="85"/>
      <c r="AG4" s="1422" t="s">
        <v>131</v>
      </c>
      <c r="AH4" s="1423"/>
      <c r="AI4" s="1423"/>
      <c r="AJ4" s="1423"/>
      <c r="AK4" s="389" t="str">
        <f>AG4</f>
        <v>2012A</v>
      </c>
      <c r="AL4" s="85"/>
      <c r="AM4" s="1422" t="s">
        <v>132</v>
      </c>
      <c r="AN4" s="1423"/>
      <c r="AO4" s="1423"/>
      <c r="AP4" s="1423"/>
      <c r="AQ4" s="389" t="str">
        <f>AM4</f>
        <v>2013A</v>
      </c>
      <c r="AR4" s="85"/>
      <c r="AS4" s="1422" t="s">
        <v>238</v>
      </c>
      <c r="AT4" s="1423"/>
      <c r="AU4" s="1423"/>
      <c r="AV4" s="1423"/>
      <c r="AW4" s="389" t="str">
        <f>AS4</f>
        <v>2014A</v>
      </c>
      <c r="AX4" s="85"/>
      <c r="AY4" s="1422" t="s">
        <v>251</v>
      </c>
      <c r="AZ4" s="1423"/>
      <c r="BA4" s="1423"/>
      <c r="BB4" s="1423"/>
      <c r="BC4" s="389" t="str">
        <f>AY4</f>
        <v>2015A</v>
      </c>
      <c r="BD4" s="85"/>
      <c r="BE4" s="1422" t="s">
        <v>449</v>
      </c>
      <c r="BF4" s="1423"/>
      <c r="BG4" s="1423"/>
      <c r="BH4" s="1423"/>
      <c r="BI4" s="389" t="str">
        <f>BE4</f>
        <v>2016A</v>
      </c>
      <c r="BJ4" s="85"/>
      <c r="BK4" s="1422" t="s">
        <v>678</v>
      </c>
      <c r="BL4" s="1423"/>
      <c r="BM4" s="1423"/>
      <c r="BN4" s="1423"/>
      <c r="BO4" s="389" t="str">
        <f>BK4</f>
        <v>2017A</v>
      </c>
      <c r="BP4" s="85"/>
      <c r="BQ4" s="1422" t="s">
        <v>244</v>
      </c>
      <c r="BR4" s="1423"/>
      <c r="BS4" s="1423"/>
      <c r="BT4" s="1423"/>
      <c r="BU4" s="389" t="str">
        <f>BQ4</f>
        <v>2018E</v>
      </c>
      <c r="BV4" s="85"/>
      <c r="BW4" s="1422" t="s">
        <v>245</v>
      </c>
      <c r="BX4" s="1423"/>
      <c r="BY4" s="1423"/>
      <c r="BZ4" s="1423"/>
      <c r="CA4" s="389" t="str">
        <f>BW4</f>
        <v>2019E</v>
      </c>
      <c r="CB4" s="85"/>
      <c r="CC4" s="1422" t="s">
        <v>457</v>
      </c>
      <c r="CD4" s="1423"/>
      <c r="CE4" s="1423"/>
      <c r="CF4" s="1423"/>
      <c r="CG4" s="389" t="str">
        <f>CC4</f>
        <v>2020E</v>
      </c>
    </row>
    <row r="5" spans="1:88" ht="11.25" customHeight="1" x14ac:dyDescent="0.2">
      <c r="A5" s="78"/>
      <c r="C5" s="395">
        <v>39172</v>
      </c>
      <c r="D5" s="2">
        <v>39263</v>
      </c>
      <c r="E5" s="2">
        <v>39355</v>
      </c>
      <c r="F5" s="390">
        <v>39447</v>
      </c>
      <c r="G5" s="382" t="str">
        <f>+C4</f>
        <v>2007A</v>
      </c>
      <c r="H5" s="71"/>
      <c r="I5" s="395">
        <v>39538</v>
      </c>
      <c r="J5" s="2">
        <v>39629</v>
      </c>
      <c r="K5" s="2">
        <v>39721</v>
      </c>
      <c r="L5" s="390">
        <v>39813</v>
      </c>
      <c r="M5" s="382" t="str">
        <f>+I4</f>
        <v>2008A</v>
      </c>
      <c r="N5" s="71"/>
      <c r="O5" s="397">
        <v>39903</v>
      </c>
      <c r="P5" s="72">
        <v>39994</v>
      </c>
      <c r="Q5" s="72">
        <v>40086</v>
      </c>
      <c r="R5" s="398">
        <v>40178</v>
      </c>
      <c r="S5" s="382" t="str">
        <f>+O4</f>
        <v>2009A</v>
      </c>
      <c r="T5" s="71"/>
      <c r="U5" s="399">
        <v>40268</v>
      </c>
      <c r="V5" s="72">
        <v>40359</v>
      </c>
      <c r="W5" s="72">
        <v>40451</v>
      </c>
      <c r="X5" s="72">
        <v>40543</v>
      </c>
      <c r="Y5" s="403" t="str">
        <f>+U4</f>
        <v>2010A</v>
      </c>
      <c r="Z5" s="71"/>
      <c r="AA5" s="72">
        <v>40633</v>
      </c>
      <c r="AB5" s="72">
        <v>40724</v>
      </c>
      <c r="AC5" s="72">
        <v>40816</v>
      </c>
      <c r="AD5" s="72">
        <v>40908</v>
      </c>
      <c r="AE5" s="404" t="str">
        <f>+AA4</f>
        <v>2011A</v>
      </c>
      <c r="AF5" s="71"/>
      <c r="AG5" s="72">
        <v>40999</v>
      </c>
      <c r="AH5" s="72">
        <v>41090</v>
      </c>
      <c r="AI5" s="72">
        <v>41182</v>
      </c>
      <c r="AJ5" s="72">
        <v>41274</v>
      </c>
      <c r="AK5" s="404" t="str">
        <f>+AG4</f>
        <v>2012A</v>
      </c>
      <c r="AL5" s="71"/>
      <c r="AM5" s="72">
        <v>41364</v>
      </c>
      <c r="AN5" s="72">
        <v>41455</v>
      </c>
      <c r="AO5" s="72">
        <v>41547</v>
      </c>
      <c r="AP5" s="72">
        <v>41639</v>
      </c>
      <c r="AQ5" s="404" t="str">
        <f>+AM4</f>
        <v>2013A</v>
      </c>
      <c r="AR5" s="71"/>
      <c r="AS5" s="397">
        <v>41729</v>
      </c>
      <c r="AT5" s="72">
        <v>41820</v>
      </c>
      <c r="AU5" s="72">
        <v>41912</v>
      </c>
      <c r="AV5" s="72">
        <v>42004</v>
      </c>
      <c r="AW5" s="404" t="str">
        <f>+AS4</f>
        <v>2014A</v>
      </c>
      <c r="AX5" s="71"/>
      <c r="AY5" s="397">
        <v>42094</v>
      </c>
      <c r="AZ5" s="72">
        <v>42185</v>
      </c>
      <c r="BA5" s="72">
        <v>42277</v>
      </c>
      <c r="BB5" s="72">
        <v>42369</v>
      </c>
      <c r="BC5" s="404" t="str">
        <f>+AY4</f>
        <v>2015A</v>
      </c>
      <c r="BD5" s="71"/>
      <c r="BE5" s="397">
        <v>42460</v>
      </c>
      <c r="BF5" s="72">
        <v>42551</v>
      </c>
      <c r="BG5" s="72">
        <v>42643</v>
      </c>
      <c r="BH5" s="72">
        <v>42735</v>
      </c>
      <c r="BI5" s="404" t="str">
        <f>+BE4</f>
        <v>2016A</v>
      </c>
      <c r="BJ5" s="71"/>
      <c r="BK5" s="397">
        <v>42825</v>
      </c>
      <c r="BL5" s="72">
        <f>BK5+FLOOR(365/4,1)</f>
        <v>42916</v>
      </c>
      <c r="BM5" s="72">
        <f>BL5+FLOOR(365/4,1)+1</f>
        <v>43008</v>
      </c>
      <c r="BN5" s="72">
        <f>BM5+FLOOR(365/4,1)+1</f>
        <v>43100</v>
      </c>
      <c r="BO5" s="404"/>
      <c r="BP5" s="71"/>
      <c r="BQ5" s="401">
        <f>BK5+365</f>
        <v>43190</v>
      </c>
      <c r="BR5" s="70">
        <f>BQ5+FLOOR(365/4,1)</f>
        <v>43281</v>
      </c>
      <c r="BS5" s="70">
        <f>BR5+FLOOR(365/4,1)+1</f>
        <v>43373</v>
      </c>
      <c r="BT5" s="70">
        <f>BS5+FLOOR(365/4,1)+1</f>
        <v>43465</v>
      </c>
      <c r="BU5" s="404"/>
      <c r="BV5" s="71"/>
      <c r="BW5" s="401">
        <f>BQ5+365</f>
        <v>43555</v>
      </c>
      <c r="BX5" s="70">
        <f>BW5+FLOOR(365/4,1)</f>
        <v>43646</v>
      </c>
      <c r="BY5" s="70">
        <f>BX5+FLOOR(365/4,1)+1</f>
        <v>43738</v>
      </c>
      <c r="BZ5" s="70">
        <f>BY5+FLOOR(365/4,1)+1</f>
        <v>43830</v>
      </c>
      <c r="CA5" s="404"/>
      <c r="CB5" s="71"/>
      <c r="CC5" s="401">
        <f>BW5+365</f>
        <v>43920</v>
      </c>
      <c r="CD5" s="70">
        <f>CC5+FLOOR(365/4,1)</f>
        <v>44011</v>
      </c>
      <c r="CE5" s="70">
        <f>CD5+FLOOR(365/4,1)+1</f>
        <v>44103</v>
      </c>
      <c r="CF5" s="70">
        <f>CE5+FLOOR(365/4,1)+1</f>
        <v>44195</v>
      </c>
      <c r="CG5" s="404"/>
    </row>
    <row r="6" spans="1:88" ht="11.25" customHeight="1" outlineLevel="1" x14ac:dyDescent="0.2">
      <c r="A6" s="78"/>
      <c r="B6" s="698" t="s">
        <v>303</v>
      </c>
      <c r="C6" s="699"/>
      <c r="D6" s="700"/>
      <c r="E6" s="700"/>
      <c r="F6" s="700"/>
      <c r="G6" s="701"/>
      <c r="H6" s="188"/>
      <c r="I6" s="699"/>
      <c r="J6" s="700"/>
      <c r="K6" s="700"/>
      <c r="L6" s="700"/>
      <c r="M6" s="701"/>
      <c r="N6" s="188"/>
      <c r="O6" s="699"/>
      <c r="P6" s="700"/>
      <c r="Q6" s="700"/>
      <c r="R6" s="700"/>
      <c r="S6" s="701"/>
      <c r="T6" s="188"/>
      <c r="U6" s="699"/>
      <c r="V6" s="700"/>
      <c r="W6" s="700"/>
      <c r="X6" s="700"/>
      <c r="Y6" s="701"/>
      <c r="Z6" s="188"/>
      <c r="AA6" s="699"/>
      <c r="AB6" s="700"/>
      <c r="AC6" s="700"/>
      <c r="AD6" s="700"/>
      <c r="AE6" s="701"/>
      <c r="AF6" s="188"/>
      <c r="AG6" s="699"/>
      <c r="AH6" s="700"/>
      <c r="AI6" s="700"/>
      <c r="AJ6" s="700"/>
      <c r="AK6" s="701"/>
      <c r="AL6" s="188"/>
      <c r="AM6" s="699"/>
      <c r="AN6" s="700"/>
      <c r="AO6" s="700"/>
      <c r="AP6" s="700"/>
      <c r="AQ6" s="701"/>
      <c r="AR6" s="188"/>
      <c r="AS6" s="699"/>
      <c r="AT6" s="700"/>
      <c r="AU6" s="700"/>
      <c r="AV6" s="700"/>
      <c r="AW6" s="701"/>
      <c r="AX6" s="188"/>
      <c r="AY6" s="699"/>
      <c r="AZ6" s="700"/>
      <c r="BA6" s="700"/>
      <c r="BB6" s="700"/>
      <c r="BC6" s="701"/>
      <c r="BD6" s="188"/>
      <c r="BE6" s="699"/>
      <c r="BF6" s="700"/>
      <c r="BG6" s="700"/>
      <c r="BH6" s="700"/>
      <c r="BI6" s="701"/>
      <c r="BJ6" s="188"/>
      <c r="BK6" s="699"/>
      <c r="BL6" s="700"/>
      <c r="BM6" s="700"/>
      <c r="BN6" s="700"/>
      <c r="BO6" s="1303"/>
      <c r="BP6" s="188"/>
      <c r="BQ6" s="699"/>
      <c r="BR6" s="700"/>
      <c r="BS6" s="700"/>
      <c r="BT6" s="700"/>
      <c r="BU6" s="701"/>
      <c r="BV6" s="188"/>
      <c r="BW6" s="699"/>
      <c r="BX6" s="700"/>
      <c r="BY6" s="700"/>
      <c r="BZ6" s="700"/>
      <c r="CA6" s="701"/>
      <c r="CB6" s="188"/>
      <c r="CC6" s="699"/>
      <c r="CD6" s="700"/>
      <c r="CE6" s="700"/>
      <c r="CF6" s="700"/>
      <c r="CG6" s="701"/>
      <c r="CH6" s="11"/>
    </row>
    <row r="7" spans="1:88" ht="11.25" customHeight="1" outlineLevel="1" x14ac:dyDescent="0.2">
      <c r="A7" s="78"/>
      <c r="B7" s="99"/>
      <c r="C7" s="93"/>
      <c r="D7" s="59"/>
      <c r="E7" s="59"/>
      <c r="F7" s="59"/>
      <c r="G7" s="447"/>
      <c r="H7" s="43"/>
      <c r="I7" s="93"/>
      <c r="J7" s="59"/>
      <c r="K7" s="59"/>
      <c r="L7" s="59"/>
      <c r="M7" s="447"/>
      <c r="N7" s="43"/>
      <c r="O7" s="93"/>
      <c r="P7" s="59"/>
      <c r="Q7" s="59"/>
      <c r="R7" s="59"/>
      <c r="S7" s="447"/>
      <c r="T7" s="43"/>
      <c r="U7" s="93"/>
      <c r="V7" s="59"/>
      <c r="W7" s="59"/>
      <c r="X7" s="59"/>
      <c r="Y7" s="447"/>
      <c r="Z7" s="43"/>
      <c r="AA7" s="93"/>
      <c r="AB7" s="97"/>
      <c r="AC7" s="97"/>
      <c r="AD7" s="97"/>
      <c r="AE7" s="447"/>
      <c r="AF7" s="43"/>
      <c r="AG7" s="96"/>
      <c r="AH7" s="97"/>
      <c r="AI7" s="97"/>
      <c r="AJ7" s="97"/>
      <c r="AK7" s="447"/>
      <c r="AL7" s="43"/>
      <c r="AM7" s="93"/>
      <c r="AN7" s="61"/>
      <c r="AO7" s="61"/>
      <c r="AP7" s="61"/>
      <c r="AQ7" s="447"/>
      <c r="AR7" s="43"/>
      <c r="AS7" s="93"/>
      <c r="AT7" s="61"/>
      <c r="AU7" s="61"/>
      <c r="AV7" s="61"/>
      <c r="AW7" s="447"/>
      <c r="AX7" s="43"/>
      <c r="AY7" s="93"/>
      <c r="AZ7" s="61"/>
      <c r="BA7" s="61"/>
      <c r="BB7" s="61"/>
      <c r="BC7" s="447"/>
      <c r="BD7" s="43"/>
      <c r="BE7" s="93"/>
      <c r="BF7" s="61"/>
      <c r="BG7" s="61"/>
      <c r="BH7" s="61"/>
      <c r="BI7" s="447"/>
      <c r="BJ7" s="43"/>
      <c r="BK7" s="93"/>
      <c r="BL7" s="1153"/>
      <c r="BM7" s="61"/>
      <c r="BN7" s="61"/>
      <c r="BO7" s="1151"/>
      <c r="BP7" s="43"/>
      <c r="BQ7" s="1152"/>
      <c r="BR7" s="61"/>
      <c r="BS7" s="61"/>
      <c r="BT7" s="61"/>
      <c r="BU7" s="1151"/>
      <c r="BV7" s="43"/>
      <c r="BW7" s="93"/>
      <c r="BX7" s="61"/>
      <c r="BY7" s="61"/>
      <c r="BZ7" s="61"/>
      <c r="CA7" s="447"/>
      <c r="CB7" s="43"/>
      <c r="CC7" s="93"/>
      <c r="CD7" s="61"/>
      <c r="CE7" s="61"/>
      <c r="CF7" s="61"/>
      <c r="CG7" s="447"/>
    </row>
    <row r="8" spans="1:88" ht="11.25" customHeight="1" outlineLevel="1" x14ac:dyDescent="0.2">
      <c r="A8" s="78"/>
      <c r="B8" s="108" t="s">
        <v>304</v>
      </c>
      <c r="C8" s="269">
        <v>562.601</v>
      </c>
      <c r="D8" s="270">
        <v>601.21699999999998</v>
      </c>
      <c r="E8" s="270">
        <v>616.97199999999998</v>
      </c>
      <c r="F8" s="270">
        <f>2462.373-E8-D8-C8</f>
        <v>681.5830000000002</v>
      </c>
      <c r="G8" s="448">
        <f>+SUM(C8:F8)</f>
        <v>2462.373</v>
      </c>
      <c r="H8" s="39"/>
      <c r="I8" s="269">
        <v>611.78300000000002</v>
      </c>
      <c r="J8" s="270">
        <v>659.53899999999999</v>
      </c>
      <c r="K8" s="270">
        <v>641.48699999999997</v>
      </c>
      <c r="L8" s="270">
        <f>2567.064-K8-J8-I8</f>
        <v>654.25499999999977</v>
      </c>
      <c r="M8" s="448">
        <f>+SUM(I8:L8)</f>
        <v>2567.0639999999999</v>
      </c>
      <c r="N8" s="39"/>
      <c r="O8" s="269">
        <v>593.95600000000002</v>
      </c>
      <c r="P8" s="270">
        <v>622.21900000000005</v>
      </c>
      <c r="Q8" s="270">
        <v>622.06500000000005</v>
      </c>
      <c r="R8" s="270">
        <f>2509.921-Q8-P8-O8</f>
        <v>671.6809999999997</v>
      </c>
      <c r="S8" s="448">
        <f>+SUM(O8:R8)</f>
        <v>2509.9209999999998</v>
      </c>
      <c r="T8" s="39"/>
      <c r="U8" s="269">
        <v>614.649</v>
      </c>
      <c r="V8" s="270">
        <v>677.56</v>
      </c>
      <c r="W8" s="270">
        <v>665.94</v>
      </c>
      <c r="X8" s="270">
        <f>2678.83-W8-V8-U8</f>
        <v>720.68099999999993</v>
      </c>
      <c r="Y8" s="448">
        <f>+SUM(U8:X8)</f>
        <v>2678.83</v>
      </c>
      <c r="Z8" s="39"/>
      <c r="AA8" s="147">
        <f>+AG8/(1+AG9)</f>
        <v>668.70076481835565</v>
      </c>
      <c r="AB8" s="148">
        <f>+AH8/(1+AH9)</f>
        <v>714.75314617618596</v>
      </c>
      <c r="AC8" s="270">
        <v>687.28800000000001</v>
      </c>
      <c r="AD8" s="270">
        <v>813.37800000000004</v>
      </c>
      <c r="AE8" s="448">
        <f>+SUM(AA8:AD8)</f>
        <v>2884.1199109945419</v>
      </c>
      <c r="AF8" s="39"/>
      <c r="AG8" s="269">
        <v>699.46100000000001</v>
      </c>
      <c r="AH8" s="270">
        <v>738.34</v>
      </c>
      <c r="AI8" s="270">
        <v>714.73099999999999</v>
      </c>
      <c r="AJ8" s="270">
        <v>807.59699999999998</v>
      </c>
      <c r="AK8" s="448">
        <f>+SUM(AG8:AJ8)</f>
        <v>2960.1289999999999</v>
      </c>
      <c r="AL8" s="39"/>
      <c r="AM8" s="269">
        <v>712.95399999999995</v>
      </c>
      <c r="AN8" s="270">
        <v>768.8</v>
      </c>
      <c r="AO8" s="270">
        <v>745.86599999999999</v>
      </c>
      <c r="AP8" s="270">
        <v>819.88400000000001</v>
      </c>
      <c r="AQ8" s="448">
        <f>+SUM(AM8:AP8)</f>
        <v>3047.5039999999999</v>
      </c>
      <c r="AR8" s="39"/>
      <c r="AS8" s="269">
        <v>769.596</v>
      </c>
      <c r="AT8" s="270">
        <v>826.35699999999997</v>
      </c>
      <c r="AU8" s="270">
        <v>811.62800000000004</v>
      </c>
      <c r="AV8" s="270">
        <v>861.31799999999998</v>
      </c>
      <c r="AW8" s="448">
        <f>+SUM(AS8:AV8)</f>
        <v>3268.8990000000003</v>
      </c>
      <c r="AX8" s="39"/>
      <c r="AY8" s="269">
        <v>789.18299999999999</v>
      </c>
      <c r="AZ8" s="270">
        <v>847.42899999999997</v>
      </c>
      <c r="BA8" s="270">
        <v>836.95299999999997</v>
      </c>
      <c r="BB8" s="270">
        <v>916.16899999999998</v>
      </c>
      <c r="BC8" s="448">
        <f>+SUM(AY8:BB8)</f>
        <v>3389.7339999999999</v>
      </c>
      <c r="BD8" s="39"/>
      <c r="BE8" s="269">
        <v>834.83699999999999</v>
      </c>
      <c r="BF8" s="270">
        <v>865.58500000000004</v>
      </c>
      <c r="BG8" s="270">
        <v>879.61199999999997</v>
      </c>
      <c r="BH8" s="270">
        <v>1000.7859999999999</v>
      </c>
      <c r="BI8" s="448">
        <f>+SUM(BE8:BH8)</f>
        <v>3580.82</v>
      </c>
      <c r="BJ8" s="39"/>
      <c r="BK8" s="269">
        <v>850.45600000000002</v>
      </c>
      <c r="BL8" s="270">
        <v>912.471</v>
      </c>
      <c r="BM8" s="270">
        <v>906.87800000000004</v>
      </c>
      <c r="BN8" s="270">
        <v>1030.5989999999999</v>
      </c>
      <c r="BO8" s="448">
        <f>+SUM(BK8:BN8)</f>
        <v>3700.4040000000005</v>
      </c>
      <c r="BP8" s="39"/>
      <c r="BQ8" s="147">
        <f>+BK8*(1+BQ9)</f>
        <v>921.04384800000003</v>
      </c>
      <c r="BR8" s="148">
        <f>+BL8*(1+BR9)</f>
        <v>939.84513000000004</v>
      </c>
      <c r="BS8" s="148">
        <f>+BM8*(1+BS9)</f>
        <v>947.68750999999997</v>
      </c>
      <c r="BT8" s="148">
        <f>+BN8*(1+BT9)</f>
        <v>1030.5989999999999</v>
      </c>
      <c r="BU8" s="448">
        <f>+SUM(BQ8:BT8)</f>
        <v>3839.1754879999999</v>
      </c>
      <c r="BV8" s="39"/>
      <c r="BW8" s="147">
        <f>+BQ8*(1+BW9)</f>
        <v>944.0699441999999</v>
      </c>
      <c r="BX8" s="148">
        <f>+BR8*(1+BX9)</f>
        <v>963.34125825000001</v>
      </c>
      <c r="BY8" s="148">
        <f>+BS8*(1+BY9)</f>
        <v>971.37969774999988</v>
      </c>
      <c r="BZ8" s="148">
        <f>+BT8*(1+BZ9)</f>
        <v>1056.3639749999998</v>
      </c>
      <c r="CA8" s="448">
        <f>+SUM(BW8:BZ8)</f>
        <v>3935.1548751999994</v>
      </c>
      <c r="CB8" s="39"/>
      <c r="CC8" s="147">
        <f>+BW8*(1+CC9)</f>
        <v>967.67169280499979</v>
      </c>
      <c r="CD8" s="148">
        <f>+BX8*(1+CD9)</f>
        <v>987.42478970624995</v>
      </c>
      <c r="CE8" s="148">
        <f>+BY8*(1+CE9)</f>
        <v>995.66419019374973</v>
      </c>
      <c r="CF8" s="148">
        <f>+BZ8*(1+CF9)</f>
        <v>1082.7730743749996</v>
      </c>
      <c r="CG8" s="448">
        <f>+SUM(CC8:CF8)</f>
        <v>4033.5337470799986</v>
      </c>
      <c r="CJ8" s="1163"/>
    </row>
    <row r="9" spans="1:88" ht="11.25" customHeight="1" outlineLevel="1" x14ac:dyDescent="0.2">
      <c r="A9" s="78"/>
      <c r="B9" s="99" t="s">
        <v>253</v>
      </c>
      <c r="C9" s="261">
        <v>0.16700000000000001</v>
      </c>
      <c r="D9" s="258">
        <v>0.17499999999999999</v>
      </c>
      <c r="E9" s="258">
        <v>0.14599999999999999</v>
      </c>
      <c r="F9" s="258">
        <v>0.128</v>
      </c>
      <c r="G9" s="453">
        <v>0.152</v>
      </c>
      <c r="H9" s="43"/>
      <c r="I9" s="259">
        <f>+I8/C8-1</f>
        <v>8.7418970104923499E-2</v>
      </c>
      <c r="J9" s="260">
        <f>+J8/D8-1</f>
        <v>9.7006571670461783E-2</v>
      </c>
      <c r="K9" s="260">
        <f>+K8/E8-1</f>
        <v>3.9734380166360772E-2</v>
      </c>
      <c r="L9" s="260">
        <f>+L8/F8-1</f>
        <v>-4.0094896733047114E-2</v>
      </c>
      <c r="M9" s="449">
        <f>IF(ISERROR(M8/G8-1),"NM",M8/G8-1)</f>
        <v>4.2516304394175863E-2</v>
      </c>
      <c r="N9" s="43"/>
      <c r="O9" s="259">
        <f>+O8/I8-1</f>
        <v>-2.9139417080893071E-2</v>
      </c>
      <c r="P9" s="260">
        <f>+P8/J8-1</f>
        <v>-5.658497829544562E-2</v>
      </c>
      <c r="Q9" s="260">
        <f>+Q8/K8-1</f>
        <v>-3.0276529376277117E-2</v>
      </c>
      <c r="R9" s="260">
        <f>+R8/L8-1</f>
        <v>2.6634874781239715E-2</v>
      </c>
      <c r="S9" s="449">
        <f>IF(ISERROR(S8/M8-1),"NM",S8/M8-1)</f>
        <v>-2.2260060520501224E-2</v>
      </c>
      <c r="T9" s="43"/>
      <c r="U9" s="259">
        <f>+U8/O8-1</f>
        <v>3.4839281024183544E-2</v>
      </c>
      <c r="V9" s="260">
        <f>+V8/P8-1</f>
        <v>8.8941353446294391E-2</v>
      </c>
      <c r="W9" s="260">
        <f>+W8/Q8-1</f>
        <v>7.0531214583684942E-2</v>
      </c>
      <c r="X9" s="260">
        <f>+X8/R8-1</f>
        <v>7.2951296820961575E-2</v>
      </c>
      <c r="Y9" s="449">
        <f>IF(ISERROR(Y8/S8-1),"NM",Y8/S8-1)</f>
        <v>6.7296540409040873E-2</v>
      </c>
      <c r="Z9" s="43"/>
      <c r="AA9" s="259">
        <f>+AA8/U8-1</f>
        <v>8.7939238196687253E-2</v>
      </c>
      <c r="AB9" s="260">
        <f>+AB8/V8-1</f>
        <v>5.4892771379930982E-2</v>
      </c>
      <c r="AC9" s="260">
        <f>+AC8/W8-1</f>
        <v>3.2056942066852834E-2</v>
      </c>
      <c r="AD9" s="260">
        <f>+AD8/X8-1</f>
        <v>0.12862417629991652</v>
      </c>
      <c r="AE9" s="449">
        <f>IF(ISERROR(AE8/Y8-1),"NM",AE8/Y8-1)</f>
        <v>7.6634169019512921E-2</v>
      </c>
      <c r="AF9" s="43"/>
      <c r="AG9" s="259">
        <v>4.5999999999999999E-2</v>
      </c>
      <c r="AH9" s="260">
        <v>3.3000000000000002E-2</v>
      </c>
      <c r="AI9" s="260">
        <f>+AI8/AC8-1</f>
        <v>3.9929403685209142E-2</v>
      </c>
      <c r="AJ9" s="260">
        <f>+AJ8/AD8-1</f>
        <v>-7.107396561008561E-3</v>
      </c>
      <c r="AK9" s="449">
        <f>IF(ISERROR(AK8/AE8-1),"NM",AK8/AE8-1)</f>
        <v>2.6354344254448048E-2</v>
      </c>
      <c r="AL9" s="43"/>
      <c r="AM9" s="259">
        <f>+AM8/AG8-1</f>
        <v>1.9290568023091925E-2</v>
      </c>
      <c r="AN9" s="260">
        <f>+AN8/AH8-1</f>
        <v>4.1254706503778715E-2</v>
      </c>
      <c r="AO9" s="260">
        <f>+AO8/AI8-1</f>
        <v>4.356184354673287E-2</v>
      </c>
      <c r="AP9" s="260">
        <f>+AP8/AJ8-1</f>
        <v>1.5214271474510266E-2</v>
      </c>
      <c r="AQ9" s="449">
        <f>IF(ISERROR(AQ8/AK8-1),"NM",AQ8/AK8-1)</f>
        <v>2.9517294685468043E-2</v>
      </c>
      <c r="AR9" s="43"/>
      <c r="AS9" s="259">
        <f>+AS8/AM8-1</f>
        <v>7.9446920839212787E-2</v>
      </c>
      <c r="AT9" s="260">
        <f>+AT8/AN8-1</f>
        <v>7.4866024973985423E-2</v>
      </c>
      <c r="AU9" s="260">
        <f>+AU8/AO8-1</f>
        <v>8.8168652278023174E-2</v>
      </c>
      <c r="AV9" s="260">
        <f>+AV8/AP8-1</f>
        <v>5.0536417346844109E-2</v>
      </c>
      <c r="AW9" s="449">
        <f>IF(ISERROR(AW8/AQ8-1),"NM",AW8/AQ8-1)</f>
        <v>7.2647976836125672E-2</v>
      </c>
      <c r="AX9" s="43"/>
      <c r="AY9" s="259">
        <f>+AY8/AS8-1</f>
        <v>2.5451015857670845E-2</v>
      </c>
      <c r="AZ9" s="260">
        <f>+AZ8/AT8-1</f>
        <v>2.549987475146942E-2</v>
      </c>
      <c r="BA9" s="260">
        <f>+BA8/AU8-1</f>
        <v>3.1202718486794456E-2</v>
      </c>
      <c r="BB9" s="260">
        <f>+BB8/AV8-1</f>
        <v>6.368263521719042E-2</v>
      </c>
      <c r="BC9" s="449">
        <f>IF(ISERROR(BC8/AW8-1),"NM",BC8/AW8-1)</f>
        <v>3.6965045417432396E-2</v>
      </c>
      <c r="BD9" s="43"/>
      <c r="BE9" s="259">
        <f>+BE8/AY8-1</f>
        <v>5.784970025963565E-2</v>
      </c>
      <c r="BF9" s="260">
        <f>+BF8/AZ8-1</f>
        <v>2.1424803729870101E-2</v>
      </c>
      <c r="BG9" s="260">
        <f>+BG8/BA8-1</f>
        <v>5.0969409273877941E-2</v>
      </c>
      <c r="BH9" s="260">
        <f>+BH8/BB8-1</f>
        <v>9.2359597410521355E-2</v>
      </c>
      <c r="BI9" s="449">
        <f>IF(ISERROR(BI8/BC8-1),"NM",BI8/BC8-1)</f>
        <v>5.6371974910125688E-2</v>
      </c>
      <c r="BJ9" s="43"/>
      <c r="BK9" s="259">
        <f>+BK8/BE8-1</f>
        <v>1.8709041405687632E-2</v>
      </c>
      <c r="BL9" s="260">
        <f>+BL8/BF8-1</f>
        <v>5.416683514617282E-2</v>
      </c>
      <c r="BM9" s="260">
        <f>+BM8/BG8-1</f>
        <v>3.0997758102436102E-2</v>
      </c>
      <c r="BN9" s="260">
        <f>+BN8/BH8-1</f>
        <v>2.9789585385886719E-2</v>
      </c>
      <c r="BO9" s="449">
        <f>IF(ISERROR(BO8/BI8-1),"NM",BO8/BI8-1)</f>
        <v>3.3395702660284687E-2</v>
      </c>
      <c r="BP9" s="43"/>
      <c r="BQ9" s="259">
        <f>+BQ10+BQ11</f>
        <v>8.3000000000000004E-2</v>
      </c>
      <c r="BR9" s="260">
        <f>+BR10+BR11</f>
        <v>0.03</v>
      </c>
      <c r="BS9" s="260">
        <f>+BS10+BS11</f>
        <v>4.4999999999999998E-2</v>
      </c>
      <c r="BT9" s="260">
        <f>+BT10+BT11</f>
        <v>0</v>
      </c>
      <c r="BU9" s="449">
        <f>IF(ISERROR(BU8/BO8-1),"NM",BU8/BO8-1)</f>
        <v>3.7501712785955155E-2</v>
      </c>
      <c r="BV9" s="43"/>
      <c r="BW9" s="259">
        <f>+BW10+BW11</f>
        <v>2.5000000000000001E-2</v>
      </c>
      <c r="BX9" s="260">
        <f>+BX10+BX11</f>
        <v>2.5000000000000001E-2</v>
      </c>
      <c r="BY9" s="260">
        <f>+BY10+BY11</f>
        <v>2.5000000000000001E-2</v>
      </c>
      <c r="BZ9" s="260">
        <f>+BZ10+BZ11</f>
        <v>2.5000000000000001E-2</v>
      </c>
      <c r="CA9" s="449">
        <f>IF(ISERROR(CA8/BU8-1),"NM",CA8/BU8-1)</f>
        <v>2.4999999999999911E-2</v>
      </c>
      <c r="CB9" s="43"/>
      <c r="CC9" s="259">
        <f>+CC10+CC11</f>
        <v>2.5000000000000001E-2</v>
      </c>
      <c r="CD9" s="260">
        <f>+CD10+CD11</f>
        <v>2.5000000000000001E-2</v>
      </c>
      <c r="CE9" s="260">
        <f>+CE10+CE11</f>
        <v>2.5000000000000001E-2</v>
      </c>
      <c r="CF9" s="260">
        <f>+CF10+CF11</f>
        <v>2.5000000000000001E-2</v>
      </c>
      <c r="CG9" s="449">
        <f>IF(ISERROR(CG8/CA8-1),"NM",CG8/CA8-1)</f>
        <v>2.4999999999999911E-2</v>
      </c>
    </row>
    <row r="10" spans="1:88" ht="11.25" customHeight="1" outlineLevel="1" x14ac:dyDescent="0.2">
      <c r="A10" s="78"/>
      <c r="B10" s="99" t="s">
        <v>256</v>
      </c>
      <c r="C10" s="261">
        <v>0.16900000000000001</v>
      </c>
      <c r="D10" s="258">
        <v>0.17199999999999999</v>
      </c>
      <c r="E10" s="258">
        <v>0.13800000000000001</v>
      </c>
      <c r="F10" s="258">
        <v>0.112</v>
      </c>
      <c r="G10" s="453">
        <v>0.14599999999999999</v>
      </c>
      <c r="H10" s="43"/>
      <c r="I10" s="261">
        <v>7.1999999999999995E-2</v>
      </c>
      <c r="J10" s="258">
        <v>8.6999999999999994E-2</v>
      </c>
      <c r="K10" s="258">
        <v>4.3999999999999997E-2</v>
      </c>
      <c r="L10" s="258">
        <v>-3.0000000000000001E-3</v>
      </c>
      <c r="M10" s="449">
        <f>+SUMPRODUCT(I10:L10,C$8:F$8)/G$8</f>
        <v>4.7886802689925533E-2</v>
      </c>
      <c r="N10" s="43"/>
      <c r="O10" s="261">
        <v>-4.0000000000000001E-3</v>
      </c>
      <c r="P10" s="258">
        <v>-3.5999999999999997E-2</v>
      </c>
      <c r="Q10" s="258">
        <v>-2.5000000000000001E-2</v>
      </c>
      <c r="R10" s="258">
        <v>2E-3</v>
      </c>
      <c r="S10" s="449">
        <f>+SUMPRODUCT(O10:R10,I$8:L$8)/M$8</f>
        <v>-1.5940078237239121E-2</v>
      </c>
      <c r="T10" s="43"/>
      <c r="U10" s="261">
        <v>1.7999999999999999E-2</v>
      </c>
      <c r="V10" s="258">
        <v>7.4999999999999997E-2</v>
      </c>
      <c r="W10" s="258">
        <v>6.5000000000000002E-2</v>
      </c>
      <c r="X10" s="258">
        <v>6.7000000000000004E-2</v>
      </c>
      <c r="Y10" s="449">
        <f>+SUMPRODUCT(U10:X10,O$8:R$8)/S$8</f>
        <v>5.689202369317601E-2</v>
      </c>
      <c r="Z10" s="43"/>
      <c r="AA10" s="261">
        <v>7.1999999999999995E-2</v>
      </c>
      <c r="AB10" s="258">
        <v>0.04</v>
      </c>
      <c r="AC10" s="258">
        <v>1.7999999999999999E-2</v>
      </c>
      <c r="AD10" s="258">
        <v>0.12</v>
      </c>
      <c r="AE10" s="449">
        <f>+SUMPRODUCT(AA10:AD10,U$8:X$8)/Y$8</f>
        <v>6.3395500274373504E-2</v>
      </c>
      <c r="AF10" s="43"/>
      <c r="AG10" s="261">
        <v>4.8000000000000001E-2</v>
      </c>
      <c r="AH10" s="258">
        <v>3.7999999999999999E-2</v>
      </c>
      <c r="AI10" s="258">
        <v>4.2000000000000003E-2</v>
      </c>
      <c r="AJ10" s="258">
        <v>-0.01</v>
      </c>
      <c r="AK10" s="449">
        <f>+SUMPRODUCT(AG10:AJ10,AA$8:AD$8)/AE$8</f>
        <v>2.7734828902586332E-2</v>
      </c>
      <c r="AL10" s="43"/>
      <c r="AM10" s="261">
        <v>0.02</v>
      </c>
      <c r="AN10" s="258">
        <v>4.2999999999999997E-2</v>
      </c>
      <c r="AO10" s="258">
        <v>4.8000000000000001E-2</v>
      </c>
      <c r="AP10" s="258">
        <v>2.1000000000000001E-2</v>
      </c>
      <c r="AQ10" s="449">
        <f>+SUMPRODUCT(AM10:AP10,AG$8:AJ$8)/AK$8</f>
        <v>3.2770350548911892E-2</v>
      </c>
      <c r="AR10" s="43"/>
      <c r="AS10" s="261">
        <v>8.8999999999999996E-2</v>
      </c>
      <c r="AT10" s="258">
        <v>9.0999999999999998E-2</v>
      </c>
      <c r="AU10" s="258">
        <v>0.1</v>
      </c>
      <c r="AV10" s="258">
        <v>6.8000000000000005E-2</v>
      </c>
      <c r="AW10" s="449">
        <f>+SUMPRODUCT(AS10:AV10,AM$8:AP$8)/AQ$8</f>
        <v>8.6547029306606321E-2</v>
      </c>
      <c r="AX10" s="43"/>
      <c r="AY10" s="261">
        <v>4.3999999999999997E-2</v>
      </c>
      <c r="AZ10" s="258">
        <v>3.7999999999999999E-2</v>
      </c>
      <c r="BA10" s="258">
        <v>4.8000000000000001E-2</v>
      </c>
      <c r="BB10" s="258">
        <v>7.9000000000000001E-2</v>
      </c>
      <c r="BC10" s="449">
        <f>+SUMPRODUCT(AY10:BB10,AS$8:AV$8)/AW$8</f>
        <v>5.269849450839563E-2</v>
      </c>
      <c r="BD10" s="43"/>
      <c r="BE10" s="261">
        <v>6.8000000000000005E-2</v>
      </c>
      <c r="BF10" s="258">
        <v>2.5999999999999999E-2</v>
      </c>
      <c r="BG10" s="258">
        <v>5.0999999999999997E-2</v>
      </c>
      <c r="BH10" s="258">
        <v>9.1999999999999998E-2</v>
      </c>
      <c r="BI10" s="449">
        <f>+SUMPRODUCT(BE10:BH10,AY$8:BB$8)/BC$8</f>
        <v>5.9789278155749095E-2</v>
      </c>
      <c r="BJ10" s="43"/>
      <c r="BK10" s="261">
        <v>1.4999999999999999E-2</v>
      </c>
      <c r="BL10" s="258">
        <v>5.8000000000000003E-2</v>
      </c>
      <c r="BM10" s="258">
        <v>2.7E-2</v>
      </c>
      <c r="BN10" s="258">
        <v>2.5000000000000001E-2</v>
      </c>
      <c r="BO10" s="449">
        <f>+SUMPRODUCT(BK10:BN10,BE$8:BH$8)/BI$8</f>
        <v>3.1136906909590541E-2</v>
      </c>
      <c r="BP10" s="43"/>
      <c r="BQ10" s="263">
        <v>8.3000000000000004E-2</v>
      </c>
      <c r="BR10" s="262">
        <v>0.03</v>
      </c>
      <c r="BS10" s="262">
        <v>4.4999999999999998E-2</v>
      </c>
      <c r="BT10" s="262">
        <v>0</v>
      </c>
      <c r="BU10" s="449">
        <f>+SUMPRODUCT(BQ10:BT10,BK$8:BN$8)/BO$8</f>
        <v>3.7501712785955259E-2</v>
      </c>
      <c r="BV10" s="43"/>
      <c r="BW10" s="263">
        <v>2.5000000000000001E-2</v>
      </c>
      <c r="BX10" s="262">
        <f t="shared" ref="BX10:BZ12" si="0">+BW10</f>
        <v>2.5000000000000001E-2</v>
      </c>
      <c r="BY10" s="262">
        <f t="shared" si="0"/>
        <v>2.5000000000000001E-2</v>
      </c>
      <c r="BZ10" s="262">
        <f t="shared" si="0"/>
        <v>2.5000000000000001E-2</v>
      </c>
      <c r="CA10" s="449">
        <f>+SUMPRODUCT(BW10:BZ10,BQ$8:BT$8)/BU$8</f>
        <v>2.4999999999999998E-2</v>
      </c>
      <c r="CB10" s="43"/>
      <c r="CC10" s="263">
        <f>+BZ10</f>
        <v>2.5000000000000001E-2</v>
      </c>
      <c r="CD10" s="262">
        <f t="shared" ref="CD10:CF12" si="1">+CC10</f>
        <v>2.5000000000000001E-2</v>
      </c>
      <c r="CE10" s="262">
        <f t="shared" si="1"/>
        <v>2.5000000000000001E-2</v>
      </c>
      <c r="CF10" s="262">
        <f t="shared" si="1"/>
        <v>2.5000000000000001E-2</v>
      </c>
      <c r="CG10" s="449">
        <f>+SUMPRODUCT(CC10:CF10,BW$8:BZ$8)/CA$8</f>
        <v>2.5000000000000001E-2</v>
      </c>
    </row>
    <row r="11" spans="1:88" ht="11.25" customHeight="1" outlineLevel="1" x14ac:dyDescent="0.2">
      <c r="A11" s="78"/>
      <c r="B11" s="99" t="s">
        <v>255</v>
      </c>
      <c r="C11" s="259">
        <f>C9-C10</f>
        <v>-2.0000000000000018E-3</v>
      </c>
      <c r="D11" s="260">
        <f>D9-D10</f>
        <v>3.0000000000000027E-3</v>
      </c>
      <c r="E11" s="260">
        <f>E9-E10</f>
        <v>7.9999999999999793E-3</v>
      </c>
      <c r="F11" s="260">
        <f>F9-F10</f>
        <v>1.6E-2</v>
      </c>
      <c r="G11" s="449">
        <f>G9-G10</f>
        <v>6.0000000000000053E-3</v>
      </c>
      <c r="H11" s="43"/>
      <c r="I11" s="259">
        <f>I9-I10</f>
        <v>1.5418970104923505E-2</v>
      </c>
      <c r="J11" s="260">
        <f>J9-J10</f>
        <v>1.0006571670461789E-2</v>
      </c>
      <c r="K11" s="260">
        <f>K9-K10</f>
        <v>-4.2656198336392254E-3</v>
      </c>
      <c r="L11" s="260">
        <f>L9-L10</f>
        <v>-3.7094896733047111E-2</v>
      </c>
      <c r="M11" s="449">
        <f>+SUMPRODUCT(I11:L11,C$8:F$8)/G$8</f>
        <v>-5.3704982957498409E-3</v>
      </c>
      <c r="N11" s="43"/>
      <c r="O11" s="259">
        <f>O9-O10</f>
        <v>-2.5139417080893071E-2</v>
      </c>
      <c r="P11" s="260">
        <f>P9-P10</f>
        <v>-2.0584978295445623E-2</v>
      </c>
      <c r="Q11" s="260">
        <f>Q9-Q10</f>
        <v>-5.2765293762771157E-3</v>
      </c>
      <c r="R11" s="260">
        <f>R9-R10</f>
        <v>2.4634874781239713E-2</v>
      </c>
      <c r="S11" s="449">
        <f>+SUMPRODUCT(O11:R11,I$8:L$8)/M$8</f>
        <v>-6.3199822832620493E-3</v>
      </c>
      <c r="T11" s="43"/>
      <c r="U11" s="259">
        <f>U9-U10</f>
        <v>1.6839281024183545E-2</v>
      </c>
      <c r="V11" s="260">
        <f>V9-V10</f>
        <v>1.3941353446294394E-2</v>
      </c>
      <c r="W11" s="260">
        <f>W9-W10</f>
        <v>5.5312145836849402E-3</v>
      </c>
      <c r="X11" s="260">
        <f>X9-X10</f>
        <v>5.9512968209615713E-3</v>
      </c>
      <c r="Y11" s="449">
        <f>+SUMPRODUCT(U11:X11,O$8:R$8)/S$8</f>
        <v>1.0404516715864794E-2</v>
      </c>
      <c r="Z11" s="43"/>
      <c r="AA11" s="259">
        <f>AA9-AA10</f>
        <v>1.5939238196687258E-2</v>
      </c>
      <c r="AB11" s="260">
        <f>AB9-AB10</f>
        <v>1.4892771379930982E-2</v>
      </c>
      <c r="AC11" s="260">
        <f>AC9-AC10</f>
        <v>1.4056942066852835E-2</v>
      </c>
      <c r="AD11" s="260">
        <f>AD9-AD10</f>
        <v>8.6241762999165195E-3</v>
      </c>
      <c r="AE11" s="449">
        <f>+SUMPRODUCT(AA11:AD11,U$8:X$8)/Y$8</f>
        <v>1.3238668745139398E-2</v>
      </c>
      <c r="AF11" s="43"/>
      <c r="AG11" s="259">
        <f>AG9-AG10</f>
        <v>-2.0000000000000018E-3</v>
      </c>
      <c r="AH11" s="260">
        <f>AH9-AH10</f>
        <v>-4.9999999999999975E-3</v>
      </c>
      <c r="AI11" s="260">
        <f>AI9-AI10</f>
        <v>-2.070596314790861E-3</v>
      </c>
      <c r="AJ11" s="260">
        <f>AJ9-AJ10</f>
        <v>2.8926034389914392E-3</v>
      </c>
      <c r="AK11" s="449">
        <f>+SUMPRODUCT(AG11:AJ11,AA$8:AD$8)/AE$8</f>
        <v>-1.3804846481381883E-3</v>
      </c>
      <c r="AL11" s="43"/>
      <c r="AM11" s="259">
        <f>AM9-AM10</f>
        <v>-7.0943197690807522E-4</v>
      </c>
      <c r="AN11" s="260">
        <f>AN9-AN10</f>
        <v>-1.7452934962212813E-3</v>
      </c>
      <c r="AO11" s="260">
        <f>AO9-AO10</f>
        <v>-4.4381564532671308E-3</v>
      </c>
      <c r="AP11" s="260">
        <f>AP9-AP10</f>
        <v>-5.7857285254897355E-3</v>
      </c>
      <c r="AQ11" s="449">
        <f>+SUMPRODUCT(AM11:AP11,AG$8:AJ$8)/AK$8</f>
        <v>-3.2530558634438311E-3</v>
      </c>
      <c r="AR11" s="43"/>
      <c r="AS11" s="259">
        <f>AS9-AS10</f>
        <v>-9.553079160787209E-3</v>
      </c>
      <c r="AT11" s="260">
        <f>AT9-AT10</f>
        <v>-1.6133975026014574E-2</v>
      </c>
      <c r="AU11" s="260">
        <f>AU9-AU10</f>
        <v>-1.1831347721976831E-2</v>
      </c>
      <c r="AV11" s="260">
        <f>AV9-AV10</f>
        <v>-1.7463582653155896E-2</v>
      </c>
      <c r="AW11" s="449">
        <f>+SUMPRODUCT(AS11:AV11,AM$8:AP$8)/AQ$8</f>
        <v>-1.3899052470480736E-2</v>
      </c>
      <c r="AX11" s="43"/>
      <c r="AY11" s="259">
        <f>AY9-AY10</f>
        <v>-1.8548984142329153E-2</v>
      </c>
      <c r="AZ11" s="260">
        <f>AZ9-AZ10</f>
        <v>-1.2500125248530579E-2</v>
      </c>
      <c r="BA11" s="260">
        <f>BA9-BA10</f>
        <v>-1.6797281513205545E-2</v>
      </c>
      <c r="BB11" s="260">
        <f>BB9-BB10</f>
        <v>-1.5317364782809581E-2</v>
      </c>
      <c r="BC11" s="449">
        <f>+SUMPRODUCT(AY11:BB11,AS$8:AV$8)/AW$8</f>
        <v>-1.5733449090963011E-2</v>
      </c>
      <c r="BD11" s="43"/>
      <c r="BE11" s="259">
        <f>BE9-BE10</f>
        <v>-1.0150299740364355E-2</v>
      </c>
      <c r="BF11" s="260">
        <f>BF9-BF10</f>
        <v>-4.5751962701298977E-3</v>
      </c>
      <c r="BG11" s="260">
        <f>BG9-BG10</f>
        <v>-3.0590726122055323E-5</v>
      </c>
      <c r="BH11" s="260">
        <f>BH9-BH10</f>
        <v>3.5959741052135619E-4</v>
      </c>
      <c r="BI11" s="449">
        <f>+SUMPRODUCT(BE11:BH11,AY$8:BB$8)/BC$8</f>
        <v>-3.4173032456233919E-3</v>
      </c>
      <c r="BJ11" s="43"/>
      <c r="BK11" s="259">
        <f>BK9-BK10</f>
        <v>3.7090414056876325E-3</v>
      </c>
      <c r="BL11" s="260">
        <f>BL9-BL10</f>
        <v>-3.8331648538271826E-3</v>
      </c>
      <c r="BM11" s="260">
        <f>BM9-BM10</f>
        <v>3.9977581024361018E-3</v>
      </c>
      <c r="BN11" s="260">
        <f>BN9-BN10</f>
        <v>4.7895853858867174E-3</v>
      </c>
      <c r="BO11" s="449">
        <f>+SUMPRODUCT(BK11:BN11,BE$8:BH$8)/BI$8</f>
        <v>2.258795750694001E-3</v>
      </c>
      <c r="BP11" s="43"/>
      <c r="BQ11" s="259">
        <v>0</v>
      </c>
      <c r="BR11" s="260">
        <f t="shared" ref="BR11:BT12" si="2">+BQ11</f>
        <v>0</v>
      </c>
      <c r="BS11" s="260">
        <f t="shared" si="2"/>
        <v>0</v>
      </c>
      <c r="BT11" s="260">
        <f t="shared" si="2"/>
        <v>0</v>
      </c>
      <c r="BU11" s="449">
        <f>+SUMPRODUCT(BQ11:BT11,BK$8:BN$8)/BO$8</f>
        <v>0</v>
      </c>
      <c r="BV11" s="43"/>
      <c r="BW11" s="259">
        <f>+BT11</f>
        <v>0</v>
      </c>
      <c r="BX11" s="260">
        <f t="shared" si="0"/>
        <v>0</v>
      </c>
      <c r="BY11" s="260">
        <f t="shared" si="0"/>
        <v>0</v>
      </c>
      <c r="BZ11" s="260">
        <f t="shared" si="0"/>
        <v>0</v>
      </c>
      <c r="CA11" s="449">
        <f>+SUMPRODUCT(BW11:BZ11,BQ$8:BT$8)/BU$8</f>
        <v>0</v>
      </c>
      <c r="CB11" s="43"/>
      <c r="CC11" s="263">
        <f>+BZ11</f>
        <v>0</v>
      </c>
      <c r="CD11" s="262">
        <f t="shared" si="1"/>
        <v>0</v>
      </c>
      <c r="CE11" s="262">
        <f t="shared" si="1"/>
        <v>0</v>
      </c>
      <c r="CF11" s="262">
        <f t="shared" si="1"/>
        <v>0</v>
      </c>
      <c r="CG11" s="449">
        <f>+SUMPRODUCT(CC11:CF11,BW$8:BZ$8)/CA$8</f>
        <v>0</v>
      </c>
    </row>
    <row r="12" spans="1:88" ht="11.25" customHeight="1" outlineLevel="1" x14ac:dyDescent="0.2">
      <c r="A12" s="78"/>
      <c r="B12" s="99" t="s">
        <v>254</v>
      </c>
      <c r="C12" s="261">
        <v>7.0000000000000007E-2</v>
      </c>
      <c r="D12" s="258">
        <v>6.7000000000000004E-2</v>
      </c>
      <c r="E12" s="258">
        <v>3.4000000000000002E-2</v>
      </c>
      <c r="F12" s="258">
        <v>1.7999999999999999E-2</v>
      </c>
      <c r="G12" s="453">
        <v>4.5999999999999999E-2</v>
      </c>
      <c r="H12" s="43"/>
      <c r="I12" s="261">
        <v>1.7000000000000001E-2</v>
      </c>
      <c r="J12" s="258">
        <v>1.4999999999999999E-2</v>
      </c>
      <c r="K12" s="258">
        <v>0</v>
      </c>
      <c r="L12" s="258">
        <v>0</v>
      </c>
      <c r="M12" s="449">
        <f>+SUMPRODUCT(I12:L12,C$8:F$8)/G$8</f>
        <v>7.5465707266933165E-3</v>
      </c>
      <c r="N12" s="43"/>
      <c r="O12" s="261">
        <v>2.5999999999999999E-2</v>
      </c>
      <c r="P12" s="258">
        <v>2.4E-2</v>
      </c>
      <c r="Q12" s="258">
        <v>2.4E-2</v>
      </c>
      <c r="R12" s="258">
        <v>2.7E-2</v>
      </c>
      <c r="S12" s="449">
        <f>+SUMPRODUCT(O12:R12,I$8:L$8)/M$8</f>
        <v>2.5241235512632333E-2</v>
      </c>
      <c r="T12" s="43"/>
      <c r="U12" s="261">
        <v>8.0000000000000002E-3</v>
      </c>
      <c r="V12" s="258">
        <v>4.7E-2</v>
      </c>
      <c r="W12" s="258">
        <v>0.05</v>
      </c>
      <c r="X12" s="258">
        <v>3.6999999999999998E-2</v>
      </c>
      <c r="Y12" s="449">
        <f>+SUMPRODUCT(U12:X12,O$8:R$8)/S$8</f>
        <v>3.5838334353949786E-2</v>
      </c>
      <c r="Z12" s="43"/>
      <c r="AA12" s="261">
        <v>4.2999999999999997E-2</v>
      </c>
      <c r="AB12" s="258">
        <v>6.0000000000000001E-3</v>
      </c>
      <c r="AC12" s="258">
        <v>0</v>
      </c>
      <c r="AD12" s="258">
        <v>7.4999999999999997E-2</v>
      </c>
      <c r="AE12" s="449">
        <f>+SUMPRODUCT(AA12:AD12,U$8:X$8)/Y$8</f>
        <v>3.1560920999092884E-2</v>
      </c>
      <c r="AF12" s="43"/>
      <c r="AG12" s="261">
        <v>3.0000000000000001E-3</v>
      </c>
      <c r="AH12" s="258">
        <v>6.0000000000000001E-3</v>
      </c>
      <c r="AI12" s="258">
        <v>1.0999999999999999E-2</v>
      </c>
      <c r="AJ12" s="258">
        <f>1.1%-9.1%</f>
        <v>-0.08</v>
      </c>
      <c r="AK12" s="449">
        <f>+SUMPRODUCT(AG12:AJ12,AA$8:AD$8)/AE$8</f>
        <v>-1.7757739764303698E-2</v>
      </c>
      <c r="AL12" s="43"/>
      <c r="AM12" s="261">
        <v>8.9999999999999993E-3</v>
      </c>
      <c r="AN12" s="258">
        <v>7.0000000000000001E-3</v>
      </c>
      <c r="AO12" s="258">
        <v>0</v>
      </c>
      <c r="AP12" s="258">
        <v>0</v>
      </c>
      <c r="AQ12" s="449">
        <f>+SUMPRODUCT(AM12:AP12,AG$8:AJ$8)/AK$8</f>
        <v>3.8726450772922395E-3</v>
      </c>
      <c r="AR12" s="43"/>
      <c r="AS12" s="261">
        <v>5.2999999999999999E-2</v>
      </c>
      <c r="AT12" s="258">
        <v>4.8000000000000001E-2</v>
      </c>
      <c r="AU12" s="258">
        <v>4.4999999999999998E-2</v>
      </c>
      <c r="AV12" s="258">
        <v>4.9000000000000002E-2</v>
      </c>
      <c r="AW12" s="449">
        <f>+SUMPRODUCT(AS12:AV12,AM$8:AP$8)/AQ$8</f>
        <v>4.8704529345982822E-2</v>
      </c>
      <c r="AX12" s="43"/>
      <c r="AY12" s="261">
        <v>0</v>
      </c>
      <c r="AZ12" s="258">
        <v>1E-3</v>
      </c>
      <c r="BA12" s="258">
        <v>4.0000000000000001E-3</v>
      </c>
      <c r="BB12" s="258">
        <v>3.0000000000000001E-3</v>
      </c>
      <c r="BC12" s="449">
        <f>+SUMPRODUCT(AY12:BB12,AS$8:AV$8)/AW$8</f>
        <v>2.0364113421675002E-3</v>
      </c>
      <c r="BD12" s="43"/>
      <c r="BE12" s="261">
        <v>4.0000000000000001E-3</v>
      </c>
      <c r="BF12" s="258">
        <v>6.0000000000000001E-3</v>
      </c>
      <c r="BG12" s="258">
        <v>7.0000000000000001E-3</v>
      </c>
      <c r="BH12" s="258">
        <f>0.8%+6.2%</f>
        <v>7.0000000000000007E-2</v>
      </c>
      <c r="BI12" s="449">
        <f>+SUMPRODUCT(BE12:BH12,AY$8:BB$8)/BC$8</f>
        <v>2.3079040125272367E-2</v>
      </c>
      <c r="BJ12" s="43"/>
      <c r="BK12" s="261">
        <v>7.0000000000000001E-3</v>
      </c>
      <c r="BL12" s="258">
        <v>0.02</v>
      </c>
      <c r="BM12" s="258">
        <f>1.9%-13/BG8</f>
        <v>4.2207564244234955E-3</v>
      </c>
      <c r="BN12" s="258">
        <f>1.9%-6.1%</f>
        <v>-4.1999999999999996E-2</v>
      </c>
      <c r="BO12" s="449">
        <f>+SUMPRODUCT(BK12:BN12,BE$8:BH$8)/BI$8</f>
        <v>-4.2350146055931291E-3</v>
      </c>
      <c r="BP12" s="43"/>
      <c r="BQ12" s="263">
        <v>0.02</v>
      </c>
      <c r="BR12" s="262">
        <v>0</v>
      </c>
      <c r="BS12" s="262">
        <f t="shared" si="2"/>
        <v>0</v>
      </c>
      <c r="BT12" s="262">
        <f t="shared" si="2"/>
        <v>0</v>
      </c>
      <c r="BU12" s="449">
        <f>+SUMPRODUCT(BQ12:BT12,BK$8:BN$8)/BO$8</f>
        <v>4.5965575650658676E-3</v>
      </c>
      <c r="BV12" s="43"/>
      <c r="BW12" s="263">
        <f>+BT12</f>
        <v>0</v>
      </c>
      <c r="BX12" s="262">
        <f t="shared" si="0"/>
        <v>0</v>
      </c>
      <c r="BY12" s="262">
        <f t="shared" si="0"/>
        <v>0</v>
      </c>
      <c r="BZ12" s="262">
        <f t="shared" si="0"/>
        <v>0</v>
      </c>
      <c r="CA12" s="449">
        <f>+SUMPRODUCT(BW12:BZ12,BQ$8:BT$8)/BU$8</f>
        <v>0</v>
      </c>
      <c r="CB12" s="43"/>
      <c r="CC12" s="263">
        <f>+BZ12</f>
        <v>0</v>
      </c>
      <c r="CD12" s="262">
        <f t="shared" si="1"/>
        <v>0</v>
      </c>
      <c r="CE12" s="262">
        <f t="shared" si="1"/>
        <v>0</v>
      </c>
      <c r="CF12" s="262">
        <f t="shared" si="1"/>
        <v>0</v>
      </c>
      <c r="CG12" s="449">
        <f>+SUMPRODUCT(CC12:CF12,BW$8:BZ$8)/CA$8</f>
        <v>0</v>
      </c>
    </row>
    <row r="13" spans="1:88" ht="11.25" customHeight="1" outlineLevel="1" x14ac:dyDescent="0.2">
      <c r="A13" s="78"/>
      <c r="B13" s="98" t="s">
        <v>257</v>
      </c>
      <c r="C13" s="259">
        <f>+C10-C12</f>
        <v>9.9000000000000005E-2</v>
      </c>
      <c r="D13" s="260">
        <f>+D10-D12</f>
        <v>0.10499999999999998</v>
      </c>
      <c r="E13" s="260">
        <f>+E10-E12</f>
        <v>0.10400000000000001</v>
      </c>
      <c r="F13" s="260">
        <f>+F10-F12</f>
        <v>9.4E-2</v>
      </c>
      <c r="G13" s="449">
        <f>+G10-G12</f>
        <v>9.9999999999999992E-2</v>
      </c>
      <c r="H13" s="264"/>
      <c r="I13" s="259">
        <f>+I10-I12</f>
        <v>5.4999999999999993E-2</v>
      </c>
      <c r="J13" s="260">
        <f>+J10-J12</f>
        <v>7.1999999999999995E-2</v>
      </c>
      <c r="K13" s="260">
        <f>+K10-K12</f>
        <v>4.3999999999999997E-2</v>
      </c>
      <c r="L13" s="260">
        <f>+L10-L12</f>
        <v>-3.0000000000000001E-3</v>
      </c>
      <c r="M13" s="449">
        <f>+SUMPRODUCT(I13:L13,C$8:F$8)/G$8</f>
        <v>4.0340231963232213E-2</v>
      </c>
      <c r="N13" s="264"/>
      <c r="O13" s="259">
        <f>+O10-O12</f>
        <v>-0.03</v>
      </c>
      <c r="P13" s="260">
        <f>+P10-P12</f>
        <v>-0.06</v>
      </c>
      <c r="Q13" s="260">
        <f>+Q10-Q12</f>
        <v>-4.9000000000000002E-2</v>
      </c>
      <c r="R13" s="260">
        <f>+R10-R12</f>
        <v>-2.5000000000000001E-2</v>
      </c>
      <c r="S13" s="449">
        <f>+SUMPRODUCT(O13:R13,I$8:L$8)/M$8</f>
        <v>-4.1181313749871454E-2</v>
      </c>
      <c r="T13" s="264"/>
      <c r="U13" s="259">
        <f>+U10-U12</f>
        <v>9.9999999999999985E-3</v>
      </c>
      <c r="V13" s="260">
        <f>+V10-V12</f>
        <v>2.7999999999999997E-2</v>
      </c>
      <c r="W13" s="260">
        <f>+W10-W12</f>
        <v>1.4999999999999999E-2</v>
      </c>
      <c r="X13" s="260">
        <f>+X10-X12</f>
        <v>3.0000000000000006E-2</v>
      </c>
      <c r="Y13" s="449">
        <f>+SUMPRODUCT(U13:X13,O$8:R$8)/S$8</f>
        <v>2.1053689339226217E-2</v>
      </c>
      <c r="Z13" s="264"/>
      <c r="AA13" s="259">
        <f>+AA10-AA12</f>
        <v>2.8999999999999998E-2</v>
      </c>
      <c r="AB13" s="260">
        <f>+AB10-AB12</f>
        <v>3.4000000000000002E-2</v>
      </c>
      <c r="AC13" s="260">
        <f>+AC10-AC12</f>
        <v>1.7999999999999999E-2</v>
      </c>
      <c r="AD13" s="260">
        <f>+AD10-AD12</f>
        <v>4.4999999999999998E-2</v>
      </c>
      <c r="AE13" s="449">
        <f>+SUMPRODUCT(AA13:AD13,U$8:X$8)/Y$8</f>
        <v>3.1834579275280626E-2</v>
      </c>
      <c r="AF13" s="264"/>
      <c r="AG13" s="259">
        <f>+AG10-AG12</f>
        <v>4.4999999999999998E-2</v>
      </c>
      <c r="AH13" s="260">
        <f>+AH10-AH12</f>
        <v>3.2000000000000001E-2</v>
      </c>
      <c r="AI13" s="260">
        <f>+AI10-AI12</f>
        <v>3.1000000000000003E-2</v>
      </c>
      <c r="AJ13" s="260">
        <f>+AJ10-AJ12</f>
        <v>7.0000000000000007E-2</v>
      </c>
      <c r="AK13" s="449">
        <f>+SUMPRODUCT(AG13:AJ13,AA$8:AD$8)/AE$8</f>
        <v>4.5492568666890033E-2</v>
      </c>
      <c r="AL13" s="264"/>
      <c r="AM13" s="259">
        <f>+AM10-AM12</f>
        <v>1.1000000000000001E-2</v>
      </c>
      <c r="AN13" s="260">
        <f>+AN10-AN12</f>
        <v>3.5999999999999997E-2</v>
      </c>
      <c r="AO13" s="260">
        <f>+AO10-AO12</f>
        <v>4.8000000000000001E-2</v>
      </c>
      <c r="AP13" s="260">
        <f>+AP10-AP12</f>
        <v>2.1000000000000001E-2</v>
      </c>
      <c r="AQ13" s="449">
        <f>+SUMPRODUCT(AM13:AP13,AG$8:AJ$8)/AK$8</f>
        <v>2.8897705471619652E-2</v>
      </c>
      <c r="AR13" s="264"/>
      <c r="AS13" s="259">
        <f>+AS10-AS12</f>
        <v>3.5999999999999997E-2</v>
      </c>
      <c r="AT13" s="260">
        <f>+AT10-AT12</f>
        <v>4.2999999999999997E-2</v>
      </c>
      <c r="AU13" s="260">
        <f>+AU10-AU12</f>
        <v>5.5000000000000007E-2</v>
      </c>
      <c r="AV13" s="260">
        <f>+AV10-AV12</f>
        <v>1.9000000000000003E-2</v>
      </c>
      <c r="AW13" s="449">
        <f>+SUMPRODUCT(AS13:AV13,AM$8:AP$8)/AQ$8</f>
        <v>3.784249996062352E-2</v>
      </c>
      <c r="AX13" s="264"/>
      <c r="AY13" s="259">
        <f>+AY10-AY12</f>
        <v>4.3999999999999997E-2</v>
      </c>
      <c r="AZ13" s="260">
        <f>+AZ10-AZ12</f>
        <v>3.6999999999999998E-2</v>
      </c>
      <c r="BA13" s="260">
        <f>+BA10-BA12</f>
        <v>4.3999999999999997E-2</v>
      </c>
      <c r="BB13" s="260">
        <f>+BB10-BB12</f>
        <v>7.5999999999999998E-2</v>
      </c>
      <c r="BC13" s="449">
        <f>+SUMPRODUCT(AY13:BB13,AS$8:AV$8)/AW$8</f>
        <v>5.0662083166228139E-2</v>
      </c>
      <c r="BD13" s="264"/>
      <c r="BE13" s="259">
        <f>+BE10-BE12</f>
        <v>6.4000000000000001E-2</v>
      </c>
      <c r="BF13" s="260">
        <f>+BF10-BF12</f>
        <v>1.9999999999999997E-2</v>
      </c>
      <c r="BG13" s="260">
        <f>+BG10-BG12</f>
        <v>4.3999999999999997E-2</v>
      </c>
      <c r="BH13" s="260">
        <f>+BH10-BH12</f>
        <v>2.1999999999999992E-2</v>
      </c>
      <c r="BI13" s="449">
        <f>+SUMPRODUCT(BE13:BH13,AY$8:BB$8)/BC$8</f>
        <v>3.6710238030476725E-2</v>
      </c>
      <c r="BJ13" s="264"/>
      <c r="BK13" s="259">
        <f>+BK10-BK12</f>
        <v>8.0000000000000002E-3</v>
      </c>
      <c r="BL13" s="260">
        <f>+BL10-BL12</f>
        <v>3.8000000000000006E-2</v>
      </c>
      <c r="BM13" s="260">
        <f>+BM10-BM12</f>
        <v>2.2779243575576504E-2</v>
      </c>
      <c r="BN13" s="260">
        <f>+BN10-BN12</f>
        <v>6.7000000000000004E-2</v>
      </c>
      <c r="BO13" s="449">
        <f>+SUMPRODUCT(BK13:BN13,BE$8:BH$8)/BI$8</f>
        <v>3.5371921515183667E-2</v>
      </c>
      <c r="BP13" s="264"/>
      <c r="BQ13" s="259">
        <f>+BQ10-BQ12</f>
        <v>6.3E-2</v>
      </c>
      <c r="BR13" s="260">
        <f>+BR10-BR12</f>
        <v>0.03</v>
      </c>
      <c r="BS13" s="260">
        <f>+BS10-BS12</f>
        <v>4.4999999999999998E-2</v>
      </c>
      <c r="BT13" s="260">
        <f>+BT10-BT12</f>
        <v>0</v>
      </c>
      <c r="BU13" s="449">
        <f>+SUMPRODUCT(BQ13:BT13,BK$8:BN$8)/BO$8</f>
        <v>3.2905155220889389E-2</v>
      </c>
      <c r="BV13" s="264"/>
      <c r="BW13" s="259">
        <f>+BW10-BW12</f>
        <v>2.5000000000000001E-2</v>
      </c>
      <c r="BX13" s="260">
        <f>+BX10-BX12</f>
        <v>2.5000000000000001E-2</v>
      </c>
      <c r="BY13" s="260">
        <f>+BY10-BY12</f>
        <v>2.5000000000000001E-2</v>
      </c>
      <c r="BZ13" s="260">
        <f>+BZ10-BZ12</f>
        <v>2.5000000000000001E-2</v>
      </c>
      <c r="CA13" s="449">
        <f>+SUMPRODUCT(BW13:BZ13,BQ$8:BT$8)/BU$8</f>
        <v>2.4999999999999998E-2</v>
      </c>
      <c r="CB13" s="264"/>
      <c r="CC13" s="259">
        <f>+CC10-CC12</f>
        <v>2.5000000000000001E-2</v>
      </c>
      <c r="CD13" s="260">
        <f>+CD10-CD12</f>
        <v>2.5000000000000001E-2</v>
      </c>
      <c r="CE13" s="260">
        <f>+CE10-CE12</f>
        <v>2.5000000000000001E-2</v>
      </c>
      <c r="CF13" s="260">
        <f>+CF10-CF12</f>
        <v>2.5000000000000001E-2</v>
      </c>
      <c r="CG13" s="449">
        <f>+SUMPRODUCT(CC13:CF13,BW$8:BZ$8)/CA$8</f>
        <v>2.5000000000000001E-2</v>
      </c>
    </row>
    <row r="14" spans="1:88" ht="11.25" customHeight="1" outlineLevel="1" x14ac:dyDescent="0.2">
      <c r="A14" s="78"/>
      <c r="B14" s="98"/>
      <c r="C14" s="259"/>
      <c r="D14" s="260"/>
      <c r="E14" s="260"/>
      <c r="F14" s="260"/>
      <c r="G14" s="449"/>
      <c r="H14" s="264"/>
      <c r="I14" s="259"/>
      <c r="J14" s="260"/>
      <c r="K14" s="260"/>
      <c r="L14" s="260"/>
      <c r="M14" s="449"/>
      <c r="N14" s="264"/>
      <c r="O14" s="259"/>
      <c r="P14" s="260"/>
      <c r="Q14" s="260"/>
      <c r="R14" s="260"/>
      <c r="S14" s="449"/>
      <c r="T14" s="264"/>
      <c r="U14" s="259"/>
      <c r="V14" s="260"/>
      <c r="W14" s="260"/>
      <c r="X14" s="260"/>
      <c r="Y14" s="449"/>
      <c r="Z14" s="264"/>
      <c r="AA14" s="259"/>
      <c r="AB14" s="260"/>
      <c r="AC14" s="260"/>
      <c r="AD14" s="260"/>
      <c r="AE14" s="449"/>
      <c r="AF14" s="264"/>
      <c r="AG14" s="259"/>
      <c r="AH14" s="260"/>
      <c r="AI14" s="260"/>
      <c r="AJ14" s="260"/>
      <c r="AK14" s="449"/>
      <c r="AL14" s="264"/>
      <c r="AM14" s="259"/>
      <c r="AN14" s="260"/>
      <c r="AO14" s="260"/>
      <c r="AP14" s="260"/>
      <c r="AQ14" s="449"/>
      <c r="AR14" s="264"/>
      <c r="AS14" s="259"/>
      <c r="AT14" s="260"/>
      <c r="AU14" s="260"/>
      <c r="AV14" s="260"/>
      <c r="AW14" s="449"/>
      <c r="AX14" s="264"/>
      <c r="AY14" s="259"/>
      <c r="AZ14" s="260"/>
      <c r="BA14" s="260"/>
      <c r="BB14" s="260"/>
      <c r="BC14" s="449"/>
      <c r="BD14" s="264"/>
      <c r="BE14" s="259"/>
      <c r="BF14" s="260"/>
      <c r="BG14" s="260"/>
      <c r="BH14" s="260"/>
      <c r="BI14" s="449"/>
      <c r="BJ14" s="264"/>
      <c r="BK14" s="259"/>
      <c r="BL14" s="260"/>
      <c r="BM14" s="260"/>
      <c r="BN14" s="260"/>
      <c r="BO14" s="449"/>
      <c r="BP14" s="264"/>
      <c r="BQ14" s="259"/>
      <c r="BR14" s="260"/>
      <c r="BS14" s="260"/>
      <c r="BT14" s="260"/>
      <c r="BU14" s="449"/>
      <c r="BV14" s="264"/>
      <c r="BW14" s="259"/>
      <c r="BX14" s="260"/>
      <c r="BY14" s="260"/>
      <c r="BZ14" s="260"/>
      <c r="CA14" s="449"/>
      <c r="CB14" s="264"/>
      <c r="CC14" s="259"/>
      <c r="CD14" s="260"/>
      <c r="CE14" s="260"/>
      <c r="CF14" s="260"/>
      <c r="CG14" s="449"/>
    </row>
    <row r="15" spans="1:88" ht="11.25" customHeight="1" outlineLevel="1" x14ac:dyDescent="0.2">
      <c r="A15" s="78"/>
      <c r="B15" s="1162" t="s">
        <v>601</v>
      </c>
      <c r="C15" s="1159"/>
      <c r="D15" s="1160"/>
      <c r="E15" s="1160"/>
      <c r="F15" s="1160"/>
      <c r="G15" s="1161"/>
      <c r="H15" s="264"/>
      <c r="I15" s="1159"/>
      <c r="J15" s="1160"/>
      <c r="K15" s="1160"/>
      <c r="L15" s="1160"/>
      <c r="M15" s="1161"/>
      <c r="N15" s="264"/>
      <c r="O15" s="1159"/>
      <c r="P15" s="1160"/>
      <c r="Q15" s="1160"/>
      <c r="R15" s="1160"/>
      <c r="S15" s="1161"/>
      <c r="T15" s="264"/>
      <c r="U15" s="1159"/>
      <c r="V15" s="1160"/>
      <c r="W15" s="1160"/>
      <c r="X15" s="1160"/>
      <c r="Y15" s="1161"/>
      <c r="Z15" s="264"/>
      <c r="AA15" s="1159"/>
      <c r="AB15" s="1160"/>
      <c r="AC15" s="1160"/>
      <c r="AD15" s="1160"/>
      <c r="AE15" s="1161"/>
      <c r="AF15" s="264"/>
      <c r="AG15" s="1159"/>
      <c r="AH15" s="1160"/>
      <c r="AI15" s="1160"/>
      <c r="AJ15" s="1160"/>
      <c r="AK15" s="1161"/>
      <c r="AL15" s="264"/>
      <c r="AM15" s="1159"/>
      <c r="AN15" s="1160"/>
      <c r="AO15" s="1160"/>
      <c r="AP15" s="1160"/>
      <c r="AQ15" s="1161"/>
      <c r="AR15" s="264"/>
      <c r="AS15" s="1159"/>
      <c r="AT15" s="1160"/>
      <c r="AU15" s="1160"/>
      <c r="AV15" s="1160"/>
      <c r="AW15" s="1161"/>
      <c r="AX15" s="264"/>
      <c r="AY15" s="1159"/>
      <c r="AZ15" s="1160"/>
      <c r="BA15" s="1160"/>
      <c r="BB15" s="1160"/>
      <c r="BC15" s="1161"/>
      <c r="BD15" s="264"/>
      <c r="BE15" s="1159"/>
      <c r="BF15" s="1160"/>
      <c r="BG15" s="1160"/>
      <c r="BH15" s="1160"/>
      <c r="BI15" s="1161"/>
      <c r="BJ15" s="264"/>
      <c r="BK15" s="1159"/>
      <c r="BL15" s="1160"/>
      <c r="BM15" s="1160"/>
      <c r="BN15" s="1160"/>
      <c r="BO15" s="1161"/>
      <c r="BP15" s="264"/>
      <c r="BQ15" s="1159"/>
      <c r="BR15" s="1160"/>
      <c r="BS15" s="1160"/>
      <c r="BT15" s="1160"/>
      <c r="BU15" s="1161"/>
      <c r="BV15" s="264"/>
      <c r="BW15" s="1159"/>
      <c r="BX15" s="1160"/>
      <c r="BY15" s="1160"/>
      <c r="BZ15" s="1160"/>
      <c r="CA15" s="1161"/>
      <c r="CB15" s="264"/>
      <c r="CC15" s="1159"/>
      <c r="CD15" s="1160"/>
      <c r="CE15" s="1160"/>
      <c r="CF15" s="1160"/>
      <c r="CG15" s="1161"/>
    </row>
    <row r="16" spans="1:88" ht="11.25" customHeight="1" outlineLevel="1" x14ac:dyDescent="0.2">
      <c r="A16" s="78"/>
      <c r="B16" s="108" t="s">
        <v>555</v>
      </c>
      <c r="C16" s="147">
        <f>C8*C$337</f>
        <v>444.45479</v>
      </c>
      <c r="D16" s="148">
        <f>D8*D$337</f>
        <v>474.96143000000001</v>
      </c>
      <c r="E16" s="148">
        <f>E8*E$337</f>
        <v>487.40788000000003</v>
      </c>
      <c r="F16" s="148">
        <f>F8*F$337</f>
        <v>538.4505700000002</v>
      </c>
      <c r="G16" s="448">
        <f>SUM(C16:F16)</f>
        <v>1945.2746700000002</v>
      </c>
      <c r="H16" s="39"/>
      <c r="I16" s="147">
        <f>I8*I$337</f>
        <v>478.39656564447523</v>
      </c>
      <c r="J16" s="148">
        <f>J8*J$337</f>
        <v>517.44431202266753</v>
      </c>
      <c r="K16" s="148">
        <f>K8*K$337</f>
        <v>507.76922816688347</v>
      </c>
      <c r="L16" s="148">
        <f>L8*L$337</f>
        <v>522.29318160246169</v>
      </c>
      <c r="M16" s="448">
        <f>SUM(I16:L16)</f>
        <v>2025.903287436488</v>
      </c>
      <c r="N16" s="39"/>
      <c r="O16" s="147">
        <f>O8*O$337</f>
        <v>465.47246774242615</v>
      </c>
      <c r="P16" s="148">
        <f>P8*P$337</f>
        <v>503.85179420867547</v>
      </c>
      <c r="Q16" s="148">
        <f>Q8*Q$337</f>
        <v>504.04431967236366</v>
      </c>
      <c r="R16" s="148">
        <f>R8*R$337</f>
        <v>546.66762727257822</v>
      </c>
      <c r="S16" s="448">
        <f>SUM(O16:R16)</f>
        <v>2020.0362088960433</v>
      </c>
      <c r="T16" s="39"/>
      <c r="U16" s="147">
        <f>U8*U$337</f>
        <v>483.7926027521633</v>
      </c>
      <c r="V16" s="148">
        <f>V8*V$337</f>
        <v>544.08029691372076</v>
      </c>
      <c r="W16" s="148">
        <f>W8*W$337</f>
        <v>541.7264788327102</v>
      </c>
      <c r="X16" s="148">
        <f>X8*X$337</f>
        <v>592.65880213551043</v>
      </c>
      <c r="Y16" s="448">
        <f>SUM(U16:X16)</f>
        <v>2162.2581806341045</v>
      </c>
      <c r="Z16" s="39"/>
      <c r="AA16" s="147">
        <f>AA8*AA$337</f>
        <v>519.12296216161815</v>
      </c>
      <c r="AB16" s="148">
        <f>AB8*AB$337</f>
        <v>551.38099847877186</v>
      </c>
      <c r="AC16" s="148">
        <f>AC8*AC$337</f>
        <v>536.08463999999992</v>
      </c>
      <c r="AD16" s="148">
        <f>AD8*AD$337</f>
        <v>631.33084245514465</v>
      </c>
      <c r="AE16" s="448">
        <f>SUM(AA16:AD16)</f>
        <v>2237.9194430955345</v>
      </c>
      <c r="AF16" s="39"/>
      <c r="AG16" s="147">
        <f>AG8*AG$337</f>
        <v>552.55392474128837</v>
      </c>
      <c r="AH16" s="148">
        <f>AH8*AH$337</f>
        <v>571.81808660322213</v>
      </c>
      <c r="AI16" s="148">
        <f>AI8*AI$337</f>
        <v>561.30377101510169</v>
      </c>
      <c r="AJ16" s="148">
        <f>AJ8*AJ$337</f>
        <v>625.98098040873958</v>
      </c>
      <c r="AK16" s="448">
        <f>SUM(AG16:AJ16)</f>
        <v>2311.6567627683517</v>
      </c>
      <c r="AL16" s="39"/>
      <c r="AM16" s="147">
        <f>AM8*AM$337</f>
        <v>568.49213346789713</v>
      </c>
      <c r="AN16" s="148">
        <f>AN8*AN$337</f>
        <v>595.15551624803641</v>
      </c>
      <c r="AO16" s="148">
        <f>AO8*AO$337</f>
        <v>583.25579726254239</v>
      </c>
      <c r="AP16" s="148">
        <f>AP8*AP$337</f>
        <v>637.36061121808564</v>
      </c>
      <c r="AQ16" s="448">
        <f>SUM(AM16:AP16)</f>
        <v>2384.2640581965616</v>
      </c>
      <c r="AR16" s="39"/>
      <c r="AS16" s="147">
        <f>AS8*AS$337</f>
        <v>608.17571296552558</v>
      </c>
      <c r="AT16" s="148">
        <f>AT8*AT$337</f>
        <v>640.37747431119305</v>
      </c>
      <c r="AU16" s="148">
        <f>AU8*AU$337</f>
        <v>635.81551803377408</v>
      </c>
      <c r="AV16" s="148">
        <f>AV8*AV$337</f>
        <v>682.94548334558431</v>
      </c>
      <c r="AW16" s="448">
        <f>SUM(AS16:AV16)</f>
        <v>2567.314188656077</v>
      </c>
      <c r="AX16" s="39"/>
      <c r="AY16" s="147">
        <f>AY8*AY$337</f>
        <v>618.49716981917982</v>
      </c>
      <c r="AZ16" s="148">
        <f>AZ8*AZ$337</f>
        <v>656.24791993052656</v>
      </c>
      <c r="BA16" s="148">
        <f>BA8*BA$337</f>
        <v>652.44702427630386</v>
      </c>
      <c r="BB16" s="148">
        <f>BB8*BB$337</f>
        <v>719.87048777115626</v>
      </c>
      <c r="BC16" s="448">
        <f>SUM(AY16:BB16)</f>
        <v>2647.0626017971667</v>
      </c>
      <c r="BD16" s="39"/>
      <c r="BE16" s="147">
        <f>BE8*BE$337</f>
        <v>646.39954251710401</v>
      </c>
      <c r="BF16" s="148">
        <f>BF8*BF$337</f>
        <v>670.88963550898211</v>
      </c>
      <c r="BG16" s="148">
        <f>BG8*BG$337</f>
        <v>674.03582460291784</v>
      </c>
      <c r="BH16" s="148">
        <f>BH8*BH$337</f>
        <v>783.32364922111765</v>
      </c>
      <c r="BI16" s="448">
        <f>SUM(BE16:BH16)</f>
        <v>2774.6486518501215</v>
      </c>
      <c r="BJ16" s="39"/>
      <c r="BK16" s="147">
        <f>BK8*BK$337</f>
        <v>675.01787836888991</v>
      </c>
      <c r="BL16" s="148">
        <f>BL8*BL$337</f>
        <v>703.70478265930058</v>
      </c>
      <c r="BM16" s="148">
        <f>BM8*BM$337</f>
        <v>711.55364721876253</v>
      </c>
      <c r="BN16" s="148">
        <f>BN8*BN$337</f>
        <v>803.79951932448569</v>
      </c>
      <c r="BO16" s="448">
        <f>SUM(BK16:BN16)</f>
        <v>2894.0758275714384</v>
      </c>
      <c r="BP16" s="39"/>
      <c r="BQ16" s="147">
        <f>+BK16*(1+BQ17)</f>
        <v>705.39368289548986</v>
      </c>
      <c r="BR16" s="148">
        <f>+BL16*(1+BR17)</f>
        <v>721.297402225783</v>
      </c>
      <c r="BS16" s="148">
        <f>+BM16*(1+BS17)</f>
        <v>729.34248839923157</v>
      </c>
      <c r="BT16" s="148">
        <f>+BN16*(1+BT17)</f>
        <v>823.89450730759779</v>
      </c>
      <c r="BU16" s="448">
        <f>SUM(BQ16:BT16)</f>
        <v>2979.9280808281023</v>
      </c>
      <c r="BV16" s="39"/>
      <c r="BW16" s="147">
        <f>+BQ16*(1+BW17)</f>
        <v>719.50155655339972</v>
      </c>
      <c r="BX16" s="148">
        <f>+BR16*(1+BX17)</f>
        <v>735.72335027029862</v>
      </c>
      <c r="BY16" s="148">
        <f>+BS16*(1+BY17)</f>
        <v>743.9293381672162</v>
      </c>
      <c r="BZ16" s="148">
        <f>+BT16*(1+BZ17)</f>
        <v>840.37239745374973</v>
      </c>
      <c r="CA16" s="448">
        <f>SUM(BW16:BZ16)</f>
        <v>3039.5266424446645</v>
      </c>
      <c r="CB16" s="39"/>
      <c r="CC16" s="147">
        <f>+BW16*(1+CC17)</f>
        <v>733.89158768446771</v>
      </c>
      <c r="CD16" s="148">
        <f>+BX16*(1+CD17)</f>
        <v>750.43781727570456</v>
      </c>
      <c r="CE16" s="148">
        <f>+BY16*(1+CE17)</f>
        <v>758.80792493056049</v>
      </c>
      <c r="CF16" s="148">
        <f>+BZ16*(1+CF17)</f>
        <v>857.17984540282475</v>
      </c>
      <c r="CG16" s="448">
        <f>SUM(CC16:CF16)</f>
        <v>3100.3171752935577</v>
      </c>
    </row>
    <row r="17" spans="1:85" ht="11.25" customHeight="1" outlineLevel="1" x14ac:dyDescent="0.2">
      <c r="A17" s="78"/>
      <c r="B17" s="99" t="s">
        <v>253</v>
      </c>
      <c r="C17" s="61"/>
      <c r="D17" s="61"/>
      <c r="E17" s="61"/>
      <c r="F17" s="61"/>
      <c r="G17" s="447"/>
      <c r="H17" s="51"/>
      <c r="I17" s="625">
        <f>I16/C16-1</f>
        <v>7.6367217562162359E-2</v>
      </c>
      <c r="J17" s="61">
        <f>J16/D16-1</f>
        <v>8.9444909290145036E-2</v>
      </c>
      <c r="K17" s="61">
        <f>K16/E16-1</f>
        <v>4.1774761965037266E-2</v>
      </c>
      <c r="L17" s="61">
        <f>L16/F16-1</f>
        <v>-3.0007189699025716E-2</v>
      </c>
      <c r="M17" s="447">
        <f>M16/G16-1</f>
        <v>4.1448448735770471E-2</v>
      </c>
      <c r="N17" s="51"/>
      <c r="O17" s="625">
        <f>O16/I16-1</f>
        <v>-2.7015448751473103E-2</v>
      </c>
      <c r="P17" s="61">
        <f>P16/J16-1</f>
        <v>-2.626856165615099E-2</v>
      </c>
      <c r="Q17" s="61">
        <f>Q16/K16-1</f>
        <v>-7.3358295223349135E-3</v>
      </c>
      <c r="R17" s="61">
        <f>R16/L16-1</f>
        <v>4.6668129182411811E-2</v>
      </c>
      <c r="S17" s="447">
        <f>S16/M16-1</f>
        <v>-2.896030909683156E-3</v>
      </c>
      <c r="T17" s="51"/>
      <c r="U17" s="625">
        <f>U16/O16-1</f>
        <v>3.9358149577763513E-2</v>
      </c>
      <c r="V17" s="61">
        <f>V16/P16-1</f>
        <v>7.9841935996727287E-2</v>
      </c>
      <c r="W17" s="61">
        <f>W16/Q16-1</f>
        <v>7.4759614759353887E-2</v>
      </c>
      <c r="X17" s="61">
        <f>X16/R16-1</f>
        <v>8.4130050086174579E-2</v>
      </c>
      <c r="Y17" s="447">
        <f>Y16/S16-1</f>
        <v>7.0405654666846784E-2</v>
      </c>
      <c r="Z17" s="51"/>
      <c r="AA17" s="625">
        <f>AA16/U16-1</f>
        <v>7.3027903296722929E-2</v>
      </c>
      <c r="AB17" s="61">
        <f>AB16/V16-1</f>
        <v>1.3418426666916838E-2</v>
      </c>
      <c r="AC17" s="61">
        <f>AC16/W16-1</f>
        <v>-1.0414552459881765E-2</v>
      </c>
      <c r="AD17" s="61">
        <f>AD16/X16-1</f>
        <v>6.5251777549389933E-2</v>
      </c>
      <c r="AE17" s="447">
        <f>AE16/Y16-1</f>
        <v>3.499177995443703E-2</v>
      </c>
      <c r="AF17" s="51"/>
      <c r="AG17" s="625">
        <f>AG16/AA16-1</f>
        <v>6.4398928609253447E-2</v>
      </c>
      <c r="AH17" s="61">
        <f>AH16/AB16-1</f>
        <v>3.7065274611992383E-2</v>
      </c>
      <c r="AI17" s="61">
        <f>AI16/AC16-1</f>
        <v>4.7043188954456472E-2</v>
      </c>
      <c r="AJ17" s="61">
        <f>AJ16/AD16-1</f>
        <v>-8.4739437496832437E-3</v>
      </c>
      <c r="AK17" s="447">
        <f>AK16/AE16-1</f>
        <v>3.29490500206846E-2</v>
      </c>
      <c r="AL17" s="51"/>
      <c r="AM17" s="625">
        <f>AM16/AG16-1</f>
        <v>2.8844621335503584E-2</v>
      </c>
      <c r="AN17" s="61">
        <f>AN16/AH16-1</f>
        <v>4.0812681850351806E-2</v>
      </c>
      <c r="AO17" s="61">
        <f>AO16/AI16-1</f>
        <v>3.9108994774328831E-2</v>
      </c>
      <c r="AP17" s="61">
        <f>AP16/AJ16-1</f>
        <v>1.8178876300547708E-2</v>
      </c>
      <c r="AQ17" s="447">
        <f>AQ16/AK16-1</f>
        <v>3.1409202524192326E-2</v>
      </c>
      <c r="AR17" s="51"/>
      <c r="AS17" s="625">
        <f>AS16/AM16-1</f>
        <v>6.9804975586120976E-2</v>
      </c>
      <c r="AT17" s="61">
        <f>AT16/AN16-1</f>
        <v>7.5983430932882401E-2</v>
      </c>
      <c r="AU17" s="61">
        <f>AU16/AO16-1</f>
        <v>9.0114356373165894E-2</v>
      </c>
      <c r="AV17" s="61">
        <f>AV16/AP16-1</f>
        <v>7.1521319838669717E-2</v>
      </c>
      <c r="AW17" s="447">
        <f>AW16/AQ16-1</f>
        <v>7.6774269121002048E-2</v>
      </c>
      <c r="AX17" s="51"/>
      <c r="AY17" s="625">
        <f>AY16/AS16-1</f>
        <v>1.6971175654689974E-2</v>
      </c>
      <c r="AZ17" s="61">
        <f>AZ16/AT16-1</f>
        <v>2.4782954204321639E-2</v>
      </c>
      <c r="BA17" s="61">
        <f>BA16/AU16-1</f>
        <v>2.6157754522824206E-2</v>
      </c>
      <c r="BB17" s="61">
        <f>BB16/AV16-1</f>
        <v>5.4067279638025045E-2</v>
      </c>
      <c r="BC17" s="447">
        <f>BC16/AW16-1</f>
        <v>3.1062973707489894E-2</v>
      </c>
      <c r="BD17" s="51"/>
      <c r="BE17" s="625">
        <f>BE16/AY16-1</f>
        <v>4.511317764975642E-2</v>
      </c>
      <c r="BF17" s="61">
        <f>BF16/AZ16-1</f>
        <v>2.2311256361781107E-2</v>
      </c>
      <c r="BG17" s="61">
        <f>BG16/BA16-1</f>
        <v>3.308897048087589E-2</v>
      </c>
      <c r="BH17" s="61">
        <f>BH16/BB16-1</f>
        <v>8.8145246301766456E-2</v>
      </c>
      <c r="BI17" s="447">
        <f>BI16/BC16-1</f>
        <v>4.8199105667668274E-2</v>
      </c>
      <c r="BJ17" s="51"/>
      <c r="BK17" s="625">
        <f>BK16/BE16-1</f>
        <v>4.427344694636548E-2</v>
      </c>
      <c r="BL17" s="61">
        <f>BL16/BF16-1</f>
        <v>4.8912884345608809E-2</v>
      </c>
      <c r="BM17" s="61">
        <f>BM16/BG16-1</f>
        <v>5.5661466714987951E-2</v>
      </c>
      <c r="BN17" s="61">
        <f>BN16/BH16-1</f>
        <v>2.6139731800166821E-2</v>
      </c>
      <c r="BO17" s="447">
        <f>BO16/BI16-1</f>
        <v>4.3042269745282358E-2</v>
      </c>
      <c r="BP17" s="51"/>
      <c r="BQ17" s="625">
        <f>+BQ18+BQ19+BQ20</f>
        <v>4.4999999999999998E-2</v>
      </c>
      <c r="BR17" s="61">
        <f>+BR18+BR19+BR20</f>
        <v>2.5000000000000001E-2</v>
      </c>
      <c r="BS17" s="61">
        <f>+BS18+BS19+BS20</f>
        <v>2.5000000000000001E-2</v>
      </c>
      <c r="BT17" s="61">
        <f>+BT18+BT19+BT20</f>
        <v>2.5000000000000001E-2</v>
      </c>
      <c r="BU17" s="447">
        <f>BU16/BO16-1</f>
        <v>2.9664825101941794E-2</v>
      </c>
      <c r="BV17" s="51"/>
      <c r="BW17" s="625">
        <f>+BW18+BW19+BW20</f>
        <v>0.02</v>
      </c>
      <c r="BX17" s="61">
        <f>+BX18+BX19+BX20</f>
        <v>0.02</v>
      </c>
      <c r="BY17" s="61">
        <f>+BY18+BY19+BY20</f>
        <v>0.02</v>
      </c>
      <c r="BZ17" s="61">
        <f>+BZ18+BZ19+BZ20</f>
        <v>0.02</v>
      </c>
      <c r="CA17" s="447">
        <f>CA16/BU16-1</f>
        <v>2.0000000000000018E-2</v>
      </c>
      <c r="CB17" s="51"/>
      <c r="CC17" s="625">
        <f>+CC18+CC19+CC20</f>
        <v>0.02</v>
      </c>
      <c r="CD17" s="61">
        <f>+CD18+CD19+CD20</f>
        <v>0.02</v>
      </c>
      <c r="CE17" s="61">
        <f>+CE18+CE19+CE20</f>
        <v>0.02</v>
      </c>
      <c r="CF17" s="61">
        <f>+CF18+CF19+CF20</f>
        <v>0.02</v>
      </c>
      <c r="CG17" s="447">
        <f>CG16/CA16-1</f>
        <v>2.0000000000000018E-2</v>
      </c>
    </row>
    <row r="18" spans="1:85" ht="11.25" customHeight="1" outlineLevel="1" x14ac:dyDescent="0.2">
      <c r="A18" s="78"/>
      <c r="B18" s="99" t="s">
        <v>255</v>
      </c>
      <c r="C18" s="61"/>
      <c r="D18" s="61"/>
      <c r="E18" s="61"/>
      <c r="F18" s="61"/>
      <c r="G18" s="447"/>
      <c r="H18" s="51"/>
      <c r="I18" s="625">
        <f>I11</f>
        <v>1.5418970104923505E-2</v>
      </c>
      <c r="J18" s="61">
        <f>J11</f>
        <v>1.0006571670461789E-2</v>
      </c>
      <c r="K18" s="61">
        <f>K11</f>
        <v>-4.2656198336392254E-3</v>
      </c>
      <c r="L18" s="61">
        <f>L11</f>
        <v>-3.7094896733047111E-2</v>
      </c>
      <c r="M18" s="447">
        <f>M11</f>
        <v>-5.3704982957498409E-3</v>
      </c>
      <c r="N18" s="51"/>
      <c r="O18" s="625">
        <f>O11</f>
        <v>-2.5139417080893071E-2</v>
      </c>
      <c r="P18" s="61">
        <f>P11</f>
        <v>-2.0584978295445623E-2</v>
      </c>
      <c r="Q18" s="61">
        <f>Q11</f>
        <v>-5.2765293762771157E-3</v>
      </c>
      <c r="R18" s="61">
        <f>R11</f>
        <v>2.4634874781239713E-2</v>
      </c>
      <c r="S18" s="447">
        <f>S11</f>
        <v>-6.3199822832620493E-3</v>
      </c>
      <c r="T18" s="51"/>
      <c r="U18" s="625">
        <f>U11</f>
        <v>1.6839281024183545E-2</v>
      </c>
      <c r="V18" s="61">
        <f>V11</f>
        <v>1.3941353446294394E-2</v>
      </c>
      <c r="W18" s="61">
        <f>W11</f>
        <v>5.5312145836849402E-3</v>
      </c>
      <c r="X18" s="61">
        <f>X11</f>
        <v>5.9512968209615713E-3</v>
      </c>
      <c r="Y18" s="447">
        <f>Y11</f>
        <v>1.0404516715864794E-2</v>
      </c>
      <c r="Z18" s="51"/>
      <c r="AA18" s="625">
        <f>AA11</f>
        <v>1.5939238196687258E-2</v>
      </c>
      <c r="AB18" s="61">
        <f>AB11</f>
        <v>1.4892771379930982E-2</v>
      </c>
      <c r="AC18" s="61">
        <f>AC11</f>
        <v>1.4056942066852835E-2</v>
      </c>
      <c r="AD18" s="61">
        <f>AD11</f>
        <v>8.6241762999165195E-3</v>
      </c>
      <c r="AE18" s="447">
        <f>AE11</f>
        <v>1.3238668745139398E-2</v>
      </c>
      <c r="AF18" s="51"/>
      <c r="AG18" s="625">
        <f>AG11</f>
        <v>-2.0000000000000018E-3</v>
      </c>
      <c r="AH18" s="61">
        <f>AH11</f>
        <v>-4.9999999999999975E-3</v>
      </c>
      <c r="AI18" s="61">
        <f>AI11</f>
        <v>-2.070596314790861E-3</v>
      </c>
      <c r="AJ18" s="61">
        <f>AJ11</f>
        <v>2.8926034389914392E-3</v>
      </c>
      <c r="AK18" s="447">
        <f>AK11</f>
        <v>-1.3804846481381883E-3</v>
      </c>
      <c r="AL18" s="51"/>
      <c r="AM18" s="625">
        <f>AM11</f>
        <v>-7.0943197690807522E-4</v>
      </c>
      <c r="AN18" s="61">
        <f>AN11</f>
        <v>-1.7452934962212813E-3</v>
      </c>
      <c r="AO18" s="61">
        <f>AO11</f>
        <v>-4.4381564532671308E-3</v>
      </c>
      <c r="AP18" s="61">
        <f>AP11</f>
        <v>-5.7857285254897355E-3</v>
      </c>
      <c r="AQ18" s="447">
        <f>AQ11</f>
        <v>-3.2530558634438311E-3</v>
      </c>
      <c r="AR18" s="51"/>
      <c r="AS18" s="625">
        <f>AS11</f>
        <v>-9.553079160787209E-3</v>
      </c>
      <c r="AT18" s="61">
        <f>AT11</f>
        <v>-1.6133975026014574E-2</v>
      </c>
      <c r="AU18" s="61">
        <f>AU11</f>
        <v>-1.1831347721976831E-2</v>
      </c>
      <c r="AV18" s="61">
        <f>AV11</f>
        <v>-1.7463582653155896E-2</v>
      </c>
      <c r="AW18" s="447">
        <f>AW11</f>
        <v>-1.3899052470480736E-2</v>
      </c>
      <c r="AX18" s="51"/>
      <c r="AY18" s="625">
        <f>AY11</f>
        <v>-1.8548984142329153E-2</v>
      </c>
      <c r="AZ18" s="61">
        <f>AZ11</f>
        <v>-1.2500125248530579E-2</v>
      </c>
      <c r="BA18" s="61">
        <f>BA11</f>
        <v>-1.6797281513205545E-2</v>
      </c>
      <c r="BB18" s="61">
        <f>BB11</f>
        <v>-1.5317364782809581E-2</v>
      </c>
      <c r="BC18" s="447">
        <f>BC11</f>
        <v>-1.5733449090963011E-2</v>
      </c>
      <c r="BD18" s="51"/>
      <c r="BE18" s="625">
        <f>BE11</f>
        <v>-1.0150299740364355E-2</v>
      </c>
      <c r="BF18" s="61">
        <f>BF11</f>
        <v>-4.5751962701298977E-3</v>
      </c>
      <c r="BG18" s="61">
        <f>BG11</f>
        <v>-3.0590726122055323E-5</v>
      </c>
      <c r="BH18" s="61">
        <f>BH11</f>
        <v>3.5959741052135619E-4</v>
      </c>
      <c r="BI18" s="447">
        <f>BI11</f>
        <v>-3.4173032456233919E-3</v>
      </c>
      <c r="BJ18" s="51"/>
      <c r="BK18" s="625">
        <f>BK11</f>
        <v>3.7090414056876325E-3</v>
      </c>
      <c r="BL18" s="61">
        <f>BL11</f>
        <v>-3.8331648538271826E-3</v>
      </c>
      <c r="BM18" s="61">
        <f>BM11</f>
        <v>3.9977581024361018E-3</v>
      </c>
      <c r="BN18" s="61">
        <f>BN11</f>
        <v>4.7895853858867174E-3</v>
      </c>
      <c r="BO18" s="463">
        <f>BO11</f>
        <v>2.258795750694001E-3</v>
      </c>
      <c r="BP18" s="51"/>
      <c r="BQ18" s="625">
        <f t="shared" ref="BQ18:BS19" si="3">BQ11</f>
        <v>0</v>
      </c>
      <c r="BR18" s="61">
        <f t="shared" si="3"/>
        <v>0</v>
      </c>
      <c r="BS18" s="51">
        <f t="shared" si="3"/>
        <v>0</v>
      </c>
      <c r="BT18" s="51">
        <f>BT11</f>
        <v>0</v>
      </c>
      <c r="BU18" s="463">
        <f>BU11</f>
        <v>0</v>
      </c>
      <c r="BV18" s="51"/>
      <c r="BW18" s="625">
        <f t="shared" ref="BW18:CA19" si="4">BW11</f>
        <v>0</v>
      </c>
      <c r="BX18" s="61">
        <f t="shared" si="4"/>
        <v>0</v>
      </c>
      <c r="BY18" s="51">
        <f t="shared" si="4"/>
        <v>0</v>
      </c>
      <c r="BZ18" s="51">
        <f t="shared" si="4"/>
        <v>0</v>
      </c>
      <c r="CA18" s="463">
        <f t="shared" si="4"/>
        <v>0</v>
      </c>
      <c r="CB18" s="51"/>
      <c r="CC18" s="625">
        <f t="shared" ref="CC18:CG19" si="5">CC11</f>
        <v>0</v>
      </c>
      <c r="CD18" s="61">
        <f t="shared" si="5"/>
        <v>0</v>
      </c>
      <c r="CE18" s="51">
        <f t="shared" si="5"/>
        <v>0</v>
      </c>
      <c r="CF18" s="51">
        <f t="shared" si="5"/>
        <v>0</v>
      </c>
      <c r="CG18" s="463">
        <f t="shared" si="5"/>
        <v>0</v>
      </c>
    </row>
    <row r="19" spans="1:85" ht="11.25" customHeight="1" outlineLevel="1" x14ac:dyDescent="0.2">
      <c r="A19" s="78"/>
      <c r="B19" s="99" t="s">
        <v>254</v>
      </c>
      <c r="C19" s="61"/>
      <c r="D19" s="61"/>
      <c r="E19" s="61"/>
      <c r="F19" s="61"/>
      <c r="G19" s="447"/>
      <c r="H19" s="51"/>
      <c r="I19" s="625">
        <f>I17-I18-I20</f>
        <v>1.7948247457238858E-2</v>
      </c>
      <c r="J19" s="61">
        <f>J17-J18-J20</f>
        <v>1.6438337619683246E-2</v>
      </c>
      <c r="K19" s="61">
        <f>K17-K18-K20</f>
        <v>-1.9596182013235097E-3</v>
      </c>
      <c r="L19" s="61">
        <f>L17-L18-L20</f>
        <v>-1.0131760000807899E-2</v>
      </c>
      <c r="M19" s="447">
        <f>M17-M18-M20</f>
        <v>4.8189470315203112E-3</v>
      </c>
      <c r="N19" s="51"/>
      <c r="O19" s="625">
        <f>O17-O18-O20</f>
        <v>2.2123968329419968E-2</v>
      </c>
      <c r="P19" s="61">
        <f>P17-P18-P20</f>
        <v>1.1316416639294634E-2</v>
      </c>
      <c r="Q19" s="61">
        <f>Q17-Q18-Q20</f>
        <v>1.5940699853942201E-2</v>
      </c>
      <c r="R19" s="61">
        <f>R17-R18-R20</f>
        <v>1.2497506979215478E-2</v>
      </c>
      <c r="S19" s="447">
        <f>S17-S18-S20</f>
        <v>1.5423951373578893E-2</v>
      </c>
      <c r="T19" s="51"/>
      <c r="U19" s="625">
        <f>U17-U18-U20</f>
        <v>1.0518868553579967E-2</v>
      </c>
      <c r="V19" s="61">
        <f>V17-V18-V20</f>
        <v>-5.0994174495671007E-3</v>
      </c>
      <c r="W19" s="61">
        <f>W17-W18-W20</f>
        <v>-1.1771599824331055E-2</v>
      </c>
      <c r="X19" s="61">
        <f>X17-X18-X20</f>
        <v>-1.8821246734786995E-2</v>
      </c>
      <c r="Y19" s="447">
        <f>Y17-Y18-Y20</f>
        <v>-6.4732024764657184E-3</v>
      </c>
      <c r="Z19" s="51"/>
      <c r="AA19" s="625">
        <f>AA17-AA18-AA20</f>
        <v>-3.1911334899964325E-2</v>
      </c>
      <c r="AB19" s="61">
        <f>AB17-AB18-AB20</f>
        <v>-4.9474344713014144E-2</v>
      </c>
      <c r="AC19" s="61">
        <f>AC17-AC18-AC20</f>
        <v>-5.3471494526734602E-2</v>
      </c>
      <c r="AD19" s="61">
        <f>AD17-AD18-AD20</f>
        <v>8.6276012494734128E-3</v>
      </c>
      <c r="AE19" s="447">
        <f>AE17-AE18-AE20</f>
        <v>-1.6246888790702366E-2</v>
      </c>
      <c r="AF19" s="51"/>
      <c r="AG19" s="625">
        <f>AG17-AG18-AG20</f>
        <v>-4.6010713907465445E-3</v>
      </c>
      <c r="AH19" s="61">
        <f>AH17-AH18-AH20</f>
        <v>2.3065274611992381E-2</v>
      </c>
      <c r="AI19" s="61">
        <f>AI17-AI18-AI20</f>
        <v>2.6113785269247333E-2</v>
      </c>
      <c r="AJ19" s="61">
        <f>AJ17-AJ18-AJ20</f>
        <v>-2.0366547188674682E-2</v>
      </c>
      <c r="AK19" s="447">
        <f>AK17-AK18-AK20</f>
        <v>4.8046805155071773E-3</v>
      </c>
      <c r="AL19" s="51"/>
      <c r="AM19" s="625">
        <f>AM17-AM18-AM20</f>
        <v>1.6554053312411658E-2</v>
      </c>
      <c r="AN19" s="61">
        <f>AN17-AN18-AN20</f>
        <v>5.5797534657308495E-4</v>
      </c>
      <c r="AO19" s="61">
        <f>AO17-AO18-AO20</f>
        <v>9.5471512275959597E-3</v>
      </c>
      <c r="AP19" s="61">
        <f>AP17-AP18-AP20</f>
        <v>-1.9035395173962553E-2</v>
      </c>
      <c r="AQ19" s="447">
        <f>AQ17-AQ18-AQ20</f>
        <v>1.1356549771074018E-3</v>
      </c>
      <c r="AR19" s="51"/>
      <c r="AS19" s="625">
        <f>AS17-AS18-AS20</f>
        <v>5.6358054746908186E-2</v>
      </c>
      <c r="AT19" s="61">
        <f>AT17-AT18-AT20</f>
        <v>6.7117405958896981E-2</v>
      </c>
      <c r="AU19" s="61">
        <f>AU17-AU18-AU20</f>
        <v>4.5945704095142724E-2</v>
      </c>
      <c r="AV19" s="61">
        <f>AV17-AV18-AV20</f>
        <v>3.9984902491825611E-2</v>
      </c>
      <c r="AW19" s="447">
        <f>AW17-AW18-AW20</f>
        <v>5.21235276088605E-2</v>
      </c>
      <c r="AX19" s="51"/>
      <c r="AY19" s="625">
        <f>AY17-AY18-AY20</f>
        <v>-8.4798402029808706E-3</v>
      </c>
      <c r="AZ19" s="61">
        <f>AZ17-AZ18-AZ20</f>
        <v>-1.6716920547147782E-2</v>
      </c>
      <c r="BA19" s="61">
        <f>BA17-BA18-BA20</f>
        <v>4.9550360360297516E-3</v>
      </c>
      <c r="BB19" s="61">
        <f>BB17-BB18-BB20</f>
        <v>8.3846444208346277E-3</v>
      </c>
      <c r="BC19" s="447">
        <f>BC17-BC18-BC20</f>
        <v>-2.8168332859478257E-3</v>
      </c>
      <c r="BD19" s="51"/>
      <c r="BE19" s="625">
        <f>BE17-BE18-BE20</f>
        <v>9.2634773901207751E-3</v>
      </c>
      <c r="BF19" s="61">
        <f>BF17-BF18-BF20</f>
        <v>3.8864526319110047E-3</v>
      </c>
      <c r="BG19" s="61">
        <f>BG17-BG18-BG20</f>
        <v>1.0119561206997946E-2</v>
      </c>
      <c r="BH19" s="61">
        <f>BH17-BH18-BH20</f>
        <v>6.8785648891245096E-2</v>
      </c>
      <c r="BI19" s="447">
        <f>BI17-BI18-BI20</f>
        <v>2.4372099788566047E-2</v>
      </c>
      <c r="BJ19" s="51"/>
      <c r="BK19" s="625">
        <f>BK17-BK18-BK20</f>
        <v>1.0564405540677845E-2</v>
      </c>
      <c r="BL19" s="61">
        <f>BL17-BL18-BL20</f>
        <v>3.474604919943599E-2</v>
      </c>
      <c r="BM19" s="61">
        <f>BM17-BM18-BM20</f>
        <v>2.4663708612551846E-2</v>
      </c>
      <c r="BN19" s="61">
        <f>BN17-BN18-BN20</f>
        <v>-1.0649853585719897E-2</v>
      </c>
      <c r="BO19" s="463">
        <f>+SUMPRODUCT(BK19:BN19,BE$16:BH$16)/BI$16</f>
        <v>1.384735042529351E-2</v>
      </c>
      <c r="BP19" s="51"/>
      <c r="BQ19" s="625">
        <f t="shared" si="3"/>
        <v>0.02</v>
      </c>
      <c r="BR19" s="61">
        <f t="shared" si="3"/>
        <v>0</v>
      </c>
      <c r="BS19" s="51">
        <f t="shared" si="3"/>
        <v>0</v>
      </c>
      <c r="BT19" s="51">
        <f>BT12</f>
        <v>0</v>
      </c>
      <c r="BU19" s="463">
        <f>BU12</f>
        <v>4.5965575650658676E-3</v>
      </c>
      <c r="BV19" s="51"/>
      <c r="BW19" s="625">
        <f t="shared" si="4"/>
        <v>0</v>
      </c>
      <c r="BX19" s="61">
        <f t="shared" si="4"/>
        <v>0</v>
      </c>
      <c r="BY19" s="51">
        <f t="shared" si="4"/>
        <v>0</v>
      </c>
      <c r="BZ19" s="51">
        <f t="shared" si="4"/>
        <v>0</v>
      </c>
      <c r="CA19" s="463">
        <f t="shared" si="4"/>
        <v>0</v>
      </c>
      <c r="CB19" s="51"/>
      <c r="CC19" s="625">
        <f t="shared" si="5"/>
        <v>0</v>
      </c>
      <c r="CD19" s="61">
        <f t="shared" si="5"/>
        <v>0</v>
      </c>
      <c r="CE19" s="51">
        <f t="shared" si="5"/>
        <v>0</v>
      </c>
      <c r="CF19" s="51">
        <f t="shared" si="5"/>
        <v>0</v>
      </c>
      <c r="CG19" s="463">
        <f t="shared" si="5"/>
        <v>0</v>
      </c>
    </row>
    <row r="20" spans="1:85" ht="11.25" customHeight="1" outlineLevel="1" x14ac:dyDescent="0.2">
      <c r="A20" s="78"/>
      <c r="B20" s="1033" t="s">
        <v>569</v>
      </c>
      <c r="C20" s="1040">
        <v>6.2E-2</v>
      </c>
      <c r="D20" s="1040">
        <v>6.8000000000000005E-2</v>
      </c>
      <c r="E20" s="1040">
        <v>0.06</v>
      </c>
      <c r="F20" s="1103">
        <v>4.7679694182513332E-2</v>
      </c>
      <c r="G20" s="1041">
        <v>5.8999999999999997E-2</v>
      </c>
      <c r="H20" s="1110"/>
      <c r="I20" s="1040">
        <v>4.2999999999999997E-2</v>
      </c>
      <c r="J20" s="1040">
        <v>6.3E-2</v>
      </c>
      <c r="K20" s="1040">
        <v>4.8000000000000001E-2</v>
      </c>
      <c r="L20" s="1103">
        <v>1.7219467034829294E-2</v>
      </c>
      <c r="M20" s="1041">
        <v>4.2000000000000003E-2</v>
      </c>
      <c r="N20" s="1110"/>
      <c r="O20" s="1040">
        <v>-2.4E-2</v>
      </c>
      <c r="P20" s="1040">
        <v>-1.7000000000000001E-2</v>
      </c>
      <c r="Q20" s="1040">
        <v>-1.7999999999999999E-2</v>
      </c>
      <c r="R20" s="1103">
        <v>9.5357474219566196E-3</v>
      </c>
      <c r="S20" s="1041">
        <v>-1.2E-2</v>
      </c>
      <c r="T20" s="264"/>
      <c r="U20" s="374">
        <v>1.2E-2</v>
      </c>
      <c r="V20" s="257">
        <v>7.0999999999999994E-2</v>
      </c>
      <c r="W20" s="257">
        <v>8.1000000000000003E-2</v>
      </c>
      <c r="X20" s="257">
        <v>9.7000000000000003E-2</v>
      </c>
      <c r="Y20" s="449">
        <f>+SUMPRODUCT(U20:X20,O$8:R$8)/S$8</f>
        <v>6.6474340427447709E-2</v>
      </c>
      <c r="Z20" s="264"/>
      <c r="AA20" s="374">
        <v>8.8999999999999996E-2</v>
      </c>
      <c r="AB20" s="257">
        <v>4.8000000000000001E-2</v>
      </c>
      <c r="AC20" s="257">
        <v>2.9000000000000001E-2</v>
      </c>
      <c r="AD20" s="257">
        <v>4.8000000000000001E-2</v>
      </c>
      <c r="AE20" s="455">
        <v>3.7999999999999999E-2</v>
      </c>
      <c r="AF20" s="264"/>
      <c r="AG20" s="374">
        <v>7.0999999999999994E-2</v>
      </c>
      <c r="AH20" s="257">
        <v>1.9E-2</v>
      </c>
      <c r="AI20" s="257">
        <v>2.3E-2</v>
      </c>
      <c r="AJ20" s="257">
        <v>8.9999999999999993E-3</v>
      </c>
      <c r="AK20" s="449">
        <f>SUMPRODUCT(AG20:AJ20,AG8:AJ8)/AK8</f>
        <v>2.9524854153315613E-2</v>
      </c>
      <c r="AL20" s="264"/>
      <c r="AM20" s="374">
        <v>1.2999999999999999E-2</v>
      </c>
      <c r="AN20" s="257">
        <v>4.2000000000000003E-2</v>
      </c>
      <c r="AO20" s="257">
        <v>3.4000000000000002E-2</v>
      </c>
      <c r="AP20" s="257">
        <v>4.2999999999999997E-2</v>
      </c>
      <c r="AQ20" s="449">
        <f>SUMPRODUCT(AM20:AP20,AM8:AP8)/AQ8</f>
        <v>3.3526603410528752E-2</v>
      </c>
      <c r="AR20" s="264"/>
      <c r="AS20" s="374">
        <f>0.8%+0.015</f>
        <v>2.3E-2</v>
      </c>
      <c r="AT20" s="257">
        <v>2.5000000000000001E-2</v>
      </c>
      <c r="AU20" s="257">
        <v>5.6000000000000001E-2</v>
      </c>
      <c r="AV20" s="257">
        <v>4.9000000000000002E-2</v>
      </c>
      <c r="AW20" s="449">
        <f>SUMPRODUCT(AS20:AV20,AS8:AV8)/AW8</f>
        <v>3.8549793982622281E-2</v>
      </c>
      <c r="AX20" s="264"/>
      <c r="AY20" s="374">
        <v>4.3999999999999997E-2</v>
      </c>
      <c r="AZ20" s="257">
        <v>5.3999999999999999E-2</v>
      </c>
      <c r="BA20" s="257">
        <v>3.7999999999999999E-2</v>
      </c>
      <c r="BB20" s="257">
        <v>6.0999999999999999E-2</v>
      </c>
      <c r="BC20" s="449">
        <f>SUMPRODUCT(AY20:BB20,AY8:BB8)/BC8</f>
        <v>4.9613256084400731E-2</v>
      </c>
      <c r="BD20" s="264"/>
      <c r="BE20" s="374">
        <v>4.5999999999999999E-2</v>
      </c>
      <c r="BF20" s="257">
        <v>2.3E-2</v>
      </c>
      <c r="BG20" s="257">
        <v>2.3E-2</v>
      </c>
      <c r="BH20" s="257">
        <v>1.9E-2</v>
      </c>
      <c r="BI20" s="449">
        <f>SUMPRODUCT(BE20:BH20,BE8:BH8)/BI8</f>
        <v>2.724430912472562E-2</v>
      </c>
      <c r="BJ20" s="264"/>
      <c r="BK20" s="374">
        <f>2.5%+0.5%</f>
        <v>3.0000000000000002E-2</v>
      </c>
      <c r="BL20" s="257">
        <f>0.8%+1%</f>
        <v>1.8000000000000002E-2</v>
      </c>
      <c r="BM20" s="257">
        <f>1.3%+1.4%</f>
        <v>2.7E-2</v>
      </c>
      <c r="BN20" s="257">
        <f>1.9%+1.3%</f>
        <v>3.2000000000000001E-2</v>
      </c>
      <c r="BO20" s="463">
        <f>BO17-BO18-BO19</f>
        <v>2.6936123569294847E-2</v>
      </c>
      <c r="BP20" s="264"/>
      <c r="BQ20" s="1239">
        <v>2.5000000000000001E-2</v>
      </c>
      <c r="BR20" s="262">
        <f>+BQ20</f>
        <v>2.5000000000000001E-2</v>
      </c>
      <c r="BS20" s="1238">
        <f>+BR20</f>
        <v>2.5000000000000001E-2</v>
      </c>
      <c r="BT20" s="1238">
        <f>+BS20</f>
        <v>2.5000000000000001E-2</v>
      </c>
      <c r="BU20" s="463">
        <f>BU17-BU18-BU19</f>
        <v>2.5068267536875927E-2</v>
      </c>
      <c r="BV20" s="264"/>
      <c r="BW20" s="1239">
        <v>0.02</v>
      </c>
      <c r="BX20" s="262">
        <f>+BW20</f>
        <v>0.02</v>
      </c>
      <c r="BY20" s="1238">
        <f>+BX20</f>
        <v>0.02</v>
      </c>
      <c r="BZ20" s="1238">
        <f>+BY20</f>
        <v>0.02</v>
      </c>
      <c r="CA20" s="463">
        <f>CA17-CA18-CA19</f>
        <v>2.0000000000000018E-2</v>
      </c>
      <c r="CB20" s="264"/>
      <c r="CC20" s="1239">
        <v>0.02</v>
      </c>
      <c r="CD20" s="262">
        <f>+CC20</f>
        <v>0.02</v>
      </c>
      <c r="CE20" s="1238">
        <f>+CD20</f>
        <v>0.02</v>
      </c>
      <c r="CF20" s="1238">
        <f>+CE20</f>
        <v>0.02</v>
      </c>
      <c r="CG20" s="463">
        <f>CG17-CG18-CG19</f>
        <v>2.0000000000000018E-2</v>
      </c>
    </row>
    <row r="21" spans="1:85" ht="11.25" customHeight="1" outlineLevel="1" x14ac:dyDescent="0.2">
      <c r="A21" s="78"/>
      <c r="B21" s="373"/>
      <c r="C21" s="372"/>
      <c r="D21" s="260"/>
      <c r="E21" s="260"/>
      <c r="F21" s="260"/>
      <c r="G21" s="449"/>
      <c r="H21" s="264"/>
      <c r="I21" s="372"/>
      <c r="J21" s="260"/>
      <c r="K21" s="260"/>
      <c r="L21" s="260"/>
      <c r="M21" s="449"/>
      <c r="N21" s="264"/>
      <c r="O21" s="372"/>
      <c r="P21" s="260"/>
      <c r="Q21" s="260"/>
      <c r="R21" s="260"/>
      <c r="S21" s="455"/>
      <c r="T21" s="264"/>
      <c r="U21" s="374"/>
      <c r="V21" s="257"/>
      <c r="W21" s="257"/>
      <c r="X21" s="257"/>
      <c r="Y21" s="449"/>
      <c r="Z21" s="264"/>
      <c r="AA21" s="374"/>
      <c r="AB21" s="257"/>
      <c r="AC21" s="257"/>
      <c r="AD21" s="257"/>
      <c r="AE21" s="449"/>
      <c r="AF21" s="264"/>
      <c r="AG21" s="374"/>
      <c r="AH21" s="257"/>
      <c r="AI21" s="257"/>
      <c r="AJ21" s="257"/>
      <c r="AK21" s="449"/>
      <c r="AL21" s="264"/>
      <c r="AM21" s="374"/>
      <c r="AN21" s="257"/>
      <c r="AO21" s="257"/>
      <c r="AP21" s="257"/>
      <c r="AQ21" s="449"/>
      <c r="AR21" s="264"/>
      <c r="AS21" s="374"/>
      <c r="AT21" s="257"/>
      <c r="AU21" s="257"/>
      <c r="AV21" s="257"/>
      <c r="AW21" s="449"/>
      <c r="AX21" s="264"/>
      <c r="AY21" s="374"/>
      <c r="AZ21" s="257"/>
      <c r="BA21" s="257"/>
      <c r="BB21" s="257"/>
      <c r="BC21" s="449"/>
      <c r="BD21" s="264"/>
      <c r="BE21" s="374"/>
      <c r="BF21" s="257"/>
      <c r="BG21" s="257"/>
      <c r="BH21" s="257"/>
      <c r="BI21" s="449"/>
      <c r="BJ21" s="264"/>
      <c r="BK21" s="374"/>
      <c r="BL21" s="257"/>
      <c r="BM21" s="1176"/>
      <c r="BN21" s="257"/>
      <c r="BO21" s="449"/>
      <c r="BP21" s="264"/>
      <c r="BQ21" s="372"/>
      <c r="BR21" s="260"/>
      <c r="BS21" s="260"/>
      <c r="BT21" s="1153"/>
      <c r="BU21" s="449"/>
      <c r="BV21" s="264"/>
      <c r="BW21" s="372"/>
      <c r="BX21" s="260"/>
      <c r="BY21" s="260"/>
      <c r="BZ21" s="1153"/>
      <c r="CA21" s="449"/>
      <c r="CB21" s="264"/>
      <c r="CC21" s="372"/>
      <c r="CD21" s="260"/>
      <c r="CE21" s="260"/>
      <c r="CF21" s="1153"/>
      <c r="CG21" s="449"/>
    </row>
    <row r="22" spans="1:85" ht="11.25" customHeight="1" outlineLevel="1" x14ac:dyDescent="0.2">
      <c r="A22" s="78"/>
      <c r="B22" s="108" t="s">
        <v>556</v>
      </c>
      <c r="C22" s="147">
        <f>C8*C$338</f>
        <v>118.14621</v>
      </c>
      <c r="D22" s="148">
        <f>D8*D$338</f>
        <v>126.25556999999999</v>
      </c>
      <c r="E22" s="148">
        <f>E8*E$338</f>
        <v>129.56412</v>
      </c>
      <c r="F22" s="148">
        <f>F8*F$338</f>
        <v>143.13243000000003</v>
      </c>
      <c r="G22" s="448">
        <f>SUM(C22:F22)</f>
        <v>517.09833000000003</v>
      </c>
      <c r="H22" s="39"/>
      <c r="I22" s="147">
        <f>I8*I$338</f>
        <v>133.38643435552481</v>
      </c>
      <c r="J22" s="148">
        <f>J8*J$338</f>
        <v>142.0946879773324</v>
      </c>
      <c r="K22" s="148">
        <f>K8*K$338</f>
        <v>133.71777183311644</v>
      </c>
      <c r="L22" s="148">
        <f>L8*L$338</f>
        <v>131.96181839753814</v>
      </c>
      <c r="M22" s="448">
        <f>SUM(I22:L22)</f>
        <v>541.16071256351188</v>
      </c>
      <c r="N22" s="39"/>
      <c r="O22" s="147">
        <f>O8*O$338</f>
        <v>128.4835322575739</v>
      </c>
      <c r="P22" s="148">
        <f>P8*P$338</f>
        <v>118.36720579132458</v>
      </c>
      <c r="Q22" s="148">
        <f>Q8*Q$338</f>
        <v>118.02068032763636</v>
      </c>
      <c r="R22" s="148">
        <f>R8*R$338</f>
        <v>125.01337272742151</v>
      </c>
      <c r="S22" s="448">
        <f>SUM(O22:R22)</f>
        <v>489.88479110395633</v>
      </c>
      <c r="T22" s="39"/>
      <c r="U22" s="147">
        <f>U8*U$338</f>
        <v>130.85639724783678</v>
      </c>
      <c r="V22" s="148">
        <f>V8*V$338</f>
        <v>133.47970308627913</v>
      </c>
      <c r="W22" s="148">
        <f>W8*W$338</f>
        <v>124.21352116728978</v>
      </c>
      <c r="X22" s="148">
        <f>X8*X$338</f>
        <v>128.02219786448953</v>
      </c>
      <c r="Y22" s="448">
        <f>SUM(U22:X22)</f>
        <v>516.57181936589529</v>
      </c>
      <c r="Z22" s="39"/>
      <c r="AA22" s="147">
        <f>AA8*AA$338</f>
        <v>149.57780265673759</v>
      </c>
      <c r="AB22" s="148">
        <f>AB8*AB$338</f>
        <v>163.37214769741405</v>
      </c>
      <c r="AC22" s="148">
        <f>AC8*AC$338</f>
        <v>151.20336000000006</v>
      </c>
      <c r="AD22" s="148">
        <f>AD8*AD$338</f>
        <v>182.04715754485534</v>
      </c>
      <c r="AE22" s="448">
        <f>SUM(AA22:AD22)</f>
        <v>646.20046789900698</v>
      </c>
      <c r="AF22" s="39"/>
      <c r="AG22" s="147">
        <f>AG8*AG$338</f>
        <v>146.90707525871159</v>
      </c>
      <c r="AH22" s="148">
        <f>AH8*AH$338</f>
        <v>166.52191339677796</v>
      </c>
      <c r="AI22" s="148">
        <f>AI8*AI$338</f>
        <v>153.42722898489842</v>
      </c>
      <c r="AJ22" s="148">
        <f>AJ8*AJ$338</f>
        <v>181.61601959126031</v>
      </c>
      <c r="AK22" s="448">
        <f>SUM(AG22:AJ22)</f>
        <v>648.47223723164825</v>
      </c>
      <c r="AL22" s="39"/>
      <c r="AM22" s="147">
        <f>AM8*AM$338</f>
        <v>144.46186653210279</v>
      </c>
      <c r="AN22" s="148">
        <f>AN8*AN$338</f>
        <v>173.64448375196346</v>
      </c>
      <c r="AO22" s="148">
        <f>AO8*AO$338</f>
        <v>162.61020273745754</v>
      </c>
      <c r="AP22" s="148">
        <f>AP8*AP$338</f>
        <v>182.52338878191432</v>
      </c>
      <c r="AQ22" s="448">
        <f>SUM(AM22:AP22)</f>
        <v>663.23994180343811</v>
      </c>
      <c r="AR22" s="39"/>
      <c r="AS22" s="147">
        <f>AS8*AS$338</f>
        <v>161.42028703447451</v>
      </c>
      <c r="AT22" s="148">
        <f>AT8*AT$338</f>
        <v>185.97952568880689</v>
      </c>
      <c r="AU22" s="148">
        <f>AU8*AU$338</f>
        <v>175.8124819662259</v>
      </c>
      <c r="AV22" s="148">
        <f>AV8*AV$338</f>
        <v>178.37251665441559</v>
      </c>
      <c r="AW22" s="448">
        <f>SUM(AS22:AV22)</f>
        <v>701.58481134392287</v>
      </c>
      <c r="AX22" s="39"/>
      <c r="AY22" s="147">
        <f>AY8*AY$338</f>
        <v>170.68583018082018</v>
      </c>
      <c r="AZ22" s="148">
        <f>AZ8*AZ$338</f>
        <v>191.18108006947341</v>
      </c>
      <c r="BA22" s="148">
        <f>BA8*BA$338</f>
        <v>184.50597572369608</v>
      </c>
      <c r="BB22" s="148">
        <f>BB8*BB$338</f>
        <v>196.29851222884369</v>
      </c>
      <c r="BC22" s="448">
        <f>SUM(AY22:BB22)</f>
        <v>742.67139820283342</v>
      </c>
      <c r="BD22" s="39"/>
      <c r="BE22" s="147">
        <f>BE8*BE$338</f>
        <v>188.43745748289601</v>
      </c>
      <c r="BF22" s="148">
        <f>BF8*BF$338</f>
        <v>194.69536449101795</v>
      </c>
      <c r="BG22" s="148">
        <f>BG8*BG$338</f>
        <v>205.5761753970821</v>
      </c>
      <c r="BH22" s="148">
        <f>BH8*BH$338</f>
        <v>217.46235077888238</v>
      </c>
      <c r="BI22" s="448">
        <f>SUM(BE22:BH22)</f>
        <v>806.17134814987844</v>
      </c>
      <c r="BJ22" s="39"/>
      <c r="BK22" s="147">
        <f>BK8*BK$338</f>
        <v>175.43812163111011</v>
      </c>
      <c r="BL22" s="148">
        <f>BL8*BL$338</f>
        <v>208.76621734069934</v>
      </c>
      <c r="BM22" s="148">
        <f>BM8*BM$338</f>
        <v>195.32435278123748</v>
      </c>
      <c r="BN22" s="148">
        <f>BN8*BN$338</f>
        <v>226.7994806755143</v>
      </c>
      <c r="BO22" s="448">
        <f>SUM(BK22:BN22)</f>
        <v>806.32817242856117</v>
      </c>
      <c r="BP22" s="39"/>
      <c r="BQ22" s="147">
        <f>+BQ8-BQ16</f>
        <v>215.65016510451017</v>
      </c>
      <c r="BR22" s="148">
        <f>+BR8-BR16</f>
        <v>218.54772777421704</v>
      </c>
      <c r="BS22" s="148">
        <f>+BS8-BS16</f>
        <v>218.3450216007684</v>
      </c>
      <c r="BT22" s="148">
        <f>+BT8-BT16</f>
        <v>206.70449269240214</v>
      </c>
      <c r="BU22" s="448">
        <f>SUM(BQ22:BT22)</f>
        <v>859.24740717189775</v>
      </c>
      <c r="BV22" s="39"/>
      <c r="BW22" s="147">
        <f>+BW8-BW16</f>
        <v>224.56838764660017</v>
      </c>
      <c r="BX22" s="148">
        <f>+BX8-BX16</f>
        <v>227.61790797970139</v>
      </c>
      <c r="BY22" s="148">
        <f>+BY8-BY16</f>
        <v>227.45035958278368</v>
      </c>
      <c r="BZ22" s="148">
        <f>+BZ8-BZ16</f>
        <v>215.99157754625003</v>
      </c>
      <c r="CA22" s="448">
        <f>SUM(BW22:BZ22)</f>
        <v>895.62823275533526</v>
      </c>
      <c r="CB22" s="39"/>
      <c r="CC22" s="147">
        <f>+CC8-CC16</f>
        <v>233.78010512053208</v>
      </c>
      <c r="CD22" s="148">
        <f>+CD8-CD16</f>
        <v>236.98697243054539</v>
      </c>
      <c r="CE22" s="148">
        <f>+CE8-CE16</f>
        <v>236.85626526318924</v>
      </c>
      <c r="CF22" s="148">
        <f>+CF8-CF16</f>
        <v>225.59322897217487</v>
      </c>
      <c r="CG22" s="448">
        <f>SUM(CC22:CF22)</f>
        <v>933.21657178644159</v>
      </c>
    </row>
    <row r="23" spans="1:85" ht="11.25" customHeight="1" outlineLevel="1" x14ac:dyDescent="0.2">
      <c r="A23" s="78"/>
      <c r="B23" s="99" t="s">
        <v>253</v>
      </c>
      <c r="C23" s="61"/>
      <c r="D23" s="61"/>
      <c r="E23" s="61"/>
      <c r="F23" s="61"/>
      <c r="G23" s="447"/>
      <c r="H23" s="51"/>
      <c r="I23" s="625">
        <f>I22/C22-1</f>
        <v>0.12899461062292916</v>
      </c>
      <c r="J23" s="61">
        <f>J22/D22-1</f>
        <v>0.12545282538689118</v>
      </c>
      <c r="K23" s="61">
        <f>K22/E22-1</f>
        <v>3.2058658161815412E-2</v>
      </c>
      <c r="L23" s="61">
        <f>L22/F22-1</f>
        <v>-7.8043889861032056E-2</v>
      </c>
      <c r="M23" s="447">
        <f>M22/G22-1</f>
        <v>4.6533475680557324E-2</v>
      </c>
      <c r="N23" s="51"/>
      <c r="O23" s="625">
        <f>O22/I22-1</f>
        <v>-3.6757126927037032E-2</v>
      </c>
      <c r="P23" s="61">
        <f>P22/J22-1</f>
        <v>-0.16698359751346181</v>
      </c>
      <c r="Q23" s="61">
        <f>Q22/K22-1</f>
        <v>-0.11738971783848229</v>
      </c>
      <c r="R23" s="61">
        <f>R22/L22-1</f>
        <v>-5.2654970615699348E-2</v>
      </c>
      <c r="S23" s="447">
        <f>S22/M22-1</f>
        <v>-9.47517442954392E-2</v>
      </c>
      <c r="T23" s="51"/>
      <c r="U23" s="625">
        <f>U22/O22-1</f>
        <v>1.8468242183021122E-2</v>
      </c>
      <c r="V23" s="61">
        <f>V22/P22-1</f>
        <v>0.12767469835857348</v>
      </c>
      <c r="W23" s="61">
        <f>W22/Q22-1</f>
        <v>5.247250585627472E-2</v>
      </c>
      <c r="X23" s="61">
        <f>X22/R22-1</f>
        <v>2.4068026255306574E-2</v>
      </c>
      <c r="Y23" s="447">
        <f>Y22/S22-1</f>
        <v>5.447613142224661E-2</v>
      </c>
      <c r="Z23" s="51"/>
      <c r="AA23" s="625">
        <f>AA22/U22-1</f>
        <v>0.14306832377054679</v>
      </c>
      <c r="AB23" s="61">
        <f>AB22/V22-1</f>
        <v>0.22394749104148759</v>
      </c>
      <c r="AC23" s="61">
        <f>AC22/W22-1</f>
        <v>0.2172858363491732</v>
      </c>
      <c r="AD23" s="61">
        <f>AD22/X22-1</f>
        <v>0.42199681447080617</v>
      </c>
      <c r="AE23" s="447">
        <f>AE22/Y22-1</f>
        <v>0.25094022490857926</v>
      </c>
      <c r="AF23" s="51"/>
      <c r="AG23" s="625">
        <f>AG22/AA22-1</f>
        <v>-1.7855105173292252E-2</v>
      </c>
      <c r="AH23" s="61">
        <f>AH22/AB22-1</f>
        <v>1.9279698184525795E-2</v>
      </c>
      <c r="AI23" s="61">
        <f>AI22/AC22-1</f>
        <v>1.4707801366969253E-2</v>
      </c>
      <c r="AJ23" s="61">
        <f>AJ22/AD22-1</f>
        <v>-2.3682762170499361E-3</v>
      </c>
      <c r="AK23" s="447">
        <f>AK22/AE22-1</f>
        <v>3.5155798324124632E-3</v>
      </c>
      <c r="AL23" s="51"/>
      <c r="AM23" s="625">
        <f>AM22/AG22-1</f>
        <v>-1.6644594702485582E-2</v>
      </c>
      <c r="AN23" s="61">
        <f>AN22/AH22-1</f>
        <v>4.277257094815079E-2</v>
      </c>
      <c r="AO23" s="61">
        <f>AO22/AI22-1</f>
        <v>5.9852307920277958E-2</v>
      </c>
      <c r="AP23" s="61">
        <f>AP22/AJ22-1</f>
        <v>4.9960856575104184E-3</v>
      </c>
      <c r="AQ23" s="447">
        <f>AQ22/AK22-1</f>
        <v>2.2773071419115443E-2</v>
      </c>
      <c r="AR23" s="51"/>
      <c r="AS23" s="625">
        <f>AS22/AM22-1</f>
        <v>0.11739029066610573</v>
      </c>
      <c r="AT23" s="61">
        <f>AT22/AN22-1</f>
        <v>7.1036186525009315E-2</v>
      </c>
      <c r="AU23" s="61">
        <f>AU22/AO22-1</f>
        <v>8.118973475535296E-2</v>
      </c>
      <c r="AV23" s="61">
        <f>AV22/AP22-1</f>
        <v>-2.2741590298097858E-2</v>
      </c>
      <c r="AW23" s="447">
        <f>AW22/AQ22-1</f>
        <v>5.7814475763054762E-2</v>
      </c>
      <c r="AX23" s="51"/>
      <c r="AY23" s="625">
        <f>AY22/AS22-1</f>
        <v>5.7400115664314466E-2</v>
      </c>
      <c r="AZ23" s="61">
        <f>AZ22/AT22-1</f>
        <v>2.7968424811288584E-2</v>
      </c>
      <c r="BA23" s="61">
        <f>BA22/AU22-1</f>
        <v>4.9447534442635499E-2</v>
      </c>
      <c r="BB23" s="61">
        <f>BB22/AV22-1</f>
        <v>0.10049752008129409</v>
      </c>
      <c r="BC23" s="447">
        <f>BC22/AW22-1</f>
        <v>5.85625375501031E-2</v>
      </c>
      <c r="BD23" s="51"/>
      <c r="BE23" s="625">
        <f>BE22/AY22-1</f>
        <v>0.10400176325867361</v>
      </c>
      <c r="BF23" s="61">
        <f>BF22/AZ22-1</f>
        <v>1.8381967610327843E-2</v>
      </c>
      <c r="BG23" s="61">
        <f>BG22/BA22-1</f>
        <v>0.11419792551835473</v>
      </c>
      <c r="BH23" s="61">
        <f>BH22/BB22-1</f>
        <v>0.10781456420497992</v>
      </c>
      <c r="BI23" s="447">
        <f>BI22/BC22-1</f>
        <v>8.5502080867401853E-2</v>
      </c>
      <c r="BJ23" s="51"/>
      <c r="BK23" s="625">
        <f>BK22/BE22-1</f>
        <v>-6.8984882440190076E-2</v>
      </c>
      <c r="BL23" s="61">
        <f>BL22/BF22-1</f>
        <v>7.2271124104398066E-2</v>
      </c>
      <c r="BM23" s="61">
        <f>BM22/BG22-1</f>
        <v>-4.9868729175657767E-2</v>
      </c>
      <c r="BN23" s="61">
        <f>BN22/BH22-1</f>
        <v>4.2936765206433414E-2</v>
      </c>
      <c r="BO23" s="447">
        <f>BO22/BI22-1</f>
        <v>1.9452971014488618E-4</v>
      </c>
      <c r="BP23" s="51"/>
      <c r="BQ23" s="625">
        <f>BQ22/BK22-1</f>
        <v>0.2292092681997191</v>
      </c>
      <c r="BR23" s="61">
        <f>BR22/BL22-1</f>
        <v>4.6853895032042514E-2</v>
      </c>
      <c r="BS23" s="61">
        <f>BS22/BM22-1</f>
        <v>0.11785867195635347</v>
      </c>
      <c r="BT23" s="61">
        <f>BT22/BN22-1</f>
        <v>-8.8602442665476788E-2</v>
      </c>
      <c r="BU23" s="447">
        <f>BU22/BO22-1</f>
        <v>6.5629896799897613E-2</v>
      </c>
      <c r="BV23" s="51"/>
      <c r="BW23" s="625">
        <f>BW22/BQ22-1</f>
        <v>4.1355046205357571E-2</v>
      </c>
      <c r="BX23" s="61">
        <f>BX22/BR22-1</f>
        <v>4.1502056772033002E-2</v>
      </c>
      <c r="BY23" s="61">
        <f>BY22/BS22-1</f>
        <v>4.1701605629753669E-2</v>
      </c>
      <c r="BZ23" s="61">
        <f>BZ22/BT22-1</f>
        <v>4.4929283988365265E-2</v>
      </c>
      <c r="CA23" s="447">
        <f>CA22/BU22-1</f>
        <v>4.2340337928025162E-2</v>
      </c>
      <c r="CB23" s="51"/>
      <c r="CC23" s="625">
        <f>CC22/BW22-1</f>
        <v>4.1019653614061902E-2</v>
      </c>
      <c r="CD23" s="61">
        <f>CD22/BX22-1</f>
        <v>4.1161367899398948E-2</v>
      </c>
      <c r="CE23" s="61">
        <f>CE22/BY22-1</f>
        <v>4.1353663707804245E-2</v>
      </c>
      <c r="CF23" s="61">
        <f>CF22/BZ22-1</f>
        <v>4.4453823315721008E-2</v>
      </c>
      <c r="CG23" s="447">
        <f>CG22/CA22-1</f>
        <v>4.196868483641758E-2</v>
      </c>
    </row>
    <row r="24" spans="1:85" ht="11.25" customHeight="1" outlineLevel="1" x14ac:dyDescent="0.2">
      <c r="A24" s="78"/>
      <c r="B24" s="99" t="s">
        <v>255</v>
      </c>
      <c r="C24" s="61"/>
      <c r="D24" s="61"/>
      <c r="E24" s="61"/>
      <c r="F24" s="61"/>
      <c r="G24" s="447"/>
      <c r="H24" s="51"/>
      <c r="I24" s="625">
        <f>I11</f>
        <v>1.5418970104923505E-2</v>
      </c>
      <c r="J24" s="61">
        <f>J11</f>
        <v>1.0006571670461789E-2</v>
      </c>
      <c r="K24" s="61">
        <f>K11</f>
        <v>-4.2656198336392254E-3</v>
      </c>
      <c r="L24" s="61">
        <f>L11</f>
        <v>-3.7094896733047111E-2</v>
      </c>
      <c r="M24" s="447">
        <f>M11</f>
        <v>-5.3704982957498409E-3</v>
      </c>
      <c r="N24" s="51"/>
      <c r="O24" s="625">
        <f>O11</f>
        <v>-2.5139417080893071E-2</v>
      </c>
      <c r="P24" s="61">
        <f>P11</f>
        <v>-2.0584978295445623E-2</v>
      </c>
      <c r="Q24" s="61">
        <f>Q11</f>
        <v>-5.2765293762771157E-3</v>
      </c>
      <c r="R24" s="61">
        <f>R11</f>
        <v>2.4634874781239713E-2</v>
      </c>
      <c r="S24" s="447">
        <f>S11</f>
        <v>-6.3199822832620493E-3</v>
      </c>
      <c r="T24" s="51"/>
      <c r="U24" s="625">
        <f>U11</f>
        <v>1.6839281024183545E-2</v>
      </c>
      <c r="V24" s="61">
        <f>V11</f>
        <v>1.3941353446294394E-2</v>
      </c>
      <c r="W24" s="61">
        <f>W11</f>
        <v>5.5312145836849402E-3</v>
      </c>
      <c r="X24" s="61">
        <f>X11</f>
        <v>5.9512968209615713E-3</v>
      </c>
      <c r="Y24" s="447">
        <f>Y11</f>
        <v>1.0404516715864794E-2</v>
      </c>
      <c r="Z24" s="51"/>
      <c r="AA24" s="625">
        <f>AA11</f>
        <v>1.5939238196687258E-2</v>
      </c>
      <c r="AB24" s="61">
        <f>AB11</f>
        <v>1.4892771379930982E-2</v>
      </c>
      <c r="AC24" s="61">
        <f>AC11</f>
        <v>1.4056942066852835E-2</v>
      </c>
      <c r="AD24" s="61">
        <f>AD11</f>
        <v>8.6241762999165195E-3</v>
      </c>
      <c r="AE24" s="447">
        <f>AE11</f>
        <v>1.3238668745139398E-2</v>
      </c>
      <c r="AF24" s="51"/>
      <c r="AG24" s="625">
        <f>AG11</f>
        <v>-2.0000000000000018E-3</v>
      </c>
      <c r="AH24" s="61">
        <f>AH11</f>
        <v>-4.9999999999999975E-3</v>
      </c>
      <c r="AI24" s="61">
        <f>AI11</f>
        <v>-2.070596314790861E-3</v>
      </c>
      <c r="AJ24" s="61">
        <f>AJ11</f>
        <v>2.8926034389914392E-3</v>
      </c>
      <c r="AK24" s="447">
        <f>AK11</f>
        <v>-1.3804846481381883E-3</v>
      </c>
      <c r="AL24" s="51"/>
      <c r="AM24" s="625">
        <f>AM11</f>
        <v>-7.0943197690807522E-4</v>
      </c>
      <c r="AN24" s="61">
        <f>AN11</f>
        <v>-1.7452934962212813E-3</v>
      </c>
      <c r="AO24" s="61">
        <f>AO11</f>
        <v>-4.4381564532671308E-3</v>
      </c>
      <c r="AP24" s="61">
        <f>AP11</f>
        <v>-5.7857285254897355E-3</v>
      </c>
      <c r="AQ24" s="447">
        <f>AQ11</f>
        <v>-3.2530558634438311E-3</v>
      </c>
      <c r="AR24" s="51"/>
      <c r="AS24" s="625">
        <f>AS11</f>
        <v>-9.553079160787209E-3</v>
      </c>
      <c r="AT24" s="61">
        <f>AT11</f>
        <v>-1.6133975026014574E-2</v>
      </c>
      <c r="AU24" s="61">
        <f>AU11</f>
        <v>-1.1831347721976831E-2</v>
      </c>
      <c r="AV24" s="61">
        <f>AV11</f>
        <v>-1.7463582653155896E-2</v>
      </c>
      <c r="AW24" s="447">
        <f>AW11</f>
        <v>-1.3899052470480736E-2</v>
      </c>
      <c r="AX24" s="51"/>
      <c r="AY24" s="625">
        <f>AY11</f>
        <v>-1.8548984142329153E-2</v>
      </c>
      <c r="AZ24" s="61">
        <f>AZ11</f>
        <v>-1.2500125248530579E-2</v>
      </c>
      <c r="BA24" s="61">
        <f>BA11</f>
        <v>-1.6797281513205545E-2</v>
      </c>
      <c r="BB24" s="61">
        <f>BB11</f>
        <v>-1.5317364782809581E-2</v>
      </c>
      <c r="BC24" s="447">
        <f>BC11</f>
        <v>-1.5733449090963011E-2</v>
      </c>
      <c r="BD24" s="51"/>
      <c r="BE24" s="625">
        <f>BE11</f>
        <v>-1.0150299740364355E-2</v>
      </c>
      <c r="BF24" s="61">
        <f>BF11</f>
        <v>-4.5751962701298977E-3</v>
      </c>
      <c r="BG24" s="61">
        <f>BG11</f>
        <v>-3.0590726122055323E-5</v>
      </c>
      <c r="BH24" s="61">
        <f>BH11</f>
        <v>3.5959741052135619E-4</v>
      </c>
      <c r="BI24" s="447">
        <f>BI11</f>
        <v>-3.4173032456233919E-3</v>
      </c>
      <c r="BJ24" s="51"/>
      <c r="BK24" s="625">
        <f>BK11</f>
        <v>3.7090414056876325E-3</v>
      </c>
      <c r="BL24" s="61">
        <f>BL11</f>
        <v>-3.8331648538271826E-3</v>
      </c>
      <c r="BM24" s="61">
        <f>BM11</f>
        <v>3.9977581024361018E-3</v>
      </c>
      <c r="BN24" s="61">
        <f>BN11</f>
        <v>4.7895853858867174E-3</v>
      </c>
      <c r="BO24" s="463">
        <f>BO11</f>
        <v>2.258795750694001E-3</v>
      </c>
      <c r="BP24" s="51"/>
      <c r="BQ24" s="625">
        <f t="shared" ref="BQ24:BU25" si="6">BQ11</f>
        <v>0</v>
      </c>
      <c r="BR24" s="61">
        <f t="shared" si="6"/>
        <v>0</v>
      </c>
      <c r="BS24" s="51">
        <f t="shared" si="6"/>
        <v>0</v>
      </c>
      <c r="BT24" s="51">
        <f t="shared" si="6"/>
        <v>0</v>
      </c>
      <c r="BU24" s="463">
        <f t="shared" si="6"/>
        <v>0</v>
      </c>
      <c r="BV24" s="51"/>
      <c r="BW24" s="625">
        <f t="shared" ref="BW24:CA25" si="7">BW11</f>
        <v>0</v>
      </c>
      <c r="BX24" s="61">
        <f t="shared" si="7"/>
        <v>0</v>
      </c>
      <c r="BY24" s="51">
        <f t="shared" si="7"/>
        <v>0</v>
      </c>
      <c r="BZ24" s="51">
        <f t="shared" si="7"/>
        <v>0</v>
      </c>
      <c r="CA24" s="463">
        <f t="shared" si="7"/>
        <v>0</v>
      </c>
      <c r="CB24" s="51"/>
      <c r="CC24" s="625">
        <f t="shared" ref="CC24:CG25" si="8">CC11</f>
        <v>0</v>
      </c>
      <c r="CD24" s="61">
        <f t="shared" si="8"/>
        <v>0</v>
      </c>
      <c r="CE24" s="51">
        <f t="shared" si="8"/>
        <v>0</v>
      </c>
      <c r="CF24" s="51">
        <f t="shared" si="8"/>
        <v>0</v>
      </c>
      <c r="CG24" s="463">
        <f t="shared" si="8"/>
        <v>0</v>
      </c>
    </row>
    <row r="25" spans="1:85" ht="11.25" customHeight="1" outlineLevel="1" x14ac:dyDescent="0.2">
      <c r="A25" s="78"/>
      <c r="B25" s="99" t="s">
        <v>254</v>
      </c>
      <c r="C25" s="61"/>
      <c r="D25" s="61"/>
      <c r="E25" s="61"/>
      <c r="F25" s="61"/>
      <c r="G25" s="447"/>
      <c r="H25" s="51"/>
      <c r="I25" s="625">
        <f>I23-I24-I26</f>
        <v>1.5575640518005654E-2</v>
      </c>
      <c r="J25" s="61">
        <f>J23-J24-J26</f>
        <v>1.6446253716429382E-2</v>
      </c>
      <c r="K25" s="61">
        <f>K23-K24-K26</f>
        <v>2.324277995454635E-3</v>
      </c>
      <c r="L25" s="61">
        <f>L23-L24-L26</f>
        <v>2.7989054035749972E-2</v>
      </c>
      <c r="M25" s="447">
        <f>M23-M24-M26</f>
        <v>1.5903973976307169E-2</v>
      </c>
      <c r="N25" s="51"/>
      <c r="O25" s="625">
        <f>O23-O24-O26</f>
        <v>3.9382290153856039E-2</v>
      </c>
      <c r="P25" s="61">
        <f>P23-P24-P26</f>
        <v>3.3601380781983797E-2</v>
      </c>
      <c r="Q25" s="61">
        <f>Q23-Q24-Q26</f>
        <v>2.1886811537794842E-2</v>
      </c>
      <c r="R25" s="61">
        <f>R23-R24-R26</f>
        <v>5.2312655142189302E-3</v>
      </c>
      <c r="S25" s="447">
        <f>S23-S24-S26</f>
        <v>2.4568237987822858E-2</v>
      </c>
      <c r="T25" s="51"/>
      <c r="U25" s="625">
        <f>U23-U24-U26</f>
        <v>-3.3710388411624234E-3</v>
      </c>
      <c r="V25" s="61">
        <f>V23-V24-V26</f>
        <v>3.3733344912279084E-2</v>
      </c>
      <c r="W25" s="61">
        <f>W23-W24-W26</f>
        <v>3.2941291272589782E-2</v>
      </c>
      <c r="X25" s="61">
        <f>X23-X24-X26</f>
        <v>1.6116729434345001E-2</v>
      </c>
      <c r="Y25" s="447">
        <f>Y23-Y24-Y26</f>
        <v>1.9051077406602258E-2</v>
      </c>
      <c r="Z25" s="51"/>
      <c r="AA25" s="625">
        <f>AA23-AA24-AA26</f>
        <v>0.11412908557385955</v>
      </c>
      <c r="AB25" s="61">
        <f>AB23-AB24-AB26</f>
        <v>0.1960547196615566</v>
      </c>
      <c r="AC25" s="61">
        <f>AC23-AC24-AC26</f>
        <v>0.22422889428232035</v>
      </c>
      <c r="AD25" s="61">
        <f>AD23-AD24-AD26</f>
        <v>0.37537263817088967</v>
      </c>
      <c r="AE25" s="447">
        <f>AE23-AE24-AE26</f>
        <v>0.22470155616343984</v>
      </c>
      <c r="AF25" s="51"/>
      <c r="AG25" s="625">
        <f>AG23-AG24-AG26</f>
        <v>4.0144894826707751E-2</v>
      </c>
      <c r="AH25" s="61">
        <f>AH23-AH24-AH26</f>
        <v>-5.4720301815474208E-2</v>
      </c>
      <c r="AI25" s="61">
        <f>AI23-AI24-AI26</f>
        <v>-3.9221602318239887E-2</v>
      </c>
      <c r="AJ25" s="61">
        <f>AJ23-AJ24-AJ26</f>
        <v>-0.22426087965604138</v>
      </c>
      <c r="AK25" s="447">
        <f>AK23-AK24-AK26</f>
        <v>-7.4846312625311981E-2</v>
      </c>
      <c r="AL25" s="51"/>
      <c r="AM25" s="625">
        <f>AM23-AM24-AM26</f>
        <v>-1.7935162725577505E-2</v>
      </c>
      <c r="AN25" s="61">
        <f>AN23-AN24-AN26</f>
        <v>3.0517864444372073E-2</v>
      </c>
      <c r="AO25" s="61">
        <f>AO23-AO24-AO26</f>
        <v>-3.4709535626454915E-2</v>
      </c>
      <c r="AP25" s="61">
        <f>AP23-AP24-AP26</f>
        <v>3.4781814183000151E-2</v>
      </c>
      <c r="AQ25" s="447">
        <f>AQ23-AQ24-AQ26</f>
        <v>4.2533499539651187E-3</v>
      </c>
      <c r="AR25" s="51"/>
      <c r="AS25" s="625">
        <f>AS23-AS24-AS26</f>
        <v>-3.0056630173107057E-2</v>
      </c>
      <c r="AT25" s="61">
        <f>AT23-AT24-AT26</f>
        <v>-2.082983844897611E-2</v>
      </c>
      <c r="AU25" s="61">
        <f>AU23-AU24-AU26</f>
        <v>4.1021082477329794E-2</v>
      </c>
      <c r="AV25" s="61">
        <f>AV23-AV24-AV26</f>
        <v>4.1721992355058038E-2</v>
      </c>
      <c r="AW25" s="447">
        <f>AW23-AW24-AW26</f>
        <v>6.9223438011012106E-3</v>
      </c>
      <c r="AX25" s="51"/>
      <c r="AY25" s="625">
        <f>AY23-AY24-AY26</f>
        <v>3.0949099806643621E-2</v>
      </c>
      <c r="AZ25" s="61">
        <f>AZ23-AZ24-AZ26</f>
        <v>5.9468550059819159E-2</v>
      </c>
      <c r="BA25" s="61">
        <f>BA23-BA24-BA26</f>
        <v>2.2448159558410424E-3</v>
      </c>
      <c r="BB25" s="61">
        <f>BB23-BB24-BB26</f>
        <v>8.1488486410366545E-4</v>
      </c>
      <c r="BC25" s="447">
        <f>BC23-BC24-BC26</f>
        <v>2.1685218067484822E-2</v>
      </c>
      <c r="BD25" s="51"/>
      <c r="BE25" s="625">
        <f>BE23-BE24-BE26</f>
        <v>-2.0847937000962047E-2</v>
      </c>
      <c r="BF25" s="61">
        <f>BF23-BF24-BF26</f>
        <v>-4.0428361195422591E-3</v>
      </c>
      <c r="BG25" s="61">
        <f>BG23-BG24-BG26</f>
        <v>-1.8771483755523233E-2</v>
      </c>
      <c r="BH25" s="61">
        <f>BH23-BH24-BH26</f>
        <v>8.0454966794458571E-2</v>
      </c>
      <c r="BI25" s="447">
        <f>BI23-BI24-BI26</f>
        <v>1.0701711066069514E-2</v>
      </c>
      <c r="BJ25" s="51"/>
      <c r="BK25" s="625">
        <f>BK23-BK24-BK26</f>
        <v>-1.7693923845877708E-2</v>
      </c>
      <c r="BL25" s="61">
        <f>BL23-BL24-BL26</f>
        <v>-7.1895711041774751E-2</v>
      </c>
      <c r="BM25" s="61">
        <f>BM23-BM24-BM26</f>
        <v>-6.3866487278093881E-2</v>
      </c>
      <c r="BN25" s="61">
        <f>BN23-BN24-BN26</f>
        <v>-0.1428528201794533</v>
      </c>
      <c r="BO25" s="463">
        <f>+SUMPRODUCT(BK25:BN25,BE$22:BH$22)/BI$22</f>
        <v>-7.6319380628605035E-2</v>
      </c>
      <c r="BP25" s="51"/>
      <c r="BQ25" s="625">
        <f t="shared" si="6"/>
        <v>0.02</v>
      </c>
      <c r="BR25" s="61">
        <f t="shared" si="6"/>
        <v>0</v>
      </c>
      <c r="BS25" s="51">
        <f t="shared" si="6"/>
        <v>0</v>
      </c>
      <c r="BT25" s="51">
        <f t="shared" si="6"/>
        <v>0</v>
      </c>
      <c r="BU25" s="463">
        <f t="shared" si="6"/>
        <v>4.5965575650658676E-3</v>
      </c>
      <c r="BV25" s="51"/>
      <c r="BW25" s="625">
        <f t="shared" si="7"/>
        <v>0</v>
      </c>
      <c r="BX25" s="61">
        <f t="shared" si="7"/>
        <v>0</v>
      </c>
      <c r="BY25" s="51">
        <f t="shared" si="7"/>
        <v>0</v>
      </c>
      <c r="BZ25" s="51">
        <f t="shared" si="7"/>
        <v>0</v>
      </c>
      <c r="CA25" s="463">
        <f t="shared" si="7"/>
        <v>0</v>
      </c>
      <c r="CB25" s="51"/>
      <c r="CC25" s="625">
        <f t="shared" si="8"/>
        <v>0</v>
      </c>
      <c r="CD25" s="61">
        <f t="shared" si="8"/>
        <v>0</v>
      </c>
      <c r="CE25" s="51">
        <f t="shared" si="8"/>
        <v>0</v>
      </c>
      <c r="CF25" s="51">
        <f t="shared" si="8"/>
        <v>0</v>
      </c>
      <c r="CG25" s="463">
        <f t="shared" si="8"/>
        <v>0</v>
      </c>
    </row>
    <row r="26" spans="1:85" ht="11.25" customHeight="1" outlineLevel="1" x14ac:dyDescent="0.2">
      <c r="A26" s="78"/>
      <c r="B26" s="1175" t="s">
        <v>570</v>
      </c>
      <c r="C26" s="1156">
        <v>0.23499999999999999</v>
      </c>
      <c r="D26" s="1156">
        <v>0.223</v>
      </c>
      <c r="E26" s="1156">
        <v>0.24099999999999999</v>
      </c>
      <c r="F26" s="1169">
        <v>0.1823502185353803</v>
      </c>
      <c r="G26" s="1170">
        <v>0.219</v>
      </c>
      <c r="H26" s="1110"/>
      <c r="I26" s="1171">
        <v>9.8000000000000004E-2</v>
      </c>
      <c r="J26" s="1156">
        <v>9.9000000000000005E-2</v>
      </c>
      <c r="K26" s="1156">
        <v>3.4000000000000002E-2</v>
      </c>
      <c r="L26" s="1169">
        <v>-6.8938047163734917E-2</v>
      </c>
      <c r="M26" s="1170">
        <v>3.5999999999999997E-2</v>
      </c>
      <c r="N26" s="1110"/>
      <c r="O26" s="1171">
        <v>-5.0999999999999997E-2</v>
      </c>
      <c r="P26" s="1156">
        <v>-0.18</v>
      </c>
      <c r="Q26" s="1156">
        <v>-0.13400000000000001</v>
      </c>
      <c r="R26" s="1169">
        <v>-8.2521110911157991E-2</v>
      </c>
      <c r="S26" s="1170">
        <v>-0.113</v>
      </c>
      <c r="T26" s="264"/>
      <c r="U26" s="1172">
        <v>5.0000000000000001E-3</v>
      </c>
      <c r="V26" s="1173">
        <v>0.08</v>
      </c>
      <c r="W26" s="1173">
        <v>1.4E-2</v>
      </c>
      <c r="X26" s="1173">
        <v>2E-3</v>
      </c>
      <c r="Y26" s="771">
        <f>+SUMPRODUCT(U26:X26,O$8:R$8)/S$8</f>
        <v>2.5020537299779558E-2</v>
      </c>
      <c r="Z26" s="264"/>
      <c r="AA26" s="1172">
        <v>1.2999999999999999E-2</v>
      </c>
      <c r="AB26" s="1173">
        <v>1.2999999999999999E-2</v>
      </c>
      <c r="AC26" s="1173">
        <v>-2.1000000000000001E-2</v>
      </c>
      <c r="AD26" s="1173">
        <v>3.7999999999999999E-2</v>
      </c>
      <c r="AE26" s="1174">
        <v>1.2999999999999999E-2</v>
      </c>
      <c r="AF26" s="264"/>
      <c r="AG26" s="1172">
        <v>-5.6000000000000001E-2</v>
      </c>
      <c r="AH26" s="1173">
        <v>7.9000000000000001E-2</v>
      </c>
      <c r="AI26" s="1173">
        <v>5.6000000000000001E-2</v>
      </c>
      <c r="AJ26" s="1173">
        <v>0.219</v>
      </c>
      <c r="AK26" s="771">
        <f>SUMPRODUCT(AG26:AJ26,AG8:AJ8)/AK8</f>
        <v>7.9742377105862627E-2</v>
      </c>
      <c r="AL26" s="264"/>
      <c r="AM26" s="1172">
        <v>2E-3</v>
      </c>
      <c r="AN26" s="1173">
        <v>1.4E-2</v>
      </c>
      <c r="AO26" s="1173">
        <v>9.9000000000000005E-2</v>
      </c>
      <c r="AP26" s="1173">
        <v>-2.4E-2</v>
      </c>
      <c r="AQ26" s="771">
        <f>SUMPRODUCT(AM26:AP26,AM8:AP8)/AQ8</f>
        <v>2.1772777328594155E-2</v>
      </c>
      <c r="AR26" s="264"/>
      <c r="AS26" s="1172">
        <v>0.157</v>
      </c>
      <c r="AT26" s="1173">
        <v>0.108</v>
      </c>
      <c r="AU26" s="1173">
        <v>5.1999999999999998E-2</v>
      </c>
      <c r="AV26" s="1173">
        <v>-4.7E-2</v>
      </c>
      <c r="AW26" s="771">
        <f>SUMPRODUCT(AS26:AV26,AS8:AV8)/AW8</f>
        <v>6.4791184432434284E-2</v>
      </c>
      <c r="AX26" s="264"/>
      <c r="AY26" s="1172">
        <v>4.4999999999999998E-2</v>
      </c>
      <c r="AZ26" s="1173">
        <v>-1.9E-2</v>
      </c>
      <c r="BA26" s="1173">
        <v>6.4000000000000001E-2</v>
      </c>
      <c r="BB26" s="1173">
        <v>0.115</v>
      </c>
      <c r="BC26" s="771">
        <f>SUMPRODUCT(AY26:BB26,AY8:BB8)/BC8</f>
        <v>5.2610768573581289E-2</v>
      </c>
      <c r="BD26" s="264"/>
      <c r="BE26" s="1172">
        <v>0.13500000000000001</v>
      </c>
      <c r="BF26" s="1173">
        <v>2.7E-2</v>
      </c>
      <c r="BG26" s="1173">
        <v>0.13300000000000001</v>
      </c>
      <c r="BH26" s="1173">
        <v>2.7E-2</v>
      </c>
      <c r="BI26" s="771">
        <f>SUMPRODUCT(BE26:BH26,BE8:BH8)/BI8</f>
        <v>7.8217673046955732E-2</v>
      </c>
      <c r="BJ26" s="264"/>
      <c r="BK26" s="1172">
        <v>-5.5E-2</v>
      </c>
      <c r="BL26" s="1173">
        <v>0.14799999999999999</v>
      </c>
      <c r="BM26" s="1173">
        <f>-0.7%+1.7%</f>
        <v>1.0000000000000002E-2</v>
      </c>
      <c r="BN26" s="1173">
        <v>0.18099999999999999</v>
      </c>
      <c r="BO26" s="771">
        <f>BO23-BO24-BO25</f>
        <v>7.425511458805592E-2</v>
      </c>
      <c r="BP26" s="264"/>
      <c r="BQ26" s="769">
        <f>BQ23-BQ24-BQ25</f>
        <v>0.20920926819971911</v>
      </c>
      <c r="BR26" s="770">
        <f>BR23-BR24-BR25</f>
        <v>4.6853895032042514E-2</v>
      </c>
      <c r="BS26" s="770">
        <f>BS23-BS24-BS25</f>
        <v>0.11785867195635347</v>
      </c>
      <c r="BT26" s="770">
        <f>BT23-BT24-BT25</f>
        <v>-8.8602442665476788E-2</v>
      </c>
      <c r="BU26" s="771">
        <f>BU23-BU24-BU25</f>
        <v>6.1033339234831743E-2</v>
      </c>
      <c r="BV26" s="264"/>
      <c r="BW26" s="769">
        <f>BW23-BW24-BW25</f>
        <v>4.1355046205357571E-2</v>
      </c>
      <c r="BX26" s="770">
        <f>BX23-BX24-BX25</f>
        <v>4.1502056772033002E-2</v>
      </c>
      <c r="BY26" s="770">
        <f>BY23-BY24-BY25</f>
        <v>4.1701605629753669E-2</v>
      </c>
      <c r="BZ26" s="770">
        <f>BZ23-BZ24-BZ25</f>
        <v>4.4929283988365265E-2</v>
      </c>
      <c r="CA26" s="771">
        <f>CA23-CA24-CA25</f>
        <v>4.2340337928025162E-2</v>
      </c>
      <c r="CB26" s="264"/>
      <c r="CC26" s="769">
        <f>CC23-CC24-CC25</f>
        <v>4.1019653614061902E-2</v>
      </c>
      <c r="CD26" s="770">
        <f>CD23-CD24-CD25</f>
        <v>4.1161367899398948E-2</v>
      </c>
      <c r="CE26" s="770">
        <f>CE23-CE24-CE25</f>
        <v>4.1353663707804245E-2</v>
      </c>
      <c r="CF26" s="770">
        <f>CF23-CF24-CF25</f>
        <v>4.4453823315721008E-2</v>
      </c>
      <c r="CG26" s="771">
        <f>CG23-CG24-CG25</f>
        <v>4.196868483641758E-2</v>
      </c>
    </row>
    <row r="27" spans="1:85" ht="11.25" customHeight="1" outlineLevel="1" x14ac:dyDescent="0.2">
      <c r="A27" s="78"/>
      <c r="B27" s="99"/>
      <c r="C27" s="93"/>
      <c r="D27" s="61"/>
      <c r="E27" s="61"/>
      <c r="F27" s="61"/>
      <c r="G27" s="447"/>
      <c r="H27" s="43"/>
      <c r="I27" s="93"/>
      <c r="J27" s="61"/>
      <c r="K27" s="61"/>
      <c r="L27" s="61"/>
      <c r="M27" s="447"/>
      <c r="N27" s="43"/>
      <c r="O27" s="93"/>
      <c r="P27" s="61"/>
      <c r="Q27" s="61"/>
      <c r="R27" s="61"/>
      <c r="S27" s="447"/>
      <c r="T27" s="43"/>
      <c r="U27" s="93"/>
      <c r="V27" s="61"/>
      <c r="W27" s="61"/>
      <c r="X27" s="61"/>
      <c r="Y27" s="447"/>
      <c r="Z27" s="43"/>
      <c r="AA27" s="93"/>
      <c r="AB27" s="61"/>
      <c r="AC27" s="61"/>
      <c r="AD27" s="61"/>
      <c r="AE27" s="447"/>
      <c r="AF27" s="43"/>
      <c r="AG27" s="93"/>
      <c r="AH27" s="61"/>
      <c r="AI27" s="61"/>
      <c r="AJ27" s="61"/>
      <c r="AK27" s="447"/>
      <c r="AL27" s="43"/>
      <c r="AM27" s="93"/>
      <c r="AN27" s="61"/>
      <c r="AO27" s="61"/>
      <c r="AP27" s="776"/>
      <c r="AQ27" s="1151"/>
      <c r="AR27" s="43"/>
      <c r="AS27" s="93"/>
      <c r="AT27" s="61"/>
      <c r="AU27" s="61"/>
      <c r="AV27" s="61"/>
      <c r="AW27" s="447"/>
      <c r="AX27" s="43"/>
      <c r="AY27" s="93"/>
      <c r="AZ27" s="61"/>
      <c r="BA27" s="61"/>
      <c r="BB27" s="61"/>
      <c r="BC27" s="447"/>
      <c r="BD27" s="43"/>
      <c r="BE27" s="93"/>
      <c r="BF27" s="61"/>
      <c r="BG27" s="61"/>
      <c r="BH27" s="61"/>
      <c r="BI27" s="447"/>
      <c r="BJ27" s="43"/>
      <c r="BK27" s="93"/>
      <c r="BL27" s="61"/>
      <c r="BM27" s="1153"/>
      <c r="BN27" s="61"/>
      <c r="BO27" s="447"/>
      <c r="BP27" s="43"/>
      <c r="BQ27" s="1152"/>
      <c r="BR27" s="1153"/>
      <c r="BS27" s="1153"/>
      <c r="BT27" s="1153"/>
      <c r="BU27" s="447"/>
      <c r="BV27" s="43"/>
      <c r="BW27" s="93"/>
      <c r="BX27" s="61"/>
      <c r="BY27" s="61"/>
      <c r="BZ27" s="61"/>
      <c r="CA27" s="447"/>
      <c r="CB27" s="43"/>
      <c r="CC27" s="93"/>
      <c r="CD27" s="61"/>
      <c r="CE27" s="61"/>
      <c r="CF27" s="61"/>
      <c r="CG27" s="447"/>
    </row>
    <row r="28" spans="1:85" ht="11.25" customHeight="1" outlineLevel="1" x14ac:dyDescent="0.2">
      <c r="A28" s="78"/>
      <c r="B28" s="108" t="s">
        <v>305</v>
      </c>
      <c r="C28" s="143"/>
      <c r="D28" s="144"/>
      <c r="E28" s="144"/>
      <c r="F28" s="144"/>
      <c r="G28" s="448"/>
      <c r="H28" s="39"/>
      <c r="I28" s="143"/>
      <c r="J28" s="144"/>
      <c r="K28" s="144"/>
      <c r="L28" s="144"/>
      <c r="M28" s="448"/>
      <c r="N28" s="39"/>
      <c r="O28" s="269">
        <v>55.625999999999998</v>
      </c>
      <c r="P28" s="270">
        <v>63.488</v>
      </c>
      <c r="Q28" s="270">
        <v>62.7</v>
      </c>
      <c r="R28" s="270">
        <f>240.082-Q28-P28-O28</f>
        <v>58.268000000000008</v>
      </c>
      <c r="S28" s="448">
        <f>+SUM(O28:R28)</f>
        <v>240.08200000000002</v>
      </c>
      <c r="T28" s="39"/>
      <c r="U28" s="269">
        <v>206.64599999999999</v>
      </c>
      <c r="V28" s="270">
        <v>234.73400000000001</v>
      </c>
      <c r="W28" s="270">
        <v>225.21</v>
      </c>
      <c r="X28" s="270">
        <f>889.303-W28-V28-U28</f>
        <v>222.71299999999994</v>
      </c>
      <c r="Y28" s="448">
        <f>+SUM(U28:X28)</f>
        <v>889.303</v>
      </c>
      <c r="Z28" s="39"/>
      <c r="AA28" s="147">
        <f>+AG28/(1+AG29)</f>
        <v>230.57858376511228</v>
      </c>
      <c r="AB28" s="148">
        <f>+AH28/(1+AH29)</f>
        <v>260.27670753064803</v>
      </c>
      <c r="AC28" s="270">
        <v>246.452</v>
      </c>
      <c r="AD28" s="270">
        <v>255.858</v>
      </c>
      <c r="AE28" s="448">
        <f>+SUM(AA28:AD28)</f>
        <v>993.1652912957602</v>
      </c>
      <c r="AF28" s="39"/>
      <c r="AG28" s="269">
        <v>267.01</v>
      </c>
      <c r="AH28" s="270">
        <v>297.23599999999999</v>
      </c>
      <c r="AI28" s="270">
        <v>276.435</v>
      </c>
      <c r="AJ28" s="270">
        <v>281.59199999999998</v>
      </c>
      <c r="AK28" s="448">
        <f>+SUM(AG28:AJ28)</f>
        <v>1122.2730000000001</v>
      </c>
      <c r="AL28" s="39"/>
      <c r="AM28" s="269">
        <v>306.83</v>
      </c>
      <c r="AN28" s="270">
        <v>325.82100000000003</v>
      </c>
      <c r="AO28" s="270">
        <v>305.10399999999998</v>
      </c>
      <c r="AP28" s="270">
        <v>301.25799999999998</v>
      </c>
      <c r="AQ28" s="448">
        <f>+SUM(AM28:AP28)</f>
        <v>1239.0130000000001</v>
      </c>
      <c r="AR28" s="39"/>
      <c r="AS28" s="269">
        <v>305.649</v>
      </c>
      <c r="AT28" s="270">
        <v>351.52300000000002</v>
      </c>
      <c r="AU28" s="270">
        <v>368.47800000000001</v>
      </c>
      <c r="AV28" s="270">
        <v>355.64100000000002</v>
      </c>
      <c r="AW28" s="448">
        <f>+SUM(AS28:AV28)</f>
        <v>1381.2910000000002</v>
      </c>
      <c r="AX28" s="39"/>
      <c r="AY28" s="269">
        <v>338.34899999999999</v>
      </c>
      <c r="AZ28" s="270">
        <v>375.57499999999999</v>
      </c>
      <c r="BA28" s="270">
        <v>366.73599999999999</v>
      </c>
      <c r="BB28" s="270">
        <v>363.97300000000001</v>
      </c>
      <c r="BC28" s="448">
        <f>+SUM(AY28:BB28)</f>
        <v>1444.6329999999998</v>
      </c>
      <c r="BD28" s="39"/>
      <c r="BE28" s="269">
        <v>399.327</v>
      </c>
      <c r="BF28" s="270">
        <v>445.91800000000001</v>
      </c>
      <c r="BG28" s="270">
        <v>403.90100000000001</v>
      </c>
      <c r="BH28" s="270">
        <v>426.63600000000002</v>
      </c>
      <c r="BI28" s="448">
        <f>+SUM(BE28:BH28)</f>
        <v>1675.7819999999999</v>
      </c>
      <c r="BJ28" s="39"/>
      <c r="BK28" s="269">
        <v>422.64400000000001</v>
      </c>
      <c r="BL28" s="270">
        <v>473.20100000000002</v>
      </c>
      <c r="BM28" s="270">
        <v>448.37599999999998</v>
      </c>
      <c r="BN28" s="270">
        <v>448.67500000000001</v>
      </c>
      <c r="BO28" s="448">
        <f>+SUM(BK28:BN28)</f>
        <v>1792.896</v>
      </c>
      <c r="BP28" s="39"/>
      <c r="BQ28" s="147">
        <f>+BK28*(1+BQ29)</f>
        <v>486.04059999999998</v>
      </c>
      <c r="BR28" s="148">
        <f>+BL28*(1+BR29)</f>
        <v>544.18115</v>
      </c>
      <c r="BS28" s="148">
        <f>+BM28*(1+BS29)</f>
        <v>506.66487999999993</v>
      </c>
      <c r="BT28" s="148">
        <f>+BN28*(1+BT29)</f>
        <v>489.05575000000005</v>
      </c>
      <c r="BU28" s="448">
        <f>+SUM(BQ28:BT28)</f>
        <v>2025.94238</v>
      </c>
      <c r="BV28" s="39"/>
      <c r="BW28" s="147">
        <f>+BQ28*(1+BW29)</f>
        <v>515.203036</v>
      </c>
      <c r="BX28" s="148">
        <f>+BR28*(1+BX29)</f>
        <v>576.83201900000006</v>
      </c>
      <c r="BY28" s="148">
        <f>+BS28*(1+BY29)</f>
        <v>537.0647727999999</v>
      </c>
      <c r="BZ28" s="148">
        <f>+BT28*(1+BZ29)</f>
        <v>518.3990950000001</v>
      </c>
      <c r="CA28" s="448">
        <f>+SUM(BW28:BZ28)</f>
        <v>2147.4989227999999</v>
      </c>
      <c r="CB28" s="39"/>
      <c r="CC28" s="147">
        <f>+BW28*(1+CC29)</f>
        <v>540.96318780000001</v>
      </c>
      <c r="CD28" s="148">
        <f>+BX28*(1+CD29)</f>
        <v>605.6736199500001</v>
      </c>
      <c r="CE28" s="148">
        <f>+BY28*(1+CE29)</f>
        <v>563.91801143999987</v>
      </c>
      <c r="CF28" s="148">
        <f>+BZ28*(1+CF29)</f>
        <v>544.31904975000009</v>
      </c>
      <c r="CG28" s="448">
        <f>+SUM(CC28:CF28)</f>
        <v>2254.8738689400002</v>
      </c>
    </row>
    <row r="29" spans="1:85" ht="11.25" customHeight="1" outlineLevel="1" x14ac:dyDescent="0.2">
      <c r="A29" s="78"/>
      <c r="B29" s="99" t="s">
        <v>253</v>
      </c>
      <c r="C29" s="259"/>
      <c r="D29" s="258"/>
      <c r="E29" s="260"/>
      <c r="F29" s="260"/>
      <c r="G29" s="449"/>
      <c r="H29" s="43"/>
      <c r="I29" s="259"/>
      <c r="J29" s="258"/>
      <c r="K29" s="260"/>
      <c r="L29" s="260"/>
      <c r="M29" s="449"/>
      <c r="N29" s="43"/>
      <c r="O29" s="259"/>
      <c r="P29" s="260"/>
      <c r="Q29" s="260"/>
      <c r="R29" s="260"/>
      <c r="S29" s="449"/>
      <c r="T29" s="43"/>
      <c r="U29" s="259">
        <f>+U28/O28-1</f>
        <v>2.7149174846294897</v>
      </c>
      <c r="V29" s="260">
        <f>+V28/P28-1</f>
        <v>2.697297127016129</v>
      </c>
      <c r="W29" s="260">
        <f>+W28/Q28-1</f>
        <v>2.5918660287081341</v>
      </c>
      <c r="X29" s="260">
        <f>+X28/R28-1</f>
        <v>2.8222180270474344</v>
      </c>
      <c r="Y29" s="449">
        <f>IF(ISERROR(Y28/S28-1),"NM",Y28/S28-1)</f>
        <v>2.7041635774443726</v>
      </c>
      <c r="Z29" s="43"/>
      <c r="AA29" s="259">
        <f>+AA28/U28-1</f>
        <v>0.1158144061105093</v>
      </c>
      <c r="AB29" s="260">
        <f>+AB28/V28-1</f>
        <v>0.10881554240394675</v>
      </c>
      <c r="AC29" s="260">
        <f>+AC28/W28-1</f>
        <v>9.4320856089871619E-2</v>
      </c>
      <c r="AD29" s="260">
        <f>+AD28/X28-1</f>
        <v>0.14882382258781512</v>
      </c>
      <c r="AE29" s="449">
        <f>IF(ISERROR(AE28/Y28-1),"NM",AE28/Y28-1)</f>
        <v>0.1167906678553432</v>
      </c>
      <c r="AF29" s="43"/>
      <c r="AG29" s="259">
        <v>0.158</v>
      </c>
      <c r="AH29" s="260">
        <v>0.14199999999999999</v>
      </c>
      <c r="AI29" s="260">
        <f>+AI28/AC28-1</f>
        <v>0.12165857854673523</v>
      </c>
      <c r="AJ29" s="260">
        <f>+AJ28/AD28-1</f>
        <v>0.10057922754027615</v>
      </c>
      <c r="AK29" s="449">
        <f>IF(ISERROR(AK28/AE28-1),"NM",AK28/AE28-1)</f>
        <v>0.12999619482855262</v>
      </c>
      <c r="AL29" s="43"/>
      <c r="AM29" s="259">
        <f>+AM28/AG28-1</f>
        <v>0.14913299127373514</v>
      </c>
      <c r="AN29" s="260">
        <f>+AN28/AH28-1</f>
        <v>9.6169373830895521E-2</v>
      </c>
      <c r="AO29" s="260">
        <f>+AO28/AI28-1</f>
        <v>0.10370973284859009</v>
      </c>
      <c r="AP29" s="260">
        <f>+AP28/AJ28-1</f>
        <v>6.9838631779311822E-2</v>
      </c>
      <c r="AQ29" s="449">
        <f>IF(ISERROR(AQ28/AK28-1),"NM",AQ28/AK28-1)</f>
        <v>0.10402103587986167</v>
      </c>
      <c r="AR29" s="43"/>
      <c r="AS29" s="259">
        <f>+AS28/AM28-1</f>
        <v>-3.8490369259850388E-3</v>
      </c>
      <c r="AT29" s="260">
        <f>+AT28/AN28-1</f>
        <v>7.8883804297451565E-2</v>
      </c>
      <c r="AU29" s="260">
        <f>+AU28/AO28-1</f>
        <v>0.20771277990455728</v>
      </c>
      <c r="AV29" s="260">
        <f>+AV28/AP28-1</f>
        <v>0.18051968744398494</v>
      </c>
      <c r="AW29" s="449">
        <f>IF(ISERROR(AW28/AQ28-1),"NM",AW28/AQ28-1)</f>
        <v>0.11483172492943972</v>
      </c>
      <c r="AX29" s="43"/>
      <c r="AY29" s="259">
        <f>+AY28/AS28-1</f>
        <v>0.1069854637181864</v>
      </c>
      <c r="AZ29" s="260">
        <f>+AZ28/AT28-1</f>
        <v>6.8422265399419091E-2</v>
      </c>
      <c r="BA29" s="260">
        <f>+BA28/AU28-1</f>
        <v>-4.7275549693605035E-3</v>
      </c>
      <c r="BB29" s="260">
        <f>+BB28/AV28-1</f>
        <v>2.3428119929929325E-2</v>
      </c>
      <c r="BC29" s="449">
        <f>IF(ISERROR(BC28/AW28-1),"NM",BC28/AW28-1)</f>
        <v>4.5857100350324087E-2</v>
      </c>
      <c r="BD29" s="43"/>
      <c r="BE29" s="259">
        <f>+BE28/AY28-1</f>
        <v>0.18022219660764471</v>
      </c>
      <c r="BF29" s="260">
        <f>+BF28/AZ28-1</f>
        <v>0.18729414897157692</v>
      </c>
      <c r="BG29" s="260">
        <f>+BG28/BA28-1</f>
        <v>0.10133992844989326</v>
      </c>
      <c r="BH29" s="260">
        <f>+BH28/BB28-1</f>
        <v>0.17216386929799743</v>
      </c>
      <c r="BI29" s="449">
        <f>IF(ISERROR(BI28/BC28-1),"NM",BI28/BC28-1)</f>
        <v>0.16000534391779797</v>
      </c>
      <c r="BJ29" s="43"/>
      <c r="BK29" s="259">
        <f>+BK28/BE28-1</f>
        <v>5.8390742424128561E-2</v>
      </c>
      <c r="BL29" s="260">
        <f>+BL28/BF28-1</f>
        <v>6.1183894796801308E-2</v>
      </c>
      <c r="BM29" s="260">
        <f>+BM28/BG28-1</f>
        <v>0.11011361695068822</v>
      </c>
      <c r="BN29" s="260">
        <f>+BN28/BH28-1</f>
        <v>5.1657619141375788E-2</v>
      </c>
      <c r="BO29" s="449">
        <f>IF(ISERROR(BO28/BI28-1),"NM",BO28/BI28-1)</f>
        <v>6.988617851247958E-2</v>
      </c>
      <c r="BP29" s="43"/>
      <c r="BQ29" s="259">
        <f>+BQ30+BQ31</f>
        <v>0.15</v>
      </c>
      <c r="BR29" s="260">
        <f>+BR30+BR31</f>
        <v>0.15</v>
      </c>
      <c r="BS29" s="260">
        <f>+BS30+BS31</f>
        <v>0.13</v>
      </c>
      <c r="BT29" s="260">
        <f>+BT30+BT31</f>
        <v>0.09</v>
      </c>
      <c r="BU29" s="449">
        <f>IF(ISERROR(BU28/BO28-1),"NM",BU28/BO28-1)</f>
        <v>0.1299832115192403</v>
      </c>
      <c r="BV29" s="43"/>
      <c r="BW29" s="259">
        <f>+BW30+BW31</f>
        <v>0.06</v>
      </c>
      <c r="BX29" s="260">
        <f>+BX30+BX31</f>
        <v>0.06</v>
      </c>
      <c r="BY29" s="260">
        <f>+BY30+BY31</f>
        <v>0.06</v>
      </c>
      <c r="BZ29" s="260">
        <f>+BZ30+BZ31</f>
        <v>0.06</v>
      </c>
      <c r="CA29" s="449">
        <f>IF(ISERROR(CA28/BU28-1),"NM",CA28/BU28-1)</f>
        <v>6.0000000000000053E-2</v>
      </c>
      <c r="CB29" s="43"/>
      <c r="CC29" s="259">
        <f>+CC30+CC31</f>
        <v>0.05</v>
      </c>
      <c r="CD29" s="260">
        <f>+CD30+CD31</f>
        <v>0.05</v>
      </c>
      <c r="CE29" s="260">
        <f>+CE30+CE31</f>
        <v>0.05</v>
      </c>
      <c r="CF29" s="260">
        <f>+CF30+CF31</f>
        <v>0.05</v>
      </c>
      <c r="CG29" s="449">
        <f>IF(ISERROR(CG28/CA28-1),"NM",CG28/CA28-1)</f>
        <v>5.0000000000000044E-2</v>
      </c>
    </row>
    <row r="30" spans="1:85" ht="11.25" customHeight="1" outlineLevel="1" x14ac:dyDescent="0.2">
      <c r="A30" s="78"/>
      <c r="B30" s="99" t="s">
        <v>256</v>
      </c>
      <c r="C30" s="261"/>
      <c r="D30" s="258"/>
      <c r="E30" s="258"/>
      <c r="F30" s="258"/>
      <c r="G30" s="449"/>
      <c r="H30" s="43"/>
      <c r="I30" s="261"/>
      <c r="J30" s="258"/>
      <c r="K30" s="258"/>
      <c r="L30" s="258"/>
      <c r="M30" s="449"/>
      <c r="N30" s="43"/>
      <c r="O30" s="261"/>
      <c r="P30" s="258"/>
      <c r="Q30" s="258"/>
      <c r="R30" s="258"/>
      <c r="S30" s="449"/>
      <c r="T30" s="43"/>
      <c r="U30" s="261">
        <v>2.7149999999999999</v>
      </c>
      <c r="V30" s="258">
        <v>2.6970000000000001</v>
      </c>
      <c r="W30" s="258">
        <v>2.5920000000000001</v>
      </c>
      <c r="X30" s="258">
        <v>2.8220000000000001</v>
      </c>
      <c r="Y30" s="449">
        <f>+SUMPRODUCT(U30:X30,O$28:R$28)/S$28</f>
        <v>2.7040861955498539</v>
      </c>
      <c r="Z30" s="43"/>
      <c r="AA30" s="261">
        <v>0.11600000000000001</v>
      </c>
      <c r="AB30" s="258">
        <v>0.109</v>
      </c>
      <c r="AC30" s="258">
        <v>9.4E-2</v>
      </c>
      <c r="AD30" s="258">
        <v>0.13900000000000001</v>
      </c>
      <c r="AE30" s="449">
        <f>+SUMPRODUCT(AA30:AD30,U$28:X$28)/Y$28</f>
        <v>0.11434099401441353</v>
      </c>
      <c r="AF30" s="43"/>
      <c r="AG30" s="261">
        <v>0.158</v>
      </c>
      <c r="AH30" s="258">
        <v>0.14199999999999999</v>
      </c>
      <c r="AI30" s="258">
        <v>0.122</v>
      </c>
      <c r="AJ30" s="258">
        <v>0.10100000000000001</v>
      </c>
      <c r="AK30" s="449">
        <f>+SUMPRODUCT(AG30:AJ30,AA$28:AD$28)/AE$28</f>
        <v>0.13018931676070317</v>
      </c>
      <c r="AL30" s="43"/>
      <c r="AM30" s="261">
        <v>0.14899999999999999</v>
      </c>
      <c r="AN30" s="258">
        <v>9.6000000000000002E-2</v>
      </c>
      <c r="AO30" s="258">
        <v>0.104</v>
      </c>
      <c r="AP30" s="258">
        <v>7.0000000000000007E-2</v>
      </c>
      <c r="AQ30" s="449">
        <f>+SUMPRODUCT(AM30:AP30,AG$28:AJ$28)/AK$28</f>
        <v>0.10405652278901834</v>
      </c>
      <c r="AR30" s="43"/>
      <c r="AS30" s="261">
        <v>-4.0000000000000001E-3</v>
      </c>
      <c r="AT30" s="258">
        <v>7.9000000000000001E-2</v>
      </c>
      <c r="AU30" s="258">
        <v>0.20799999999999999</v>
      </c>
      <c r="AV30" s="258">
        <v>0.18099999999999999</v>
      </c>
      <c r="AW30" s="449">
        <f>+SUMPRODUCT(AS30:AV30,AM$28:AP$28)/AQ$28</f>
        <v>0.11501240826367438</v>
      </c>
      <c r="AX30" s="43"/>
      <c r="AY30" s="261">
        <v>0.107</v>
      </c>
      <c r="AZ30" s="258">
        <v>6.9000000000000006E-2</v>
      </c>
      <c r="BA30" s="258">
        <v>-4.0000000000000001E-3</v>
      </c>
      <c r="BB30" s="258">
        <v>2.5000000000000001E-2</v>
      </c>
      <c r="BC30" s="449">
        <f>+SUMPRODUCT(AY30:BB30,AS$28:AV$28)/AW$28</f>
        <v>4.6606140921789829E-2</v>
      </c>
      <c r="BD30" s="43"/>
      <c r="BE30" s="261">
        <v>0.18099999999999999</v>
      </c>
      <c r="BF30" s="258">
        <v>0.188</v>
      </c>
      <c r="BG30" s="258">
        <v>0.10100000000000001</v>
      </c>
      <c r="BH30" s="258">
        <v>0.17199999999999999</v>
      </c>
      <c r="BI30" s="449">
        <f>+SUMPRODUCT(BE30:BH30,AY$28:BB$28)/BC$28</f>
        <v>0.16024343968329674</v>
      </c>
      <c r="BJ30" s="43"/>
      <c r="BK30" s="261">
        <v>5.8000000000000003E-2</v>
      </c>
      <c r="BL30" s="258">
        <v>6.0999999999999999E-2</v>
      </c>
      <c r="BM30" s="258">
        <v>0.11</v>
      </c>
      <c r="BN30" s="258">
        <v>5.0999999999999997E-2</v>
      </c>
      <c r="BO30" s="449">
        <f>+SUMPRODUCT(BK30:BN30,BE$28:BH$28)/BI$28</f>
        <v>6.9549326821746513E-2</v>
      </c>
      <c r="BP30" s="43"/>
      <c r="BQ30" s="263">
        <v>0.15</v>
      </c>
      <c r="BR30" s="262">
        <v>0.15</v>
      </c>
      <c r="BS30" s="262">
        <v>0.13</v>
      </c>
      <c r="BT30" s="262">
        <v>0.09</v>
      </c>
      <c r="BU30" s="449">
        <f>+SUMPRODUCT(BQ30:BT30,BK$28:BN$28)/BO$28</f>
        <v>0.12998321151924039</v>
      </c>
      <c r="BV30" s="43"/>
      <c r="BW30" s="263">
        <v>0.06</v>
      </c>
      <c r="BX30" s="262">
        <f t="shared" ref="BX30:BZ32" si="9">+BW30</f>
        <v>0.06</v>
      </c>
      <c r="BY30" s="262">
        <f t="shared" si="9"/>
        <v>0.06</v>
      </c>
      <c r="BZ30" s="262">
        <f t="shared" si="9"/>
        <v>0.06</v>
      </c>
      <c r="CA30" s="449">
        <f>+SUMPRODUCT(BW30:BZ30,BQ$28:BT$28)/BU$28</f>
        <v>0.06</v>
      </c>
      <c r="CB30" s="43"/>
      <c r="CC30" s="263">
        <v>0.05</v>
      </c>
      <c r="CD30" s="262">
        <f t="shared" ref="CD30:CF32" si="10">+CC30</f>
        <v>0.05</v>
      </c>
      <c r="CE30" s="262">
        <f t="shared" si="10"/>
        <v>0.05</v>
      </c>
      <c r="CF30" s="262">
        <f t="shared" si="10"/>
        <v>0.05</v>
      </c>
      <c r="CG30" s="449">
        <f>+SUMPRODUCT(CC30:CF30,BW$28:BZ$28)/CA$28</f>
        <v>0.05</v>
      </c>
    </row>
    <row r="31" spans="1:85" ht="11.25" customHeight="1" outlineLevel="1" x14ac:dyDescent="0.2">
      <c r="A31" s="78"/>
      <c r="B31" s="99" t="s">
        <v>255</v>
      </c>
      <c r="C31" s="259"/>
      <c r="D31" s="260"/>
      <c r="E31" s="260"/>
      <c r="F31" s="260"/>
      <c r="G31" s="449"/>
      <c r="H31" s="43"/>
      <c r="I31" s="259"/>
      <c r="J31" s="260"/>
      <c r="K31" s="260"/>
      <c r="L31" s="260"/>
      <c r="M31" s="449"/>
      <c r="N31" s="43"/>
      <c r="O31" s="259"/>
      <c r="P31" s="260"/>
      <c r="Q31" s="260"/>
      <c r="R31" s="260"/>
      <c r="S31" s="449"/>
      <c r="T31" s="43"/>
      <c r="U31" s="259">
        <f>U29-U30</f>
        <v>-8.2515370510183317E-5</v>
      </c>
      <c r="V31" s="260">
        <f>V29-V30</f>
        <v>2.9712701612893966E-4</v>
      </c>
      <c r="W31" s="260">
        <f>W29-W30</f>
        <v>-1.3397129186598633E-4</v>
      </c>
      <c r="X31" s="260">
        <f>X29-X30</f>
        <v>2.1802704743434376E-4</v>
      </c>
      <c r="Y31" s="449">
        <f>+SUMPRODUCT(U31:X31,O$28:R$28)/S$28</f>
        <v>7.7381894518962954E-5</v>
      </c>
      <c r="Z31" s="43"/>
      <c r="AA31" s="259">
        <f>AA29-AA30</f>
        <v>-1.855938894907011E-4</v>
      </c>
      <c r="AB31" s="260">
        <f>AB29-AB30</f>
        <v>-1.8445759605324741E-4</v>
      </c>
      <c r="AC31" s="260">
        <f>AC29-AC30</f>
        <v>3.208560898716184E-4</v>
      </c>
      <c r="AD31" s="260">
        <f>AD29-AD30</f>
        <v>9.823822587815112E-3</v>
      </c>
      <c r="AE31" s="449">
        <f>+SUMPRODUCT(AA31:AD31,U$28:X$28)/Y$28</f>
        <v>2.4496738409298014E-3</v>
      </c>
      <c r="AF31" s="43"/>
      <c r="AG31" s="259">
        <f>AG29-AG30</f>
        <v>0</v>
      </c>
      <c r="AH31" s="260">
        <f>AH29-AH30</f>
        <v>0</v>
      </c>
      <c r="AI31" s="260">
        <f>AI29-AI30</f>
        <v>-3.4142145326476747E-4</v>
      </c>
      <c r="AJ31" s="260">
        <f>AJ29-AJ30</f>
        <v>-4.2077245972385602E-4</v>
      </c>
      <c r="AK31" s="449">
        <f>+SUMPRODUCT(AG31:AJ31,AA$28:AD$28)/AE$28</f>
        <v>-1.9312193215068472E-4</v>
      </c>
      <c r="AL31" s="43"/>
      <c r="AM31" s="259">
        <f>AM29-AM30</f>
        <v>1.3299127373514463E-4</v>
      </c>
      <c r="AN31" s="260">
        <f>AN29-AN30</f>
        <v>1.6937383089551949E-4</v>
      </c>
      <c r="AO31" s="260">
        <f>AO29-AO30</f>
        <v>-2.9026715140990922E-4</v>
      </c>
      <c r="AP31" s="260">
        <f>AP29-AP30</f>
        <v>-1.6136822068818502E-4</v>
      </c>
      <c r="AQ31" s="449">
        <f>+SUMPRODUCT(AM31:AP31,AG$28:AJ$28)/AK$28</f>
        <v>-3.5486909156634829E-5</v>
      </c>
      <c r="AR31" s="43"/>
      <c r="AS31" s="259">
        <f>AS29-AS30</f>
        <v>1.5096307401496131E-4</v>
      </c>
      <c r="AT31" s="260">
        <f>AT29-AT30</f>
        <v>-1.1619570254843559E-4</v>
      </c>
      <c r="AU31" s="260">
        <f>AU29-AU30</f>
        <v>-2.8722009544271399E-4</v>
      </c>
      <c r="AV31" s="260">
        <f>AV29-AV30</f>
        <v>-4.8031255601505007E-4</v>
      </c>
      <c r="AW31" s="449">
        <f>+SUMPRODUCT(AS31:AV31,AM$28:AP$28)/AQ$28</f>
        <v>-1.8068333423455524E-4</v>
      </c>
      <c r="AX31" s="43"/>
      <c r="AY31" s="259">
        <f>AY29-AY30</f>
        <v>-1.4536281813595786E-5</v>
      </c>
      <c r="AZ31" s="260">
        <f>AZ29-AZ30</f>
        <v>-5.7773460058091475E-4</v>
      </c>
      <c r="BA31" s="260">
        <f>BA29-BA30</f>
        <v>-7.2755496936050337E-4</v>
      </c>
      <c r="BB31" s="260">
        <f>BB29-BB30</f>
        <v>-1.5718800700706761E-3</v>
      </c>
      <c r="BC31" s="449">
        <f>+SUMPRODUCT(AY31:BB31,AS$28:AV$28)/AW$28</f>
        <v>-7.490405714654433E-4</v>
      </c>
      <c r="BD31" s="43"/>
      <c r="BE31" s="259">
        <f>BE29-BE30</f>
        <v>-7.7780339235528073E-4</v>
      </c>
      <c r="BF31" s="260">
        <f>BF29-BF30</f>
        <v>-7.0585102842307679E-4</v>
      </c>
      <c r="BG31" s="260">
        <f>BG29-BG30</f>
        <v>3.3992844989325088E-4</v>
      </c>
      <c r="BH31" s="260">
        <f>BH29-BH30</f>
        <v>1.6386929799744321E-4</v>
      </c>
      <c r="BI31" s="449">
        <f>+SUMPRODUCT(BE31:BH31,AY$28:BB$28)/BC$28</f>
        <v>-2.3809576549887706E-4</v>
      </c>
      <c r="BJ31" s="43"/>
      <c r="BK31" s="259">
        <f>BK29-BK30</f>
        <v>3.9074242412855814E-4</v>
      </c>
      <c r="BL31" s="260">
        <f>BL29-BL30</f>
        <v>1.8389479680130938E-4</v>
      </c>
      <c r="BM31" s="260">
        <f>BM29-BM30</f>
        <v>1.1361695068821953E-4</v>
      </c>
      <c r="BN31" s="260">
        <f>BN29-BN30</f>
        <v>6.5761914137579119E-4</v>
      </c>
      <c r="BO31" s="449">
        <f>+SUMPRODUCT(BK31:BN31,BE$28:BH$28)/BI$28</f>
        <v>3.368516907330164E-4</v>
      </c>
      <c r="BP31" s="43"/>
      <c r="BQ31" s="263">
        <v>0</v>
      </c>
      <c r="BR31" s="262">
        <f>+BQ31</f>
        <v>0</v>
      </c>
      <c r="BS31" s="262">
        <f>+BR31</f>
        <v>0</v>
      </c>
      <c r="BT31" s="262">
        <f>+BS31</f>
        <v>0</v>
      </c>
      <c r="BU31" s="449">
        <f>+SUMPRODUCT(BQ31:BT31,BK$28:BN$28)/BO$28</f>
        <v>0</v>
      </c>
      <c r="BV31" s="43"/>
      <c r="BW31" s="263">
        <f>+BT31</f>
        <v>0</v>
      </c>
      <c r="BX31" s="262">
        <f t="shared" si="9"/>
        <v>0</v>
      </c>
      <c r="BY31" s="262">
        <f t="shared" si="9"/>
        <v>0</v>
      </c>
      <c r="BZ31" s="262">
        <f t="shared" si="9"/>
        <v>0</v>
      </c>
      <c r="CA31" s="449">
        <f>+SUMPRODUCT(BW31:BZ31,BQ$28:BT$28)/BU$28</f>
        <v>0</v>
      </c>
      <c r="CB31" s="43"/>
      <c r="CC31" s="263">
        <f>+BZ31</f>
        <v>0</v>
      </c>
      <c r="CD31" s="262">
        <f t="shared" si="10"/>
        <v>0</v>
      </c>
      <c r="CE31" s="262">
        <f t="shared" si="10"/>
        <v>0</v>
      </c>
      <c r="CF31" s="262">
        <f t="shared" si="10"/>
        <v>0</v>
      </c>
      <c r="CG31" s="449">
        <f>+SUMPRODUCT(CC31:CF31,BW$28:BZ$28)/CA$28</f>
        <v>0</v>
      </c>
    </row>
    <row r="32" spans="1:85" ht="11.25" customHeight="1" outlineLevel="1" x14ac:dyDescent="0.2">
      <c r="A32" s="78"/>
      <c r="B32" s="99" t="s">
        <v>254</v>
      </c>
      <c r="C32" s="261"/>
      <c r="D32" s="258"/>
      <c r="E32" s="258"/>
      <c r="F32" s="258"/>
      <c r="G32" s="449"/>
      <c r="H32" s="43"/>
      <c r="I32" s="261"/>
      <c r="J32" s="258"/>
      <c r="K32" s="258"/>
      <c r="L32" s="258"/>
      <c r="M32" s="449"/>
      <c r="N32" s="43"/>
      <c r="O32" s="261"/>
      <c r="P32" s="258"/>
      <c r="Q32" s="258"/>
      <c r="R32" s="258"/>
      <c r="S32" s="449"/>
      <c r="T32" s="43"/>
      <c r="U32" s="261">
        <v>2.69</v>
      </c>
      <c r="V32" s="258">
        <v>2.6970000000000001</v>
      </c>
      <c r="W32" s="258">
        <v>2.5920000000000001</v>
      </c>
      <c r="X32" s="258">
        <v>2.8220000000000001</v>
      </c>
      <c r="Y32" s="449">
        <f>+SUMPRODUCT(U32:X32,O$28:R$28)/S$28</f>
        <v>2.6982937996184639</v>
      </c>
      <c r="Z32" s="43"/>
      <c r="AA32" s="261">
        <v>4.1000000000000002E-2</v>
      </c>
      <c r="AB32" s="258">
        <v>0</v>
      </c>
      <c r="AC32" s="258">
        <v>0</v>
      </c>
      <c r="AD32" s="258">
        <f>6.1%+0.7%</f>
        <v>6.8000000000000005E-2</v>
      </c>
      <c r="AE32" s="449">
        <f>+SUMPRODUCT(AA32:AD32,U$28:X$28)/Y$28</f>
        <v>2.6556719138471359E-2</v>
      </c>
      <c r="AF32" s="43"/>
      <c r="AG32" s="261">
        <v>0</v>
      </c>
      <c r="AH32" s="258">
        <v>0</v>
      </c>
      <c r="AI32" s="258">
        <v>0</v>
      </c>
      <c r="AJ32" s="258">
        <v>-8.3000000000000004E-2</v>
      </c>
      <c r="AK32" s="449">
        <f>+SUMPRODUCT(AG32:AJ32,AA$28:AD$28)/AE$28</f>
        <v>-2.1382356175872391E-2</v>
      </c>
      <c r="AL32" s="43"/>
      <c r="AM32" s="261">
        <v>0</v>
      </c>
      <c r="AN32" s="258">
        <v>0</v>
      </c>
      <c r="AO32" s="258">
        <v>0</v>
      </c>
      <c r="AP32" s="258">
        <v>0</v>
      </c>
      <c r="AQ32" s="449">
        <f>+SUMPRODUCT(AM32:AP32,AG$28:AJ$28)/AK$28</f>
        <v>0</v>
      </c>
      <c r="AR32" s="43"/>
      <c r="AS32" s="261">
        <v>0</v>
      </c>
      <c r="AT32" s="258">
        <v>0</v>
      </c>
      <c r="AU32" s="258">
        <v>9.9000000000000005E-2</v>
      </c>
      <c r="AV32" s="258">
        <v>0.112</v>
      </c>
      <c r="AW32" s="449">
        <f>+SUMPRODUCT(AS32:AV32,AM$28:AP$28)/AQ$28</f>
        <v>5.161059004223522E-2</v>
      </c>
      <c r="AX32" s="43"/>
      <c r="AY32" s="261">
        <v>9.4E-2</v>
      </c>
      <c r="AZ32" s="258">
        <v>0.11</v>
      </c>
      <c r="BA32" s="258">
        <v>1.4999999999999999E-2</v>
      </c>
      <c r="BB32" s="258">
        <v>1.2999999999999999E-2</v>
      </c>
      <c r="BC32" s="449">
        <f>+SUMPRODUCT(AY32:BB32,AS$28:AV$28)/AW$28</f>
        <v>5.6142434143131317E-2</v>
      </c>
      <c r="BD32" s="43"/>
      <c r="BE32" s="261">
        <v>1.4E-2</v>
      </c>
      <c r="BF32" s="258">
        <v>0</v>
      </c>
      <c r="BG32" s="258">
        <v>1E-3</v>
      </c>
      <c r="BH32" s="258">
        <f>0.5%+6.4%</f>
        <v>6.9000000000000006E-2</v>
      </c>
      <c r="BI32" s="449">
        <f>+SUMPRODUCT(BE32:BH32,AY$28:BB$28)/BC$28</f>
        <v>2.0917256493517736E-2</v>
      </c>
      <c r="BJ32" s="43"/>
      <c r="BK32" s="261">
        <v>3.0000000000000001E-3</v>
      </c>
      <c r="BL32" s="258">
        <v>2E-3</v>
      </c>
      <c r="BM32" s="258">
        <f>2%-0.5%</f>
        <v>1.4999999999999999E-2</v>
      </c>
      <c r="BN32" s="258">
        <f>5%-5.9%</f>
        <v>-9.0000000000000011E-3</v>
      </c>
      <c r="BO32" s="449">
        <f>+SUMPRODUCT(BK32:BN32,BE$28:BH$28)/BI$28</f>
        <v>2.5711029238886678E-3</v>
      </c>
      <c r="BP32" s="43"/>
      <c r="BQ32" s="263">
        <f>30/BK28</f>
        <v>7.0981724571980195E-2</v>
      </c>
      <c r="BR32" s="262">
        <f>30/BL28</f>
        <v>6.3398006344027161E-2</v>
      </c>
      <c r="BS32" s="262">
        <f>30/BM28</f>
        <v>6.6908130676039762E-2</v>
      </c>
      <c r="BT32" s="262">
        <v>0</v>
      </c>
      <c r="BU32" s="449">
        <f>+SUMPRODUCT(BQ32:BT32,BK$28:BN$28)/BO$28</f>
        <v>5.0198115228100235E-2</v>
      </c>
      <c r="BV32" s="43"/>
      <c r="BW32" s="263">
        <f>+BT32</f>
        <v>0</v>
      </c>
      <c r="BX32" s="262">
        <f t="shared" si="9"/>
        <v>0</v>
      </c>
      <c r="BY32" s="262">
        <f t="shared" si="9"/>
        <v>0</v>
      </c>
      <c r="BZ32" s="262">
        <f t="shared" si="9"/>
        <v>0</v>
      </c>
      <c r="CA32" s="449">
        <f>+SUMPRODUCT(BW32:BZ32,BQ$28:BT$28)/BU$28</f>
        <v>0</v>
      </c>
      <c r="CB32" s="43"/>
      <c r="CC32" s="263">
        <f>+BZ32</f>
        <v>0</v>
      </c>
      <c r="CD32" s="262">
        <f t="shared" si="10"/>
        <v>0</v>
      </c>
      <c r="CE32" s="262">
        <f t="shared" si="10"/>
        <v>0</v>
      </c>
      <c r="CF32" s="262">
        <f t="shared" si="10"/>
        <v>0</v>
      </c>
      <c r="CG32" s="449">
        <f>+SUMPRODUCT(CC32:CF32,BW$28:BZ$28)/CA$28</f>
        <v>0</v>
      </c>
    </row>
    <row r="33" spans="1:85" ht="11.25" customHeight="1" outlineLevel="1" x14ac:dyDescent="0.2">
      <c r="A33" s="78"/>
      <c r="B33" s="98" t="s">
        <v>257</v>
      </c>
      <c r="C33" s="259"/>
      <c r="D33" s="260"/>
      <c r="E33" s="260"/>
      <c r="F33" s="260"/>
      <c r="G33" s="449"/>
      <c r="H33" s="264"/>
      <c r="I33" s="259"/>
      <c r="J33" s="260"/>
      <c r="K33" s="260"/>
      <c r="L33" s="260"/>
      <c r="M33" s="449"/>
      <c r="N33" s="264"/>
      <c r="O33" s="259"/>
      <c r="P33" s="260"/>
      <c r="Q33" s="260"/>
      <c r="R33" s="260"/>
      <c r="S33" s="449"/>
      <c r="T33" s="264"/>
      <c r="U33" s="259">
        <f>+U30-U32</f>
        <v>2.4999999999999911E-2</v>
      </c>
      <c r="V33" s="260">
        <f>+V30-V32</f>
        <v>0</v>
      </c>
      <c r="W33" s="260">
        <f>+W30-W32</f>
        <v>0</v>
      </c>
      <c r="X33" s="260">
        <f>+X30-X32</f>
        <v>0</v>
      </c>
      <c r="Y33" s="449">
        <f>+SUMPRODUCT(U33:X33,O$28:R$28)/S$28</f>
        <v>5.7923959313900871E-3</v>
      </c>
      <c r="Z33" s="264"/>
      <c r="AA33" s="259">
        <f>+AA30-AA32</f>
        <v>7.5000000000000011E-2</v>
      </c>
      <c r="AB33" s="260">
        <f>+AB30-AB32</f>
        <v>0.109</v>
      </c>
      <c r="AC33" s="260">
        <f>+AC30-AC32</f>
        <v>9.4E-2</v>
      </c>
      <c r="AD33" s="260">
        <f>+AD30-AD32</f>
        <v>7.1000000000000008E-2</v>
      </c>
      <c r="AE33" s="449">
        <f>+SUMPRODUCT(AA33:AD33,U$28:X$28)/Y$28</f>
        <v>8.7784274875942175E-2</v>
      </c>
      <c r="AF33" s="264"/>
      <c r="AG33" s="259">
        <f>+AG30-AG32</f>
        <v>0.158</v>
      </c>
      <c r="AH33" s="260">
        <f>+AH30-AH32</f>
        <v>0.14199999999999999</v>
      </c>
      <c r="AI33" s="260">
        <f>+AI30-AI32</f>
        <v>0.122</v>
      </c>
      <c r="AJ33" s="260">
        <f>+AJ30-AJ32</f>
        <v>0.184</v>
      </c>
      <c r="AK33" s="449">
        <f>+SUMPRODUCT(AG33:AJ33,AA$28:AD$28)/AE$28</f>
        <v>0.15157167293657556</v>
      </c>
      <c r="AL33" s="264"/>
      <c r="AM33" s="259">
        <f>+AM30-AM32</f>
        <v>0.14899999999999999</v>
      </c>
      <c r="AN33" s="260">
        <f>+AN30-AN32</f>
        <v>9.6000000000000002E-2</v>
      </c>
      <c r="AO33" s="260">
        <f>+AO30-AO32</f>
        <v>0.104</v>
      </c>
      <c r="AP33" s="260">
        <f>+AP30-AP32</f>
        <v>7.0000000000000007E-2</v>
      </c>
      <c r="AQ33" s="449">
        <f>+SUMPRODUCT(AM33:AP33,AG$28:AJ$28)/AK$28</f>
        <v>0.10405652278901834</v>
      </c>
      <c r="AR33" s="264"/>
      <c r="AS33" s="259">
        <f>+AS30-AS32</f>
        <v>-4.0000000000000001E-3</v>
      </c>
      <c r="AT33" s="260">
        <f>+AT30-AT32</f>
        <v>7.9000000000000001E-2</v>
      </c>
      <c r="AU33" s="260">
        <f>+AU30-AU32</f>
        <v>0.10899999999999999</v>
      </c>
      <c r="AV33" s="260">
        <f>+AV30-AV32</f>
        <v>6.8999999999999992E-2</v>
      </c>
      <c r="AW33" s="449">
        <f>+SUMPRODUCT(AS33:AV33,AM$28:AP$28)/AQ$28</f>
        <v>6.3401818221439157E-2</v>
      </c>
      <c r="AX33" s="264"/>
      <c r="AY33" s="259">
        <f>+AY30-AY32</f>
        <v>1.2999999999999998E-2</v>
      </c>
      <c r="AZ33" s="260">
        <f>+AZ30-AZ32</f>
        <v>-4.0999999999999995E-2</v>
      </c>
      <c r="BA33" s="260">
        <f>+BA30-BA32</f>
        <v>-1.9E-2</v>
      </c>
      <c r="BB33" s="260">
        <f>+BB30-BB32</f>
        <v>1.2000000000000002E-2</v>
      </c>
      <c r="BC33" s="449">
        <f>+SUMPRODUCT(AY33:BB33,AS$28:AV$28)/AW$28</f>
        <v>-9.5362932213414846E-3</v>
      </c>
      <c r="BD33" s="264"/>
      <c r="BE33" s="259">
        <f>+BE30-BE32</f>
        <v>0.16699999999999998</v>
      </c>
      <c r="BF33" s="260">
        <f>+BF30-BF32</f>
        <v>0.188</v>
      </c>
      <c r="BG33" s="260">
        <f>+BG30-BG32</f>
        <v>0.1</v>
      </c>
      <c r="BH33" s="260">
        <f>+BH30-BH32</f>
        <v>0.10299999999999998</v>
      </c>
      <c r="BI33" s="449">
        <f>+SUMPRODUCT(BE33:BH33,AY$28:BB$28)/BC$28</f>
        <v>0.13932618318977899</v>
      </c>
      <c r="BJ33" s="264"/>
      <c r="BK33" s="259">
        <f>+BK30-BK32</f>
        <v>5.5E-2</v>
      </c>
      <c r="BL33" s="260">
        <f>+BL30-BL32</f>
        <v>5.8999999999999997E-2</v>
      </c>
      <c r="BM33" s="260">
        <f>+BM30-BM32</f>
        <v>9.5000000000000001E-2</v>
      </c>
      <c r="BN33" s="260">
        <f>+BN30-BN32</f>
        <v>0.06</v>
      </c>
      <c r="BO33" s="449">
        <f>+SUMPRODUCT(BK33:BN33,BE$28:BH$28)/BI$28</f>
        <v>6.6978223897857847E-2</v>
      </c>
      <c r="BP33" s="264"/>
      <c r="BQ33" s="259">
        <f>+BQ30-BQ32</f>
        <v>7.9018275428019799E-2</v>
      </c>
      <c r="BR33" s="260">
        <f>+BR30-BR32</f>
        <v>8.6601993655972834E-2</v>
      </c>
      <c r="BS33" s="260">
        <f>+BS30-BS32</f>
        <v>6.3091869323960242E-2</v>
      </c>
      <c r="BT33" s="260">
        <f>+BT30-BT32</f>
        <v>0.09</v>
      </c>
      <c r="BU33" s="449">
        <f>+SUMPRODUCT(BQ33:BT33,BK$28:BN$28)/BO$28</f>
        <v>7.978509629114014E-2</v>
      </c>
      <c r="BV33" s="264"/>
      <c r="BW33" s="259">
        <f>+BW30-BW32</f>
        <v>0.06</v>
      </c>
      <c r="BX33" s="260">
        <f>+BX30-BX32</f>
        <v>0.06</v>
      </c>
      <c r="BY33" s="260">
        <f>+BY30-BY32</f>
        <v>0.06</v>
      </c>
      <c r="BZ33" s="260">
        <f>+BZ30-BZ32</f>
        <v>0.06</v>
      </c>
      <c r="CA33" s="449">
        <f>+SUMPRODUCT(BW33:BZ33,BQ$28:BT$28)/BU$28</f>
        <v>0.06</v>
      </c>
      <c r="CB33" s="264"/>
      <c r="CC33" s="259">
        <f>+CC30-CC32</f>
        <v>0.05</v>
      </c>
      <c r="CD33" s="260">
        <f>+CD30-CD32</f>
        <v>0.05</v>
      </c>
      <c r="CE33" s="260">
        <f>+CE30-CE32</f>
        <v>0.05</v>
      </c>
      <c r="CF33" s="260">
        <f>+CF30-CF32</f>
        <v>0.05</v>
      </c>
      <c r="CG33" s="449">
        <f>+SUMPRODUCT(CC33:CF33,BW$28:BZ$28)/CA$28</f>
        <v>0.05</v>
      </c>
    </row>
    <row r="34" spans="1:85" ht="11.25" customHeight="1" outlineLevel="1" x14ac:dyDescent="0.2">
      <c r="A34" s="78"/>
      <c r="B34" s="99"/>
      <c r="C34" s="93"/>
      <c r="D34" s="61"/>
      <c r="E34" s="61"/>
      <c r="F34" s="61"/>
      <c r="G34" s="447"/>
      <c r="H34" s="43"/>
      <c r="I34" s="93"/>
      <c r="J34" s="61"/>
      <c r="K34" s="61"/>
      <c r="L34" s="61"/>
      <c r="M34" s="447"/>
      <c r="N34" s="43"/>
      <c r="O34" s="93"/>
      <c r="P34" s="61"/>
      <c r="Q34" s="61"/>
      <c r="R34" s="61"/>
      <c r="S34" s="447"/>
      <c r="T34" s="43"/>
      <c r="U34" s="93"/>
      <c r="V34" s="61"/>
      <c r="W34" s="61"/>
      <c r="X34" s="61"/>
      <c r="Y34" s="447"/>
      <c r="Z34" s="43"/>
      <c r="AA34" s="93"/>
      <c r="AB34" s="61"/>
      <c r="AC34" s="61"/>
      <c r="AD34" s="61"/>
      <c r="AE34" s="447"/>
      <c r="AF34" s="43"/>
      <c r="AG34" s="93"/>
      <c r="AH34" s="61"/>
      <c r="AI34" s="61"/>
      <c r="AJ34" s="61"/>
      <c r="AK34" s="447"/>
      <c r="AL34" s="43"/>
      <c r="AM34" s="93"/>
      <c r="AN34" s="61"/>
      <c r="AO34" s="61"/>
      <c r="AP34" s="61"/>
      <c r="AQ34" s="447"/>
      <c r="AR34" s="43"/>
      <c r="AS34" s="93"/>
      <c r="AT34" s="61"/>
      <c r="AU34" s="61"/>
      <c r="AV34" s="61"/>
      <c r="AW34" s="447"/>
      <c r="AX34" s="43"/>
      <c r="AY34" s="93"/>
      <c r="AZ34" s="61"/>
      <c r="BA34" s="61"/>
      <c r="BB34" s="61"/>
      <c r="BC34" s="447"/>
      <c r="BD34" s="43"/>
      <c r="BE34" s="93"/>
      <c r="BF34" s="61"/>
      <c r="BG34" s="61"/>
      <c r="BH34" s="61"/>
      <c r="BI34" s="447"/>
      <c r="BJ34" s="43"/>
      <c r="BK34" s="93"/>
      <c r="BL34" s="61"/>
      <c r="BM34" s="61"/>
      <c r="BN34" s="61"/>
      <c r="BO34" s="447"/>
      <c r="BP34" s="43"/>
      <c r="BQ34" s="93"/>
      <c r="BR34" s="61"/>
      <c r="BS34" s="61"/>
      <c r="BT34" s="61"/>
      <c r="BU34" s="447"/>
      <c r="BV34" s="43"/>
      <c r="BW34" s="93"/>
      <c r="BX34" s="61"/>
      <c r="BY34" s="61"/>
      <c r="BZ34" s="61"/>
      <c r="CA34" s="447"/>
      <c r="CB34" s="43"/>
      <c r="CC34" s="93"/>
      <c r="CD34" s="61"/>
      <c r="CE34" s="61"/>
      <c r="CF34" s="61"/>
      <c r="CG34" s="447"/>
    </row>
    <row r="35" spans="1:85" ht="11.25" customHeight="1" outlineLevel="1" x14ac:dyDescent="0.2">
      <c r="A35" s="78"/>
      <c r="B35" s="108" t="s">
        <v>306</v>
      </c>
      <c r="C35" s="269">
        <v>348.28699999999998</v>
      </c>
      <c r="D35" s="270">
        <v>358.78</v>
      </c>
      <c r="E35" s="270">
        <v>444.99</v>
      </c>
      <c r="F35" s="270">
        <f>1540.269-E35-D35-C35</f>
        <v>388.21200000000005</v>
      </c>
      <c r="G35" s="448">
        <f>+SUM(C35:F35)</f>
        <v>1540.269</v>
      </c>
      <c r="H35" s="39"/>
      <c r="I35" s="269">
        <v>331.471</v>
      </c>
      <c r="J35" s="270">
        <v>324.93799999999999</v>
      </c>
      <c r="K35" s="270">
        <v>423.67500000000001</v>
      </c>
      <c r="L35" s="270">
        <f>1428.968-K35-J35-I35</f>
        <v>348.88400000000013</v>
      </c>
      <c r="M35" s="448">
        <f>+SUM(I35:L35)</f>
        <v>1428.9680000000003</v>
      </c>
      <c r="N35" s="39"/>
      <c r="O35" s="269">
        <v>271.762</v>
      </c>
      <c r="P35" s="270">
        <v>287.38200000000001</v>
      </c>
      <c r="Q35" s="270">
        <v>347.91699999999997</v>
      </c>
      <c r="R35" s="270">
        <f>1217.02-Q35-P35-O35</f>
        <v>309.959</v>
      </c>
      <c r="S35" s="448">
        <f>+SUM(O35:R35)</f>
        <v>1217.02</v>
      </c>
      <c r="T35" s="39"/>
      <c r="U35" s="269">
        <v>284.589</v>
      </c>
      <c r="V35" s="270">
        <v>286.291</v>
      </c>
      <c r="W35" s="270">
        <v>391.863</v>
      </c>
      <c r="X35" s="270">
        <f>1290.428-W35-V35-U35</f>
        <v>327.68500000000012</v>
      </c>
      <c r="Y35" s="448">
        <f>+SUM(U35:X35)</f>
        <v>1290.4280000000001</v>
      </c>
      <c r="Z35" s="39"/>
      <c r="AA35" s="147">
        <f>+AG35/(1+AG36)</f>
        <v>320.23461538461538</v>
      </c>
      <c r="AB35" s="148">
        <f>+AH35/(1+AH36)</f>
        <v>318.83861940298505</v>
      </c>
      <c r="AC35" s="270">
        <v>403.32600000000002</v>
      </c>
      <c r="AD35" s="270">
        <v>374.66500000000002</v>
      </c>
      <c r="AE35" s="448">
        <f>+SUM(AA35:AD35)</f>
        <v>1417.0642347876005</v>
      </c>
      <c r="AF35" s="39"/>
      <c r="AG35" s="269">
        <v>333.04399999999998</v>
      </c>
      <c r="AH35" s="270">
        <v>341.79500000000002</v>
      </c>
      <c r="AI35" s="270">
        <v>424.08600000000001</v>
      </c>
      <c r="AJ35" s="270">
        <v>380.85</v>
      </c>
      <c r="AK35" s="448">
        <f>+SUM(AG35:AJ35)</f>
        <v>1479.7750000000001</v>
      </c>
      <c r="AL35" s="39"/>
      <c r="AM35" s="269">
        <v>367.63200000000001</v>
      </c>
      <c r="AN35" s="270">
        <v>367.31200000000001</v>
      </c>
      <c r="AO35" s="270">
        <v>426.31099999999998</v>
      </c>
      <c r="AP35" s="270">
        <v>400.77600000000001</v>
      </c>
      <c r="AQ35" s="448">
        <f>+SUM(AM35:AP35)</f>
        <v>1562.0309999999999</v>
      </c>
      <c r="AR35" s="39"/>
      <c r="AS35" s="269">
        <v>375.11799999999999</v>
      </c>
      <c r="AT35" s="270">
        <v>381.81099999999998</v>
      </c>
      <c r="AU35" s="270">
        <v>460.31299999999999</v>
      </c>
      <c r="AV35" s="270">
        <v>440.57900000000001</v>
      </c>
      <c r="AW35" s="448">
        <f>+SUM(AS35:AV35)</f>
        <v>1657.8209999999999</v>
      </c>
      <c r="AX35" s="39"/>
      <c r="AY35" s="269">
        <v>424.64400000000001</v>
      </c>
      <c r="AZ35" s="270">
        <v>452.73500000000001</v>
      </c>
      <c r="BA35" s="270">
        <v>580.09500000000003</v>
      </c>
      <c r="BB35" s="270">
        <v>542.94899999999996</v>
      </c>
      <c r="BC35" s="448">
        <f>+SUM(AY35:BB35)</f>
        <v>2000.4230000000002</v>
      </c>
      <c r="BD35" s="39"/>
      <c r="BE35" s="269">
        <v>519.44100000000003</v>
      </c>
      <c r="BF35" s="270">
        <v>520.33199999999999</v>
      </c>
      <c r="BG35" s="270">
        <v>622.90300000000002</v>
      </c>
      <c r="BH35" s="270">
        <v>601.97299999999996</v>
      </c>
      <c r="BI35" s="448">
        <f>+SUM(BE35:BH35)</f>
        <v>2264.6490000000003</v>
      </c>
      <c r="BJ35" s="39"/>
      <c r="BK35" s="269">
        <v>580.03700000000003</v>
      </c>
      <c r="BL35" s="270">
        <v>553.73400000000004</v>
      </c>
      <c r="BM35" s="270">
        <v>672.42499999999995</v>
      </c>
      <c r="BN35" s="270">
        <v>617.697</v>
      </c>
      <c r="BO35" s="448">
        <f>+SUM(BK35:BN35)</f>
        <v>2423.893</v>
      </c>
      <c r="BP35" s="39"/>
      <c r="BQ35" s="147">
        <f>+BK35*(1+BQ36)</f>
        <v>597.43811000000005</v>
      </c>
      <c r="BR35" s="148">
        <f>+BL35*(1+BR36)</f>
        <v>603.57006000000013</v>
      </c>
      <c r="BS35" s="148">
        <f>+BM35*(1+BS36)</f>
        <v>712.77049999999997</v>
      </c>
      <c r="BT35" s="148">
        <f>+BN35*(1+BT36)</f>
        <v>654.75882000000001</v>
      </c>
      <c r="BU35" s="448">
        <f>+SUM(BQ35:BT35)</f>
        <v>2568.5374900000002</v>
      </c>
      <c r="BV35" s="39"/>
      <c r="BW35" s="147">
        <f>+BQ35*(1+BW36)</f>
        <v>627.31001550000008</v>
      </c>
      <c r="BX35" s="148">
        <f>+BR35*(1+BX36)</f>
        <v>633.7485630000001</v>
      </c>
      <c r="BY35" s="148">
        <f>+BS35*(1+BY36)</f>
        <v>748.40902500000004</v>
      </c>
      <c r="BZ35" s="148">
        <f>+BT35*(1+BZ36)</f>
        <v>687.49676099999999</v>
      </c>
      <c r="CA35" s="448">
        <f>+SUM(BW35:BZ35)</f>
        <v>2696.9643645000001</v>
      </c>
      <c r="CB35" s="39"/>
      <c r="CC35" s="147">
        <f>+BW35*(1+CC36)</f>
        <v>652.40241612000011</v>
      </c>
      <c r="CD35" s="148">
        <f>+BX35*(1+CD36)</f>
        <v>659.09850552000012</v>
      </c>
      <c r="CE35" s="148">
        <f>+BY35*(1+CE36)</f>
        <v>778.34538600000008</v>
      </c>
      <c r="CF35" s="148">
        <f>+BZ35*(1+CF36)</f>
        <v>714.99663143999999</v>
      </c>
      <c r="CG35" s="448">
        <f>+SUM(CC35:CF35)</f>
        <v>2804.8429390800002</v>
      </c>
    </row>
    <row r="36" spans="1:85" ht="11.25" customHeight="1" outlineLevel="1" x14ac:dyDescent="0.2">
      <c r="A36" s="78"/>
      <c r="B36" s="99" t="s">
        <v>253</v>
      </c>
      <c r="C36" s="261">
        <v>0.113</v>
      </c>
      <c r="D36" s="258">
        <v>0.11700000000000001</v>
      </c>
      <c r="E36" s="258">
        <v>0.25</v>
      </c>
      <c r="F36" s="258">
        <v>-5.5E-2</v>
      </c>
      <c r="G36" s="453">
        <v>0.10299999999999999</v>
      </c>
      <c r="H36" s="43"/>
      <c r="I36" s="259">
        <v>0.04</v>
      </c>
      <c r="J36" s="260">
        <f>+J35/D35-1</f>
        <v>-9.4325213222587578E-2</v>
      </c>
      <c r="K36" s="260">
        <f>+K35/E35-1</f>
        <v>-4.7899952807928248E-2</v>
      </c>
      <c r="L36" s="260">
        <f>+L35/F35-1</f>
        <v>-0.10130547226772979</v>
      </c>
      <c r="M36" s="449">
        <f>IF(ISERROR(M35/G35-1),"NM",M35/G35-1)</f>
        <v>-7.2260754452631137E-2</v>
      </c>
      <c r="N36" s="43"/>
      <c r="O36" s="259">
        <f>+O35/I35-1</f>
        <v>-0.18013340533561006</v>
      </c>
      <c r="P36" s="260">
        <f>+P35/J35-1</f>
        <v>-0.11557897198850242</v>
      </c>
      <c r="Q36" s="260">
        <f>+Q35/K35-1</f>
        <v>-0.17881158907181216</v>
      </c>
      <c r="R36" s="260">
        <f>+R35/L35-1</f>
        <v>-0.11157003473934057</v>
      </c>
      <c r="S36" s="449">
        <f>IF(ISERROR(S35/M35-1),"NM",S35/M35-1)</f>
        <v>-0.14832242569462739</v>
      </c>
      <c r="T36" s="43"/>
      <c r="U36" s="259">
        <f>+U35/O35-1</f>
        <v>4.7199387699531137E-2</v>
      </c>
      <c r="V36" s="260">
        <f>+V35/P35-1</f>
        <v>-3.7963407589898246E-3</v>
      </c>
      <c r="W36" s="260">
        <f>+W35/Q35-1</f>
        <v>0.1263117352701939</v>
      </c>
      <c r="X36" s="260">
        <f>+X35/R35-1</f>
        <v>5.7188208763094828E-2</v>
      </c>
      <c r="Y36" s="449">
        <f>IF(ISERROR(Y35/S35-1),"NM",Y35/S35-1)</f>
        <v>6.0317825508208633E-2</v>
      </c>
      <c r="Z36" s="43"/>
      <c r="AA36" s="259">
        <f>+AA35/U35-1</f>
        <v>0.12525296263950958</v>
      </c>
      <c r="AB36" s="260">
        <f>+AB35/V35-1</f>
        <v>0.11368719031679331</v>
      </c>
      <c r="AC36" s="260">
        <f>+AC35/W35-1</f>
        <v>2.9252570413639489E-2</v>
      </c>
      <c r="AD36" s="260">
        <f>+AD35/X35-1</f>
        <v>0.14336939438790264</v>
      </c>
      <c r="AE36" s="449">
        <f>IF(ISERROR(AE35/Y35-1),"NM",AE35/Y35-1)</f>
        <v>9.8135064325634902E-2</v>
      </c>
      <c r="AF36" s="43"/>
      <c r="AG36" s="259">
        <v>0.04</v>
      </c>
      <c r="AH36" s="260">
        <v>7.1999999999999995E-2</v>
      </c>
      <c r="AI36" s="260">
        <f>+AI35/AC35-1</f>
        <v>5.1472010234896892E-2</v>
      </c>
      <c r="AJ36" s="260">
        <f>+AJ35/AD35-1</f>
        <v>1.6508080551959736E-2</v>
      </c>
      <c r="AK36" s="449">
        <f>IF(ISERROR(AK35/AE35-1),"NM",AK35/AE35-1)</f>
        <v>4.4254003222231608E-2</v>
      </c>
      <c r="AL36" s="43"/>
      <c r="AM36" s="259">
        <f>+AM35/AG35-1</f>
        <v>0.10385414539820581</v>
      </c>
      <c r="AN36" s="260">
        <f>+AN35/AH35-1</f>
        <v>7.4655860969294441E-2</v>
      </c>
      <c r="AO36" s="260">
        <f>+AO35/AI35-1</f>
        <v>5.2465773451610964E-3</v>
      </c>
      <c r="AP36" s="260">
        <f>+AP35/AJ35-1</f>
        <v>5.2319810949192469E-2</v>
      </c>
      <c r="AQ36" s="449">
        <f>IF(ISERROR(AQ35/AK35-1),"NM",AQ35/AK35-1)</f>
        <v>5.5586829078744904E-2</v>
      </c>
      <c r="AR36" s="43"/>
      <c r="AS36" s="259">
        <f>+AS35/AM35-1</f>
        <v>2.0362754058406152E-2</v>
      </c>
      <c r="AT36" s="260">
        <f>+AT35/AN35-1</f>
        <v>3.9473254345079756E-2</v>
      </c>
      <c r="AU36" s="260">
        <f>+AU35/AO35-1</f>
        <v>7.9758673832014626E-2</v>
      </c>
      <c r="AV36" s="260">
        <f>+AV35/AP35-1</f>
        <v>9.9314829231291313E-2</v>
      </c>
      <c r="AW36" s="449">
        <f>IF(ISERROR(AW35/AQ35-1),"NM",AW35/AQ35-1)</f>
        <v>6.1324007013945359E-2</v>
      </c>
      <c r="AX36" s="43"/>
      <c r="AY36" s="259">
        <f>+AY35/AS35-1</f>
        <v>0.13202778858919073</v>
      </c>
      <c r="AZ36" s="260">
        <f>+AZ35/AT35-1</f>
        <v>0.1857568273307999</v>
      </c>
      <c r="BA36" s="260">
        <f>+BA35/AU35-1</f>
        <v>0.26021859039392781</v>
      </c>
      <c r="BB36" s="260">
        <f>+BB35/AV35-1</f>
        <v>0.23235333504320432</v>
      </c>
      <c r="BC36" s="449">
        <f>IF(ISERROR(BC35/AW35-1),"NM",BC35/AW35-1)</f>
        <v>0.20665801675814244</v>
      </c>
      <c r="BD36" s="43"/>
      <c r="BE36" s="259">
        <f>+BE35/AY35-1</f>
        <v>0.22323875999660903</v>
      </c>
      <c r="BF36" s="260">
        <f>+BF35/AZ35-1</f>
        <v>0.14930809413895552</v>
      </c>
      <c r="BG36" s="260">
        <f>+BG35/BA35-1</f>
        <v>7.3794809470862477E-2</v>
      </c>
      <c r="BH36" s="260">
        <f>+BH35/BB35-1</f>
        <v>0.10871002617188719</v>
      </c>
      <c r="BI36" s="449">
        <f>IF(ISERROR(BI35/BC35-1),"NM",BI35/BC35-1)</f>
        <v>0.13208506400896214</v>
      </c>
      <c r="BJ36" s="43"/>
      <c r="BK36" s="259">
        <f>+BK35/BE35-1</f>
        <v>0.11665617461848421</v>
      </c>
      <c r="BL36" s="260">
        <f>+BL35/BF35-1</f>
        <v>6.4193630220705344E-2</v>
      </c>
      <c r="BM36" s="260">
        <f>+BM35/BG35-1</f>
        <v>7.9501944925614243E-2</v>
      </c>
      <c r="BN36" s="260">
        <f>+BN35/BH35-1</f>
        <v>2.6120772858583496E-2</v>
      </c>
      <c r="BO36" s="449">
        <f>IF(ISERROR(BO35/BI35-1),"NM",BO35/BI35-1)</f>
        <v>7.0317298618902901E-2</v>
      </c>
      <c r="BP36" s="43"/>
      <c r="BQ36" s="259">
        <f>+BQ37+BQ38</f>
        <v>0.03</v>
      </c>
      <c r="BR36" s="260">
        <f>+BR37+BR38</f>
        <v>0.09</v>
      </c>
      <c r="BS36" s="260">
        <f>+BS37+BS38</f>
        <v>0.06</v>
      </c>
      <c r="BT36" s="260">
        <f>+BT37+BT38</f>
        <v>0.06</v>
      </c>
      <c r="BU36" s="449">
        <f>IF(ISERROR(BU35/BO35-1),"NM",BU35/BO35-1)</f>
        <v>5.9674453451534326E-2</v>
      </c>
      <c r="BV36" s="43"/>
      <c r="BW36" s="259">
        <f>+BW37+BW38</f>
        <v>0.05</v>
      </c>
      <c r="BX36" s="260">
        <f>+BX37+BX38</f>
        <v>0.05</v>
      </c>
      <c r="BY36" s="260">
        <f>+BY37+BY38</f>
        <v>0.05</v>
      </c>
      <c r="BZ36" s="260">
        <f>+BZ37+BZ38</f>
        <v>0.05</v>
      </c>
      <c r="CA36" s="449">
        <f>IF(ISERROR(CA35/BU35-1),"NM",CA35/BU35-1)</f>
        <v>5.0000000000000044E-2</v>
      </c>
      <c r="CB36" s="43"/>
      <c r="CC36" s="259">
        <f>+CC37+CC38</f>
        <v>0.04</v>
      </c>
      <c r="CD36" s="260">
        <f>+CD37+CD38</f>
        <v>0.04</v>
      </c>
      <c r="CE36" s="260">
        <f>+CE37+CE38</f>
        <v>0.04</v>
      </c>
      <c r="CF36" s="260">
        <f>+CF37+CF38</f>
        <v>0.04</v>
      </c>
      <c r="CG36" s="449">
        <f>IF(ISERROR(CG35/CA35-1),"NM",CG35/CA35-1)</f>
        <v>4.0000000000000036E-2</v>
      </c>
    </row>
    <row r="37" spans="1:85" ht="11.25" customHeight="1" outlineLevel="1" x14ac:dyDescent="0.2">
      <c r="A37" s="78"/>
      <c r="B37" s="99" t="s">
        <v>256</v>
      </c>
      <c r="C37" s="261">
        <v>0.113</v>
      </c>
      <c r="D37" s="258">
        <v>0.11700000000000001</v>
      </c>
      <c r="E37" s="258">
        <v>0.25</v>
      </c>
      <c r="F37" s="258">
        <v>-5.5E-2</v>
      </c>
      <c r="G37" s="453">
        <v>0.10299999999999999</v>
      </c>
      <c r="H37" s="43"/>
      <c r="I37" s="261">
        <v>-3.6999999999999998E-2</v>
      </c>
      <c r="J37" s="258">
        <v>-8.3000000000000004E-2</v>
      </c>
      <c r="K37" s="258">
        <v>-4.1000000000000002E-2</v>
      </c>
      <c r="L37" s="258">
        <v>-0.126</v>
      </c>
      <c r="M37" s="449">
        <f>+SUMPRODUCT(I37:L37,C$35:F$35)/G$35</f>
        <v>-7.1302260189616232E-2</v>
      </c>
      <c r="N37" s="43"/>
      <c r="O37" s="261">
        <v>-1.2E-2</v>
      </c>
      <c r="P37" s="258">
        <v>0.08</v>
      </c>
      <c r="Q37" s="258">
        <v>-3.1E-2</v>
      </c>
      <c r="R37" s="258">
        <v>5.5E-2</v>
      </c>
      <c r="S37" s="449">
        <f>+SUMPRODUCT(O37:R37,I$35:L$35)/M$35</f>
        <v>1.9645004646710075E-2</v>
      </c>
      <c r="T37" s="43"/>
      <c r="U37" s="261">
        <v>4.7E-2</v>
      </c>
      <c r="V37" s="258">
        <v>-4.0000000000000001E-3</v>
      </c>
      <c r="W37" s="258">
        <v>0.126</v>
      </c>
      <c r="X37" s="258">
        <v>5.7000000000000002E-2</v>
      </c>
      <c r="Y37" s="449">
        <f>+SUMPRODUCT(U37:X37,O$35:R$35)/S$35</f>
        <v>6.0088158781285435E-2</v>
      </c>
      <c r="Z37" s="43"/>
      <c r="AA37" s="261">
        <v>0.124</v>
      </c>
      <c r="AB37" s="258">
        <v>0.151</v>
      </c>
      <c r="AC37" s="258">
        <v>2.5999999999999999E-2</v>
      </c>
      <c r="AD37" s="258">
        <v>0.14899999999999999</v>
      </c>
      <c r="AE37" s="449">
        <f>+SUMPRODUCT(AA37:AD37,U$35:X$35)/Y$35</f>
        <v>0.10657896449860046</v>
      </c>
      <c r="AF37" s="43"/>
      <c r="AG37" s="261">
        <v>0.04</v>
      </c>
      <c r="AH37" s="258">
        <v>7.1999999999999995E-2</v>
      </c>
      <c r="AI37" s="258">
        <v>5.0999999999999997E-2</v>
      </c>
      <c r="AJ37" s="258">
        <v>1.7000000000000001E-2</v>
      </c>
      <c r="AK37" s="449">
        <f>+SUMPRODUCT(AG37:AJ37,AA$35:AD$35)/AE$35</f>
        <v>4.4249720424140236E-2</v>
      </c>
      <c r="AL37" s="43"/>
      <c r="AM37" s="261">
        <v>0.104</v>
      </c>
      <c r="AN37" s="258">
        <v>7.4999999999999997E-2</v>
      </c>
      <c r="AO37" s="258">
        <v>5.0000000000000001E-3</v>
      </c>
      <c r="AP37" s="258">
        <v>5.1999999999999998E-2</v>
      </c>
      <c r="AQ37" s="449">
        <f>+SUMPRODUCT(AM37:AP37,AG$35:AJ$35)/AK$35</f>
        <v>5.5546168167457888E-2</v>
      </c>
      <c r="AR37" s="43"/>
      <c r="AS37" s="261">
        <v>0.02</v>
      </c>
      <c r="AT37" s="258">
        <v>3.9E-2</v>
      </c>
      <c r="AU37" s="258">
        <v>0.08</v>
      </c>
      <c r="AV37" s="258">
        <v>9.9000000000000005E-2</v>
      </c>
      <c r="AW37" s="449">
        <f>+SUMPRODUCT(AS37:AV37,AM$35:AP$35)/AQ$35</f>
        <v>6.1112431187345197E-2</v>
      </c>
      <c r="AX37" s="43"/>
      <c r="AY37" s="261">
        <v>0.13200000000000001</v>
      </c>
      <c r="AZ37" s="258">
        <v>0.186</v>
      </c>
      <c r="BA37" s="258">
        <v>0.26</v>
      </c>
      <c r="BB37" s="258">
        <v>0.23200000000000001</v>
      </c>
      <c r="BC37" s="449">
        <f>+SUMPRODUCT(AY37:BB37,AS$35:AV$35)/AW$35</f>
        <v>0.20655313812528617</v>
      </c>
      <c r="BD37" s="43"/>
      <c r="BE37" s="261">
        <v>0.223</v>
      </c>
      <c r="BF37" s="258">
        <v>0.14899999999999999</v>
      </c>
      <c r="BG37" s="258">
        <v>7.3999999999999996E-2</v>
      </c>
      <c r="BH37" s="258">
        <v>0.109</v>
      </c>
      <c r="BI37" s="449">
        <f>+SUMPRODUCT(BE37:BH37,AY$35:BB$35)/BC$35</f>
        <v>0.1321028592452696</v>
      </c>
      <c r="BJ37" s="43"/>
      <c r="BK37" s="261">
        <v>0.11700000000000001</v>
      </c>
      <c r="BL37" s="258">
        <v>6.4000000000000001E-2</v>
      </c>
      <c r="BM37" s="258">
        <v>0.08</v>
      </c>
      <c r="BN37" s="258">
        <v>2.5999999999999999E-2</v>
      </c>
      <c r="BO37" s="449">
        <f>+SUMPRODUCT(BK37:BN37,BE$35:BH$35)/BI$35</f>
        <v>7.0456562142742651E-2</v>
      </c>
      <c r="BP37" s="43"/>
      <c r="BQ37" s="263">
        <v>0.03</v>
      </c>
      <c r="BR37" s="262">
        <v>0.09</v>
      </c>
      <c r="BS37" s="262">
        <v>0.06</v>
      </c>
      <c r="BT37" s="262">
        <f t="shared" ref="BR37:BT39" si="11">+BS37</f>
        <v>0.06</v>
      </c>
      <c r="BU37" s="449">
        <f>+SUMPRODUCT(BQ37:BT37,BK$35:BN$35)/BO$35</f>
        <v>5.9674453451534375E-2</v>
      </c>
      <c r="BV37" s="43"/>
      <c r="BW37" s="263">
        <v>0.05</v>
      </c>
      <c r="BX37" s="262">
        <f t="shared" ref="BX37:BZ39" si="12">+BW37</f>
        <v>0.05</v>
      </c>
      <c r="BY37" s="262">
        <f t="shared" si="12"/>
        <v>0.05</v>
      </c>
      <c r="BZ37" s="262">
        <f t="shared" si="12"/>
        <v>0.05</v>
      </c>
      <c r="CA37" s="449">
        <f>+SUMPRODUCT(BW37:BZ37,BQ$35:BT$35)/BU$35</f>
        <v>5.000000000000001E-2</v>
      </c>
      <c r="CB37" s="43"/>
      <c r="CC37" s="263">
        <v>0.04</v>
      </c>
      <c r="CD37" s="262">
        <f t="shared" ref="CD37:CF39" si="13">+CC37</f>
        <v>0.04</v>
      </c>
      <c r="CE37" s="262">
        <f t="shared" si="13"/>
        <v>0.04</v>
      </c>
      <c r="CF37" s="262">
        <f t="shared" si="13"/>
        <v>0.04</v>
      </c>
      <c r="CG37" s="449">
        <f>+SUMPRODUCT(CC37:CF37,BW$35:BZ$35)/CA$35</f>
        <v>0.04</v>
      </c>
    </row>
    <row r="38" spans="1:85" ht="11.25" customHeight="1" outlineLevel="1" x14ac:dyDescent="0.2">
      <c r="A38" s="78"/>
      <c r="B38" s="99" t="s">
        <v>255</v>
      </c>
      <c r="C38" s="259">
        <f>C36-C37</f>
        <v>0</v>
      </c>
      <c r="D38" s="260">
        <f>D36-D37</f>
        <v>0</v>
      </c>
      <c r="E38" s="260">
        <f>E36-E37</f>
        <v>0</v>
      </c>
      <c r="F38" s="260">
        <f>F36-F37</f>
        <v>0</v>
      </c>
      <c r="G38" s="449">
        <f>G36-G37</f>
        <v>0</v>
      </c>
      <c r="H38" s="43"/>
      <c r="I38" s="259">
        <f>I36-I37</f>
        <v>7.6999999999999999E-2</v>
      </c>
      <c r="J38" s="260">
        <f>J36-J37</f>
        <v>-1.1325213222587574E-2</v>
      </c>
      <c r="K38" s="260">
        <f>K36-K37</f>
        <v>-6.899952807928246E-3</v>
      </c>
      <c r="L38" s="260">
        <f>L36-L37</f>
        <v>2.4694527732270211E-2</v>
      </c>
      <c r="M38" s="449">
        <f>+SUMPRODUCT(I38:L38,C$35:F$35)/G$35</f>
        <v>1.9003914900579132E-2</v>
      </c>
      <c r="N38" s="43"/>
      <c r="O38" s="259">
        <f>O36-O37</f>
        <v>-0.16813340533561005</v>
      </c>
      <c r="P38" s="260">
        <f>P36-P37</f>
        <v>-0.19557897198850244</v>
      </c>
      <c r="Q38" s="260">
        <f>Q36-Q37</f>
        <v>-0.14781158907181216</v>
      </c>
      <c r="R38" s="260">
        <f>R36-R37</f>
        <v>-0.16657003473934057</v>
      </c>
      <c r="S38" s="449">
        <f>+SUMPRODUCT(O38:R38,I$35:L$35)/M$35</f>
        <v>-0.16796743034133732</v>
      </c>
      <c r="T38" s="43"/>
      <c r="U38" s="259">
        <f>U36-U37</f>
        <v>1.9938769953113666E-4</v>
      </c>
      <c r="V38" s="260">
        <f>V36-V37</f>
        <v>2.0365924101017549E-4</v>
      </c>
      <c r="W38" s="260">
        <f>W36-W37</f>
        <v>3.1173527019390246E-4</v>
      </c>
      <c r="X38" s="260">
        <f>X36-X37</f>
        <v>1.8820876309482565E-4</v>
      </c>
      <c r="Y38" s="449">
        <f>+SUMPRODUCT(U38:X38,O$35:R$35)/S$35</f>
        <v>2.2966672692324532E-4</v>
      </c>
      <c r="Z38" s="43"/>
      <c r="AA38" s="259">
        <f>AA36-AA37</f>
        <v>1.2529626395095805E-3</v>
      </c>
      <c r="AB38" s="260">
        <f>AB36-AB37</f>
        <v>-3.7312809683206688E-2</v>
      </c>
      <c r="AC38" s="260">
        <f>AC36-AC37</f>
        <v>3.2525704136394905E-3</v>
      </c>
      <c r="AD38" s="260">
        <f>AD36-AD37</f>
        <v>-5.6306056120973558E-3</v>
      </c>
      <c r="AE38" s="449">
        <f>+SUMPRODUCT(AA38:AD38,U$35:X$35)/Y$35</f>
        <v>-8.4439001729655922E-3</v>
      </c>
      <c r="AF38" s="43"/>
      <c r="AG38" s="259">
        <f>AG36-AG37</f>
        <v>0</v>
      </c>
      <c r="AH38" s="260">
        <f>AH36-AH37</f>
        <v>0</v>
      </c>
      <c r="AI38" s="260">
        <f>AI36-AI37</f>
        <v>4.7201023489689548E-4</v>
      </c>
      <c r="AJ38" s="260">
        <f>AJ36-AJ37</f>
        <v>-4.9191944804026499E-4</v>
      </c>
      <c r="AK38" s="449">
        <f>+SUMPRODUCT(AG38:AJ38,AA$35:AD$35)/AE$35</f>
        <v>4.2827980913152155E-6</v>
      </c>
      <c r="AL38" s="43"/>
      <c r="AM38" s="259">
        <f>AM36-AM37</f>
        <v>-1.4585460179418475E-4</v>
      </c>
      <c r="AN38" s="260">
        <f>AN36-AN37</f>
        <v>-3.441390307055564E-4</v>
      </c>
      <c r="AO38" s="260">
        <f>AO36-AO37</f>
        <v>2.4657734516109631E-4</v>
      </c>
      <c r="AP38" s="260">
        <f>AP36-AP37</f>
        <v>3.1981094919247138E-4</v>
      </c>
      <c r="AQ38" s="449">
        <f>+SUMPRODUCT(AM38:AP38,AG$35:AJ$35)/AK$35</f>
        <v>4.0660911287184419E-5</v>
      </c>
      <c r="AR38" s="43"/>
      <c r="AS38" s="259">
        <f>AS36-AS37</f>
        <v>3.627540584061513E-4</v>
      </c>
      <c r="AT38" s="260">
        <f>AT36-AT37</f>
        <v>4.7325434507975578E-4</v>
      </c>
      <c r="AU38" s="260">
        <f>AU36-AU37</f>
        <v>-2.4132616798537565E-4</v>
      </c>
      <c r="AV38" s="260">
        <f>AV36-AV37</f>
        <v>3.1482923129130813E-4</v>
      </c>
      <c r="AW38" s="449">
        <f>+SUMPRODUCT(AS38:AV38,AM$35:AP$35)/AQ$35</f>
        <v>2.1157582660004656E-4</v>
      </c>
      <c r="AX38" s="43"/>
      <c r="AY38" s="259">
        <f>AY36-AY37</f>
        <v>2.7788589190724799E-5</v>
      </c>
      <c r="AZ38" s="260">
        <f>AZ36-AZ37</f>
        <v>-2.4317266920009795E-4</v>
      </c>
      <c r="BA38" s="260">
        <f>BA36-BA37</f>
        <v>2.1859039392779778E-4</v>
      </c>
      <c r="BB38" s="260">
        <f>BB36-BB37</f>
        <v>3.5333504320431142E-4</v>
      </c>
      <c r="BC38" s="449">
        <f>+SUMPRODUCT(AY38:BB38,AS$35:AV$35)/AW$35</f>
        <v>1.0487863285607216E-4</v>
      </c>
      <c r="BD38" s="43"/>
      <c r="BE38" s="259">
        <f>BE36-BE37</f>
        <v>2.3875999660902258E-4</v>
      </c>
      <c r="BF38" s="260">
        <f>BF36-BF37</f>
        <v>3.0809413895552251E-4</v>
      </c>
      <c r="BG38" s="260">
        <f>BG36-BG37</f>
        <v>-2.0519052913751945E-4</v>
      </c>
      <c r="BH38" s="260">
        <f>BH36-BH37</f>
        <v>-2.8997382811281336E-4</v>
      </c>
      <c r="BI38" s="449">
        <f>+SUMPRODUCT(BE38:BH38,AY$35:BB$35)/BC$35</f>
        <v>-1.7795236307512439E-5</v>
      </c>
      <c r="BJ38" s="43"/>
      <c r="BK38" s="259">
        <f>BK36-BK37</f>
        <v>-3.4382538151579711E-4</v>
      </c>
      <c r="BL38" s="260">
        <f>BL36-BL37</f>
        <v>1.9363022070534308E-4</v>
      </c>
      <c r="BM38" s="260">
        <f>BM36-BM37</f>
        <v>-4.9805507438575869E-4</v>
      </c>
      <c r="BN38" s="260">
        <f>BN36-BN37</f>
        <v>1.2077285858349759E-4</v>
      </c>
      <c r="BO38" s="449">
        <f>+SUMPRODUCT(BK38:BN38,BE$35:BH$35)/BI$35</f>
        <v>-1.3926352383964271E-4</v>
      </c>
      <c r="BP38" s="43"/>
      <c r="BQ38" s="263">
        <v>0</v>
      </c>
      <c r="BR38" s="262">
        <f t="shared" si="11"/>
        <v>0</v>
      </c>
      <c r="BS38" s="262">
        <f t="shared" si="11"/>
        <v>0</v>
      </c>
      <c r="BT38" s="262">
        <f t="shared" si="11"/>
        <v>0</v>
      </c>
      <c r="BU38" s="449">
        <f>+SUMPRODUCT(BQ38:BT38,BK$35:BN$35)/BO$35</f>
        <v>0</v>
      </c>
      <c r="BV38" s="43"/>
      <c r="BW38" s="263">
        <f>+BT38</f>
        <v>0</v>
      </c>
      <c r="BX38" s="262">
        <f t="shared" si="12"/>
        <v>0</v>
      </c>
      <c r="BY38" s="262">
        <f t="shared" si="12"/>
        <v>0</v>
      </c>
      <c r="BZ38" s="262">
        <f t="shared" si="12"/>
        <v>0</v>
      </c>
      <c r="CA38" s="449">
        <f>+SUMPRODUCT(BW38:BZ38,BQ$35:BT$35)/BU$35</f>
        <v>0</v>
      </c>
      <c r="CB38" s="43"/>
      <c r="CC38" s="263">
        <f>+BZ38</f>
        <v>0</v>
      </c>
      <c r="CD38" s="262">
        <f t="shared" si="13"/>
        <v>0</v>
      </c>
      <c r="CE38" s="262">
        <f t="shared" si="13"/>
        <v>0</v>
      </c>
      <c r="CF38" s="262">
        <f t="shared" si="13"/>
        <v>0</v>
      </c>
      <c r="CG38" s="449">
        <f>+SUMPRODUCT(CC38:CF38,BW$35:BZ$35)/CA$35</f>
        <v>0</v>
      </c>
    </row>
    <row r="39" spans="1:85" ht="11.25" customHeight="1" outlineLevel="1" x14ac:dyDescent="0.2">
      <c r="A39" s="78"/>
      <c r="B39" s="99" t="s">
        <v>254</v>
      </c>
      <c r="C39" s="261">
        <v>0.13200000000000001</v>
      </c>
      <c r="D39" s="258">
        <v>0.04</v>
      </c>
      <c r="E39" s="258">
        <v>2.5000000000000001E-2</v>
      </c>
      <c r="F39" s="258">
        <v>5.0000000000000001E-3</v>
      </c>
      <c r="G39" s="453">
        <v>4.8000000000000001E-2</v>
      </c>
      <c r="H39" s="43"/>
      <c r="I39" s="261">
        <v>7.0000000000000001E-3</v>
      </c>
      <c r="J39" s="258">
        <v>6.0000000000000001E-3</v>
      </c>
      <c r="K39" s="258">
        <v>1E-3</v>
      </c>
      <c r="L39" s="258">
        <v>8.9999999999999993E-3</v>
      </c>
      <c r="M39" s="449">
        <f>+SUMPRODUCT(I39:L39,C$35:F$35)/G$35</f>
        <v>5.5377255531339001E-3</v>
      </c>
      <c r="N39" s="43"/>
      <c r="O39" s="261">
        <v>1.2E-2</v>
      </c>
      <c r="P39" s="258">
        <v>1.2999999999999999E-2</v>
      </c>
      <c r="Q39" s="258">
        <v>1.0999999999999999E-2</v>
      </c>
      <c r="R39" s="258">
        <v>1.2E-2</v>
      </c>
      <c r="S39" s="449">
        <f>+SUMPRODUCT(O39:R39,I$35:L$35)/M$35</f>
        <v>1.1930903281249123E-2</v>
      </c>
      <c r="T39" s="43"/>
      <c r="U39" s="261">
        <v>2.3E-2</v>
      </c>
      <c r="V39" s="258">
        <v>3.7999999999999999E-2</v>
      </c>
      <c r="W39" s="258">
        <v>3.6999999999999998E-2</v>
      </c>
      <c r="X39" s="258">
        <v>4.9000000000000002E-2</v>
      </c>
      <c r="Y39" s="449">
        <f>+SUMPRODUCT(U39:X39,O$35:R$35)/S$35</f>
        <v>3.7166161607861826E-2</v>
      </c>
      <c r="Z39" s="43"/>
      <c r="AA39" s="261">
        <v>2.5000000000000001E-2</v>
      </c>
      <c r="AB39" s="258">
        <v>0.113</v>
      </c>
      <c r="AC39" s="258">
        <v>8.0000000000000002E-3</v>
      </c>
      <c r="AD39" s="258">
        <v>7.6999999999999999E-2</v>
      </c>
      <c r="AE39" s="449">
        <f>+SUMPRODUCT(AA39:AD39,U$35:X$35)/Y$35</f>
        <v>5.2565704556937702E-2</v>
      </c>
      <c r="AF39" s="43"/>
      <c r="AG39" s="261">
        <v>6.0000000000000001E-3</v>
      </c>
      <c r="AH39" s="258">
        <v>0</v>
      </c>
      <c r="AI39" s="258">
        <v>1.2999999999999999E-2</v>
      </c>
      <c r="AJ39" s="258">
        <f>1.5%-7%</f>
        <v>-5.5000000000000007E-2</v>
      </c>
      <c r="AK39" s="449">
        <f>+SUMPRODUCT(AG39:AJ39,AA$35:AD$35)/AE$35</f>
        <v>-9.4857586393795913E-3</v>
      </c>
      <c r="AL39" s="43"/>
      <c r="AM39" s="261">
        <v>1.4E-2</v>
      </c>
      <c r="AN39" s="258">
        <v>1.2999999999999999E-2</v>
      </c>
      <c r="AO39" s="258">
        <v>0</v>
      </c>
      <c r="AP39" s="258">
        <v>0</v>
      </c>
      <c r="AQ39" s="449">
        <f>+SUMPRODUCT(AM39:AP39,AG$35:AJ$35)/AK$35</f>
        <v>6.1536051088847974E-3</v>
      </c>
      <c r="AR39" s="43"/>
      <c r="AS39" s="261">
        <v>0</v>
      </c>
      <c r="AT39" s="258">
        <v>0</v>
      </c>
      <c r="AU39" s="258">
        <v>0</v>
      </c>
      <c r="AV39" s="258">
        <v>4.0000000000000001E-3</v>
      </c>
      <c r="AW39" s="449">
        <f>+SUMPRODUCT(AS39:AV39,AM$35:AP$35)/AQ$35</f>
        <v>1.0262946125909154E-3</v>
      </c>
      <c r="AX39" s="43"/>
      <c r="AY39" s="261">
        <v>0.01</v>
      </c>
      <c r="AZ39" s="258">
        <v>8.2000000000000003E-2</v>
      </c>
      <c r="BA39" s="258">
        <v>0.11899999999999999</v>
      </c>
      <c r="BB39" s="258">
        <v>9.1999999999999998E-2</v>
      </c>
      <c r="BC39" s="449">
        <f>+SUMPRODUCT(AY39:BB39,AS$35:AV$35)/AW$35</f>
        <v>7.8639489426180514E-2</v>
      </c>
      <c r="BD39" s="43"/>
      <c r="BE39" s="261">
        <v>0</v>
      </c>
      <c r="BF39" s="258">
        <v>0</v>
      </c>
      <c r="BG39" s="258">
        <v>0</v>
      </c>
      <c r="BH39" s="258">
        <v>6.4000000000000001E-2</v>
      </c>
      <c r="BI39" s="449">
        <f>+SUMPRODUCT(BE39:BH39,AY$35:BB$35)/BC$35</f>
        <v>1.737069409819823E-2</v>
      </c>
      <c r="BJ39" s="43"/>
      <c r="BK39" s="261">
        <v>0</v>
      </c>
      <c r="BL39" s="258">
        <v>1E-3</v>
      </c>
      <c r="BM39" s="258">
        <f>0.1%-0.25%</f>
        <v>-1.5E-3</v>
      </c>
      <c r="BN39" s="258">
        <f>0.1%-6.2%</f>
        <v>-6.0999999999999999E-2</v>
      </c>
      <c r="BO39" s="449">
        <f>+SUMPRODUCT(BK39:BN39,BE$35:BH$35)/BI$35</f>
        <v>-1.6397408825826867E-2</v>
      </c>
      <c r="BP39" s="43"/>
      <c r="BQ39" s="263">
        <v>0</v>
      </c>
      <c r="BR39" s="262">
        <v>0</v>
      </c>
      <c r="BS39" s="262">
        <f t="shared" si="11"/>
        <v>0</v>
      </c>
      <c r="BT39" s="262">
        <f t="shared" si="11"/>
        <v>0</v>
      </c>
      <c r="BU39" s="449">
        <f>+SUMPRODUCT(BQ39:BT39,BK$35:BN$35)/BO$35</f>
        <v>0</v>
      </c>
      <c r="BV39" s="43"/>
      <c r="BW39" s="263">
        <f>+BT39</f>
        <v>0</v>
      </c>
      <c r="BX39" s="262">
        <f t="shared" si="12"/>
        <v>0</v>
      </c>
      <c r="BY39" s="262">
        <f t="shared" si="12"/>
        <v>0</v>
      </c>
      <c r="BZ39" s="262">
        <f t="shared" si="12"/>
        <v>0</v>
      </c>
      <c r="CA39" s="449">
        <f>+SUMPRODUCT(BW39:BZ39,BQ$35:BT$35)/BU$35</f>
        <v>0</v>
      </c>
      <c r="CB39" s="43"/>
      <c r="CC39" s="263">
        <f>+BZ39</f>
        <v>0</v>
      </c>
      <c r="CD39" s="262">
        <f t="shared" si="13"/>
        <v>0</v>
      </c>
      <c r="CE39" s="262">
        <f t="shared" si="13"/>
        <v>0</v>
      </c>
      <c r="CF39" s="262">
        <f t="shared" si="13"/>
        <v>0</v>
      </c>
      <c r="CG39" s="449">
        <f>+SUMPRODUCT(CC39:CF39,BW$35:BZ$35)/CA$35</f>
        <v>0</v>
      </c>
    </row>
    <row r="40" spans="1:85" ht="11.25" customHeight="1" outlineLevel="1" x14ac:dyDescent="0.2">
      <c r="A40" s="78"/>
      <c r="B40" s="98" t="s">
        <v>257</v>
      </c>
      <c r="C40" s="259">
        <f>+C37-C39</f>
        <v>-1.9000000000000003E-2</v>
      </c>
      <c r="D40" s="260">
        <f>+D37-D39</f>
        <v>7.7000000000000013E-2</v>
      </c>
      <c r="E40" s="260">
        <f>+E37-E39</f>
        <v>0.22500000000000001</v>
      </c>
      <c r="F40" s="260">
        <f>+F37-F39</f>
        <v>-0.06</v>
      </c>
      <c r="G40" s="449">
        <f>+G37-G39</f>
        <v>5.4999999999999993E-2</v>
      </c>
      <c r="H40" s="264"/>
      <c r="I40" s="259">
        <f>+I37-I39</f>
        <v>-4.3999999999999997E-2</v>
      </c>
      <c r="J40" s="260">
        <f>+J37-J39</f>
        <v>-8.900000000000001E-2</v>
      </c>
      <c r="K40" s="260">
        <f>+K37-K39</f>
        <v>-4.2000000000000003E-2</v>
      </c>
      <c r="L40" s="260">
        <f>+L37-L39</f>
        <v>-0.13500000000000001</v>
      </c>
      <c r="M40" s="449">
        <f>+SUMPRODUCT(I40:L40,C$35:F$35)/G$35</f>
        <v>-7.6839985742750139E-2</v>
      </c>
      <c r="N40" s="264"/>
      <c r="O40" s="259">
        <f>+O37-O39</f>
        <v>-2.4E-2</v>
      </c>
      <c r="P40" s="260">
        <f>+P37-P39</f>
        <v>6.7000000000000004E-2</v>
      </c>
      <c r="Q40" s="260">
        <f>+Q37-Q39</f>
        <v>-4.1999999999999996E-2</v>
      </c>
      <c r="R40" s="260">
        <f>+R37-R39</f>
        <v>4.2999999999999997E-2</v>
      </c>
      <c r="S40" s="449">
        <f>+SUMPRODUCT(O40:R40,I$35:L$35)/M$35</f>
        <v>7.7141013654609498E-3</v>
      </c>
      <c r="T40" s="264"/>
      <c r="U40" s="259">
        <f>+U37-U39</f>
        <v>2.4E-2</v>
      </c>
      <c r="V40" s="260">
        <f>+V37-V39</f>
        <v>-4.1999999999999996E-2</v>
      </c>
      <c r="W40" s="260">
        <f>+W37-W39</f>
        <v>8.8999999999999996E-2</v>
      </c>
      <c r="X40" s="260">
        <f>+X37-X39</f>
        <v>8.0000000000000002E-3</v>
      </c>
      <c r="Y40" s="449">
        <f>+SUMPRODUCT(U40:X40,O$35:R$35)/S$35</f>
        <v>2.2921997173423608E-2</v>
      </c>
      <c r="Z40" s="264"/>
      <c r="AA40" s="259">
        <f>+AA37-AA39</f>
        <v>9.9000000000000005E-2</v>
      </c>
      <c r="AB40" s="260">
        <f>+AB37-AB39</f>
        <v>3.7999999999999992E-2</v>
      </c>
      <c r="AC40" s="260">
        <f>+AC37-AC39</f>
        <v>1.7999999999999999E-2</v>
      </c>
      <c r="AD40" s="260">
        <f>+AD37-AD39</f>
        <v>7.1999999999999995E-2</v>
      </c>
      <c r="AE40" s="449">
        <f>+SUMPRODUCT(AA40:AD40,U$35:X$35)/Y$35</f>
        <v>5.4013259941662756E-2</v>
      </c>
      <c r="AF40" s="264"/>
      <c r="AG40" s="259">
        <f>+AG37-AG39</f>
        <v>3.4000000000000002E-2</v>
      </c>
      <c r="AH40" s="260">
        <f>+AH37-AH39</f>
        <v>7.1999999999999995E-2</v>
      </c>
      <c r="AI40" s="260">
        <f>+AI37-AI39</f>
        <v>3.7999999999999999E-2</v>
      </c>
      <c r="AJ40" s="260">
        <f>+AJ37-AJ39</f>
        <v>7.2000000000000008E-2</v>
      </c>
      <c r="AK40" s="449">
        <f>+SUMPRODUCT(AG40:AJ40,AA$35:AD$35)/AE$35</f>
        <v>5.3735479063519824E-2</v>
      </c>
      <c r="AL40" s="264"/>
      <c r="AM40" s="259">
        <f>+AM37-AM39</f>
        <v>0.09</v>
      </c>
      <c r="AN40" s="260">
        <f>+AN37-AN39</f>
        <v>6.2E-2</v>
      </c>
      <c r="AO40" s="260">
        <f>+AO37-AO39</f>
        <v>5.0000000000000001E-3</v>
      </c>
      <c r="AP40" s="260">
        <f>+AP37-AP39</f>
        <v>5.1999999999999998E-2</v>
      </c>
      <c r="AQ40" s="449">
        <f>+SUMPRODUCT(AM40:AP40,AG$35:AJ$35)/AK$35</f>
        <v>4.9392563058573084E-2</v>
      </c>
      <c r="AR40" s="264"/>
      <c r="AS40" s="259">
        <f>+AS37-AS39</f>
        <v>0.02</v>
      </c>
      <c r="AT40" s="260">
        <f>+AT37-AT39</f>
        <v>3.9E-2</v>
      </c>
      <c r="AU40" s="260">
        <f>+AU37-AU39</f>
        <v>0.08</v>
      </c>
      <c r="AV40" s="260">
        <f>+AV37-AV39</f>
        <v>9.5000000000000001E-2</v>
      </c>
      <c r="AW40" s="449">
        <f>+SUMPRODUCT(AS40:AV40,AM$35:AP$35)/AQ$35</f>
        <v>6.0086136574754284E-2</v>
      </c>
      <c r="AX40" s="264"/>
      <c r="AY40" s="259">
        <f>+AY37-AY39</f>
        <v>0.12200000000000001</v>
      </c>
      <c r="AZ40" s="260">
        <f>+AZ37-AZ39</f>
        <v>0.104</v>
      </c>
      <c r="BA40" s="260">
        <f>+BA37-BA39</f>
        <v>0.14100000000000001</v>
      </c>
      <c r="BB40" s="260">
        <f>+BB37-BB39</f>
        <v>0.14000000000000001</v>
      </c>
      <c r="BC40" s="449">
        <f>+SUMPRODUCT(AY40:BB40,AS$35:AV$35)/AW$35</f>
        <v>0.12791364869910563</v>
      </c>
      <c r="BD40" s="264"/>
      <c r="BE40" s="259">
        <f>+BE37-BE39</f>
        <v>0.223</v>
      </c>
      <c r="BF40" s="260">
        <f>+BF37-BF39</f>
        <v>0.14899999999999999</v>
      </c>
      <c r="BG40" s="260">
        <f>+BG37-BG39</f>
        <v>7.3999999999999996E-2</v>
      </c>
      <c r="BH40" s="260">
        <f>+BH37-BH39</f>
        <v>4.4999999999999998E-2</v>
      </c>
      <c r="BI40" s="449">
        <f>+SUMPRODUCT(BE40:BH40,AY$35:BB$35)/BC$35</f>
        <v>0.11473216514707138</v>
      </c>
      <c r="BJ40" s="264"/>
      <c r="BK40" s="259">
        <f>+BK37-BK39</f>
        <v>0.11700000000000001</v>
      </c>
      <c r="BL40" s="260">
        <f>+BL37-BL39</f>
        <v>6.3E-2</v>
      </c>
      <c r="BM40" s="260">
        <f>+BM37-BM39</f>
        <v>8.1500000000000003E-2</v>
      </c>
      <c r="BN40" s="260">
        <f>+BN37-BN39</f>
        <v>8.6999999999999994E-2</v>
      </c>
      <c r="BO40" s="449">
        <f>+SUMPRODUCT(BK40:BN40,BE$35:BH$35)/BI$35</f>
        <v>8.6853970968569505E-2</v>
      </c>
      <c r="BP40" s="264"/>
      <c r="BQ40" s="259">
        <f>+BQ37-BQ39</f>
        <v>0.03</v>
      </c>
      <c r="BR40" s="260">
        <f>+BR37-BR39</f>
        <v>0.09</v>
      </c>
      <c r="BS40" s="260">
        <f>+BS37-BS39</f>
        <v>0.06</v>
      </c>
      <c r="BT40" s="260">
        <f>+BT37-BT39</f>
        <v>0.06</v>
      </c>
      <c r="BU40" s="449">
        <f>+SUMPRODUCT(BQ40:BT40,BK$35:BN$35)/BO$35</f>
        <v>5.9674453451534375E-2</v>
      </c>
      <c r="BV40" s="264"/>
      <c r="BW40" s="259">
        <f>+BW37-BW39</f>
        <v>0.05</v>
      </c>
      <c r="BX40" s="260">
        <f>+BX37-BX39</f>
        <v>0.05</v>
      </c>
      <c r="BY40" s="260">
        <f>+BY37-BY39</f>
        <v>0.05</v>
      </c>
      <c r="BZ40" s="260">
        <f>+BZ37-BZ39</f>
        <v>0.05</v>
      </c>
      <c r="CA40" s="449">
        <f>+SUMPRODUCT(BW40:BZ40,BQ$35:BT$35)/BU$35</f>
        <v>5.000000000000001E-2</v>
      </c>
      <c r="CB40" s="264"/>
      <c r="CC40" s="259">
        <f>+CC37-CC39</f>
        <v>0.04</v>
      </c>
      <c r="CD40" s="260">
        <f>+CD37-CD39</f>
        <v>0.04</v>
      </c>
      <c r="CE40" s="260">
        <f>+CE37-CE39</f>
        <v>0.04</v>
      </c>
      <c r="CF40" s="260">
        <f>+CF37-CF39</f>
        <v>0.04</v>
      </c>
      <c r="CG40" s="449">
        <f>+SUMPRODUCT(CC40:CF40,BW$35:BZ$35)/CA$35</f>
        <v>0.04</v>
      </c>
    </row>
    <row r="41" spans="1:85" ht="11.25" customHeight="1" outlineLevel="1" x14ac:dyDescent="0.2">
      <c r="A41" s="78"/>
      <c r="B41" s="99"/>
      <c r="C41" s="93"/>
      <c r="D41" s="61"/>
      <c r="E41" s="61"/>
      <c r="F41" s="61"/>
      <c r="G41" s="447"/>
      <c r="H41" s="43"/>
      <c r="I41" s="93"/>
      <c r="J41" s="61"/>
      <c r="K41" s="61"/>
      <c r="L41" s="61"/>
      <c r="M41" s="447"/>
      <c r="N41" s="43"/>
      <c r="O41" s="93"/>
      <c r="P41" s="61"/>
      <c r="Q41" s="61"/>
      <c r="R41" s="61"/>
      <c r="S41" s="447"/>
      <c r="T41" s="43"/>
      <c r="U41" s="93"/>
      <c r="V41" s="61"/>
      <c r="W41" s="61"/>
      <c r="X41" s="61"/>
      <c r="Y41" s="447"/>
      <c r="Z41" s="43"/>
      <c r="AA41" s="93"/>
      <c r="AB41" s="61"/>
      <c r="AC41" s="61"/>
      <c r="AD41" s="61"/>
      <c r="AE41" s="447"/>
      <c r="AF41" s="43"/>
      <c r="AG41" s="93"/>
      <c r="AH41" s="61"/>
      <c r="AI41" s="61"/>
      <c r="AJ41" s="61"/>
      <c r="AK41" s="447"/>
      <c r="AL41" s="43"/>
      <c r="AM41" s="93"/>
      <c r="AN41" s="61"/>
      <c r="AO41" s="61"/>
      <c r="AP41" s="61"/>
      <c r="AQ41" s="447"/>
      <c r="AR41" s="43"/>
      <c r="AS41" s="93"/>
      <c r="AT41" s="61"/>
      <c r="AU41" s="61"/>
      <c r="AV41" s="61"/>
      <c r="AW41" s="447"/>
      <c r="AX41" s="43"/>
      <c r="AY41" s="93"/>
      <c r="AZ41" s="61"/>
      <c r="BA41" s="61"/>
      <c r="BB41" s="61"/>
      <c r="BC41" s="447"/>
      <c r="BD41" s="43"/>
      <c r="BE41" s="93"/>
      <c r="BF41" s="61"/>
      <c r="BG41" s="61"/>
      <c r="BH41" s="61"/>
      <c r="BI41" s="447"/>
      <c r="BJ41" s="43"/>
      <c r="BK41" s="93"/>
      <c r="BL41" s="61"/>
      <c r="BM41" s="61"/>
      <c r="BN41" s="61"/>
      <c r="BO41" s="447"/>
      <c r="BP41" s="43"/>
      <c r="BQ41" s="93"/>
      <c r="BR41" s="61"/>
      <c r="BS41" s="61"/>
      <c r="BT41" s="61"/>
      <c r="BU41" s="447"/>
      <c r="BV41" s="43"/>
      <c r="BW41" s="93"/>
      <c r="BX41" s="61"/>
      <c r="BY41" s="61"/>
      <c r="BZ41" s="61"/>
      <c r="CA41" s="447"/>
      <c r="CB41" s="43"/>
      <c r="CC41" s="93"/>
      <c r="CD41" s="61"/>
      <c r="CE41" s="61"/>
      <c r="CF41" s="61"/>
      <c r="CG41" s="447"/>
    </row>
    <row r="42" spans="1:85" ht="11.25" customHeight="1" outlineLevel="1" x14ac:dyDescent="0.2">
      <c r="A42" s="78"/>
      <c r="B42" s="108" t="s">
        <v>307</v>
      </c>
      <c r="C42" s="147">
        <f>+C8+C35</f>
        <v>910.88799999999992</v>
      </c>
      <c r="D42" s="148">
        <f>+D8+D35</f>
        <v>959.99699999999996</v>
      </c>
      <c r="E42" s="148">
        <f>+E8+E35</f>
        <v>1061.962</v>
      </c>
      <c r="F42" s="148">
        <f>+F8+F35</f>
        <v>1069.7950000000003</v>
      </c>
      <c r="G42" s="448">
        <f>+SUM(C42:F42)</f>
        <v>4002.6419999999998</v>
      </c>
      <c r="H42" s="39"/>
      <c r="I42" s="147">
        <f>+I8+I35</f>
        <v>943.25400000000002</v>
      </c>
      <c r="J42" s="148">
        <f>+J8+J35</f>
        <v>984.47699999999998</v>
      </c>
      <c r="K42" s="148">
        <f>+K8+K35</f>
        <v>1065.162</v>
      </c>
      <c r="L42" s="148">
        <f>+L8+L35</f>
        <v>1003.1389999999999</v>
      </c>
      <c r="M42" s="448">
        <f>+SUM(I42:L42)</f>
        <v>3996.0320000000002</v>
      </c>
      <c r="N42" s="39"/>
      <c r="O42" s="147">
        <f>+O8+O28+O35</f>
        <v>921.34400000000005</v>
      </c>
      <c r="P42" s="148">
        <f>+P8+P28+P35</f>
        <v>973.08900000000017</v>
      </c>
      <c r="Q42" s="148">
        <f>+Q8+Q28+Q35</f>
        <v>1032.682</v>
      </c>
      <c r="R42" s="148">
        <f>+R8+R28+R35</f>
        <v>1039.9079999999997</v>
      </c>
      <c r="S42" s="448">
        <f>+SUM(O42:R42)</f>
        <v>3967.0230000000001</v>
      </c>
      <c r="T42" s="39"/>
      <c r="U42" s="147">
        <f>+U8+U28+U35</f>
        <v>1105.884</v>
      </c>
      <c r="V42" s="148">
        <f>+V8+V28+V35</f>
        <v>1198.585</v>
      </c>
      <c r="W42" s="148">
        <f>+W8+W28+W35</f>
        <v>1283.0130000000001</v>
      </c>
      <c r="X42" s="148">
        <f>+X8+X28+X35</f>
        <v>1271.079</v>
      </c>
      <c r="Y42" s="448">
        <f>+SUM(U42:X42)</f>
        <v>4858.5609999999997</v>
      </c>
      <c r="Z42" s="39"/>
      <c r="AA42" s="147">
        <f>+AA8+AA28+AA35</f>
        <v>1219.5139639680833</v>
      </c>
      <c r="AB42" s="148">
        <f>+AB8+AB28+AB35</f>
        <v>1293.8684731098192</v>
      </c>
      <c r="AC42" s="148">
        <f>+AC8+AC28+AC35</f>
        <v>1337.066</v>
      </c>
      <c r="AD42" s="148">
        <f>+AD8+AD28+AD35</f>
        <v>1443.9010000000001</v>
      </c>
      <c r="AE42" s="448">
        <f>+SUM(AA42:AD42)</f>
        <v>5294.3494370779026</v>
      </c>
      <c r="AF42" s="39"/>
      <c r="AG42" s="147">
        <f>+AG8+AG28+AG35</f>
        <v>1299.5149999999999</v>
      </c>
      <c r="AH42" s="148">
        <f>+AH8+AH28+AH35</f>
        <v>1377.3710000000001</v>
      </c>
      <c r="AI42" s="148">
        <f>+AI8+AI28+AI35</f>
        <v>1415.252</v>
      </c>
      <c r="AJ42" s="148">
        <f>+AJ8+AJ28+AJ35</f>
        <v>1470.0389999999998</v>
      </c>
      <c r="AK42" s="448">
        <f>+SUM(AG42:AJ42)</f>
        <v>5562.1769999999997</v>
      </c>
      <c r="AL42" s="39"/>
      <c r="AM42" s="147">
        <f>+AM8+AM28+AM35</f>
        <v>1387.4159999999999</v>
      </c>
      <c r="AN42" s="148">
        <f>+AN8+AN28+AN35</f>
        <v>1461.933</v>
      </c>
      <c r="AO42" s="148">
        <f>+AO8+AO28+AO35</f>
        <v>1477.2809999999999</v>
      </c>
      <c r="AP42" s="148">
        <f>+AP8+AP28+AP35</f>
        <v>1521.9180000000001</v>
      </c>
      <c r="AQ42" s="448">
        <f>+SUM(AM42:AP42)</f>
        <v>5848.5480000000007</v>
      </c>
      <c r="AR42" s="39"/>
      <c r="AS42" s="147">
        <f>+AS8+AS28+AS35</f>
        <v>1450.3629999999998</v>
      </c>
      <c r="AT42" s="148">
        <f>+AT8+AT28+AT35</f>
        <v>1559.691</v>
      </c>
      <c r="AU42" s="148">
        <f>+AU8+AU28+AU35</f>
        <v>1640.4189999999999</v>
      </c>
      <c r="AV42" s="148">
        <f>+AV8+AV28+AV35</f>
        <v>1657.538</v>
      </c>
      <c r="AW42" s="448">
        <f>+SUM(AS42:AV42)</f>
        <v>6308.0110000000004</v>
      </c>
      <c r="AX42" s="39"/>
      <c r="AY42" s="147">
        <f>+AY8+AY28+AY35</f>
        <v>1552.1759999999999</v>
      </c>
      <c r="AZ42" s="148">
        <f>+AZ8+AZ28+AZ35</f>
        <v>1675.739</v>
      </c>
      <c r="BA42" s="148">
        <f>+BA8+BA28+BA35</f>
        <v>1783.7839999999999</v>
      </c>
      <c r="BB42" s="148">
        <f>+BB8+BB28+BB35</f>
        <v>1823.0909999999999</v>
      </c>
      <c r="BC42" s="448">
        <f>+SUM(AY42:BB42)</f>
        <v>6834.7899999999991</v>
      </c>
      <c r="BD42" s="39"/>
      <c r="BE42" s="147">
        <f>+BE8+BE28+BE35</f>
        <v>1753.605</v>
      </c>
      <c r="BF42" s="148">
        <f>+BF8+BF28+BF35</f>
        <v>1831.835</v>
      </c>
      <c r="BG42" s="148">
        <f>+BG8+BG28+BG35</f>
        <v>1906.4159999999999</v>
      </c>
      <c r="BH42" s="148">
        <f>+BH8+BH28+BH35</f>
        <v>2029.395</v>
      </c>
      <c r="BI42" s="448">
        <f>+SUM(BE42:BH42)</f>
        <v>7521.2510000000002</v>
      </c>
      <c r="BJ42" s="39"/>
      <c r="BK42" s="147">
        <f>+BK8+BK28+BK35</f>
        <v>1853.1369999999999</v>
      </c>
      <c r="BL42" s="148">
        <f>+BL8+BL28+BL35</f>
        <v>1939.4059999999999</v>
      </c>
      <c r="BM42" s="148">
        <f>+BM8+BM28+BM35</f>
        <v>2027.6789999999999</v>
      </c>
      <c r="BN42" s="148">
        <f>+BN8+BN28+BN35</f>
        <v>2096.971</v>
      </c>
      <c r="BO42" s="448">
        <f>+SUM(BK42:BN42)</f>
        <v>7917.1929999999993</v>
      </c>
      <c r="BP42" s="39"/>
      <c r="BQ42" s="147">
        <f>+BQ8+BQ28+BQ35</f>
        <v>2004.5225580000001</v>
      </c>
      <c r="BR42" s="148">
        <f>+BR8+BR28+BR35</f>
        <v>2087.5963400000001</v>
      </c>
      <c r="BS42" s="148">
        <f>+BS8+BS28+BS35</f>
        <v>2167.1228900000001</v>
      </c>
      <c r="BT42" s="148">
        <f>+BT8+BT28+BT35</f>
        <v>2174.4135699999997</v>
      </c>
      <c r="BU42" s="448">
        <f>+SUM(BQ42:BT42)</f>
        <v>8433.655358</v>
      </c>
      <c r="BV42" s="39"/>
      <c r="BW42" s="147">
        <f>+BW8+BW28+BW35</f>
        <v>2086.5829957000001</v>
      </c>
      <c r="BX42" s="148">
        <f>+BX8+BX28+BX35</f>
        <v>2173.9218402500001</v>
      </c>
      <c r="BY42" s="148">
        <f>+BY8+BY28+BY35</f>
        <v>2256.8534955499999</v>
      </c>
      <c r="BZ42" s="148">
        <f>+BZ8+BZ28+BZ35</f>
        <v>2262.2598309999998</v>
      </c>
      <c r="CA42" s="448">
        <f>+SUM(BW42:BZ42)</f>
        <v>8779.618162499999</v>
      </c>
      <c r="CB42" s="39"/>
      <c r="CC42" s="147">
        <f>+CC8+CC28+CC35</f>
        <v>2161.037296725</v>
      </c>
      <c r="CD42" s="148">
        <f>+CD8+CD28+CD35</f>
        <v>2252.1969151762505</v>
      </c>
      <c r="CE42" s="148">
        <f>+CE8+CE28+CE35</f>
        <v>2337.9275876337497</v>
      </c>
      <c r="CF42" s="148">
        <f>+CF8+CF28+CF35</f>
        <v>2342.0887555649997</v>
      </c>
      <c r="CG42" s="448">
        <f>+SUM(CC42:CF42)</f>
        <v>9093.2505550999995</v>
      </c>
    </row>
    <row r="43" spans="1:85" ht="11.25" customHeight="1" outlineLevel="1" x14ac:dyDescent="0.2">
      <c r="A43" s="78"/>
      <c r="B43" s="99" t="s">
        <v>253</v>
      </c>
      <c r="C43" s="259"/>
      <c r="D43" s="260"/>
      <c r="E43" s="260"/>
      <c r="F43" s="260"/>
      <c r="G43" s="449"/>
      <c r="H43" s="43"/>
      <c r="I43" s="259">
        <f>+I42/C42-1</f>
        <v>3.5532359631480492E-2</v>
      </c>
      <c r="J43" s="260">
        <f>+J42/D42-1</f>
        <v>2.5500079687749144E-2</v>
      </c>
      <c r="K43" s="260">
        <f>+K42/E42-1</f>
        <v>3.0132904943869221E-3</v>
      </c>
      <c r="L43" s="260">
        <f>+L42/F42-1</f>
        <v>-6.2307264475904622E-2</v>
      </c>
      <c r="M43" s="449">
        <f>IF(ISERROR(M42/G42-1),"NM",M42/G42-1)</f>
        <v>-1.6514092441941575E-3</v>
      </c>
      <c r="N43" s="43"/>
      <c r="O43" s="259">
        <f>+O42/I42-1</f>
        <v>-2.3228101868637663E-2</v>
      </c>
      <c r="P43" s="260">
        <f>+P42/J42-1</f>
        <v>-1.1567563284870852E-2</v>
      </c>
      <c r="Q43" s="260">
        <f>+Q42/K42-1</f>
        <v>-3.0493014208167413E-2</v>
      </c>
      <c r="R43" s="260">
        <f>+R42/L42-1</f>
        <v>3.6653943272068723E-2</v>
      </c>
      <c r="S43" s="449">
        <f>IF(ISERROR(S42/M42-1),"NM",S42/M42-1)</f>
        <v>-7.2594513757647805E-3</v>
      </c>
      <c r="T43" s="43"/>
      <c r="U43" s="259">
        <f>+U42/O42-1</f>
        <v>0.20029435259794393</v>
      </c>
      <c r="V43" s="260">
        <f>+V42/P42-1</f>
        <v>0.23173214371963913</v>
      </c>
      <c r="W43" s="260">
        <f>+W42/Q42-1</f>
        <v>0.24240860206723869</v>
      </c>
      <c r="X43" s="260">
        <f>+X42/R42-1</f>
        <v>0.22229947264565753</v>
      </c>
      <c r="Y43" s="449">
        <f>IF(ISERROR(Y42/S42-1),"NM",Y42/S42-1)</f>
        <v>0.22473729040643309</v>
      </c>
      <c r="Z43" s="43"/>
      <c r="AA43" s="259">
        <f>+AA42/U42-1</f>
        <v>0.10275034630041069</v>
      </c>
      <c r="AB43" s="260">
        <f>+AB42/V42-1</f>
        <v>7.9496634039153857E-2</v>
      </c>
      <c r="AC43" s="260">
        <f>+AC42/W42-1</f>
        <v>4.2129736799237261E-2</v>
      </c>
      <c r="AD43" s="260">
        <f>+AD42/X42-1</f>
        <v>0.1359647984114285</v>
      </c>
      <c r="AE43" s="449">
        <f>IF(ISERROR(AE42/Y42-1),"NM",AE42/Y42-1)</f>
        <v>8.9694960519771882E-2</v>
      </c>
      <c r="AF43" s="43"/>
      <c r="AG43" s="259">
        <f>+AG42/AA42-1</f>
        <v>6.5600754395306327E-2</v>
      </c>
      <c r="AH43" s="260">
        <f>+AH42/AB42-1</f>
        <v>6.4537106070358341E-2</v>
      </c>
      <c r="AI43" s="260">
        <f>+AI42/AC42-1</f>
        <v>5.8475797006280805E-2</v>
      </c>
      <c r="AJ43" s="260">
        <f>+AJ42/AD42-1</f>
        <v>1.8102349122273376E-2</v>
      </c>
      <c r="AK43" s="449">
        <f>IF(ISERROR(AK42/AE42-1),"NM",AK42/AE42-1)</f>
        <v>5.0587435926767732E-2</v>
      </c>
      <c r="AL43" s="43"/>
      <c r="AM43" s="259">
        <f>+AM42/AG42-1</f>
        <v>6.7641389287542042E-2</v>
      </c>
      <c r="AN43" s="260">
        <f>+AN42/AH42-1</f>
        <v>6.1393771177119305E-2</v>
      </c>
      <c r="AO43" s="260">
        <f>+AO42/AI42-1</f>
        <v>4.3828943537970622E-2</v>
      </c>
      <c r="AP43" s="260">
        <f>+AP42/AJ42-1</f>
        <v>3.5290900445498652E-2</v>
      </c>
      <c r="AQ43" s="449">
        <f>IF(ISERROR(AQ42/AK42-1),"NM",AQ42/AK42-1)</f>
        <v>5.1485416591381616E-2</v>
      </c>
      <c r="AR43" s="43"/>
      <c r="AS43" s="259">
        <f>+AS42/AM42-1</f>
        <v>4.5369953928742213E-2</v>
      </c>
      <c r="AT43" s="260">
        <f>+AT42/AN42-1</f>
        <v>6.6869001520589499E-2</v>
      </c>
      <c r="AU43" s="260">
        <f>+AU42/AO42-1</f>
        <v>0.11043125850802915</v>
      </c>
      <c r="AV43" s="260">
        <f>+AV42/AP42-1</f>
        <v>8.9111239895973249E-2</v>
      </c>
      <c r="AW43" s="449">
        <f>IF(ISERROR(AW42/AQ42-1),"NM",AW42/AQ42-1)</f>
        <v>7.8560182800927691E-2</v>
      </c>
      <c r="AX43" s="43"/>
      <c r="AY43" s="259">
        <f>+AY42/AS42-1</f>
        <v>7.0198288290586719E-2</v>
      </c>
      <c r="AZ43" s="260">
        <f>+AZ42/AT42-1</f>
        <v>7.4404481400482503E-2</v>
      </c>
      <c r="BA43" s="260">
        <f>+BA42/AU42-1</f>
        <v>8.7395354479556708E-2</v>
      </c>
      <c r="BB43" s="260">
        <f>+BB42/AV42-1</f>
        <v>9.9878856472672028E-2</v>
      </c>
      <c r="BC43" s="449">
        <f>IF(ISERROR(BC42/AW42-1),"NM",BC42/AW42-1)</f>
        <v>8.350952463462713E-2</v>
      </c>
      <c r="BD43" s="43"/>
      <c r="BE43" s="259">
        <f>+BE42/AY42-1</f>
        <v>0.1297720103905744</v>
      </c>
      <c r="BF43" s="260">
        <f>+BF42/AZ42-1</f>
        <v>9.3150544327010421E-2</v>
      </c>
      <c r="BG43" s="260">
        <f>+BG42/BA42-1</f>
        <v>6.8748234091123184E-2</v>
      </c>
      <c r="BH43" s="260">
        <f>+BH42/BB42-1</f>
        <v>0.11316165786567978</v>
      </c>
      <c r="BI43" s="449">
        <f>IF(ISERROR(BI42/BC42-1),"NM",BI42/BC42-1)</f>
        <v>0.10043629723810121</v>
      </c>
      <c r="BJ43" s="43"/>
      <c r="BK43" s="259">
        <f>+BK42/BE42-1</f>
        <v>5.6758506048967705E-2</v>
      </c>
      <c r="BL43" s="260">
        <f>+BL42/BF42-1</f>
        <v>5.8723083683847044E-2</v>
      </c>
      <c r="BM43" s="260">
        <f>+BM42/BG42-1</f>
        <v>6.3607837953521207E-2</v>
      </c>
      <c r="BN43" s="260">
        <f>+BN42/BH42-1</f>
        <v>3.3298593915920716E-2</v>
      </c>
      <c r="BO43" s="449">
        <f>IF(ISERROR(BO42/BI42-1),"NM",BO42/BI42-1)</f>
        <v>5.2643104185726486E-2</v>
      </c>
      <c r="BP43" s="43"/>
      <c r="BQ43" s="259">
        <f>+BQ42/BK42-1</f>
        <v>8.169150904655198E-2</v>
      </c>
      <c r="BR43" s="260">
        <f>+BR42/BL42-1</f>
        <v>7.641016888676222E-2</v>
      </c>
      <c r="BS43" s="260">
        <f>+BS42/BM42-1</f>
        <v>6.8770199819596867E-2</v>
      </c>
      <c r="BT43" s="260">
        <f>+BT42/BN42-1</f>
        <v>3.693068239856423E-2</v>
      </c>
      <c r="BU43" s="449">
        <f>IF(ISERROR(BU42/BO42-1),"NM",BU42/BO42-1)</f>
        <v>6.5233013518806615E-2</v>
      </c>
      <c r="BV43" s="43"/>
      <c r="BW43" s="259">
        <f>+BW42/BQ42-1</f>
        <v>4.0937647407607747E-2</v>
      </c>
      <c r="BX43" s="260">
        <f>+BX42/BR42-1</f>
        <v>4.1351624639272888E-2</v>
      </c>
      <c r="BY43" s="260">
        <f>+BY42/BS42-1</f>
        <v>4.1405407124835314E-2</v>
      </c>
      <c r="BZ43" s="260">
        <f>+BZ42/BT42-1</f>
        <v>4.0399978280120985E-2</v>
      </c>
      <c r="CA43" s="449">
        <f>IF(ISERROR(CA42/BU42-1),"NM",CA42/BU42-1)</f>
        <v>4.1021691047859354E-2</v>
      </c>
      <c r="CB43" s="43"/>
      <c r="CC43" s="259">
        <f>+CC42/BW42-1</f>
        <v>3.5682405721907173E-2</v>
      </c>
      <c r="CD43" s="260">
        <f>+CD42/BX42-1</f>
        <v>3.6006388765682962E-2</v>
      </c>
      <c r="CE43" s="260">
        <f>+CE42/BY42-1</f>
        <v>3.5923506884079748E-2</v>
      </c>
      <c r="CF43" s="260">
        <f>+CF42/BZ42-1</f>
        <v>3.5287248383715664E-2</v>
      </c>
      <c r="CG43" s="449">
        <f>IF(ISERROR(CG42/CA42-1),"NM",CG42/CA42-1)</f>
        <v>3.5722782790213348E-2</v>
      </c>
    </row>
    <row r="44" spans="1:85" ht="11.25" customHeight="1" outlineLevel="1" x14ac:dyDescent="0.2">
      <c r="A44" s="78"/>
      <c r="B44" s="99" t="s">
        <v>256</v>
      </c>
      <c r="C44" s="259"/>
      <c r="D44" s="260"/>
      <c r="E44" s="260"/>
      <c r="F44" s="260"/>
      <c r="G44" s="449"/>
      <c r="H44" s="43"/>
      <c r="I44" s="259">
        <f>((C8*(1+I10)+C35*(1+I37))/C42-1)</f>
        <v>3.0322776235937043E-2</v>
      </c>
      <c r="J44" s="260">
        <f>((D8*(1+J10)+D35*(1+J37))/D42-1)</f>
        <v>2.3465843122426389E-2</v>
      </c>
      <c r="K44" s="260">
        <f>((E8*(1+K10)+E35*(1+K37))/E42-1)</f>
        <v>8.3827651083561161E-3</v>
      </c>
      <c r="L44" s="260">
        <f>((F8*(1+L10)+F35*(1+L37))/F42-1)</f>
        <v>-4.763479077767252E-2</v>
      </c>
      <c r="M44" s="449">
        <f>+SUMPRODUCT(I44:L44,C$42:F$42)/G$42</f>
        <v>2.0212921865108268E-3</v>
      </c>
      <c r="N44" s="43"/>
      <c r="O44" s="259">
        <f>((I8*(1+O10)+I35*(1+O37))/I42-1)</f>
        <v>-6.8112979112729954E-3</v>
      </c>
      <c r="P44" s="260">
        <f>((J8*(1+P10)+J35*(1+P37))/J42-1)</f>
        <v>2.2871392627761278E-3</v>
      </c>
      <c r="Q44" s="260">
        <f>((K8*(1+Q10)+K35*(1+Q37))/K42-1)</f>
        <v>-2.738653838571059E-2</v>
      </c>
      <c r="R44" s="260">
        <f>((L8*(1+R10)+L35*(1+R37))/L42-1)</f>
        <v>2.0432990841747767E-2</v>
      </c>
      <c r="S44" s="449">
        <f>+SUMPRODUCT(O44:R44,I$42:L$42)/M$42</f>
        <v>-3.2149687489990315E-3</v>
      </c>
      <c r="T44" s="43"/>
      <c r="U44" s="259">
        <f>((O8*(1+U10)+O28*(1+U30)+O35*(1+U37))/O42-1)</f>
        <v>0.1893848681925534</v>
      </c>
      <c r="V44" s="260">
        <f>((P8*(1+V10)+P28*(1+V30)+P35*(1+V37))/P42-1)</f>
        <v>0.22273813906025031</v>
      </c>
      <c r="W44" s="260">
        <f>((Q8*(1+W10)+Q28*(1+W30)+Q35*(1+W37))/Q42-1)</f>
        <v>0.23897982825303421</v>
      </c>
      <c r="X44" s="260">
        <f>((R8*(1+X10)+R28*(1+X30)+R35*(1+X37))/R42-1)</f>
        <v>0.21838719002065576</v>
      </c>
      <c r="Y44" s="449">
        <f>+SUMPRODUCT(U44:X44,O$42:R$42)/S$42</f>
        <v>0.21807924935146572</v>
      </c>
      <c r="Z44" s="43"/>
      <c r="AA44" s="259">
        <f>((U8*(1+AA10)+U28*(1+AA30)+U35*(1+AA37))/U42-1)</f>
        <v>9.360357867552116E-2</v>
      </c>
      <c r="AB44" s="260">
        <f>((V8*(1+AB10)+V28*(1+AB30)+V35*(1+AB37))/V42-1)</f>
        <v>8.0026320202571943E-2</v>
      </c>
      <c r="AC44" s="260">
        <f>((W8*(1+AC10)+W28*(1+AC30)+W35*(1+AC37))/W42-1)</f>
        <v>3.3783833834887034E-2</v>
      </c>
      <c r="AD44" s="260">
        <f>((X8*(1+AD10)+X28*(1+AD30)+X35*(1+AD37))/X42-1)</f>
        <v>0.13080531737209111</v>
      </c>
      <c r="AE44" s="449">
        <f>+SUMPRODUCT(AA44:AD44,U$42:X$42)/Y$42</f>
        <v>8.4189956038423705E-2</v>
      </c>
      <c r="AF44" s="43"/>
      <c r="AG44" s="259">
        <f>((AA8*(1+AG10)+AA28*(1+AG30)+AA35*(1+AG37))/AA42-1)</f>
        <v>6.6697422058942468E-2</v>
      </c>
      <c r="AH44" s="260">
        <f>((AB8*(1+AH10)+AB28*(1+AH30)+AB35*(1+AH37))/AB42-1)</f>
        <v>6.7299184137143309E-2</v>
      </c>
      <c r="AI44" s="260">
        <f>((AC8*(1+AI10)+AC28*(1+AI30)+AC35*(1+AI37))/AC42-1)</f>
        <v>5.9460689300303793E-2</v>
      </c>
      <c r="AJ44" s="260">
        <f>((AD8*(1+AJ10)+AD28*(1+AJ30)+AD35*(1+AJ37))/AD42-1)</f>
        <v>1.667509268294709E-2</v>
      </c>
      <c r="AK44" s="449">
        <f>+SUMPRODUCT(AG44:AJ44,AA$42:AD$42)/AE$42</f>
        <v>5.1374542314444736E-2</v>
      </c>
      <c r="AL44" s="43"/>
      <c r="AM44" s="259">
        <f>((AG8*(1+AM10)+AG28*(1+AM30)+AG35*(1+AM37))/AG42-1)</f>
        <v>6.8033293959669727E-2</v>
      </c>
      <c r="AN44" s="260">
        <f>((AH8*(1+AN10)+AH28*(1+AN30)+AH35*(1+AN37))/AH42-1)</f>
        <v>6.237818351047042E-2</v>
      </c>
      <c r="AO44" s="260">
        <f>((AI8*(1+AO10)+AI28*(1+AO30)+AI35*(1+AO37))/AI42-1)</f>
        <v>4.6053111389349866E-2</v>
      </c>
      <c r="AP44" s="260">
        <f>((AJ8*(1+AP10)+AJ28*(1+AP30)+AJ35*(1+AP37))/AJ42-1)</f>
        <v>3.8417468516141584E-2</v>
      </c>
      <c r="AQ44" s="449">
        <f>+SUMPRODUCT(AM44:AP44,AG$42:AJ$42)/AK$42</f>
        <v>5.3212999514398916E-2</v>
      </c>
      <c r="AR44" s="43"/>
      <c r="AS44" s="261">
        <v>0.05</v>
      </c>
      <c r="AT44" s="258">
        <v>7.4999999999999997E-2</v>
      </c>
      <c r="AU44" s="258">
        <v>0.11700000000000001</v>
      </c>
      <c r="AV44" s="258">
        <v>9.8000000000000004E-2</v>
      </c>
      <c r="AW44" s="449">
        <f>+SUMPRODUCT(AS44:AV44,AM$42:AP$42)/AQ$42</f>
        <v>8.5663247698403083E-2</v>
      </c>
      <c r="AX44" s="43"/>
      <c r="AY44" s="261">
        <v>0.08</v>
      </c>
      <c r="AZ44" s="258">
        <v>8.1000000000000003E-2</v>
      </c>
      <c r="BA44" s="258">
        <v>9.6000000000000002E-2</v>
      </c>
      <c r="BB44" s="258">
        <v>0.108</v>
      </c>
      <c r="BC44" s="449">
        <f>+SUMPRODUCT(AY44:BB44,AS$42:AV$42)/AW$42</f>
        <v>9.1765588075226875E-2</v>
      </c>
      <c r="BD44" s="43"/>
      <c r="BE44" s="261">
        <v>0.13500000000000001</v>
      </c>
      <c r="BF44" s="258">
        <v>9.6000000000000002E-2</v>
      </c>
      <c r="BG44" s="258">
        <v>6.9000000000000006E-2</v>
      </c>
      <c r="BH44" s="258">
        <v>0.113</v>
      </c>
      <c r="BI44" s="449">
        <f>+SUMPRODUCT(BE44:BH44,AY$42:BB$42)/BC$42</f>
        <v>0.10234478060042812</v>
      </c>
      <c r="BJ44" s="43"/>
      <c r="BK44" s="261">
        <v>5.5E-2</v>
      </c>
      <c r="BL44" s="258">
        <v>6.0999999999999999E-2</v>
      </c>
      <c r="BM44" s="258">
        <v>6.2E-2</v>
      </c>
      <c r="BN44" s="258">
        <v>3.1E-2</v>
      </c>
      <c r="BO44" s="449">
        <f>+SUMPRODUCT(BK44:BN44,BE$42:BH$42)/BI$42</f>
        <v>5.1759906297502899E-2</v>
      </c>
      <c r="BP44" s="43"/>
      <c r="BQ44" s="259">
        <f>((BK8*(1+BQ10)+BK28*(1+BQ30)+BK35*(1+BQ37))/BK42-1)</f>
        <v>8.169150904655198E-2</v>
      </c>
      <c r="BR44" s="260">
        <f>((BL8*(1+BR10)+BL28*(1+BR30)+BL35*(1+BR37))/BL42-1)</f>
        <v>7.641016888676222E-2</v>
      </c>
      <c r="BS44" s="260">
        <f>((BM8*(1+BS10)+BM28*(1+BS30)+BM35*(1+BS37))/BM42-1)</f>
        <v>6.8770199819596867E-2</v>
      </c>
      <c r="BT44" s="260">
        <f>((BN8*(1+BT10)+BN28*(1+BT30)+BN35*(1+BT37))/BN42-1)</f>
        <v>3.693068239856423E-2</v>
      </c>
      <c r="BU44" s="449">
        <f>+SUMPRODUCT(BQ44:BT44,BK$42:BN$42)/BO$42</f>
        <v>6.523301351880649E-2</v>
      </c>
      <c r="BV44" s="43"/>
      <c r="BW44" s="259">
        <f>((BQ8*(1+BW10)+BQ28*(1+BW30)+BQ35*(1+BW37))/BQ42-1)</f>
        <v>4.0937647407607747E-2</v>
      </c>
      <c r="BX44" s="260">
        <f>((BR8*(1+BX10)+BR28*(1+BX30)+BR35*(1+BX37))/BR42-1)</f>
        <v>4.1351624639272888E-2</v>
      </c>
      <c r="BY44" s="260">
        <f>((BS8*(1+BY10)+BS28*(1+BY30)+BS35*(1+BY37))/BS42-1)</f>
        <v>4.1405407124835314E-2</v>
      </c>
      <c r="BZ44" s="260">
        <f>((BT8*(1+BZ10)+BT28*(1+BZ30)+BT35*(1+BZ37))/BT42-1)</f>
        <v>4.0399978280120985E-2</v>
      </c>
      <c r="CA44" s="449">
        <f>+SUMPRODUCT(BW44:BZ44,BQ$42:BT$42)/BU$42</f>
        <v>4.1021691047859382E-2</v>
      </c>
      <c r="CB44" s="43"/>
      <c r="CC44" s="259">
        <f>((BW8*(1+CC10)+BW28*(1+CC30)+BW35*(1+CC37))/BW42-1)</f>
        <v>3.5682405721907173E-2</v>
      </c>
      <c r="CD44" s="260">
        <f>((BX8*(1+CD10)+BX28*(1+CD30)+BX35*(1+CD37))/BX42-1)</f>
        <v>3.6006388765682962E-2</v>
      </c>
      <c r="CE44" s="260">
        <f>((BY8*(1+CE10)+BY28*(1+CE30)+BY35*(1+CE37))/BY42-1)</f>
        <v>3.5923506884079748E-2</v>
      </c>
      <c r="CF44" s="260">
        <f>((BZ8*(1+CF10)+BZ28*(1+CF30)+BZ35*(1+CF37))/BZ42-1)</f>
        <v>3.5287248383715664E-2</v>
      </c>
      <c r="CG44" s="449">
        <f>+SUMPRODUCT(CC44:CF44,BW$42:BZ$42)/CA$42</f>
        <v>3.5722782790213382E-2</v>
      </c>
    </row>
    <row r="45" spans="1:85" ht="11.25" customHeight="1" outlineLevel="1" x14ac:dyDescent="0.2">
      <c r="A45" s="78"/>
      <c r="B45" s="99" t="s">
        <v>255</v>
      </c>
      <c r="C45" s="259"/>
      <c r="D45" s="260"/>
      <c r="E45" s="260"/>
      <c r="F45" s="260"/>
      <c r="G45" s="449"/>
      <c r="H45" s="43"/>
      <c r="I45" s="259">
        <f>I43-I44</f>
        <v>5.209583395543449E-3</v>
      </c>
      <c r="J45" s="260">
        <f>J43-J44</f>
        <v>2.0342365653227557E-3</v>
      </c>
      <c r="K45" s="260">
        <f>K43-K44</f>
        <v>-5.369474613969194E-3</v>
      </c>
      <c r="L45" s="260">
        <f>L43-L44</f>
        <v>-1.4672473698232102E-2</v>
      </c>
      <c r="M45" s="449">
        <f>+SUMPRODUCT(I45:L45,C$42:F$42)/G$42</f>
        <v>-3.6727014307050792E-3</v>
      </c>
      <c r="N45" s="43"/>
      <c r="O45" s="259">
        <f>O43-O44</f>
        <v>-1.6416803957364667E-2</v>
      </c>
      <c r="P45" s="260">
        <f>P43-P44</f>
        <v>-1.385470254764698E-2</v>
      </c>
      <c r="Q45" s="260">
        <f>Q43-Q44</f>
        <v>-3.1064758224568223E-3</v>
      </c>
      <c r="R45" s="260">
        <f>R43-R44</f>
        <v>1.6220952430320956E-2</v>
      </c>
      <c r="S45" s="449">
        <f>+SUMPRODUCT(O45:R45,I$42:L$42)/M$42</f>
        <v>-4.0444826267657342E-3</v>
      </c>
      <c r="T45" s="43"/>
      <c r="U45" s="259">
        <f>U43-U44</f>
        <v>1.0909484405390524E-2</v>
      </c>
      <c r="V45" s="260">
        <f>V43-V44</f>
        <v>8.9940046593888212E-3</v>
      </c>
      <c r="W45" s="260">
        <f>W43-W44</f>
        <v>3.4287738142044777E-3</v>
      </c>
      <c r="X45" s="260">
        <f>X43-X44</f>
        <v>3.9122826250017617E-3</v>
      </c>
      <c r="Y45" s="449">
        <f>+SUMPRODUCT(U45:X45,O$42:R$42)/S$42</f>
        <v>6.6580410549676112E-3</v>
      </c>
      <c r="Z45" s="43"/>
      <c r="AA45" s="259">
        <f>AA43-AA44</f>
        <v>9.1467676248895291E-3</v>
      </c>
      <c r="AB45" s="260">
        <f>AB43-AB44</f>
        <v>-5.2968616341808605E-4</v>
      </c>
      <c r="AC45" s="260">
        <f>AC43-AC44</f>
        <v>8.3459029643502269E-3</v>
      </c>
      <c r="AD45" s="260">
        <f>AD43-AD44</f>
        <v>5.159481039337388E-3</v>
      </c>
      <c r="AE45" s="449">
        <f>+SUMPRODUCT(AA45:AD45,U$42:X$42)/Y$42</f>
        <v>5.5050044813480109E-3</v>
      </c>
      <c r="AF45" s="43"/>
      <c r="AG45" s="259">
        <f>AG43-AG44</f>
        <v>-1.0966676636361417E-3</v>
      </c>
      <c r="AH45" s="260">
        <f>AH43-AH44</f>
        <v>-2.7620780667849676E-3</v>
      </c>
      <c r="AI45" s="260">
        <f>AI43-AI44</f>
        <v>-9.8489229402298761E-4</v>
      </c>
      <c r="AJ45" s="260">
        <f>AJ43-AJ44</f>
        <v>1.4272564393262854E-3</v>
      </c>
      <c r="AK45" s="449">
        <f>+SUMPRODUCT(AG45:AJ45,AA$42:AD$42)/AE$42</f>
        <v>-7.8710638767700853E-4</v>
      </c>
      <c r="AL45" s="43"/>
      <c r="AM45" s="259">
        <f>AM43-AM44</f>
        <v>-3.9190467212768532E-4</v>
      </c>
      <c r="AN45" s="260">
        <f>AN43-AN44</f>
        <v>-9.8441233335111455E-4</v>
      </c>
      <c r="AO45" s="260">
        <f>AO43-AO44</f>
        <v>-2.224167851379244E-3</v>
      </c>
      <c r="AP45" s="260">
        <f>AP43-AP44</f>
        <v>-3.1265680706429322E-3</v>
      </c>
      <c r="AQ45" s="449">
        <f>+SUMPRODUCT(AM45:AP45,AG$42:AJ$42)/AK$42</f>
        <v>-1.7275829230174102E-3</v>
      </c>
      <c r="AR45" s="43"/>
      <c r="AS45" s="259">
        <f>AS43-AS44</f>
        <v>-4.6300460712577901E-3</v>
      </c>
      <c r="AT45" s="260">
        <f>AT43-AT44</f>
        <v>-8.1309984794104978E-3</v>
      </c>
      <c r="AU45" s="260">
        <f>AU43-AU44</f>
        <v>-6.5687414919708559E-3</v>
      </c>
      <c r="AV45" s="260">
        <f>AV43-AV44</f>
        <v>-8.888760104026755E-3</v>
      </c>
      <c r="AW45" s="449">
        <f>+SUMPRODUCT(AS45:AV45,AM$42:AP$42)/AQ$42</f>
        <v>-7.1030648974755133E-3</v>
      </c>
      <c r="AX45" s="43"/>
      <c r="AY45" s="259">
        <f>AY43-AY44</f>
        <v>-9.8017117094132827E-3</v>
      </c>
      <c r="AZ45" s="260">
        <f>AZ43-AZ44</f>
        <v>-6.5955185995174997E-3</v>
      </c>
      <c r="BA45" s="260">
        <f>BA43-BA44</f>
        <v>-8.6046455204432937E-3</v>
      </c>
      <c r="BB45" s="260">
        <f>BB43-BB44</f>
        <v>-8.1211435273279703E-3</v>
      </c>
      <c r="BC45" s="449">
        <f>+SUMPRODUCT(AY45:BB45,AS$42:AV$42)/AW$42</f>
        <v>-8.2560634405995856E-3</v>
      </c>
      <c r="BD45" s="43"/>
      <c r="BE45" s="259">
        <f>BE43-BE44</f>
        <v>-5.2279896094256095E-3</v>
      </c>
      <c r="BF45" s="260">
        <f>BF43-BF44</f>
        <v>-2.8494556729895815E-3</v>
      </c>
      <c r="BG45" s="260">
        <f>BG43-BG44</f>
        <v>-2.5176590887682204E-4</v>
      </c>
      <c r="BH45" s="260">
        <f>BH43-BH44</f>
        <v>1.6165786567977347E-4</v>
      </c>
      <c r="BI45" s="449">
        <f>+SUMPRODUCT(BE45:BH45,AY$42:BB$42)/BC$42</f>
        <v>-1.9084833623270977E-3</v>
      </c>
      <c r="BJ45" s="43"/>
      <c r="BK45" s="259">
        <f>BK43-BK44</f>
        <v>1.7585060489677048E-3</v>
      </c>
      <c r="BL45" s="260">
        <f>BL43-BL44</f>
        <v>-2.2769163161529549E-3</v>
      </c>
      <c r="BM45" s="260">
        <f>BM43-BM44</f>
        <v>1.6078379535212073E-3</v>
      </c>
      <c r="BN45" s="260">
        <f>BN43-BN44</f>
        <v>2.2985939159207158E-3</v>
      </c>
      <c r="BO45" s="449">
        <f>+SUMPRODUCT(BK45:BN45,BE$42:BH$42)/BI$42</f>
        <v>8.8319788822364411E-4</v>
      </c>
      <c r="BP45" s="43"/>
      <c r="BQ45" s="259">
        <f>BQ43-BQ44</f>
        <v>0</v>
      </c>
      <c r="BR45" s="260">
        <f>BR43-BR44</f>
        <v>0</v>
      </c>
      <c r="BS45" s="260">
        <f>BS43-BS44</f>
        <v>0</v>
      </c>
      <c r="BT45" s="260">
        <f>BT43-BT44</f>
        <v>0</v>
      </c>
      <c r="BU45" s="449">
        <f>+SUMPRODUCT(BQ45:BT45,BK$42:BN$42)/BO$42</f>
        <v>0</v>
      </c>
      <c r="BV45" s="43"/>
      <c r="BW45" s="259">
        <f>BW43-BW44</f>
        <v>0</v>
      </c>
      <c r="BX45" s="260">
        <f>BX43-BX44</f>
        <v>0</v>
      </c>
      <c r="BY45" s="260">
        <f>BY43-BY44</f>
        <v>0</v>
      </c>
      <c r="BZ45" s="260">
        <f>BZ43-BZ44</f>
        <v>0</v>
      </c>
      <c r="CA45" s="449">
        <f>+SUMPRODUCT(BW45:BZ45,BQ$42:BT$42)/BU$42</f>
        <v>0</v>
      </c>
      <c r="CB45" s="43"/>
      <c r="CC45" s="259">
        <f>CC43-CC44</f>
        <v>0</v>
      </c>
      <c r="CD45" s="260">
        <f>CD43-CD44</f>
        <v>0</v>
      </c>
      <c r="CE45" s="260">
        <f>CE43-CE44</f>
        <v>0</v>
      </c>
      <c r="CF45" s="260">
        <f>CF43-CF44</f>
        <v>0</v>
      </c>
      <c r="CG45" s="449">
        <f>+SUMPRODUCT(CC45:CF45,BW$42:BZ$42)/CA$42</f>
        <v>0</v>
      </c>
    </row>
    <row r="46" spans="1:85" ht="11.25" customHeight="1" outlineLevel="1" x14ac:dyDescent="0.2">
      <c r="A46" s="78"/>
      <c r="B46" s="99" t="s">
        <v>254</v>
      </c>
      <c r="C46" s="259"/>
      <c r="D46" s="260"/>
      <c r="E46" s="260"/>
      <c r="F46" s="260"/>
      <c r="G46" s="449"/>
      <c r="H46" s="43"/>
      <c r="I46" s="259">
        <f>((C8*(1+I12)+C35*(1+I39))/C42-1)</f>
        <v>1.3176401489535472E-2</v>
      </c>
      <c r="J46" s="260">
        <f>((D8*(1+J12)+D35*(1+J39))/D42-1)</f>
        <v>1.163642698883427E-2</v>
      </c>
      <c r="K46" s="260">
        <f>((E8*(1+K12)+E35*(1+K39))/E42-1)</f>
        <v>4.1902629284273907E-4</v>
      </c>
      <c r="L46" s="260">
        <f>((F8*(1+L12)+F35*(1+L39))/F42-1)</f>
        <v>3.2659603008051707E-3</v>
      </c>
      <c r="M46" s="449">
        <f>+SUMPRODUCT(I46:L46,C$42:F$42)/G$42</f>
        <v>6.773540826284152E-3</v>
      </c>
      <c r="N46" s="43"/>
      <c r="O46" s="259">
        <f>((I8*(1+O12)+I35*(1+O39))/I42-1)</f>
        <v>2.108022865527226E-2</v>
      </c>
      <c r="P46" s="260">
        <f>((J8*(1+P12)+J35*(1+P39))/J42-1)</f>
        <v>2.0369323000943629E-2</v>
      </c>
      <c r="Q46" s="260">
        <f>((K8*(1+Q12)+K35*(1+Q39))/K42-1)</f>
        <v>1.8829166830960808E-2</v>
      </c>
      <c r="R46" s="260">
        <f>((L8*(1+R12)+L35*(1+R39))/L42-1)</f>
        <v>2.1783115799505204E-2</v>
      </c>
      <c r="S46" s="449">
        <f>+SUMPRODUCT(O46:R46,I$42:L$42)/M$42</f>
        <v>2.0481504152118874E-2</v>
      </c>
      <c r="T46" s="43"/>
      <c r="U46" s="259">
        <f>((O8*(1+U12)+O28*(1+U32)+O35*(1+U39))/O42-1)</f>
        <v>0.17434976946721292</v>
      </c>
      <c r="V46" s="260">
        <f>((P8*(1+V12)+P28*(1+V32)+P35*(1+V39))/P42-1)</f>
        <v>0.21723803783620999</v>
      </c>
      <c r="W46" s="260">
        <f>((Q8*(1+W12)+Q28*(1+W32)+Q35*(1+W39))/Q42-1)</f>
        <v>0.19995950253805139</v>
      </c>
      <c r="X46" s="260">
        <f>((R8*(1+X12)+R28*(1+X32)+R35*(1+X39))/R42-1)</f>
        <v>0.19662555149109373</v>
      </c>
      <c r="Y46" s="449">
        <f>+SUMPRODUCT(U46:X46,O$42:R$42)/S$42</f>
        <v>0.19737599756794952</v>
      </c>
      <c r="Z46" s="43"/>
      <c r="AA46" s="259">
        <f>((U8*(1+AA12)+U28*(1+AA32)+U35*(1+AA39))/U42-1)</f>
        <v>3.7994145859782558E-2</v>
      </c>
      <c r="AB46" s="260">
        <f>((V8*(1+AB12)+V28*(1+AB32)+V35*(1+AB39))/V42-1)</f>
        <v>3.0382695428359474E-2</v>
      </c>
      <c r="AC46" s="260">
        <f>((W8*(1+AC12)+W28*(1+AC32)+W35*(1+AC39))/W42-1)</f>
        <v>2.443392233749675E-3</v>
      </c>
      <c r="AD46" s="260">
        <f>((X8*(1+AD12)+X28*(1+AD32)+X35*(1+AD39))/X42-1)</f>
        <v>7.4289091394004636E-2</v>
      </c>
      <c r="AE46" s="449">
        <f>+SUMPRODUCT(AA46:AD46,U$42:X$42)/Y$42</f>
        <v>3.6223805567121611E-2</v>
      </c>
      <c r="AF46" s="43"/>
      <c r="AG46" s="259">
        <f>((AA8*(1+AG12)+AA28*(1+AG32)+AA35*(1+AG39))/AA42-1)</f>
        <v>3.2205535178813083E-3</v>
      </c>
      <c r="AH46" s="260">
        <f>((AB8*(1+AH12)+AB28*(1+AH32)+AB35*(1+AH39))/AB42-1)</f>
        <v>3.3144936801416947E-3</v>
      </c>
      <c r="AI46" s="260">
        <f>((AC8*(1+AI12)+AC28*(1+AI32)+AC35*(1+AI39))/AC42-1)</f>
        <v>9.5757471957256257E-3</v>
      </c>
      <c r="AJ46" s="260">
        <f>((AD8*(1+AJ12)+AD28*(1+AJ32)+AD35*(1+AJ39))/AD42-1)</f>
        <v>-7.4044570230230478E-2</v>
      </c>
      <c r="AK46" s="449">
        <f>+SUMPRODUCT(AG46:AJ46,AA$42:AD$42)/AE$42</f>
        <v>-1.6223635246786262E-2</v>
      </c>
      <c r="AL46" s="43"/>
      <c r="AM46" s="259">
        <f>((AG8*(1+AM12)+AG28*(1+AM32)+AG35*(1+AM39))/AG42-1)</f>
        <v>8.4321958576853984E-3</v>
      </c>
      <c r="AN46" s="260">
        <f>((AH8*(1+AN12)+AH28*(1+AN32)+AH35*(1+AN39))/AH42-1)</f>
        <v>6.9783050463527729E-3</v>
      </c>
      <c r="AO46" s="260">
        <f>((AI8*(1+AO12)+AI28*(1+AO32)+AI35*(1+AO39))/AI42-1)</f>
        <v>0</v>
      </c>
      <c r="AP46" s="260">
        <f>((AJ8*(1+AP12)+AJ28*(1+AP32)+AJ35*(1+AP39))/AJ42-1)</f>
        <v>0</v>
      </c>
      <c r="AQ46" s="449">
        <f>+SUMPRODUCT(AM46:AP46,AG$42:AJ$42)/AK$42</f>
        <v>3.6980987839833231E-3</v>
      </c>
      <c r="AR46" s="43"/>
      <c r="AS46" s="261">
        <v>2.7E-2</v>
      </c>
      <c r="AT46" s="258">
        <v>2.5000000000000001E-2</v>
      </c>
      <c r="AU46" s="258">
        <v>4.3999999999999997E-2</v>
      </c>
      <c r="AV46" s="258">
        <v>4.9000000000000002E-2</v>
      </c>
      <c r="AW46" s="449">
        <f>+SUMPRODUCT(AS46:AV46,AM$42:AP$42)/AQ$42</f>
        <v>3.6518962142398415E-2</v>
      </c>
      <c r="AX46" s="43"/>
      <c r="AY46" s="261">
        <v>2.1999999999999999E-2</v>
      </c>
      <c r="AZ46" s="258">
        <v>4.4999999999999998E-2</v>
      </c>
      <c r="BA46" s="258">
        <v>3.9E-2</v>
      </c>
      <c r="BB46" s="258">
        <v>2.8000000000000001E-2</v>
      </c>
      <c r="BC46" s="449">
        <f>+SUMPRODUCT(AY46:BB46,AS$42:AV$42)/AW$42</f>
        <v>3.3684387360770292E-2</v>
      </c>
      <c r="BD46" s="43"/>
      <c r="BE46" s="261">
        <v>5.0000000000000001E-3</v>
      </c>
      <c r="BF46" s="258">
        <v>3.0000000000000001E-3</v>
      </c>
      <c r="BG46" s="258">
        <v>4.0000000000000001E-3</v>
      </c>
      <c r="BH46" s="258">
        <f>0.5%+6.3%</f>
        <v>6.8000000000000005E-2</v>
      </c>
      <c r="BI46" s="449">
        <f>+SUMPRODUCT(BE46:BH46,AY$42:BB$42)/BC$42</f>
        <v>2.1053085903151383E-2</v>
      </c>
      <c r="BJ46" s="43"/>
      <c r="BK46" s="261">
        <v>4.0000000000000001E-3</v>
      </c>
      <c r="BL46" s="258">
        <v>1.0999999999999999E-2</v>
      </c>
      <c r="BM46" s="258">
        <v>1.2999999999999999E-2</v>
      </c>
      <c r="BN46" s="258">
        <f>2%-6.1%</f>
        <v>-4.0999999999999995E-2</v>
      </c>
      <c r="BO46" s="449">
        <f>+SUMPRODUCT(BK46:BN46,BE$42:BH$42)/BI$42</f>
        <v>-4.1558488075986279E-3</v>
      </c>
      <c r="BP46" s="43"/>
      <c r="BQ46" s="259">
        <f>((BK8*(1+BQ12)+BK28*(1+BQ32)+BK35*(1+BQ39))/BK42-1)</f>
        <v>2.536732038699796E-2</v>
      </c>
      <c r="BR46" s="260">
        <f>((BL8*(1+BR12)+BL28*(1+BR32)+BL35*(1+BR39))/BL42-1)</f>
        <v>1.5468653804309174E-2</v>
      </c>
      <c r="BS46" s="260">
        <f>((BM8*(1+BS12)+BM28*(1+BS32)+BM35*(1+BS39))/BM42-1)</f>
        <v>1.4795241258601655E-2</v>
      </c>
      <c r="BT46" s="260">
        <f>((BN8*(1+BT12)+BN28*(1+BT32)+BN35*(1+BT39))/BN42-1)</f>
        <v>0</v>
      </c>
      <c r="BU46" s="449">
        <f>+SUMPRODUCT(BQ46:BT46,BK$42:BN$42)/BO$42</f>
        <v>1.3516042870244598E-2</v>
      </c>
      <c r="BV46" s="43"/>
      <c r="BW46" s="259">
        <f>((BQ8*(1+BW12)+BQ28*(1+BW32)+BQ35*(1+BW39))/BQ42-1)</f>
        <v>0</v>
      </c>
      <c r="BX46" s="260">
        <f>((BR8*(1+BX12)+BR28*(1+BX32)+BR35*(1+BX39))/BR42-1)</f>
        <v>0</v>
      </c>
      <c r="BY46" s="260">
        <f>((BS8*(1+BY12)+BS28*(1+BY32)+BS35*(1+BY39))/BS42-1)</f>
        <v>0</v>
      </c>
      <c r="BZ46" s="260">
        <f>((BT8*(1+BZ12)+BT28*(1+BZ32)+BT35*(1+BZ39))/BT42-1)</f>
        <v>0</v>
      </c>
      <c r="CA46" s="449">
        <f>+SUMPRODUCT(BW46:BZ46,BQ$42:BT$42)/BU$42</f>
        <v>0</v>
      </c>
      <c r="CB46" s="43"/>
      <c r="CC46" s="259">
        <f>((BW8*(1+CC12)+BW28*(1+CC32)+BW35*(1+CC39))/BW42-1)</f>
        <v>0</v>
      </c>
      <c r="CD46" s="260">
        <f>((BX8*(1+CD12)+BX28*(1+CD32)+BX35*(1+CD39))/BX42-1)</f>
        <v>0</v>
      </c>
      <c r="CE46" s="260">
        <f>((BY8*(1+CE12)+BY28*(1+CE32)+BY35*(1+CE39))/BY42-1)</f>
        <v>0</v>
      </c>
      <c r="CF46" s="260">
        <f>((BZ8*(1+CF12)+BZ28*(1+CF32)+BZ35*(1+CF39))/BZ42-1)</f>
        <v>0</v>
      </c>
      <c r="CG46" s="449">
        <f>+SUMPRODUCT(CC46:CF46,BW$42:BZ$42)/CA$42</f>
        <v>0</v>
      </c>
    </row>
    <row r="47" spans="1:85" ht="11.25" customHeight="1" outlineLevel="1" x14ac:dyDescent="0.2">
      <c r="A47" s="78"/>
      <c r="B47" s="98" t="s">
        <v>257</v>
      </c>
      <c r="C47" s="259"/>
      <c r="D47" s="260"/>
      <c r="E47" s="260"/>
      <c r="F47" s="260"/>
      <c r="G47" s="449"/>
      <c r="H47" s="264"/>
      <c r="I47" s="259">
        <f>+I44-I46</f>
        <v>1.7146374746401571E-2</v>
      </c>
      <c r="J47" s="260">
        <f>+J44-J46</f>
        <v>1.1829416133592119E-2</v>
      </c>
      <c r="K47" s="260">
        <f>+K44-K46</f>
        <v>7.963738815513377E-3</v>
      </c>
      <c r="L47" s="260">
        <f>+L44-L46</f>
        <v>-5.0900751078477691E-2</v>
      </c>
      <c r="M47" s="449">
        <f>+SUMPRODUCT(I47:L47,C$42:F$42)/G$42</f>
        <v>-4.7522486397733243E-3</v>
      </c>
      <c r="N47" s="264"/>
      <c r="O47" s="259">
        <f>+O44-O46</f>
        <v>-2.7891526566545255E-2</v>
      </c>
      <c r="P47" s="260">
        <f>+P44-P46</f>
        <v>-1.8082183738167501E-2</v>
      </c>
      <c r="Q47" s="260">
        <f>+Q44-Q46</f>
        <v>-4.6215705216671399E-2</v>
      </c>
      <c r="R47" s="260">
        <f>+R44-R46</f>
        <v>-1.350124957757437E-3</v>
      </c>
      <c r="S47" s="449">
        <f>+SUMPRODUCT(O47:R47,I$42:L$42)/M$42</f>
        <v>-2.3696472901117902E-2</v>
      </c>
      <c r="T47" s="264"/>
      <c r="U47" s="259">
        <f>+U44-U46</f>
        <v>1.5035098725340479E-2</v>
      </c>
      <c r="V47" s="260">
        <f>+V44-V46</f>
        <v>5.5001012240403213E-3</v>
      </c>
      <c r="W47" s="260">
        <f>+W44-W46</f>
        <v>3.9020325714982818E-2</v>
      </c>
      <c r="X47" s="260">
        <f>+X44-X46</f>
        <v>2.1761638529562033E-2</v>
      </c>
      <c r="Y47" s="449">
        <f>+SUMPRODUCT(U47:X47,O$42:R$42)/S$42</f>
        <v>2.070325178351624E-2</v>
      </c>
      <c r="Z47" s="264"/>
      <c r="AA47" s="259">
        <f>+AA44-AA46</f>
        <v>5.5609432815738602E-2</v>
      </c>
      <c r="AB47" s="260">
        <f>+AB44-AB46</f>
        <v>4.9643624774212469E-2</v>
      </c>
      <c r="AC47" s="260">
        <f>+AC44-AC46</f>
        <v>3.1340441601137359E-2</v>
      </c>
      <c r="AD47" s="260">
        <f>+AD44-AD46</f>
        <v>5.6516225978086476E-2</v>
      </c>
      <c r="AE47" s="449">
        <f>+SUMPRODUCT(AA47:AD47,U$42:X$42)/Y$42</f>
        <v>4.7966150471302094E-2</v>
      </c>
      <c r="AF47" s="264"/>
      <c r="AG47" s="259">
        <f>+AG44-AG46</f>
        <v>6.347686854106116E-2</v>
      </c>
      <c r="AH47" s="260">
        <f>+AH44-AH46</f>
        <v>6.3984690457001614E-2</v>
      </c>
      <c r="AI47" s="260">
        <f>+AI44-AI46</f>
        <v>4.9884942104578167E-2</v>
      </c>
      <c r="AJ47" s="260">
        <f>+AJ44-AJ46</f>
        <v>9.0719662913177568E-2</v>
      </c>
      <c r="AK47" s="449">
        <f>+SUMPRODUCT(AG47:AJ47,AA$42:AD$42)/AE$42</f>
        <v>6.7598177561230988E-2</v>
      </c>
      <c r="AL47" s="264"/>
      <c r="AM47" s="259">
        <f>+AM44-AM46</f>
        <v>5.9601098101984329E-2</v>
      </c>
      <c r="AN47" s="260">
        <f>+AN44-AN46</f>
        <v>5.5399878464117647E-2</v>
      </c>
      <c r="AO47" s="260">
        <f>+AO44-AO46</f>
        <v>4.6053111389349866E-2</v>
      </c>
      <c r="AP47" s="260">
        <f>+AP44-AP46</f>
        <v>3.8417468516141584E-2</v>
      </c>
      <c r="AQ47" s="449">
        <f>+SUMPRODUCT(AM47:AP47,AG$42:AJ$42)/AK$42</f>
        <v>4.951490073041559E-2</v>
      </c>
      <c r="AR47" s="264"/>
      <c r="AS47" s="259">
        <f>+AS44-AS46</f>
        <v>2.3000000000000003E-2</v>
      </c>
      <c r="AT47" s="260">
        <f>+AT44-AT46</f>
        <v>4.9999999999999996E-2</v>
      </c>
      <c r="AU47" s="260">
        <f>+AU44-AU46</f>
        <v>7.3000000000000009E-2</v>
      </c>
      <c r="AV47" s="260">
        <f>+AV44-AV46</f>
        <v>4.9000000000000002E-2</v>
      </c>
      <c r="AW47" s="449">
        <f>+SUMPRODUCT(AS47:AV47,AM$42:AP$42)/AQ$42</f>
        <v>4.9144285556004662E-2</v>
      </c>
      <c r="AX47" s="264"/>
      <c r="AY47" s="259">
        <f>+AY44-AY46</f>
        <v>5.8000000000000003E-2</v>
      </c>
      <c r="AZ47" s="260">
        <f>+AZ44-AZ46</f>
        <v>3.6000000000000004E-2</v>
      </c>
      <c r="BA47" s="260">
        <f>+BA44-BA46</f>
        <v>5.7000000000000002E-2</v>
      </c>
      <c r="BB47" s="260">
        <f>+BB44-BB46</f>
        <v>0.08</v>
      </c>
      <c r="BC47" s="449">
        <f>+SUMPRODUCT(AY47:BB47,AS$42:AV$42)/AW$42</f>
        <v>5.8081200714456577E-2</v>
      </c>
      <c r="BD47" s="264"/>
      <c r="BE47" s="259">
        <f>+BE44-BE46</f>
        <v>0.13</v>
      </c>
      <c r="BF47" s="260">
        <f>+BF44-BF46</f>
        <v>9.2999999999999999E-2</v>
      </c>
      <c r="BG47" s="260">
        <f>+BG44-BG46</f>
        <v>6.5000000000000002E-2</v>
      </c>
      <c r="BH47" s="260">
        <f>+BH44-BH46</f>
        <v>4.4999999999999998E-2</v>
      </c>
      <c r="BI47" s="449">
        <f>+SUMPRODUCT(BE47:BH47,AY$42:BB$42)/BC$42</f>
        <v>8.1291694697276748E-2</v>
      </c>
      <c r="BJ47" s="264"/>
      <c r="BK47" s="259">
        <f>+BK44-BK46</f>
        <v>5.1000000000000004E-2</v>
      </c>
      <c r="BL47" s="260">
        <f>+BL44-BL46</f>
        <v>0.05</v>
      </c>
      <c r="BM47" s="260">
        <f>+BM44-BM46</f>
        <v>4.9000000000000002E-2</v>
      </c>
      <c r="BN47" s="260">
        <f>+BN44-BN46</f>
        <v>7.1999999999999995E-2</v>
      </c>
      <c r="BO47" s="449">
        <f>+SUMPRODUCT(BK47:BN47,BE$42:BH$42)/BI$42</f>
        <v>5.5915755105101529E-2</v>
      </c>
      <c r="BP47" s="264"/>
      <c r="BQ47" s="259">
        <f>+BQ44-BQ46</f>
        <v>5.632418865955402E-2</v>
      </c>
      <c r="BR47" s="260">
        <f>+BR44-BR46</f>
        <v>6.0941515082453046E-2</v>
      </c>
      <c r="BS47" s="260">
        <f>+BS44-BS46</f>
        <v>5.3974958560995212E-2</v>
      </c>
      <c r="BT47" s="260">
        <f>+BT44-BT46</f>
        <v>3.693068239856423E-2</v>
      </c>
      <c r="BU47" s="449">
        <f>+SUMPRODUCT(BQ47:BT47,BK$42:BN$42)/BO$42</f>
        <v>5.1716970648561907E-2</v>
      </c>
      <c r="BV47" s="264"/>
      <c r="BW47" s="259">
        <f>+BW44-BW46</f>
        <v>4.0937647407607747E-2</v>
      </c>
      <c r="BX47" s="260">
        <f>+BX44-BX46</f>
        <v>4.1351624639272888E-2</v>
      </c>
      <c r="BY47" s="260">
        <f>+BY44-BY46</f>
        <v>4.1405407124835314E-2</v>
      </c>
      <c r="BZ47" s="260">
        <f>+BZ44-BZ46</f>
        <v>4.0399978280120985E-2</v>
      </c>
      <c r="CA47" s="449">
        <f>+SUMPRODUCT(BW47:BZ47,BQ$42:BT$42)/BU$42</f>
        <v>4.1021691047859382E-2</v>
      </c>
      <c r="CB47" s="264"/>
      <c r="CC47" s="259">
        <f>+CC44-CC46</f>
        <v>3.5682405721907173E-2</v>
      </c>
      <c r="CD47" s="260">
        <f>+CD44-CD46</f>
        <v>3.6006388765682962E-2</v>
      </c>
      <c r="CE47" s="260">
        <f>+CE44-CE46</f>
        <v>3.5923506884079748E-2</v>
      </c>
      <c r="CF47" s="260">
        <f>+CF44-CF46</f>
        <v>3.5287248383715664E-2</v>
      </c>
      <c r="CG47" s="449">
        <f>+SUMPRODUCT(CC47:CF47,BW$42:BZ$42)/CA$42</f>
        <v>3.5722782790213382E-2</v>
      </c>
    </row>
    <row r="48" spans="1:85" ht="11.25" customHeight="1" outlineLevel="1" x14ac:dyDescent="0.2">
      <c r="A48" s="78"/>
      <c r="B48" s="99"/>
      <c r="C48" s="94"/>
      <c r="D48" s="89"/>
      <c r="E48" s="89"/>
      <c r="F48" s="95"/>
      <c r="G48" s="447"/>
      <c r="H48" s="43"/>
      <c r="I48" s="94"/>
      <c r="J48" s="89"/>
      <c r="K48" s="89"/>
      <c r="L48" s="95"/>
      <c r="M48" s="447"/>
      <c r="N48" s="43"/>
      <c r="O48" s="94"/>
      <c r="P48" s="89"/>
      <c r="Q48" s="89"/>
      <c r="R48" s="95"/>
      <c r="S48" s="447"/>
      <c r="T48" s="43"/>
      <c r="U48" s="94"/>
      <c r="V48" s="89"/>
      <c r="W48" s="89"/>
      <c r="X48" s="95"/>
      <c r="Y48" s="447"/>
      <c r="Z48" s="43"/>
      <c r="AA48" s="94"/>
      <c r="AB48" s="90"/>
      <c r="AC48" s="90"/>
      <c r="AD48" s="90"/>
      <c r="AE48" s="447"/>
      <c r="AF48" s="43"/>
      <c r="AG48" s="94"/>
      <c r="AH48" s="90"/>
      <c r="AI48" s="90"/>
      <c r="AJ48" s="90"/>
      <c r="AK48" s="447"/>
      <c r="AL48" s="43"/>
      <c r="AM48" s="94"/>
      <c r="AN48" s="90"/>
      <c r="AO48" s="90"/>
      <c r="AP48" s="90"/>
      <c r="AQ48" s="447"/>
      <c r="AR48" s="43"/>
      <c r="AS48" s="94"/>
      <c r="AT48" s="90"/>
      <c r="AU48" s="90"/>
      <c r="AV48" s="90"/>
      <c r="AW48" s="447"/>
      <c r="AX48" s="43"/>
      <c r="AY48" s="94"/>
      <c r="AZ48" s="90"/>
      <c r="BA48" s="90"/>
      <c r="BB48" s="90"/>
      <c r="BC48" s="447"/>
      <c r="BD48" s="43"/>
      <c r="BE48" s="94"/>
      <c r="BF48" s="90"/>
      <c r="BG48" s="90"/>
      <c r="BH48" s="90"/>
      <c r="BI48" s="447"/>
      <c r="BJ48" s="43"/>
      <c r="BK48" s="94"/>
      <c r="BL48" s="90"/>
      <c r="BM48" s="90"/>
      <c r="BN48" s="90"/>
      <c r="BO48" s="447"/>
      <c r="BP48" s="43"/>
      <c r="BQ48" s="94"/>
      <c r="BR48" s="90"/>
      <c r="BS48" s="90"/>
      <c r="BT48" s="90"/>
      <c r="BU48" s="447"/>
      <c r="BV48" s="43"/>
      <c r="BW48" s="94"/>
      <c r="BX48" s="90"/>
      <c r="BY48" s="90"/>
      <c r="BZ48" s="90"/>
      <c r="CA48" s="447"/>
      <c r="CB48" s="43"/>
      <c r="CC48" s="94"/>
      <c r="CD48" s="90"/>
      <c r="CE48" s="90"/>
      <c r="CF48" s="90"/>
      <c r="CG48" s="447"/>
    </row>
    <row r="49" spans="1:86" ht="11.25" customHeight="1" outlineLevel="1" x14ac:dyDescent="0.2">
      <c r="A49" s="78"/>
      <c r="B49" s="108" t="s">
        <v>308</v>
      </c>
      <c r="C49" s="143"/>
      <c r="D49" s="144"/>
      <c r="E49" s="144"/>
      <c r="F49" s="144"/>
      <c r="G49" s="448"/>
      <c r="H49" s="39"/>
      <c r="I49" s="143"/>
      <c r="J49" s="144"/>
      <c r="K49" s="144"/>
      <c r="L49" s="144"/>
      <c r="M49" s="448"/>
      <c r="N49" s="39"/>
      <c r="O49" s="143"/>
      <c r="P49" s="144"/>
      <c r="Q49" s="144"/>
      <c r="R49" s="144"/>
      <c r="S49" s="448"/>
      <c r="T49" s="39"/>
      <c r="U49" s="143"/>
      <c r="V49" s="144"/>
      <c r="W49" s="144"/>
      <c r="X49" s="144"/>
      <c r="Y49" s="448"/>
      <c r="Z49" s="39"/>
      <c r="AA49" s="147">
        <f>+AG49/(1+AG50)</f>
        <v>47.477768090671319</v>
      </c>
      <c r="AB49" s="148">
        <f>+AH49/(1+AH50)</f>
        <v>53.650735294117645</v>
      </c>
      <c r="AC49" s="270">
        <v>53.564999999999998</v>
      </c>
      <c r="AD49" s="270">
        <v>61.619</v>
      </c>
      <c r="AE49" s="448">
        <f>+SUM(AA49:AD49)</f>
        <v>216.31250338478895</v>
      </c>
      <c r="AF49" s="39"/>
      <c r="AG49" s="269">
        <v>54.457000000000001</v>
      </c>
      <c r="AH49" s="270">
        <v>58.372</v>
      </c>
      <c r="AI49" s="270">
        <v>61.232999999999997</v>
      </c>
      <c r="AJ49" s="270">
        <v>71.322999999999993</v>
      </c>
      <c r="AK49" s="448">
        <f>+SUM(AG49:AJ49)</f>
        <v>245.38499999999999</v>
      </c>
      <c r="AL49" s="39"/>
      <c r="AM49" s="269">
        <v>63.862000000000002</v>
      </c>
      <c r="AN49" s="270">
        <v>66.674999999999997</v>
      </c>
      <c r="AO49" s="270">
        <v>67.935000000000002</v>
      </c>
      <c r="AP49" s="270">
        <v>76.216999999999999</v>
      </c>
      <c r="AQ49" s="448">
        <f>+SUM(AM49:AP49)</f>
        <v>274.68900000000002</v>
      </c>
      <c r="AR49" s="39"/>
      <c r="AS49" s="269">
        <v>66.884</v>
      </c>
      <c r="AT49" s="270">
        <v>72.144999999999996</v>
      </c>
      <c r="AU49" s="270">
        <v>71.463999999999999</v>
      </c>
      <c r="AV49" s="270">
        <v>75.528999999999996</v>
      </c>
      <c r="AW49" s="448">
        <f>+SUM(AS49:AV49)</f>
        <v>286.02199999999999</v>
      </c>
      <c r="AX49" s="39"/>
      <c r="AY49" s="269">
        <v>70.665000000000006</v>
      </c>
      <c r="AZ49" s="270">
        <v>74.153999999999996</v>
      </c>
      <c r="BA49" s="270">
        <v>74.77</v>
      </c>
      <c r="BB49" s="270">
        <v>78.921000000000006</v>
      </c>
      <c r="BC49" s="448">
        <f>+SUM(AY49:BB49)</f>
        <v>298.51</v>
      </c>
      <c r="BD49" s="39"/>
      <c r="BE49" s="269">
        <v>86.018000000000001</v>
      </c>
      <c r="BF49" s="270">
        <v>90.09</v>
      </c>
      <c r="BG49" s="270">
        <v>88.066000000000003</v>
      </c>
      <c r="BH49" s="270">
        <v>95.097999999999999</v>
      </c>
      <c r="BI49" s="448">
        <f>+SUM(BE49:BH49)</f>
        <v>359.27199999999999</v>
      </c>
      <c r="BJ49" s="39"/>
      <c r="BK49" s="269">
        <v>89.052999999999997</v>
      </c>
      <c r="BL49" s="270">
        <v>90.292000000000002</v>
      </c>
      <c r="BM49" s="270">
        <v>89.881</v>
      </c>
      <c r="BN49" s="270">
        <v>94.165000000000006</v>
      </c>
      <c r="BO49" s="448">
        <f>+SUM(BK49:BN49)</f>
        <v>363.39100000000002</v>
      </c>
      <c r="BP49" s="39"/>
      <c r="BQ49" s="147">
        <f>+BK49*(1+BQ50)</f>
        <v>95.286709999999999</v>
      </c>
      <c r="BR49" s="148">
        <f>+BL49*(1+BR50)</f>
        <v>118.28252000000001</v>
      </c>
      <c r="BS49" s="148">
        <f>+BM49*(1+BS50)</f>
        <v>115.94649</v>
      </c>
      <c r="BT49" s="148">
        <f>+BN49*(1+BT50)</f>
        <v>120.53120000000001</v>
      </c>
      <c r="BU49" s="448">
        <f>+SUM(BQ49:BT49)</f>
        <v>450.04692</v>
      </c>
      <c r="BV49" s="39"/>
      <c r="BW49" s="147">
        <f>+BQ49*(1+BW50)</f>
        <v>121.0141217</v>
      </c>
      <c r="BX49" s="148">
        <f>+BR49*(1+BX50)</f>
        <v>124.19664600000002</v>
      </c>
      <c r="BY49" s="148">
        <f>+BS49*(1+BY50)</f>
        <v>121.7438145</v>
      </c>
      <c r="BZ49" s="148">
        <f>+BT49*(1+BZ50)</f>
        <v>126.55776000000002</v>
      </c>
      <c r="CA49" s="448">
        <f>+SUM(BW49:BZ49)</f>
        <v>493.51234220000003</v>
      </c>
      <c r="CB49" s="39"/>
      <c r="CC49" s="147">
        <f>+BW49*(1+CC50)</f>
        <v>127.06482778500001</v>
      </c>
      <c r="CD49" s="148">
        <f>+BX49*(1+CD50)</f>
        <v>130.40647830000003</v>
      </c>
      <c r="CE49" s="148">
        <f>+BY49*(1+CE50)</f>
        <v>127.831005225</v>
      </c>
      <c r="CF49" s="148">
        <f>+BZ49*(1+CF50)</f>
        <v>132.88564800000003</v>
      </c>
      <c r="CG49" s="448">
        <f>+SUM(CC49:CF49)</f>
        <v>518.18795931000011</v>
      </c>
    </row>
    <row r="50" spans="1:86" ht="11.25" customHeight="1" outlineLevel="1" x14ac:dyDescent="0.2">
      <c r="A50" s="78"/>
      <c r="B50" s="99" t="s">
        <v>253</v>
      </c>
      <c r="C50" s="259"/>
      <c r="D50" s="265"/>
      <c r="E50" s="265"/>
      <c r="F50" s="265"/>
      <c r="G50" s="449"/>
      <c r="H50" s="43"/>
      <c r="I50" s="259"/>
      <c r="J50" s="265"/>
      <c r="K50" s="265"/>
      <c r="L50" s="265"/>
      <c r="M50" s="449"/>
      <c r="N50" s="43"/>
      <c r="O50" s="259"/>
      <c r="P50" s="265"/>
      <c r="Q50" s="265"/>
      <c r="R50" s="265"/>
      <c r="S50" s="449"/>
      <c r="T50" s="43"/>
      <c r="U50" s="259"/>
      <c r="V50" s="265"/>
      <c r="W50" s="265"/>
      <c r="X50" s="265"/>
      <c r="Y50" s="449"/>
      <c r="Z50" s="43"/>
      <c r="AA50" s="259"/>
      <c r="AB50" s="260"/>
      <c r="AC50" s="260"/>
      <c r="AD50" s="260"/>
      <c r="AE50" s="449"/>
      <c r="AF50" s="43"/>
      <c r="AG50" s="259">
        <v>0.14699999999999999</v>
      </c>
      <c r="AH50" s="260">
        <v>8.7999999999999995E-2</v>
      </c>
      <c r="AI50" s="260">
        <f>+AI49/AC49-1</f>
        <v>0.14315317838140573</v>
      </c>
      <c r="AJ50" s="260">
        <f>+AJ49/AD49-1</f>
        <v>0.15748389295509502</v>
      </c>
      <c r="AK50" s="449">
        <f>IF(ISERROR(AK49/AE49-1),"NM",AK49/AE49-1)</f>
        <v>0.13440044454339861</v>
      </c>
      <c r="AL50" s="43"/>
      <c r="AM50" s="259">
        <f>+AM49/AG49-1</f>
        <v>0.17270507005527302</v>
      </c>
      <c r="AN50" s="260">
        <f>+AN49/AH49-1</f>
        <v>0.14224285616391419</v>
      </c>
      <c r="AO50" s="260">
        <f>+AO49/AI49-1</f>
        <v>0.10945078634069882</v>
      </c>
      <c r="AP50" s="260">
        <f>+AP49/AJ49-1</f>
        <v>6.8617416541648657E-2</v>
      </c>
      <c r="AQ50" s="449">
        <f>IF(ISERROR(AQ49/AK49-1),"NM",AQ49/AK49-1)</f>
        <v>0.11942050247570157</v>
      </c>
      <c r="AR50" s="43"/>
      <c r="AS50" s="259">
        <f>+AS49/AM49-1</f>
        <v>4.7320785443612845E-2</v>
      </c>
      <c r="AT50" s="260">
        <f>+AT49/AN49-1</f>
        <v>8.2039745031871059E-2</v>
      </c>
      <c r="AU50" s="260">
        <f>+AU49/AO49-1</f>
        <v>5.1946713770515851E-2</v>
      </c>
      <c r="AV50" s="260">
        <f>+AV49/AP49-1</f>
        <v>-9.0268575252240302E-3</v>
      </c>
      <c r="AW50" s="449">
        <f>IF(ISERROR(AW49/AQ49-1),"NM",AW49/AQ49-1)</f>
        <v>4.1257567649232385E-2</v>
      </c>
      <c r="AX50" s="43"/>
      <c r="AY50" s="259">
        <f>+AY49/AS49-1</f>
        <v>5.6530709885772579E-2</v>
      </c>
      <c r="AZ50" s="260">
        <f>+AZ49/AT49-1</f>
        <v>2.7846697622842864E-2</v>
      </c>
      <c r="BA50" s="260">
        <f>+BA49/AU49-1</f>
        <v>4.6261054516959499E-2</v>
      </c>
      <c r="BB50" s="260">
        <f>+BB49/AV49-1</f>
        <v>4.4909902156787584E-2</v>
      </c>
      <c r="BC50" s="449">
        <f>IF(ISERROR(BC49/AW49-1),"NM",BC49/AW49-1)</f>
        <v>4.3660977127633505E-2</v>
      </c>
      <c r="BD50" s="43"/>
      <c r="BE50" s="259">
        <f>+BE49/AY49-1</f>
        <v>0.2172645581263708</v>
      </c>
      <c r="BF50" s="260">
        <f>+BF49/AZ49-1</f>
        <v>0.21490411845618596</v>
      </c>
      <c r="BG50" s="260">
        <f>+BG49/BA49-1</f>
        <v>0.17782533101511322</v>
      </c>
      <c r="BH50" s="260">
        <f>+BH49/BB49-1</f>
        <v>0.20497712902776177</v>
      </c>
      <c r="BI50" s="449">
        <f>IF(ISERROR(BI49/BC49-1),"NM",BI49/BC49-1)</f>
        <v>0.20355096981675658</v>
      </c>
      <c r="BJ50" s="43"/>
      <c r="BK50" s="259">
        <f>+BK49/BE49-1</f>
        <v>3.5283312794996302E-2</v>
      </c>
      <c r="BL50" s="260">
        <f>+BL49/BF49-1</f>
        <v>2.2422022422021737E-3</v>
      </c>
      <c r="BM50" s="260">
        <f>+BM49/BG49-1</f>
        <v>2.0609542842867867E-2</v>
      </c>
      <c r="BN50" s="260">
        <f>+BN49/BH49-1</f>
        <v>-9.810931880796625E-3</v>
      </c>
      <c r="BO50" s="449">
        <f>IF(ISERROR(BO49/BI49-1),"NM",BO49/BI49-1)</f>
        <v>1.1464851143423438E-2</v>
      </c>
      <c r="BP50" s="43"/>
      <c r="BQ50" s="259">
        <f>+BQ51+BQ52</f>
        <v>7.0000000000000007E-2</v>
      </c>
      <c r="BR50" s="260">
        <f>+BR51+BR52</f>
        <v>0.31</v>
      </c>
      <c r="BS50" s="260">
        <f>+BS51+BS52</f>
        <v>0.28999999999999998</v>
      </c>
      <c r="BT50" s="260">
        <f>+BT51+BT52</f>
        <v>0.28000000000000003</v>
      </c>
      <c r="BU50" s="449">
        <f>IF(ISERROR(BU49/BO49-1),"NM",BU49/BO49-1)</f>
        <v>0.23846468404555976</v>
      </c>
      <c r="BV50" s="43"/>
      <c r="BW50" s="259">
        <f>+BW51+BW52</f>
        <v>0.27</v>
      </c>
      <c r="BX50" s="260">
        <f>+BX51+BX52</f>
        <v>0.05</v>
      </c>
      <c r="BY50" s="260">
        <f>+BY51+BY52</f>
        <v>0.05</v>
      </c>
      <c r="BZ50" s="260">
        <f>+BZ51+BZ52</f>
        <v>0.05</v>
      </c>
      <c r="CA50" s="449">
        <f>IF(ISERROR(CA49/BU49-1),"NM",CA49/BU49-1)</f>
        <v>9.6579757061774796E-2</v>
      </c>
      <c r="CB50" s="43"/>
      <c r="CC50" s="259">
        <f>+CC51+CC52</f>
        <v>0.05</v>
      </c>
      <c r="CD50" s="260">
        <f>+CD51+CD52</f>
        <v>0.05</v>
      </c>
      <c r="CE50" s="260">
        <f>+CE51+CE52</f>
        <v>0.05</v>
      </c>
      <c r="CF50" s="260">
        <f>+CF51+CF52</f>
        <v>0.05</v>
      </c>
      <c r="CG50" s="449">
        <f>IF(ISERROR(CG49/CA49-1),"NM",CG49/CA49-1)</f>
        <v>5.0000000000000044E-2</v>
      </c>
    </row>
    <row r="51" spans="1:86" ht="11.25" customHeight="1" outlineLevel="1" x14ac:dyDescent="0.2">
      <c r="A51" s="78"/>
      <c r="B51" s="99" t="s">
        <v>256</v>
      </c>
      <c r="C51" s="261"/>
      <c r="D51" s="266"/>
      <c r="E51" s="266"/>
      <c r="F51" s="267"/>
      <c r="G51" s="449"/>
      <c r="H51" s="43"/>
      <c r="I51" s="261"/>
      <c r="J51" s="266"/>
      <c r="K51" s="266"/>
      <c r="L51" s="267"/>
      <c r="M51" s="449"/>
      <c r="N51" s="43"/>
      <c r="O51" s="261"/>
      <c r="P51" s="266"/>
      <c r="Q51" s="266"/>
      <c r="R51" s="267"/>
      <c r="S51" s="449"/>
      <c r="T51" s="43"/>
      <c r="U51" s="261"/>
      <c r="V51" s="266"/>
      <c r="W51" s="266"/>
      <c r="X51" s="267"/>
      <c r="Y51" s="449"/>
      <c r="Z51" s="43"/>
      <c r="AA51" s="261"/>
      <c r="AB51" s="258"/>
      <c r="AC51" s="258"/>
      <c r="AD51" s="258"/>
      <c r="AE51" s="449"/>
      <c r="AF51" s="43"/>
      <c r="AG51" s="261">
        <v>0.14799999999999999</v>
      </c>
      <c r="AH51" s="258">
        <v>0.09</v>
      </c>
      <c r="AI51" s="258">
        <v>0.14399999999999999</v>
      </c>
      <c r="AJ51" s="258">
        <v>0.156</v>
      </c>
      <c r="AK51" s="449">
        <f>+SUMPRODUCT(AG51:AJ51,AA$49:AD$49)/AE$49</f>
        <v>0.13490297323211486</v>
      </c>
      <c r="AL51" s="43"/>
      <c r="AM51" s="261">
        <v>0.17299999999999999</v>
      </c>
      <c r="AN51" s="258">
        <v>0.14299999999999999</v>
      </c>
      <c r="AO51" s="258">
        <v>0.111</v>
      </c>
      <c r="AP51" s="258">
        <v>7.0999999999999994E-2</v>
      </c>
      <c r="AQ51" s="449">
        <f>+SUMPRODUCT(AM51:AP51,AG$49:AJ$49)/AK$49</f>
        <v>0.12074516779754264</v>
      </c>
      <c r="AR51" s="43"/>
      <c r="AS51" s="261">
        <v>5.0999999999999997E-2</v>
      </c>
      <c r="AT51" s="258">
        <v>8.5000000000000006E-2</v>
      </c>
      <c r="AU51" s="258">
        <v>5.3999999999999999E-2</v>
      </c>
      <c r="AV51" s="258">
        <v>-7.0000000000000001E-3</v>
      </c>
      <c r="AW51" s="449">
        <f>+SUMPRODUCT(AS51:AV51,AM$49:AP$49)/AQ$49</f>
        <v>4.390167789754959E-2</v>
      </c>
      <c r="AX51" s="43"/>
      <c r="AY51" s="261">
        <v>0.06</v>
      </c>
      <c r="AZ51" s="258">
        <v>3.1E-2</v>
      </c>
      <c r="BA51" s="258">
        <v>5.1999999999999998E-2</v>
      </c>
      <c r="BB51" s="258">
        <v>4.9000000000000002E-2</v>
      </c>
      <c r="BC51" s="449">
        <f>+SUMPRODUCT(AY51:BB51,AS$49:AV$49)/AW$49</f>
        <v>4.7781583234856061E-2</v>
      </c>
      <c r="BD51" s="43"/>
      <c r="BE51" s="261">
        <v>0.22</v>
      </c>
      <c r="BF51" s="258">
        <v>0.216</v>
      </c>
      <c r="BG51" s="258">
        <v>0.17799999999999999</v>
      </c>
      <c r="BH51" s="258">
        <v>0.20499999999999999</v>
      </c>
      <c r="BI51" s="449">
        <f>+SUMPRODUCT(BE51:BH51,AY$49:BB$49)/BC$49</f>
        <v>0.20452054872533584</v>
      </c>
      <c r="BJ51" s="43"/>
      <c r="BK51" s="261">
        <v>3.4000000000000002E-2</v>
      </c>
      <c r="BL51" s="258">
        <v>3.0000000000000001E-3</v>
      </c>
      <c r="BM51" s="258">
        <v>0.02</v>
      </c>
      <c r="BN51" s="258">
        <v>-1.0999999999999999E-2</v>
      </c>
      <c r="BO51" s="449">
        <f>+SUMPRODUCT(BK51:BN51,BE$49:BH$49)/BI$49</f>
        <v>1.0883464338996639E-2</v>
      </c>
      <c r="BP51" s="43"/>
      <c r="BQ51" s="263">
        <v>7.0000000000000007E-2</v>
      </c>
      <c r="BR51" s="262">
        <v>0.31</v>
      </c>
      <c r="BS51" s="262">
        <v>0.28999999999999998</v>
      </c>
      <c r="BT51" s="262">
        <v>0.28000000000000003</v>
      </c>
      <c r="BU51" s="449">
        <f>+SUMPRODUCT(BQ51:BT51,BK$49:BN$49)/BO$49</f>
        <v>0.2384646840455597</v>
      </c>
      <c r="BV51" s="43"/>
      <c r="BW51" s="263">
        <v>0.27</v>
      </c>
      <c r="BX51" s="262">
        <v>0.05</v>
      </c>
      <c r="BY51" s="262">
        <f t="shared" ref="BX51:BZ53" si="14">+BX51</f>
        <v>0.05</v>
      </c>
      <c r="BZ51" s="262">
        <f t="shared" si="14"/>
        <v>0.05</v>
      </c>
      <c r="CA51" s="449">
        <f>+SUMPRODUCT(BW51:BZ51,BQ$49:BT$49)/BU$49</f>
        <v>9.6579757061774824E-2</v>
      </c>
      <c r="CB51" s="43"/>
      <c r="CC51" s="263">
        <f>+BZ51</f>
        <v>0.05</v>
      </c>
      <c r="CD51" s="262">
        <f t="shared" ref="CD51:CF53" si="15">+CC51</f>
        <v>0.05</v>
      </c>
      <c r="CE51" s="262">
        <f t="shared" si="15"/>
        <v>0.05</v>
      </c>
      <c r="CF51" s="262">
        <f t="shared" si="15"/>
        <v>0.05</v>
      </c>
      <c r="CG51" s="449">
        <f>+SUMPRODUCT(CC51:CF51,BW$49:BZ$49)/CA$49</f>
        <v>0.05</v>
      </c>
    </row>
    <row r="52" spans="1:86" ht="11.25" customHeight="1" outlineLevel="1" x14ac:dyDescent="0.2">
      <c r="A52" s="78"/>
      <c r="B52" s="99" t="s">
        <v>255</v>
      </c>
      <c r="C52" s="259"/>
      <c r="D52" s="265"/>
      <c r="E52" s="265"/>
      <c r="F52" s="265"/>
      <c r="G52" s="449"/>
      <c r="H52" s="43"/>
      <c r="I52" s="259"/>
      <c r="J52" s="265"/>
      <c r="K52" s="265"/>
      <c r="L52" s="265"/>
      <c r="M52" s="449"/>
      <c r="N52" s="43"/>
      <c r="O52" s="259"/>
      <c r="P52" s="265"/>
      <c r="Q52" s="265"/>
      <c r="R52" s="265"/>
      <c r="S52" s="449"/>
      <c r="T52" s="43"/>
      <c r="U52" s="259"/>
      <c r="V52" s="265"/>
      <c r="W52" s="265"/>
      <c r="X52" s="265"/>
      <c r="Y52" s="449"/>
      <c r="Z52" s="43"/>
      <c r="AA52" s="259"/>
      <c r="AB52" s="260"/>
      <c r="AC52" s="260"/>
      <c r="AD52" s="260"/>
      <c r="AE52" s="449"/>
      <c r="AF52" s="43"/>
      <c r="AG52" s="259">
        <f>AG50-AG51</f>
        <v>-1.0000000000000009E-3</v>
      </c>
      <c r="AH52" s="260">
        <f>AH50-AH51</f>
        <v>-2.0000000000000018E-3</v>
      </c>
      <c r="AI52" s="260">
        <f>AI50-AI51</f>
        <v>-8.4682161859425675E-4</v>
      </c>
      <c r="AJ52" s="260">
        <f>AJ50-AJ51</f>
        <v>1.4838929550950175E-3</v>
      </c>
      <c r="AK52" s="449">
        <f>+SUMPRODUCT(AG52:AJ52,AA$49:AD$49)/AE$49</f>
        <v>-5.0252868871634646E-4</v>
      </c>
      <c r="AL52" s="43"/>
      <c r="AM52" s="259">
        <f>AM50-AM51</f>
        <v>-2.9492994472696266E-4</v>
      </c>
      <c r="AN52" s="260">
        <f>AN50-AN51</f>
        <v>-7.571438360857996E-4</v>
      </c>
      <c r="AO52" s="260">
        <f>AO50-AO51</f>
        <v>-1.5492136593011768E-3</v>
      </c>
      <c r="AP52" s="260">
        <f>AP50-AP51</f>
        <v>-2.3825834583513367E-3</v>
      </c>
      <c r="AQ52" s="449">
        <f>+SUMPRODUCT(AM52:AP52,AG$49:AJ$49)/AK$49</f>
        <v>-1.3246653218410981E-3</v>
      </c>
      <c r="AR52" s="43"/>
      <c r="AS52" s="259">
        <f>AS50-AS51</f>
        <v>-3.6792145563871517E-3</v>
      </c>
      <c r="AT52" s="260">
        <f>AT50-AT51</f>
        <v>-2.9602549681289475E-3</v>
      </c>
      <c r="AU52" s="260">
        <f>AU50-AU51</f>
        <v>-2.0532862294841484E-3</v>
      </c>
      <c r="AV52" s="260">
        <f>AV50-AV51</f>
        <v>-2.02685752522403E-3</v>
      </c>
      <c r="AW52" s="449">
        <f>+SUMPRODUCT(AS52:AV52,AM$49:AP$49)/AQ$49</f>
        <v>-2.6441102483171848E-3</v>
      </c>
      <c r="AX52" s="43"/>
      <c r="AY52" s="259">
        <f>AY50-AY51</f>
        <v>-3.4692901142274191E-3</v>
      </c>
      <c r="AZ52" s="260">
        <f>AZ50-AZ51</f>
        <v>-3.1533023771571356E-3</v>
      </c>
      <c r="BA52" s="260">
        <f>BA50-BA51</f>
        <v>-5.7389454830404987E-3</v>
      </c>
      <c r="BB52" s="260">
        <f>BB50-BB51</f>
        <v>-4.0900978432124174E-3</v>
      </c>
      <c r="BC52" s="449">
        <f>+SUMPRODUCT(AY52:BB52,AS$49:AV$49)/AW$49</f>
        <v>-4.1206061072224694E-3</v>
      </c>
      <c r="BD52" s="43"/>
      <c r="BE52" s="259">
        <f>BE50-BE51</f>
        <v>-2.7354418736292019E-3</v>
      </c>
      <c r="BF52" s="260">
        <f>BF50-BF51</f>
        <v>-1.0958815438140423E-3</v>
      </c>
      <c r="BG52" s="260">
        <f>BG50-BG51</f>
        <v>-1.7466898488677218E-4</v>
      </c>
      <c r="BH52" s="260">
        <f>BH50-BH51</f>
        <v>-2.2870972238214771E-5</v>
      </c>
      <c r="BI52" s="449">
        <f>+SUMPRODUCT(BE52:BH52,AY$49:BB$49)/BC$49</f>
        <v>-9.695789085792442E-4</v>
      </c>
      <c r="BJ52" s="43"/>
      <c r="BK52" s="259">
        <f>BK50-BK51</f>
        <v>1.2833127949962997E-3</v>
      </c>
      <c r="BL52" s="260">
        <f>BL50-BL51</f>
        <v>-7.5779775779782638E-4</v>
      </c>
      <c r="BM52" s="260">
        <f>BM50-BM51</f>
        <v>6.0954284286786689E-4</v>
      </c>
      <c r="BN52" s="260">
        <f>BN50-BN51</f>
        <v>1.1890681192033743E-3</v>
      </c>
      <c r="BO52" s="449">
        <f>+SUMPRODUCT(BK52:BN52,BE$49:BH$49)/BI$49</f>
        <v>5.8138680442670063E-4</v>
      </c>
      <c r="BP52" s="43"/>
      <c r="BQ52" s="263">
        <v>0</v>
      </c>
      <c r="BR52" s="262">
        <f t="shared" ref="BR52:BT52" si="16">+BQ52</f>
        <v>0</v>
      </c>
      <c r="BS52" s="262">
        <f t="shared" si="16"/>
        <v>0</v>
      </c>
      <c r="BT52" s="262">
        <f t="shared" si="16"/>
        <v>0</v>
      </c>
      <c r="BU52" s="449">
        <f>+SUMPRODUCT(BQ52:BT52,BK$49:BN$49)/BO$49</f>
        <v>0</v>
      </c>
      <c r="BV52" s="43"/>
      <c r="BW52" s="263">
        <f>+BT52</f>
        <v>0</v>
      </c>
      <c r="BX52" s="262">
        <f t="shared" si="14"/>
        <v>0</v>
      </c>
      <c r="BY52" s="262">
        <f t="shared" si="14"/>
        <v>0</v>
      </c>
      <c r="BZ52" s="262">
        <f t="shared" si="14"/>
        <v>0</v>
      </c>
      <c r="CA52" s="449">
        <f>+SUMPRODUCT(BW52:BZ52,BQ$49:BT$49)/BU$49</f>
        <v>0</v>
      </c>
      <c r="CB52" s="43"/>
      <c r="CC52" s="263">
        <f>+BZ52</f>
        <v>0</v>
      </c>
      <c r="CD52" s="262">
        <f t="shared" si="15"/>
        <v>0</v>
      </c>
      <c r="CE52" s="262">
        <f t="shared" si="15"/>
        <v>0</v>
      </c>
      <c r="CF52" s="262">
        <f t="shared" si="15"/>
        <v>0</v>
      </c>
      <c r="CG52" s="449">
        <f>+SUMPRODUCT(CC52:CF52,BW$49:BZ$49)/CA$49</f>
        <v>0</v>
      </c>
    </row>
    <row r="53" spans="1:86" ht="11.25" customHeight="1" outlineLevel="1" x14ac:dyDescent="0.2">
      <c r="A53" s="78"/>
      <c r="B53" s="99" t="s">
        <v>254</v>
      </c>
      <c r="C53" s="261"/>
      <c r="D53" s="266"/>
      <c r="E53" s="266"/>
      <c r="F53" s="267"/>
      <c r="G53" s="453"/>
      <c r="H53" s="43"/>
      <c r="I53" s="261"/>
      <c r="J53" s="266"/>
      <c r="K53" s="266"/>
      <c r="L53" s="267"/>
      <c r="M53" s="453"/>
      <c r="N53" s="43"/>
      <c r="O53" s="261"/>
      <c r="P53" s="266"/>
      <c r="Q53" s="266"/>
      <c r="R53" s="267"/>
      <c r="S53" s="453"/>
      <c r="T53" s="43"/>
      <c r="U53" s="261"/>
      <c r="V53" s="266"/>
      <c r="W53" s="266"/>
      <c r="X53" s="267"/>
      <c r="Y53" s="453"/>
      <c r="Z53" s="43"/>
      <c r="AA53" s="261"/>
      <c r="AB53" s="258"/>
      <c r="AC53" s="258"/>
      <c r="AD53" s="258"/>
      <c r="AE53" s="449"/>
      <c r="AF53" s="43"/>
      <c r="AG53" s="261">
        <v>4.9000000000000002E-2</v>
      </c>
      <c r="AH53" s="258">
        <v>0</v>
      </c>
      <c r="AI53" s="258">
        <v>2.1000000000000001E-2</v>
      </c>
      <c r="AJ53" s="258">
        <f>-5.6%+5.5%</f>
        <v>-9.9999999999999395E-4</v>
      </c>
      <c r="AK53" s="449">
        <f>+SUMPRODUCT(AG53:AJ53,AA$49:AD$49)/AE$49</f>
        <v>1.5670183569616324E-2</v>
      </c>
      <c r="AL53" s="43"/>
      <c r="AM53" s="261">
        <v>5.8999999999999997E-2</v>
      </c>
      <c r="AN53" s="258">
        <v>6.2E-2</v>
      </c>
      <c r="AO53" s="258">
        <v>3.7999999999999999E-2</v>
      </c>
      <c r="AP53" s="258">
        <v>4.0000000000000001E-3</v>
      </c>
      <c r="AQ53" s="449">
        <f>+SUMPRODUCT(AM53:AP53,AG$49:AJ$49)/AK$49</f>
        <v>3.8487165067139402E-2</v>
      </c>
      <c r="AR53" s="43"/>
      <c r="AS53" s="261">
        <v>3.0000000000000001E-3</v>
      </c>
      <c r="AT53" s="258">
        <v>0</v>
      </c>
      <c r="AU53" s="258">
        <v>0</v>
      </c>
      <c r="AV53" s="258">
        <v>0</v>
      </c>
      <c r="AW53" s="449">
        <f>+SUMPRODUCT(AS53:AV53,AM$49:AP$49)/AQ$49</f>
        <v>6.9746513329620044E-4</v>
      </c>
      <c r="AX53" s="43"/>
      <c r="AY53" s="261">
        <v>1E-3</v>
      </c>
      <c r="AZ53" s="258">
        <v>5.0000000000000001E-3</v>
      </c>
      <c r="BA53" s="258">
        <v>7.0000000000000001E-3</v>
      </c>
      <c r="BB53" s="258">
        <v>7.0000000000000001E-3</v>
      </c>
      <c r="BC53" s="449">
        <f>+SUMPRODUCT(AY53:BB53,AS$49:AV$49)/AW$49</f>
        <v>5.0924754039899031E-3</v>
      </c>
      <c r="BD53" s="43"/>
      <c r="BE53" s="261">
        <v>0.14000000000000001</v>
      </c>
      <c r="BF53" s="258">
        <v>0.13100000000000001</v>
      </c>
      <c r="BG53" s="258">
        <v>0.108</v>
      </c>
      <c r="BH53" s="258">
        <f>9.7%+3.4%</f>
        <v>0.13100000000000001</v>
      </c>
      <c r="BI53" s="449">
        <f>+SUMPRODUCT(BE53:BH53,AY$49:BB$49)/BC$49</f>
        <v>0.1273695521088071</v>
      </c>
      <c r="BJ53" s="43"/>
      <c r="BK53" s="261">
        <v>0</v>
      </c>
      <c r="BL53" s="258">
        <v>0</v>
      </c>
      <c r="BM53" s="258">
        <v>0</v>
      </c>
      <c r="BN53" s="258">
        <f>-2.9%</f>
        <v>-2.8999999999999998E-2</v>
      </c>
      <c r="BO53" s="449">
        <f>+SUMPRODUCT(BK53:BN53,BE$49:BH$49)/BI$49</f>
        <v>-7.676195194727114E-3</v>
      </c>
      <c r="BP53" s="43"/>
      <c r="BQ53" s="263">
        <f>1.25/BK49</f>
        <v>1.4036584955026783E-2</v>
      </c>
      <c r="BR53" s="262">
        <f>1.25/BL49+BR55</f>
        <v>0.22427236078500862</v>
      </c>
      <c r="BS53" s="262">
        <f t="shared" ref="BS53:BT53" si="17">1.25/BM49+BS55</f>
        <v>0.22529789388191052</v>
      </c>
      <c r="BT53" s="262">
        <f t="shared" si="17"/>
        <v>0.21504805394785748</v>
      </c>
      <c r="BU53" s="449">
        <f>+SUMPRODUCT(BQ53:BT53,BK$49:BN$49)/BO$49</f>
        <v>0.17061512255394326</v>
      </c>
      <c r="BV53" s="43"/>
      <c r="BW53" s="263">
        <f>+BW55</f>
        <v>0.20989285914058739</v>
      </c>
      <c r="BX53" s="262">
        <v>0</v>
      </c>
      <c r="BY53" s="262">
        <f t="shared" si="14"/>
        <v>0</v>
      </c>
      <c r="BZ53" s="262">
        <f t="shared" si="14"/>
        <v>0</v>
      </c>
      <c r="CA53" s="449">
        <f>+SUMPRODUCT(BW53:BZ53,BQ$49:BT$49)/BU$49</f>
        <v>4.4439810853499455E-2</v>
      </c>
      <c r="CB53" s="43"/>
      <c r="CC53" s="263">
        <f>+BZ53</f>
        <v>0</v>
      </c>
      <c r="CD53" s="262">
        <f t="shared" si="15"/>
        <v>0</v>
      </c>
      <c r="CE53" s="262">
        <f t="shared" si="15"/>
        <v>0</v>
      </c>
      <c r="CF53" s="262">
        <f t="shared" si="15"/>
        <v>0</v>
      </c>
      <c r="CG53" s="449">
        <f>+SUMPRODUCT(CC53:CF53,BW$49:BZ$49)/CA$49</f>
        <v>0</v>
      </c>
    </row>
    <row r="54" spans="1:86" ht="11.25" customHeight="1" outlineLevel="1" x14ac:dyDescent="0.2">
      <c r="A54" s="78"/>
      <c r="B54" s="98" t="s">
        <v>257</v>
      </c>
      <c r="C54" s="259"/>
      <c r="D54" s="260"/>
      <c r="E54" s="260"/>
      <c r="F54" s="260"/>
      <c r="G54" s="449"/>
      <c r="H54" s="264"/>
      <c r="I54" s="259"/>
      <c r="J54" s="260"/>
      <c r="K54" s="260"/>
      <c r="L54" s="260"/>
      <c r="M54" s="449"/>
      <c r="N54" s="264"/>
      <c r="O54" s="259"/>
      <c r="P54" s="260"/>
      <c r="Q54" s="260"/>
      <c r="R54" s="260"/>
      <c r="S54" s="449"/>
      <c r="T54" s="264"/>
      <c r="U54" s="259"/>
      <c r="V54" s="260"/>
      <c r="W54" s="260"/>
      <c r="X54" s="260"/>
      <c r="Y54" s="449"/>
      <c r="Z54" s="264"/>
      <c r="AA54" s="259"/>
      <c r="AB54" s="260"/>
      <c r="AC54" s="260"/>
      <c r="AD54" s="260"/>
      <c r="AE54" s="449"/>
      <c r="AF54" s="264"/>
      <c r="AG54" s="259">
        <f>+AG51-AG53</f>
        <v>9.8999999999999991E-2</v>
      </c>
      <c r="AH54" s="260">
        <f>+AH51-AH53</f>
        <v>0.09</v>
      </c>
      <c r="AI54" s="260">
        <f>+AI51-AI53</f>
        <v>0.12299999999999998</v>
      </c>
      <c r="AJ54" s="260">
        <f>+AJ51-AJ53</f>
        <v>0.157</v>
      </c>
      <c r="AK54" s="449">
        <f>+SUMPRODUCT(AG54:AJ54,AA$49:AD$49)/AE$49</f>
        <v>0.11923278966249855</v>
      </c>
      <c r="AL54" s="264"/>
      <c r="AM54" s="259">
        <f>+AM51-AM53</f>
        <v>0.11399999999999999</v>
      </c>
      <c r="AN54" s="260">
        <f>+AN51-AN53</f>
        <v>8.0999999999999989E-2</v>
      </c>
      <c r="AO54" s="260">
        <f>+AO51-AO53</f>
        <v>7.3000000000000009E-2</v>
      </c>
      <c r="AP54" s="260">
        <f>+AP51-AP53</f>
        <v>6.699999999999999E-2</v>
      </c>
      <c r="AQ54" s="449">
        <f>+SUMPRODUCT(AM54:AP54,AG$49:AJ$49)/AK$49</f>
        <v>8.2258002730403249E-2</v>
      </c>
      <c r="AR54" s="264"/>
      <c r="AS54" s="259">
        <f>+AS51-AS53</f>
        <v>4.7999999999999994E-2</v>
      </c>
      <c r="AT54" s="260">
        <f>+AT51-AT53</f>
        <v>8.5000000000000006E-2</v>
      </c>
      <c r="AU54" s="260">
        <f>+AU51-AU53</f>
        <v>5.3999999999999999E-2</v>
      </c>
      <c r="AV54" s="260">
        <f>+AV51-AV53</f>
        <v>-7.0000000000000001E-3</v>
      </c>
      <c r="AW54" s="449">
        <f>+SUMPRODUCT(AS54:AV54,AM$49:AP$49)/AQ$49</f>
        <v>4.3204212764253389E-2</v>
      </c>
      <c r="AX54" s="264"/>
      <c r="AY54" s="259">
        <f>+AY51-AY53</f>
        <v>5.8999999999999997E-2</v>
      </c>
      <c r="AZ54" s="260">
        <f>+AZ51-AZ53</f>
        <v>2.5999999999999999E-2</v>
      </c>
      <c r="BA54" s="260">
        <f>+BA51-BA53</f>
        <v>4.4999999999999998E-2</v>
      </c>
      <c r="BB54" s="260">
        <f>+BB51-BB53</f>
        <v>4.2000000000000003E-2</v>
      </c>
      <c r="BC54" s="449">
        <f>+SUMPRODUCT(AY54:BB54,AS$49:AV$49)/AW$49</f>
        <v>4.2689107830866158E-2</v>
      </c>
      <c r="BD54" s="264"/>
      <c r="BE54" s="259">
        <f>+BE51-BE53</f>
        <v>7.9999999999999988E-2</v>
      </c>
      <c r="BF54" s="260">
        <f>+BF51-BF53</f>
        <v>8.4999999999999992E-2</v>
      </c>
      <c r="BG54" s="260">
        <f>+BG51-BG53</f>
        <v>6.9999999999999993E-2</v>
      </c>
      <c r="BH54" s="260">
        <f>+BH51-BH53</f>
        <v>7.3999999999999982E-2</v>
      </c>
      <c r="BI54" s="449">
        <f>+SUMPRODUCT(BE54:BH54,AY$49:BB$49)/BC$49</f>
        <v>7.7150996616528744E-2</v>
      </c>
      <c r="BJ54" s="264"/>
      <c r="BK54" s="259">
        <f>+BK51-BK53</f>
        <v>3.4000000000000002E-2</v>
      </c>
      <c r="BL54" s="260">
        <f>+BL51-BL53</f>
        <v>3.0000000000000001E-3</v>
      </c>
      <c r="BM54" s="260">
        <f>+BM51-BM53</f>
        <v>0.02</v>
      </c>
      <c r="BN54" s="260">
        <f>+BN51-BN53</f>
        <v>1.7999999999999999E-2</v>
      </c>
      <c r="BO54" s="449">
        <f>+SUMPRODUCT(BK54:BN54,BE$49:BH$49)/BI$49</f>
        <v>1.8559659533723752E-2</v>
      </c>
      <c r="BP54" s="264"/>
      <c r="BQ54" s="259">
        <f>+BQ51-BQ53</f>
        <v>5.5963415044973222E-2</v>
      </c>
      <c r="BR54" s="260">
        <f>+BR51-BR53</f>
        <v>8.572763921499138E-2</v>
      </c>
      <c r="BS54" s="260">
        <f>+BS51-BS53</f>
        <v>6.4702106118089464E-2</v>
      </c>
      <c r="BT54" s="260">
        <f>+BT51-BT53</f>
        <v>6.4951946052142551E-2</v>
      </c>
      <c r="BU54" s="449">
        <f>+SUMPRODUCT(BQ54:BT54,BK$49:BN$49)/BO$49</f>
        <v>6.7849561491616486E-2</v>
      </c>
      <c r="BV54" s="264"/>
      <c r="BW54" s="259">
        <f>+BW51-BW53</f>
        <v>6.0107140859412628E-2</v>
      </c>
      <c r="BX54" s="260">
        <f>+BX51-BX53</f>
        <v>0.05</v>
      </c>
      <c r="BY54" s="260">
        <f>+BY51-BY53</f>
        <v>0.05</v>
      </c>
      <c r="BZ54" s="260">
        <f>+BZ51-BZ53</f>
        <v>0.05</v>
      </c>
      <c r="CA54" s="449">
        <f>+SUMPRODUCT(BW54:BZ54,BQ$49:BT$49)/BU$49</f>
        <v>5.2139946208275355E-2</v>
      </c>
      <c r="CB54" s="264"/>
      <c r="CC54" s="259">
        <f>+CC51-CC53</f>
        <v>0.05</v>
      </c>
      <c r="CD54" s="260">
        <f>+CD51-CD53</f>
        <v>0.05</v>
      </c>
      <c r="CE54" s="260">
        <f>+CE51-CE53</f>
        <v>0.05</v>
      </c>
      <c r="CF54" s="260">
        <f>+CF51-CF53</f>
        <v>0.05</v>
      </c>
      <c r="CG54" s="449">
        <f>+SUMPRODUCT(CC54:CF54,BW$49:BZ$49)/CA$49</f>
        <v>0.05</v>
      </c>
    </row>
    <row r="55" spans="1:86" ht="11.25" customHeight="1" outlineLevel="1" x14ac:dyDescent="0.2">
      <c r="A55" s="78"/>
      <c r="B55" s="98"/>
      <c r="C55" s="93"/>
      <c r="D55" s="61"/>
      <c r="E55" s="61"/>
      <c r="F55" s="61"/>
      <c r="G55" s="447"/>
      <c r="H55" s="109"/>
      <c r="I55" s="93"/>
      <c r="J55" s="61"/>
      <c r="K55" s="61"/>
      <c r="L55" s="61"/>
      <c r="M55" s="447"/>
      <c r="N55" s="109"/>
      <c r="O55" s="93"/>
      <c r="P55" s="61"/>
      <c r="Q55" s="61"/>
      <c r="R55" s="61"/>
      <c r="S55" s="447"/>
      <c r="T55" s="109"/>
      <c r="U55" s="93"/>
      <c r="V55" s="61"/>
      <c r="W55" s="61"/>
      <c r="X55" s="61"/>
      <c r="Y55" s="447"/>
      <c r="Z55" s="109"/>
      <c r="AA55" s="93"/>
      <c r="AB55" s="61"/>
      <c r="AC55" s="61"/>
      <c r="AD55" s="61"/>
      <c r="AE55" s="447"/>
      <c r="AF55" s="109"/>
      <c r="AG55" s="93"/>
      <c r="AH55" s="61"/>
      <c r="AI55" s="61"/>
      <c r="AJ55" s="61"/>
      <c r="AK55" s="447"/>
      <c r="AL55" s="109"/>
      <c r="AM55" s="93"/>
      <c r="AN55" s="61"/>
      <c r="AO55" s="61"/>
      <c r="AP55" s="61"/>
      <c r="AQ55" s="447"/>
      <c r="AR55" s="109"/>
      <c r="AS55" s="93"/>
      <c r="AT55" s="61"/>
      <c r="AU55" s="61"/>
      <c r="AV55" s="61"/>
      <c r="AW55" s="447"/>
      <c r="AX55" s="109"/>
      <c r="AY55" s="93"/>
      <c r="AZ55" s="61"/>
      <c r="BA55" s="61"/>
      <c r="BB55" s="61"/>
      <c r="BC55" s="447"/>
      <c r="BD55" s="109"/>
      <c r="BE55" s="93"/>
      <c r="BF55" s="61"/>
      <c r="BG55" s="61"/>
      <c r="BH55" s="61"/>
      <c r="BI55" s="447"/>
      <c r="BJ55" s="109"/>
      <c r="BK55" s="93"/>
      <c r="BL55" s="61"/>
      <c r="BM55" s="61"/>
      <c r="BN55" s="61"/>
      <c r="BO55" s="447"/>
      <c r="BP55" s="109"/>
      <c r="BQ55" s="93"/>
      <c r="BR55" s="1352">
        <f>19/BL49</f>
        <v>0.21042838789704513</v>
      </c>
      <c r="BS55" s="1352">
        <f>19/BM49</f>
        <v>0.21139061648179258</v>
      </c>
      <c r="BT55" s="1352">
        <f>19/BN49</f>
        <v>0.20177348271650825</v>
      </c>
      <c r="BU55" s="1353"/>
      <c r="BV55" s="1354"/>
      <c r="BW55" s="1355">
        <f>20/BQ49</f>
        <v>0.20989285914058739</v>
      </c>
      <c r="BX55" s="61"/>
      <c r="BY55" s="61"/>
      <c r="BZ55" s="61"/>
      <c r="CA55" s="447"/>
      <c r="CB55" s="109"/>
      <c r="CC55" s="93"/>
      <c r="CD55" s="61"/>
      <c r="CE55" s="61"/>
      <c r="CF55" s="61"/>
      <c r="CG55" s="447"/>
    </row>
    <row r="56" spans="1:86" ht="11.25" customHeight="1" outlineLevel="1" x14ac:dyDescent="0.2">
      <c r="A56" s="78"/>
      <c r="B56" s="110" t="s">
        <v>309</v>
      </c>
      <c r="C56" s="149"/>
      <c r="D56" s="150"/>
      <c r="E56" s="150"/>
      <c r="F56" s="150"/>
      <c r="G56" s="450"/>
      <c r="H56" s="239"/>
      <c r="I56" s="149"/>
      <c r="J56" s="150"/>
      <c r="K56" s="150"/>
      <c r="L56" s="150"/>
      <c r="M56" s="450"/>
      <c r="N56" s="239"/>
      <c r="O56" s="149"/>
      <c r="P56" s="150"/>
      <c r="Q56" s="150"/>
      <c r="R56" s="150"/>
      <c r="S56" s="450"/>
      <c r="T56" s="239"/>
      <c r="U56" s="149"/>
      <c r="V56" s="150"/>
      <c r="W56" s="150"/>
      <c r="X56" s="150"/>
      <c r="Y56" s="450"/>
      <c r="Z56" s="239"/>
      <c r="AA56" s="151">
        <f>+AA42+AA49</f>
        <v>1266.9917320587547</v>
      </c>
      <c r="AB56" s="152">
        <f>+AB42+AB49</f>
        <v>1347.5192084039368</v>
      </c>
      <c r="AC56" s="152">
        <f>+AC42+AC49</f>
        <v>1390.6310000000001</v>
      </c>
      <c r="AD56" s="152">
        <f>+AD42+AD49</f>
        <v>1505.52</v>
      </c>
      <c r="AE56" s="450">
        <f>+SUM(AA56:AD56)</f>
        <v>5510.6619404626908</v>
      </c>
      <c r="AF56" s="239"/>
      <c r="AG56" s="151">
        <f>+AG42+AG49</f>
        <v>1353.972</v>
      </c>
      <c r="AH56" s="152">
        <f>+AH42+AH49</f>
        <v>1435.7430000000002</v>
      </c>
      <c r="AI56" s="152">
        <f>+AI42+AI49</f>
        <v>1476.4849999999999</v>
      </c>
      <c r="AJ56" s="152">
        <f>+AJ42+AJ49</f>
        <v>1541.3619999999999</v>
      </c>
      <c r="AK56" s="450">
        <f>+SUM(AG56:AJ56)</f>
        <v>5807.5619999999999</v>
      </c>
      <c r="AL56" s="239"/>
      <c r="AM56" s="151">
        <f>+AM42+AM49</f>
        <v>1451.278</v>
      </c>
      <c r="AN56" s="152">
        <f>+AN42+AN49</f>
        <v>1528.6079999999999</v>
      </c>
      <c r="AO56" s="152">
        <f>+AO42+AO49</f>
        <v>1545.2159999999999</v>
      </c>
      <c r="AP56" s="152">
        <f>+AP42+AP49</f>
        <v>1598.1350000000002</v>
      </c>
      <c r="AQ56" s="450">
        <f>+SUM(AM56:AP56)</f>
        <v>6123.2370000000001</v>
      </c>
      <c r="AR56" s="239"/>
      <c r="AS56" s="151">
        <f>+AS42+AS49</f>
        <v>1517.2469999999998</v>
      </c>
      <c r="AT56" s="152">
        <f>+AT42+AT49</f>
        <v>1631.836</v>
      </c>
      <c r="AU56" s="152">
        <f>+AU42+AU49</f>
        <v>1711.8829999999998</v>
      </c>
      <c r="AV56" s="152">
        <f>+AV42+AV49</f>
        <v>1733.067</v>
      </c>
      <c r="AW56" s="450">
        <f>+SUM(AS56:AV56)</f>
        <v>6594.0329999999994</v>
      </c>
      <c r="AX56" s="239"/>
      <c r="AY56" s="151">
        <f>+AY42+AY49</f>
        <v>1622.8409999999999</v>
      </c>
      <c r="AZ56" s="152">
        <f>+AZ42+AZ49</f>
        <v>1749.893</v>
      </c>
      <c r="BA56" s="152">
        <f>+BA42+BA49</f>
        <v>1858.5539999999999</v>
      </c>
      <c r="BB56" s="152">
        <f>+BB42+BB49</f>
        <v>1902.0119999999999</v>
      </c>
      <c r="BC56" s="450">
        <f>+SUM(AY56:BB56)</f>
        <v>7133.2999999999993</v>
      </c>
      <c r="BD56" s="239"/>
      <c r="BE56" s="151">
        <f>+BE42+BE49</f>
        <v>1839.623</v>
      </c>
      <c r="BF56" s="152">
        <f>+BF42+BF49</f>
        <v>1921.925</v>
      </c>
      <c r="BG56" s="152">
        <f>+BG42+BG49</f>
        <v>1994.482</v>
      </c>
      <c r="BH56" s="152">
        <f>+BH42+BH49</f>
        <v>2124.4929999999999</v>
      </c>
      <c r="BI56" s="450">
        <f>+SUM(BE56:BH56)</f>
        <v>7880.5229999999992</v>
      </c>
      <c r="BJ56" s="239"/>
      <c r="BK56" s="151">
        <f>+BK42+BK49</f>
        <v>1942.19</v>
      </c>
      <c r="BL56" s="152">
        <f>+BL42+BL49</f>
        <v>2029.6979999999999</v>
      </c>
      <c r="BM56" s="152">
        <f>+BM42+BM49</f>
        <v>2117.56</v>
      </c>
      <c r="BN56" s="152">
        <f>+BN42+BN49</f>
        <v>2191.136</v>
      </c>
      <c r="BO56" s="450">
        <f>+SUM(BK56:BN56)</f>
        <v>8280.5840000000007</v>
      </c>
      <c r="BP56" s="239"/>
      <c r="BQ56" s="151">
        <f>+BQ42+BQ49</f>
        <v>2099.809268</v>
      </c>
      <c r="BR56" s="152">
        <f>+BR42+BR49</f>
        <v>2205.8788600000003</v>
      </c>
      <c r="BS56" s="152">
        <f>+BS42+BS49</f>
        <v>2283.0693799999999</v>
      </c>
      <c r="BT56" s="152">
        <f>+BT42+BT49</f>
        <v>2294.9447699999996</v>
      </c>
      <c r="BU56" s="450">
        <f>+SUM(BQ56:BT56)</f>
        <v>8883.7022779999988</v>
      </c>
      <c r="BV56" s="239"/>
      <c r="BW56" s="151">
        <f>+BW42+BW49</f>
        <v>2207.5971174000001</v>
      </c>
      <c r="BX56" s="152">
        <f>+BX42+BX49</f>
        <v>2298.1184862499999</v>
      </c>
      <c r="BY56" s="152">
        <f>+BY42+BY49</f>
        <v>2378.59731005</v>
      </c>
      <c r="BZ56" s="152">
        <f>+BZ42+BZ49</f>
        <v>2388.817591</v>
      </c>
      <c r="CA56" s="450">
        <f>+SUM(BW56:BZ56)</f>
        <v>9273.1305046999987</v>
      </c>
      <c r="CB56" s="239"/>
      <c r="CC56" s="151">
        <f>+CC42+CC49</f>
        <v>2288.1021245100001</v>
      </c>
      <c r="CD56" s="152">
        <f>+CD42+CD49</f>
        <v>2382.6033934762504</v>
      </c>
      <c r="CE56" s="152">
        <f>+CE42+CE49</f>
        <v>2465.7585928587496</v>
      </c>
      <c r="CF56" s="152">
        <f>+CF42+CF49</f>
        <v>2474.9744035649996</v>
      </c>
      <c r="CG56" s="450">
        <f>+SUM(CC56:CF56)</f>
        <v>9611.4385144099997</v>
      </c>
    </row>
    <row r="57" spans="1:86" ht="11.25" customHeight="1" outlineLevel="1" x14ac:dyDescent="0.2">
      <c r="A57" s="78"/>
      <c r="B57" s="99" t="s">
        <v>253</v>
      </c>
      <c r="C57" s="259"/>
      <c r="D57" s="265"/>
      <c r="E57" s="265"/>
      <c r="F57" s="265"/>
      <c r="G57" s="449"/>
      <c r="H57" s="43"/>
      <c r="I57" s="259"/>
      <c r="J57" s="265"/>
      <c r="K57" s="265"/>
      <c r="L57" s="265"/>
      <c r="M57" s="449"/>
      <c r="N57" s="43"/>
      <c r="O57" s="259"/>
      <c r="P57" s="265"/>
      <c r="Q57" s="265"/>
      <c r="R57" s="265"/>
      <c r="S57" s="449"/>
      <c r="T57" s="43"/>
      <c r="U57" s="259"/>
      <c r="V57" s="265"/>
      <c r="W57" s="265"/>
      <c r="X57" s="265"/>
      <c r="Y57" s="449"/>
      <c r="Z57" s="43"/>
      <c r="AA57" s="259"/>
      <c r="AB57" s="260"/>
      <c r="AC57" s="260"/>
      <c r="AD57" s="260"/>
      <c r="AE57" s="449"/>
      <c r="AF57" s="43"/>
      <c r="AG57" s="259">
        <f>+AG56/AA56-1</f>
        <v>6.8651014635991103E-2</v>
      </c>
      <c r="AH57" s="260">
        <f>+AH56/AB56-1</f>
        <v>6.5471268272724314E-2</v>
      </c>
      <c r="AI57" s="260">
        <f>+AI56/AC56-1</f>
        <v>6.1737441492387024E-2</v>
      </c>
      <c r="AJ57" s="260">
        <f>+AJ56/AD56-1</f>
        <v>2.380705669801797E-2</v>
      </c>
      <c r="AK57" s="449">
        <f>IF(ISERROR(AK56/AE56-1),"NM",AK56/AE56-1)</f>
        <v>5.3877385828603463E-2</v>
      </c>
      <c r="AL57" s="43"/>
      <c r="AM57" s="259">
        <f>+AM56/AG56-1</f>
        <v>7.1867069629209412E-2</v>
      </c>
      <c r="AN57" s="260">
        <f>+AN56/AH56-1</f>
        <v>6.4680795936319813E-2</v>
      </c>
      <c r="AO57" s="260">
        <f>+AO56/AI56-1</f>
        <v>4.6550422117393575E-2</v>
      </c>
      <c r="AP57" s="260">
        <f>+AP56/AJ56-1</f>
        <v>3.6833008728644145E-2</v>
      </c>
      <c r="AQ57" s="449">
        <f>IF(ISERROR(AQ56/AK56-1),"NM",AQ56/AK56-1)</f>
        <v>5.4355855348595439E-2</v>
      </c>
      <c r="AR57" s="43"/>
      <c r="AS57" s="259">
        <f>+AS56/AM56-1</f>
        <v>4.5455798268835945E-2</v>
      </c>
      <c r="AT57" s="260">
        <f>+AT56/AN56-1</f>
        <v>6.7530720760325735E-2</v>
      </c>
      <c r="AU57" s="260">
        <f>+AU56/AO56-1</f>
        <v>0.10786000144963537</v>
      </c>
      <c r="AV57" s="260">
        <f>+AV56/AP56-1</f>
        <v>8.4430914785046163E-2</v>
      </c>
      <c r="AW57" s="449">
        <f>IF(ISERROR(AW56/AQ56-1),"NM",AW56/AQ56-1)</f>
        <v>7.6886783902043954E-2</v>
      </c>
      <c r="AX57" s="43"/>
      <c r="AY57" s="259">
        <f>+AY56/AS56-1</f>
        <v>6.959578763378671E-2</v>
      </c>
      <c r="AZ57" s="260">
        <f>+AZ56/AT56-1</f>
        <v>7.234611811481062E-2</v>
      </c>
      <c r="BA57" s="260">
        <f>+BA56/AU56-1</f>
        <v>8.5678168426229995E-2</v>
      </c>
      <c r="BB57" s="260">
        <f>+BB56/AV56-1</f>
        <v>9.7483247906745563E-2</v>
      </c>
      <c r="BC57" s="449">
        <f>IF(ISERROR(BC56/AW56-1),"NM",BC56/AW56-1)</f>
        <v>8.178105872384922E-2</v>
      </c>
      <c r="BD57" s="43"/>
      <c r="BE57" s="259">
        <f>+BE56/AY56-1</f>
        <v>0.13358178650896813</v>
      </c>
      <c r="BF57" s="260">
        <f>+BF56/AZ56-1</f>
        <v>9.8310010954955507E-2</v>
      </c>
      <c r="BG57" s="260">
        <f>+BG56/BA56-1</f>
        <v>7.3136427566807383E-2</v>
      </c>
      <c r="BH57" s="260">
        <f>+BH56/BB56-1</f>
        <v>0.116971396605279</v>
      </c>
      <c r="BI57" s="449">
        <f>IF(ISERROR(BI56/BC56-1),"NM",BI56/BC56-1)</f>
        <v>0.10475137734288475</v>
      </c>
      <c r="BJ57" s="43"/>
      <c r="BK57" s="259">
        <f>+BK56/BE56-1</f>
        <v>5.5754358365817325E-2</v>
      </c>
      <c r="BL57" s="260">
        <f>+BL56/BF56-1</f>
        <v>5.6075549254003043E-2</v>
      </c>
      <c r="BM57" s="260">
        <f>+BM56/BG56-1</f>
        <v>6.1709255836853938E-2</v>
      </c>
      <c r="BN57" s="260">
        <f>+BN56/BH56-1</f>
        <v>3.1368896014249081E-2</v>
      </c>
      <c r="BO57" s="449">
        <f>IF(ISERROR(BO56/BI56-1),"NM",BO56/BI56-1)</f>
        <v>5.0765793082515165E-2</v>
      </c>
      <c r="BP57" s="43"/>
      <c r="BQ57" s="259">
        <f>+BQ56/BK56-1</f>
        <v>8.1155431754874607E-2</v>
      </c>
      <c r="BR57" s="260">
        <f>+BR56/BL56-1</f>
        <v>8.6801514313952222E-2</v>
      </c>
      <c r="BS57" s="260">
        <f>+BS56/BM56-1</f>
        <v>7.8160420483953219E-2</v>
      </c>
      <c r="BT57" s="260">
        <f>+BT56/BN56-1</f>
        <v>4.7376689534560867E-2</v>
      </c>
      <c r="BU57" s="449">
        <f>IF(ISERROR(BU56/BO56-1),"NM",BU56/BO56-1)</f>
        <v>7.2835234567996343E-2</v>
      </c>
      <c r="BV57" s="43"/>
      <c r="BW57" s="259">
        <f>+BW56/BQ56-1</f>
        <v>5.1332209569045606E-2</v>
      </c>
      <c r="BX57" s="260">
        <f>+BX56/BR56-1</f>
        <v>4.1815363446567444E-2</v>
      </c>
      <c r="BY57" s="260">
        <f>+BY56/BS56-1</f>
        <v>4.184188657902288E-2</v>
      </c>
      <c r="BZ57" s="260">
        <f>+BZ56/BT56-1</f>
        <v>4.0904174351873657E-2</v>
      </c>
      <c r="CA57" s="449">
        <f>IF(ISERROR(CA56/BU56-1),"NM",CA56/BU56-1)</f>
        <v>4.3836253682701276E-2</v>
      </c>
      <c r="CB57" s="43"/>
      <c r="CC57" s="259">
        <f>+CC56/BW56-1</f>
        <v>3.6467255041904956E-2</v>
      </c>
      <c r="CD57" s="260">
        <f>+CD56/BX56-1</f>
        <v>3.6762642018562941E-2</v>
      </c>
      <c r="CE57" s="260">
        <f>+CE56/BY56-1</f>
        <v>3.6643984435901666E-2</v>
      </c>
      <c r="CF57" s="260">
        <f>+CF56/BZ56-1</f>
        <v>3.6066718902941775E-2</v>
      </c>
      <c r="CG57" s="449">
        <f>IF(ISERROR(CG56/CA56-1),"NM",CG56/CA56-1)</f>
        <v>3.6482610650042435E-2</v>
      </c>
    </row>
    <row r="58" spans="1:86" ht="11.25" customHeight="1" outlineLevel="1" x14ac:dyDescent="0.2">
      <c r="A58" s="78"/>
      <c r="B58" s="99" t="s">
        <v>256</v>
      </c>
      <c r="C58" s="261"/>
      <c r="D58" s="266"/>
      <c r="E58" s="266"/>
      <c r="F58" s="267"/>
      <c r="G58" s="449"/>
      <c r="H58" s="43"/>
      <c r="I58" s="261"/>
      <c r="J58" s="266"/>
      <c r="K58" s="266"/>
      <c r="L58" s="267"/>
      <c r="M58" s="449"/>
      <c r="N58" s="43"/>
      <c r="O58" s="261"/>
      <c r="P58" s="266"/>
      <c r="Q58" s="266"/>
      <c r="R58" s="267"/>
      <c r="S58" s="449"/>
      <c r="T58" s="43"/>
      <c r="U58" s="261"/>
      <c r="V58" s="266"/>
      <c r="W58" s="266"/>
      <c r="X58" s="267"/>
      <c r="Y58" s="449"/>
      <c r="Z58" s="43"/>
      <c r="AA58" s="261"/>
      <c r="AB58" s="258"/>
      <c r="AC58" s="258"/>
      <c r="AD58" s="258"/>
      <c r="AE58" s="449"/>
      <c r="AF58" s="43"/>
      <c r="AG58" s="261">
        <v>7.0000000000000007E-2</v>
      </c>
      <c r="AH58" s="258">
        <v>6.8000000000000005E-2</v>
      </c>
      <c r="AI58" s="258">
        <v>6.3E-2</v>
      </c>
      <c r="AJ58" s="258">
        <v>2.1999999999999999E-2</v>
      </c>
      <c r="AK58" s="449">
        <f>+SUMPRODUCT(AG58:AJ58,AA$56:AD$56)/AE$56</f>
        <v>5.4630809087574589E-2</v>
      </c>
      <c r="AL58" s="43"/>
      <c r="AM58" s="261">
        <v>7.1999999999999995E-2</v>
      </c>
      <c r="AN58" s="258">
        <v>6.5000000000000002E-2</v>
      </c>
      <c r="AO58" s="258">
        <v>4.9000000000000002E-2</v>
      </c>
      <c r="AP58" s="258">
        <v>0.04</v>
      </c>
      <c r="AQ58" s="449">
        <f>+SUMPRODUCT(AM58:AP58,AG$56:AJ$56)/AK$56</f>
        <v>5.5929066964760764E-2</v>
      </c>
      <c r="AR58" s="43"/>
      <c r="AS58" s="261">
        <v>0.05</v>
      </c>
      <c r="AT58" s="258">
        <v>7.5999999999999998E-2</v>
      </c>
      <c r="AU58" s="258">
        <v>0.114</v>
      </c>
      <c r="AV58" s="258">
        <v>9.2999999999999999E-2</v>
      </c>
      <c r="AW58" s="449">
        <f>+SUMPRODUCT(AS58:AV58,AM$56:AP$56)/AQ$56</f>
        <v>8.3864022738300029E-2</v>
      </c>
      <c r="AX58" s="43"/>
      <c r="AY58" s="261">
        <v>7.9000000000000001E-2</v>
      </c>
      <c r="AZ58" s="258">
        <v>7.9000000000000001E-2</v>
      </c>
      <c r="BA58" s="258">
        <v>9.4E-2</v>
      </c>
      <c r="BB58" s="258">
        <v>0.106</v>
      </c>
      <c r="BC58" s="449">
        <f>+SUMPRODUCT(AY58:BB58,AS$56:AV$56)/AW$56</f>
        <v>8.9990399047138542E-2</v>
      </c>
      <c r="BD58" s="43"/>
      <c r="BE58" s="261">
        <v>0.13900000000000001</v>
      </c>
      <c r="BF58" s="258">
        <v>0.10100000000000001</v>
      </c>
      <c r="BG58" s="258">
        <v>7.2999999999999995E-2</v>
      </c>
      <c r="BH58" s="258">
        <v>0.11700000000000001</v>
      </c>
      <c r="BI58" s="449">
        <f>+SUMPRODUCT(BE58:BH58,AY$56:BB$56)/BC$56</f>
        <v>0.10661600353272679</v>
      </c>
      <c r="BJ58" s="43"/>
      <c r="BK58" s="259">
        <f>((BE8*(1+BK10)+BE28*(1+BK30)+BE49*(1+BK51)+BE35*(1+BK37))/BE56-1)</f>
        <v>5.4023422190307313E-2</v>
      </c>
      <c r="BL58" s="260">
        <f>((+BF42*(1+BL44)+BF49*(1+BL51))/BF56-1)</f>
        <v>5.8281257072986703E-2</v>
      </c>
      <c r="BM58" s="260">
        <f>((+BG42*(1+BM44)+BG49*(1+BM51))/BG56-1)</f>
        <v>6.0145497427402272E-2</v>
      </c>
      <c r="BN58" s="260">
        <v>2.9000000000000001E-2</v>
      </c>
      <c r="BO58" s="449">
        <f>+SUMPRODUCT(BK58:BN58,BE$56:BH$56)/BI$56</f>
        <v>4.9865261988322328E-2</v>
      </c>
      <c r="BP58" s="43"/>
      <c r="BQ58" s="259">
        <f>((+BK42*(1+BQ44)+BK49*(1+BQ51))/BK56-1)</f>
        <v>8.1155431754874607E-2</v>
      </c>
      <c r="BR58" s="260">
        <f>((+BL42*(1+BR44)+BL49*(1+BR51))/BL56-1)</f>
        <v>8.6801514313952222E-2</v>
      </c>
      <c r="BS58" s="260">
        <f>((+BM42*(1+BS44)+BM49*(1+BS51))/BM56-1)</f>
        <v>7.8160420483953219E-2</v>
      </c>
      <c r="BT58" s="260">
        <f>((+BN42*(1+BT44)+BN49*(1+BT51))/BN56-1)</f>
        <v>4.7376689534560867E-2</v>
      </c>
      <c r="BU58" s="449">
        <f>+SUMPRODUCT(BQ58:BT58,BK$56:BN$56)/BO$56</f>
        <v>7.2835234567996593E-2</v>
      </c>
      <c r="BV58" s="43"/>
      <c r="BW58" s="259">
        <f>((+BQ42*(1+BW44)+BQ49*(1+BW51))/BQ56-1)</f>
        <v>5.1332209569045606E-2</v>
      </c>
      <c r="BX58" s="260">
        <f>((+BR42*(1+BX44)+BR49*(1+BX51))/BR56-1)</f>
        <v>4.1815363446567444E-2</v>
      </c>
      <c r="BY58" s="260">
        <f>((+BS42*(1+BY44)+BS49*(1+BY51))/BS56-1)</f>
        <v>4.184188657902288E-2</v>
      </c>
      <c r="BZ58" s="260">
        <f>((+BT42*(1+BZ44)+BT49*(1+BZ51))/BT56-1)</f>
        <v>4.0904174351873657E-2</v>
      </c>
      <c r="CA58" s="449">
        <f>+SUMPRODUCT(BW58:BZ58,BQ$56:BT$56)/BU$56</f>
        <v>4.3836253682701457E-2</v>
      </c>
      <c r="CB58" s="43"/>
      <c r="CC58" s="259">
        <f>((+BW42*(1+CC44)+BW49*(1+CC51))/BW56-1)</f>
        <v>3.6467255041904956E-2</v>
      </c>
      <c r="CD58" s="260">
        <f>((+BX42*(1+CD44)+BX49*(1+CD51))/BX56-1)</f>
        <v>3.6762642018562941E-2</v>
      </c>
      <c r="CE58" s="260">
        <f>((+BY42*(1+CE44)+BY49*(1+CE51))/BY56-1)</f>
        <v>3.6643984435901666E-2</v>
      </c>
      <c r="CF58" s="260">
        <f>((+BZ42*(1+CF44)+BZ49*(1+CF51))/BZ56-1)</f>
        <v>3.6066718902941552E-2</v>
      </c>
      <c r="CG58" s="449">
        <f>+SUMPRODUCT(CC58:CF58,BW$56:BZ$56)/CA$56</f>
        <v>3.6482610650042192E-2</v>
      </c>
    </row>
    <row r="59" spans="1:86" ht="11.25" customHeight="1" outlineLevel="1" x14ac:dyDescent="0.2">
      <c r="A59" s="78"/>
      <c r="B59" s="99" t="s">
        <v>255</v>
      </c>
      <c r="C59" s="259"/>
      <c r="D59" s="265"/>
      <c r="E59" s="265"/>
      <c r="F59" s="265"/>
      <c r="G59" s="449"/>
      <c r="H59" s="43"/>
      <c r="I59" s="259"/>
      <c r="J59" s="265"/>
      <c r="K59" s="265"/>
      <c r="L59" s="265"/>
      <c r="M59" s="449"/>
      <c r="N59" s="43"/>
      <c r="O59" s="259"/>
      <c r="P59" s="265"/>
      <c r="Q59" s="265"/>
      <c r="R59" s="265"/>
      <c r="S59" s="449"/>
      <c r="T59" s="43"/>
      <c r="U59" s="259"/>
      <c r="V59" s="265"/>
      <c r="W59" s="265"/>
      <c r="X59" s="265"/>
      <c r="Y59" s="449"/>
      <c r="Z59" s="43"/>
      <c r="AA59" s="259"/>
      <c r="AB59" s="260"/>
      <c r="AC59" s="260"/>
      <c r="AD59" s="260"/>
      <c r="AE59" s="449"/>
      <c r="AF59" s="43"/>
      <c r="AG59" s="259">
        <f>AG57-AG58</f>
        <v>-1.3489853640089033E-3</v>
      </c>
      <c r="AH59" s="260">
        <f>AH57-AH58</f>
        <v>-2.5287317272756904E-3</v>
      </c>
      <c r="AI59" s="260">
        <f>AI57-AI58</f>
        <v>-1.2625585076129764E-3</v>
      </c>
      <c r="AJ59" s="260">
        <f>AJ57-AJ58</f>
        <v>1.8070566980179711E-3</v>
      </c>
      <c r="AK59" s="449">
        <f>+SUMPRODUCT(AG59:AJ59,AA$56:AD$56)/AE$56</f>
        <v>-7.5342325897126839E-4</v>
      </c>
      <c r="AL59" s="43"/>
      <c r="AM59" s="259">
        <f>AM57-AM58</f>
        <v>-1.3293037079058212E-4</v>
      </c>
      <c r="AN59" s="260">
        <f>AN57-AN58</f>
        <v>-3.1920406368018961E-4</v>
      </c>
      <c r="AO59" s="260">
        <f>AO57-AO58</f>
        <v>-2.4495778826064268E-3</v>
      </c>
      <c r="AP59" s="260">
        <f>AP57-AP58</f>
        <v>-3.1669912713558554E-3</v>
      </c>
      <c r="AQ59" s="449">
        <f>+SUMPRODUCT(AM59:AP59,AG$56:AJ$56)/AK$56</f>
        <v>-1.573211616165304E-3</v>
      </c>
      <c r="AR59" s="43"/>
      <c r="AS59" s="259">
        <f>AS57-AS58</f>
        <v>-4.5442017311640576E-3</v>
      </c>
      <c r="AT59" s="260">
        <f>AT57-AT58</f>
        <v>-8.4692792396742628E-3</v>
      </c>
      <c r="AU59" s="260">
        <f>AU57-AU58</f>
        <v>-6.1399985503646365E-3</v>
      </c>
      <c r="AV59" s="260">
        <f>AV57-AV58</f>
        <v>-8.5690852149538366E-3</v>
      </c>
      <c r="AW59" s="449">
        <f>+SUMPRODUCT(AS59:AV59,AM$56:AP$56)/AQ$56</f>
        <v>-6.9772388362561834E-3</v>
      </c>
      <c r="AX59" s="43"/>
      <c r="AY59" s="259">
        <f>AY57-AY58</f>
        <v>-9.4042123662132909E-3</v>
      </c>
      <c r="AZ59" s="260">
        <f>AZ57-AZ58</f>
        <v>-6.6538818851893805E-3</v>
      </c>
      <c r="BA59" s="260">
        <f>BA57-BA58</f>
        <v>-8.3218315737700055E-3</v>
      </c>
      <c r="BB59" s="260">
        <f>BB57-BB58</f>
        <v>-8.5167520932544344E-3</v>
      </c>
      <c r="BC59" s="449">
        <f>+SUMPRODUCT(AY59:BB59,AS$56:AV$56)/AW$56</f>
        <v>-8.209340323289285E-3</v>
      </c>
      <c r="BD59" s="43"/>
      <c r="BE59" s="259">
        <f>BE57-BE58</f>
        <v>-5.4182134910318869E-3</v>
      </c>
      <c r="BF59" s="260">
        <f>BF57-BF58</f>
        <v>-2.6899890450444996E-3</v>
      </c>
      <c r="BG59" s="260">
        <f>BG57-BG58</f>
        <v>1.3642756680738721E-4</v>
      </c>
      <c r="BH59" s="260">
        <f>BH57-BH58</f>
        <v>-2.8603394721007924E-5</v>
      </c>
      <c r="BI59" s="449">
        <f>+SUMPRODUCT(BE59:BH59,AY$56:BB$56)/BC$56</f>
        <v>-1.8646261898419654E-3</v>
      </c>
      <c r="BJ59" s="43"/>
      <c r="BK59" s="259">
        <f>((BE8*(1+BK11)+BE28*(1+BK31)+BE49*(1+BK52)+BE35*(1+BK38))/BE56-1)</f>
        <v>1.7309361755100117E-3</v>
      </c>
      <c r="BL59" s="260">
        <f>BL57-BL58</f>
        <v>-2.2057078189836599E-3</v>
      </c>
      <c r="BM59" s="260">
        <f>BM57-BM58</f>
        <v>1.5637584094516654E-3</v>
      </c>
      <c r="BN59" s="260">
        <f>BN57-BN58</f>
        <v>2.3688960142490799E-3</v>
      </c>
      <c r="BO59" s="449">
        <f>+SUMPRODUCT(BK59:BN59,BE$56:BH$56)/BI$56</f>
        <v>9.0053109419262298E-4</v>
      </c>
      <c r="BP59" s="43"/>
      <c r="BQ59" s="259">
        <f>BQ57-BQ58</f>
        <v>0</v>
      </c>
      <c r="BR59" s="260">
        <f>BR57-BR58</f>
        <v>0</v>
      </c>
      <c r="BS59" s="260">
        <f>BS57-BS58</f>
        <v>0</v>
      </c>
      <c r="BT59" s="260">
        <f>BT57-BT58</f>
        <v>0</v>
      </c>
      <c r="BU59" s="449">
        <f>+SUMPRODUCT(BQ59:BT59,BK$56:BN$56)/BO$56</f>
        <v>0</v>
      </c>
      <c r="BV59" s="43"/>
      <c r="BW59" s="259">
        <f>BW57-BW58</f>
        <v>0</v>
      </c>
      <c r="BX59" s="260">
        <f>BX57-BX58</f>
        <v>0</v>
      </c>
      <c r="BY59" s="260">
        <f>BY57-BY58</f>
        <v>0</v>
      </c>
      <c r="BZ59" s="260">
        <f>BZ57-BZ58</f>
        <v>0</v>
      </c>
      <c r="CA59" s="449">
        <f>+SUMPRODUCT(BW59:BZ59,BQ$56:BT$56)/BU$56</f>
        <v>0</v>
      </c>
      <c r="CB59" s="43"/>
      <c r="CC59" s="259">
        <f>CC57-CC58</f>
        <v>0</v>
      </c>
      <c r="CD59" s="260">
        <f>CD57-CD58</f>
        <v>0</v>
      </c>
      <c r="CE59" s="260">
        <f>CE57-CE58</f>
        <v>0</v>
      </c>
      <c r="CF59" s="260">
        <f>CF57-CF58</f>
        <v>2.2204460492503131E-16</v>
      </c>
      <c r="CG59" s="449">
        <f>+SUMPRODUCT(CC59:CF59,BW$56:BZ$56)/CA$56</f>
        <v>5.7200107122693847E-17</v>
      </c>
    </row>
    <row r="60" spans="1:86" ht="11.25" customHeight="1" outlineLevel="1" x14ac:dyDescent="0.2">
      <c r="A60" s="78"/>
      <c r="B60" s="99" t="s">
        <v>254</v>
      </c>
      <c r="C60" s="261"/>
      <c r="D60" s="266"/>
      <c r="E60" s="266"/>
      <c r="F60" s="267"/>
      <c r="G60" s="453"/>
      <c r="H60" s="43"/>
      <c r="I60" s="261"/>
      <c r="J60" s="266"/>
      <c r="K60" s="266"/>
      <c r="L60" s="267"/>
      <c r="M60" s="453"/>
      <c r="N60" s="43"/>
      <c r="O60" s="261"/>
      <c r="P60" s="266"/>
      <c r="Q60" s="266"/>
      <c r="R60" s="267"/>
      <c r="S60" s="453"/>
      <c r="T60" s="43"/>
      <c r="U60" s="261"/>
      <c r="V60" s="266"/>
      <c r="W60" s="266"/>
      <c r="X60" s="267"/>
      <c r="Y60" s="453"/>
      <c r="Z60" s="43"/>
      <c r="AA60" s="261"/>
      <c r="AB60" s="258"/>
      <c r="AC60" s="258"/>
      <c r="AD60" s="258"/>
      <c r="AE60" s="449"/>
      <c r="AF60" s="43"/>
      <c r="AG60" s="261">
        <v>5.0000000000000001E-3</v>
      </c>
      <c r="AH60" s="258">
        <v>3.0000000000000001E-3</v>
      </c>
      <c r="AI60" s="258">
        <v>0.01</v>
      </c>
      <c r="AJ60" s="258">
        <f>-8.3%+1.1%</f>
        <v>-7.2000000000000008E-2</v>
      </c>
      <c r="AK60" s="449">
        <f>+SUMPRODUCT(AG60:AJ60,AA$56:AD$56)/AE$56</f>
        <v>-1.5263794916701426E-2</v>
      </c>
      <c r="AL60" s="43"/>
      <c r="AM60" s="261">
        <v>0.01</v>
      </c>
      <c r="AN60" s="258">
        <v>8.9999999999999993E-3</v>
      </c>
      <c r="AO60" s="258">
        <v>2E-3</v>
      </c>
      <c r="AP60" s="258">
        <v>0</v>
      </c>
      <c r="AQ60" s="449">
        <f>+SUMPRODUCT(AM60:AP60,AG$56:AJ$56)/AK$56</f>
        <v>5.0648408058321208E-3</v>
      </c>
      <c r="AR60" s="43"/>
      <c r="AS60" s="261">
        <v>2.5999999999999999E-2</v>
      </c>
      <c r="AT60" s="258">
        <v>2.4E-2</v>
      </c>
      <c r="AU60" s="258">
        <v>4.2000000000000003E-2</v>
      </c>
      <c r="AV60" s="258">
        <v>4.7E-2</v>
      </c>
      <c r="AW60" s="449">
        <f>+SUMPRODUCT(AS60:AV60,AM$56:AP$56)/AQ$56</f>
        <v>3.5019261380867667E-2</v>
      </c>
      <c r="AX60" s="43"/>
      <c r="AY60" s="261">
        <v>2.1000000000000001E-2</v>
      </c>
      <c r="AZ60" s="258">
        <v>4.3999999999999997E-2</v>
      </c>
      <c r="BA60" s="258">
        <v>3.6999999999999998E-2</v>
      </c>
      <c r="BB60" s="258">
        <v>2.8000000000000001E-2</v>
      </c>
      <c r="BC60" s="449">
        <f>+SUMPRODUCT(AY60:BB60,AS$56:AV$56)/AW$56</f>
        <v>3.2685386621510694E-2</v>
      </c>
      <c r="BD60" s="43"/>
      <c r="BE60" s="261">
        <v>1.0999999999999999E-2</v>
      </c>
      <c r="BF60" s="258">
        <v>8.9999999999999993E-3</v>
      </c>
      <c r="BG60" s="258">
        <v>8.0000000000000002E-3</v>
      </c>
      <c r="BH60" s="258">
        <f>0.9%+6.2%</f>
        <v>7.1000000000000008E-2</v>
      </c>
      <c r="BI60" s="449">
        <f>+SUMPRODUCT(BE60:BH60,AY$56:BB$56)/BC$56</f>
        <v>2.5726041523558524E-2</v>
      </c>
      <c r="BJ60" s="43"/>
      <c r="BK60" s="259">
        <f>((BE8*(1+BK12)+BE28*(1+BK32)+BE49*(1+BK53)+BE35*(1+BK39))/BE56-1)</f>
        <v>3.8278712540558146E-3</v>
      </c>
      <c r="BL60" s="260">
        <f>((+BF42*(1+BL46)+BF49*(1+BL53))/BF56-1)</f>
        <v>1.0484376341428403E-2</v>
      </c>
      <c r="BM60" s="257">
        <v>1.2999999999999999E-2</v>
      </c>
      <c r="BN60" s="260">
        <f>((+BH42*(1+BN46)+BH49*(1+BN53))/BH56-1)</f>
        <v>-4.0462847841814531E-2</v>
      </c>
      <c r="BO60" s="449">
        <f>+SUMPRODUCT(BK60:BN60,BE$56:BH$56)/BI$56</f>
        <v>-4.1675845625982408E-3</v>
      </c>
      <c r="BP60" s="43"/>
      <c r="BQ60" s="259">
        <f>((+BK42*(1+BQ46)+BK49*(1+BQ53))/BK56-1)</f>
        <v>2.4847785232134934E-2</v>
      </c>
      <c r="BR60" s="260">
        <f>((+BL42*(1+BR46)+BL49*(1+BR53))/BL56-1)</f>
        <v>2.4757377698554128E-2</v>
      </c>
      <c r="BS60" s="260">
        <f>((+BM42*(1+BS46)+BM49*(1+BS53))/BM56-1)</f>
        <v>2.3730142239180907E-2</v>
      </c>
      <c r="BT60" s="260">
        <f>((+BN42*(1+BT46)+BN49*(1+BT53))/BN56-1)</f>
        <v>9.2417814320973068E-3</v>
      </c>
      <c r="BU60" s="449">
        <f>+SUMPRODUCT(BQ60:BT60,BK$56:BN$56)/BO$56</f>
        <v>2.0410289902258093E-2</v>
      </c>
      <c r="BV60" s="43"/>
      <c r="BW60" s="259">
        <f>((+BQ42*(1+BW46)+BQ49*(1+BW53))/BQ56-1)</f>
        <v>9.5246746001123039E-3</v>
      </c>
      <c r="BX60" s="260">
        <f>((+BR42*(1+BX46)+BR49*(1+BX53))/BR56-1)</f>
        <v>0</v>
      </c>
      <c r="BY60" s="260">
        <f>((+BS42*(1+BY46)+BS49*(1+BY53))/BS56-1)</f>
        <v>0</v>
      </c>
      <c r="BZ60" s="260">
        <f>((+BT42*(1+BZ46)+BT49*(1+BZ53))/BT56-1)</f>
        <v>0</v>
      </c>
      <c r="CA60" s="449">
        <f>+SUMPRODUCT(BW60:BZ60,BQ$56:BT$56)/BU$56</f>
        <v>2.2513136273745816E-3</v>
      </c>
      <c r="CB60" s="43"/>
      <c r="CC60" s="259">
        <f>((+BW42*(1+CC46)+BW49*(1+CC53))/BW56-1)</f>
        <v>0</v>
      </c>
      <c r="CD60" s="260">
        <f>((+BX42*(1+CD46)+BX49*(1+CD53))/BX56-1)</f>
        <v>0</v>
      </c>
      <c r="CE60" s="260">
        <f>((+BY42*(1+CE46)+BY49*(1+CE53))/BY56-1)</f>
        <v>0</v>
      </c>
      <c r="CF60" s="260">
        <f>((+BZ42*(1+CF46)+BZ49*(1+CF53))/BZ56-1)</f>
        <v>0</v>
      </c>
      <c r="CG60" s="449">
        <f>+SUMPRODUCT(CC60:CF60,BW$56:BZ$56)/CA$56</f>
        <v>0</v>
      </c>
    </row>
    <row r="61" spans="1:86" ht="11.25" customHeight="1" outlineLevel="1" x14ac:dyDescent="0.2">
      <c r="A61" s="78"/>
      <c r="B61" s="98" t="s">
        <v>257</v>
      </c>
      <c r="C61" s="259"/>
      <c r="D61" s="260"/>
      <c r="E61" s="260"/>
      <c r="F61" s="260"/>
      <c r="G61" s="449"/>
      <c r="H61" s="264"/>
      <c r="I61" s="259"/>
      <c r="J61" s="260"/>
      <c r="K61" s="260"/>
      <c r="L61" s="260"/>
      <c r="M61" s="449"/>
      <c r="N61" s="264"/>
      <c r="O61" s="259"/>
      <c r="P61" s="260"/>
      <c r="Q61" s="260"/>
      <c r="R61" s="260"/>
      <c r="S61" s="449"/>
      <c r="T61" s="264"/>
      <c r="U61" s="259"/>
      <c r="V61" s="260"/>
      <c r="W61" s="260"/>
      <c r="X61" s="260"/>
      <c r="Y61" s="449"/>
      <c r="Z61" s="264"/>
      <c r="AA61" s="259"/>
      <c r="AB61" s="260"/>
      <c r="AC61" s="260"/>
      <c r="AD61" s="260"/>
      <c r="AE61" s="449"/>
      <c r="AF61" s="264"/>
      <c r="AG61" s="259">
        <f>+AG58-AG60</f>
        <v>6.5000000000000002E-2</v>
      </c>
      <c r="AH61" s="260">
        <f>+AH58-AH60</f>
        <v>6.5000000000000002E-2</v>
      </c>
      <c r="AI61" s="260">
        <f>+AI58-AI60</f>
        <v>5.2999999999999999E-2</v>
      </c>
      <c r="AJ61" s="260">
        <f>+AJ58-AJ60</f>
        <v>9.4E-2</v>
      </c>
      <c r="AK61" s="449">
        <f>+SUMPRODUCT(AG61:AJ61,AA$56:AD$56)/AE$56</f>
        <v>6.9894604004276009E-2</v>
      </c>
      <c r="AL61" s="264"/>
      <c r="AM61" s="259">
        <f>+AM58-AM60</f>
        <v>6.1999999999999993E-2</v>
      </c>
      <c r="AN61" s="260">
        <f>+AN58-AN60</f>
        <v>5.6000000000000001E-2</v>
      </c>
      <c r="AO61" s="260">
        <f>+AO58-AO60</f>
        <v>4.7E-2</v>
      </c>
      <c r="AP61" s="260">
        <f>+AP58-AP60</f>
        <v>0.04</v>
      </c>
      <c r="AQ61" s="449">
        <f>+SUMPRODUCT(AM61:AP61,AG$56:AJ$56)/AK$56</f>
        <v>5.0864226158928647E-2</v>
      </c>
      <c r="AR61" s="264"/>
      <c r="AS61" s="259">
        <f>+AS58-AS60</f>
        <v>2.4000000000000004E-2</v>
      </c>
      <c r="AT61" s="260">
        <f>+AT58-AT60</f>
        <v>5.1999999999999998E-2</v>
      </c>
      <c r="AU61" s="260">
        <f>+AU58-AU60</f>
        <v>7.2000000000000008E-2</v>
      </c>
      <c r="AV61" s="260">
        <f>+AV58-AV60</f>
        <v>4.5999999999999999E-2</v>
      </c>
      <c r="AW61" s="449">
        <f>+SUMPRODUCT(AS61:AV61,AM$56:AP$56)/AQ$56</f>
        <v>4.8844761357432355E-2</v>
      </c>
      <c r="AX61" s="264"/>
      <c r="AY61" s="259">
        <f>+AY58-AY60</f>
        <v>5.7999999999999996E-2</v>
      </c>
      <c r="AZ61" s="260">
        <f>+AZ58-AZ60</f>
        <v>3.5000000000000003E-2</v>
      </c>
      <c r="BA61" s="260">
        <f>+BA58-BA60</f>
        <v>5.7000000000000002E-2</v>
      </c>
      <c r="BB61" s="260">
        <f>+BB58-BB60</f>
        <v>7.8E-2</v>
      </c>
      <c r="BC61" s="449">
        <f>+SUMPRODUCT(AY61:BB61,AS$56:AV$56)/AW$56</f>
        <v>5.7305012425627834E-2</v>
      </c>
      <c r="BD61" s="264"/>
      <c r="BE61" s="259">
        <f>+BE58-BE60</f>
        <v>0.128</v>
      </c>
      <c r="BF61" s="260">
        <f>+BF58-BF60</f>
        <v>9.2000000000000012E-2</v>
      </c>
      <c r="BG61" s="260">
        <f>+BG58-BG60</f>
        <v>6.5000000000000002E-2</v>
      </c>
      <c r="BH61" s="260">
        <f>+BH58-BH60</f>
        <v>4.5999999999999999E-2</v>
      </c>
      <c r="BI61" s="449">
        <f>+SUMPRODUCT(BE61:BH61,AY$56:BB$56)/BC$56</f>
        <v>8.0889962009168259E-2</v>
      </c>
      <c r="BJ61" s="264"/>
      <c r="BK61" s="259">
        <f>+BK58-BK60</f>
        <v>5.0195550936251498E-2</v>
      </c>
      <c r="BL61" s="260">
        <f>+BL58-BL60</f>
        <v>4.77968807315583E-2</v>
      </c>
      <c r="BM61" s="260">
        <f>+BM58-BM60</f>
        <v>4.7145497427402275E-2</v>
      </c>
      <c r="BN61" s="260">
        <f>+BN58-BN60</f>
        <v>6.9462847841814529E-2</v>
      </c>
      <c r="BO61" s="449">
        <f>+SUMPRODUCT(BK61:BN61,BE$56:BH$56)/BI$56</f>
        <v>5.4032846550920562E-2</v>
      </c>
      <c r="BP61" s="264"/>
      <c r="BQ61" s="259">
        <f>+BQ58-BQ60</f>
        <v>5.6307646522739674E-2</v>
      </c>
      <c r="BR61" s="260">
        <f>+BR58-BR60</f>
        <v>6.2044136615398093E-2</v>
      </c>
      <c r="BS61" s="260">
        <f>+BS58-BS60</f>
        <v>5.4430278244772312E-2</v>
      </c>
      <c r="BT61" s="260">
        <f>+BT58-BT60</f>
        <v>3.8134908102463561E-2</v>
      </c>
      <c r="BU61" s="449">
        <f>+SUMPRODUCT(BQ61:BT61,BK$56:BN$56)/BO$56</f>
        <v>5.2424944665738507E-2</v>
      </c>
      <c r="BV61" s="264"/>
      <c r="BW61" s="259">
        <f>+BW58-BW60</f>
        <v>4.1807534968933302E-2</v>
      </c>
      <c r="BX61" s="260">
        <f>+BX58-BX60</f>
        <v>4.1815363446567444E-2</v>
      </c>
      <c r="BY61" s="260">
        <f>+BY58-BY60</f>
        <v>4.184188657902288E-2</v>
      </c>
      <c r="BZ61" s="260">
        <f>+BZ58-BZ60</f>
        <v>4.0904174351873657E-2</v>
      </c>
      <c r="CA61" s="449">
        <f>+SUMPRODUCT(BW61:BZ61,BQ$56:BT$56)/BU$56</f>
        <v>4.1584940055326869E-2</v>
      </c>
      <c r="CB61" s="264"/>
      <c r="CC61" s="259">
        <f>+CC58-CC60</f>
        <v>3.6467255041904956E-2</v>
      </c>
      <c r="CD61" s="260">
        <f>+CD58-CD60</f>
        <v>3.6762642018562941E-2</v>
      </c>
      <c r="CE61" s="260">
        <f>+CE58-CE60</f>
        <v>3.6643984435901666E-2</v>
      </c>
      <c r="CF61" s="260">
        <f>+CF58-CF60</f>
        <v>3.6066718902941552E-2</v>
      </c>
      <c r="CG61" s="449">
        <f>+SUMPRODUCT(CC61:CF61,BW$56:BZ$56)/CA$56</f>
        <v>3.6482610650042192E-2</v>
      </c>
    </row>
    <row r="62" spans="1:86" ht="11.25" customHeight="1" outlineLevel="1" x14ac:dyDescent="0.2">
      <c r="A62" s="78"/>
      <c r="B62" s="98" t="s">
        <v>44</v>
      </c>
      <c r="C62" s="93"/>
      <c r="D62" s="61"/>
      <c r="E62" s="61"/>
      <c r="F62" s="61"/>
      <c r="G62" s="447"/>
      <c r="H62" s="109"/>
      <c r="I62" s="93"/>
      <c r="J62" s="61"/>
      <c r="K62" s="61"/>
      <c r="L62" s="61"/>
      <c r="M62" s="447"/>
      <c r="N62" s="109"/>
      <c r="O62" s="93"/>
      <c r="P62" s="61"/>
      <c r="Q62" s="61"/>
      <c r="R62" s="61"/>
      <c r="S62" s="447"/>
      <c r="T62" s="109"/>
      <c r="U62" s="93"/>
      <c r="V62" s="61"/>
      <c r="W62" s="61"/>
      <c r="X62" s="61"/>
      <c r="Y62" s="447"/>
      <c r="Z62" s="109"/>
      <c r="AA62" s="93"/>
      <c r="AB62" s="61"/>
      <c r="AC62" s="61"/>
      <c r="AD62" s="61"/>
      <c r="AE62" s="447"/>
      <c r="AF62" s="109"/>
      <c r="AG62" s="93"/>
      <c r="AH62" s="61"/>
      <c r="AI62" s="61"/>
      <c r="AJ62" s="61"/>
      <c r="AK62" s="447"/>
      <c r="AL62" s="109"/>
      <c r="AM62" s="111"/>
      <c r="AN62" s="112"/>
      <c r="AO62" s="112"/>
      <c r="AP62" s="112"/>
      <c r="AQ62" s="451"/>
      <c r="AR62" s="109"/>
      <c r="AS62" s="111"/>
      <c r="AT62" s="112"/>
      <c r="AU62" s="112"/>
      <c r="AV62" s="112"/>
      <c r="AW62" s="451"/>
      <c r="AX62" s="109"/>
      <c r="AY62" s="111"/>
      <c r="AZ62" s="112"/>
      <c r="BA62" s="112"/>
      <c r="BB62" s="112"/>
      <c r="BC62" s="451"/>
      <c r="BD62" s="109"/>
      <c r="BE62" s="111"/>
      <c r="BF62" s="112"/>
      <c r="BG62" s="112"/>
      <c r="BH62" s="112"/>
      <c r="BI62" s="451"/>
      <c r="BJ62" s="109"/>
      <c r="BK62" s="111"/>
      <c r="BL62" s="112"/>
      <c r="BM62" s="112"/>
      <c r="BN62" s="112"/>
      <c r="BO62" s="451"/>
      <c r="BP62" s="109"/>
      <c r="BQ62" s="111"/>
      <c r="BR62" s="112"/>
      <c r="BS62" s="112"/>
      <c r="BT62" s="112"/>
      <c r="BU62" s="451"/>
      <c r="BV62" s="109"/>
      <c r="BW62" s="111"/>
      <c r="BX62" s="112"/>
      <c r="BY62" s="112"/>
      <c r="BZ62" s="112"/>
      <c r="CA62" s="451"/>
      <c r="CB62" s="109"/>
      <c r="CC62" s="111"/>
      <c r="CD62" s="112"/>
      <c r="CE62" s="112"/>
      <c r="CF62" s="112"/>
      <c r="CG62" s="451"/>
    </row>
    <row r="63" spans="1:86" ht="11.25" customHeight="1" outlineLevel="1" x14ac:dyDescent="0.2">
      <c r="A63" s="78"/>
      <c r="B63" s="99"/>
      <c r="C63" s="94"/>
      <c r="D63" s="89"/>
      <c r="E63" s="89"/>
      <c r="F63" s="95"/>
      <c r="G63" s="447"/>
      <c r="H63" s="43"/>
      <c r="I63" s="94"/>
      <c r="J63" s="89"/>
      <c r="K63" s="89"/>
      <c r="L63" s="95"/>
      <c r="M63" s="447"/>
      <c r="N63" s="43"/>
      <c r="O63" s="94"/>
      <c r="P63" s="89"/>
      <c r="Q63" s="89"/>
      <c r="R63" s="95"/>
      <c r="S63" s="447"/>
      <c r="T63" s="43"/>
      <c r="U63" s="94"/>
      <c r="V63" s="89"/>
      <c r="W63" s="89"/>
      <c r="X63" s="95"/>
      <c r="Y63" s="447"/>
      <c r="Z63" s="43"/>
      <c r="AA63" s="94"/>
      <c r="AB63" s="89"/>
      <c r="AC63" s="89"/>
      <c r="AD63" s="95"/>
      <c r="AE63" s="447"/>
      <c r="AF63" s="43"/>
      <c r="AG63" s="94"/>
      <c r="AH63" s="89"/>
      <c r="AI63" s="89"/>
      <c r="AJ63" s="95"/>
      <c r="AK63" s="447"/>
      <c r="AL63" s="43"/>
      <c r="AM63" s="94"/>
      <c r="AN63" s="90"/>
      <c r="AO63" s="90"/>
      <c r="AP63" s="90"/>
      <c r="AQ63" s="447"/>
      <c r="AR63" s="43"/>
      <c r="AS63" s="94"/>
      <c r="AT63" s="90"/>
      <c r="AU63" s="90"/>
      <c r="AV63" s="90"/>
      <c r="AW63" s="447"/>
      <c r="AX63" s="43"/>
      <c r="AY63" s="94"/>
      <c r="AZ63" s="90"/>
      <c r="BA63" s="90"/>
      <c r="BB63" s="90"/>
      <c r="BC63" s="447"/>
      <c r="BD63" s="43"/>
      <c r="BE63" s="94"/>
      <c r="BF63" s="90"/>
      <c r="BG63" s="90"/>
      <c r="BH63" s="90"/>
      <c r="BI63" s="447"/>
      <c r="BJ63" s="43"/>
      <c r="BK63" s="94"/>
      <c r="BL63" s="90"/>
      <c r="BM63" s="90"/>
      <c r="BN63" s="90"/>
      <c r="BO63" s="447"/>
      <c r="BP63" s="43"/>
      <c r="BQ63" s="94"/>
      <c r="BR63" s="90"/>
      <c r="BS63" s="90"/>
      <c r="BT63" s="90"/>
      <c r="BU63" s="447"/>
      <c r="BV63" s="43"/>
      <c r="BW63" s="94"/>
      <c r="BX63" s="90"/>
      <c r="BY63" s="90"/>
      <c r="BZ63" s="90"/>
      <c r="CA63" s="447"/>
      <c r="CB63" s="43"/>
      <c r="CC63" s="94"/>
      <c r="CD63" s="90"/>
      <c r="CE63" s="90"/>
      <c r="CF63" s="90"/>
      <c r="CG63" s="447"/>
    </row>
    <row r="64" spans="1:86" ht="11.25" customHeight="1" outlineLevel="1" x14ac:dyDescent="0.2">
      <c r="A64" s="78"/>
      <c r="B64" s="624"/>
      <c r="C64" s="625"/>
      <c r="D64" s="61"/>
      <c r="E64" s="61"/>
      <c r="F64" s="61"/>
      <c r="G64" s="447"/>
      <c r="H64" s="43"/>
      <c r="I64" s="625"/>
      <c r="J64" s="61"/>
      <c r="K64" s="61"/>
      <c r="L64" s="61"/>
      <c r="M64" s="447"/>
      <c r="N64" s="43"/>
      <c r="O64" s="625"/>
      <c r="P64" s="61"/>
      <c r="Q64" s="61"/>
      <c r="R64" s="61"/>
      <c r="S64" s="447"/>
      <c r="T64" s="43"/>
      <c r="U64" s="625"/>
      <c r="V64" s="61"/>
      <c r="W64" s="61"/>
      <c r="X64" s="61"/>
      <c r="Y64" s="447"/>
      <c r="Z64" s="43"/>
      <c r="AA64" s="625"/>
      <c r="AB64" s="61"/>
      <c r="AC64" s="61"/>
      <c r="AD64" s="61"/>
      <c r="AE64" s="447"/>
      <c r="AF64" s="43"/>
      <c r="AG64" s="625"/>
      <c r="AH64" s="61"/>
      <c r="AI64" s="61"/>
      <c r="AJ64" s="61"/>
      <c r="AK64" s="447"/>
      <c r="AL64" s="43"/>
      <c r="AM64" s="625"/>
      <c r="AN64" s="61"/>
      <c r="AO64" s="61"/>
      <c r="AP64" s="61"/>
      <c r="AQ64" s="447"/>
      <c r="AR64" s="43"/>
      <c r="AS64" s="625"/>
      <c r="AT64" s="61"/>
      <c r="AU64" s="61"/>
      <c r="AV64" s="61"/>
      <c r="AW64" s="447"/>
      <c r="AX64" s="43"/>
      <c r="AY64" s="625"/>
      <c r="AZ64" s="61"/>
      <c r="BA64" s="61"/>
      <c r="BB64" s="61"/>
      <c r="BC64" s="447"/>
      <c r="BD64" s="43"/>
      <c r="BE64" s="625"/>
      <c r="BF64" s="61"/>
      <c r="BG64" s="61"/>
      <c r="BH64" s="61"/>
      <c r="BI64" s="447"/>
      <c r="BJ64" s="43"/>
      <c r="BK64" s="625"/>
      <c r="BL64" s="61"/>
      <c r="BM64" s="61"/>
      <c r="BN64" s="61"/>
      <c r="BO64" s="447"/>
      <c r="BP64" s="43"/>
      <c r="BQ64" s="625"/>
      <c r="BR64" s="61"/>
      <c r="BS64" s="61"/>
      <c r="BT64" s="61"/>
      <c r="BU64" s="447"/>
      <c r="BV64" s="43"/>
      <c r="BW64" s="625"/>
      <c r="BX64" s="61"/>
      <c r="BY64" s="61"/>
      <c r="BZ64" s="61"/>
      <c r="CA64" s="447"/>
      <c r="CB64" s="43"/>
      <c r="CC64" s="625"/>
      <c r="CD64" s="61"/>
      <c r="CE64" s="61"/>
      <c r="CF64" s="61"/>
      <c r="CG64" s="447"/>
      <c r="CH64" s="11"/>
    </row>
    <row r="65" spans="1:86" ht="11.25" customHeight="1" outlineLevel="1" x14ac:dyDescent="0.2">
      <c r="A65" s="78"/>
      <c r="B65" s="706" t="s">
        <v>310</v>
      </c>
      <c r="C65" s="703"/>
      <c r="D65" s="704"/>
      <c r="E65" s="704"/>
      <c r="F65" s="704"/>
      <c r="G65" s="705"/>
      <c r="H65" s="130"/>
      <c r="I65" s="703"/>
      <c r="J65" s="704"/>
      <c r="K65" s="704"/>
      <c r="L65" s="704"/>
      <c r="M65" s="705"/>
      <c r="N65" s="130"/>
      <c r="O65" s="703"/>
      <c r="P65" s="704"/>
      <c r="Q65" s="704"/>
      <c r="R65" s="704"/>
      <c r="S65" s="705"/>
      <c r="T65" s="130"/>
      <c r="U65" s="703"/>
      <c r="V65" s="704"/>
      <c r="W65" s="704"/>
      <c r="X65" s="704"/>
      <c r="Y65" s="705"/>
      <c r="Z65" s="130"/>
      <c r="AA65" s="703"/>
      <c r="AB65" s="704"/>
      <c r="AC65" s="704"/>
      <c r="AD65" s="704"/>
      <c r="AE65" s="705"/>
      <c r="AF65" s="130"/>
      <c r="AG65" s="703"/>
      <c r="AH65" s="704"/>
      <c r="AI65" s="704"/>
      <c r="AJ65" s="704"/>
      <c r="AK65" s="705"/>
      <c r="AL65" s="130"/>
      <c r="AM65" s="703"/>
      <c r="AN65" s="704"/>
      <c r="AO65" s="704"/>
      <c r="AP65" s="704"/>
      <c r="AQ65" s="705"/>
      <c r="AR65" s="130"/>
      <c r="AS65" s="703"/>
      <c r="AT65" s="704"/>
      <c r="AU65" s="704"/>
      <c r="AV65" s="704"/>
      <c r="AW65" s="705"/>
      <c r="AX65" s="130"/>
      <c r="AY65" s="703"/>
      <c r="AZ65" s="704"/>
      <c r="BA65" s="704"/>
      <c r="BB65" s="704"/>
      <c r="BC65" s="705"/>
      <c r="BD65" s="130"/>
      <c r="BE65" s="703"/>
      <c r="BF65" s="704"/>
      <c r="BG65" s="704"/>
      <c r="BH65" s="704"/>
      <c r="BI65" s="705"/>
      <c r="BJ65" s="130"/>
      <c r="BK65" s="703"/>
      <c r="BL65" s="704"/>
      <c r="BM65" s="704"/>
      <c r="BN65" s="704"/>
      <c r="BO65" s="705"/>
      <c r="BP65" s="130"/>
      <c r="BQ65" s="703"/>
      <c r="BR65" s="704"/>
      <c r="BS65" s="704"/>
      <c r="BT65" s="704"/>
      <c r="BU65" s="705"/>
      <c r="BV65" s="130"/>
      <c r="BW65" s="703"/>
      <c r="BX65" s="704"/>
      <c r="BY65" s="704"/>
      <c r="BZ65" s="704"/>
      <c r="CA65" s="705"/>
      <c r="CB65" s="130"/>
      <c r="CC65" s="703"/>
      <c r="CD65" s="704"/>
      <c r="CE65" s="704"/>
      <c r="CF65" s="704"/>
      <c r="CG65" s="705"/>
      <c r="CH65" s="1164"/>
    </row>
    <row r="66" spans="1:86" ht="11.25" customHeight="1" outlineLevel="1" x14ac:dyDescent="0.2">
      <c r="A66" s="78"/>
      <c r="B66" s="99"/>
      <c r="C66" s="93"/>
      <c r="D66" s="59"/>
      <c r="E66" s="59"/>
      <c r="F66" s="59"/>
      <c r="G66" s="447"/>
      <c r="H66" s="43"/>
      <c r="I66" s="93"/>
      <c r="J66" s="59"/>
      <c r="K66" s="59"/>
      <c r="L66" s="59"/>
      <c r="M66" s="447"/>
      <c r="N66" s="43"/>
      <c r="O66" s="93"/>
      <c r="P66" s="59"/>
      <c r="Q66" s="59"/>
      <c r="R66" s="59"/>
      <c r="S66" s="447"/>
      <c r="T66" s="43"/>
      <c r="U66" s="93"/>
      <c r="V66" s="59"/>
      <c r="W66" s="59"/>
      <c r="X66" s="59"/>
      <c r="Y66" s="447"/>
      <c r="Z66" s="43"/>
      <c r="AA66" s="93"/>
      <c r="AB66" s="97"/>
      <c r="AC66" s="97"/>
      <c r="AD66" s="97"/>
      <c r="AE66" s="447"/>
      <c r="AF66" s="43"/>
      <c r="AG66" s="96"/>
      <c r="AH66" s="97"/>
      <c r="AI66" s="97"/>
      <c r="AJ66" s="97"/>
      <c r="AK66" s="447"/>
      <c r="AL66" s="43"/>
      <c r="AM66" s="93"/>
      <c r="AN66" s="61"/>
      <c r="AO66" s="61"/>
      <c r="AP66" s="61"/>
      <c r="AQ66" s="447"/>
      <c r="AR66" s="43"/>
      <c r="AS66" s="93"/>
      <c r="AT66" s="61"/>
      <c r="AU66" s="61"/>
      <c r="AV66" s="61"/>
      <c r="AW66" s="447"/>
      <c r="AX66" s="43"/>
      <c r="AY66" s="93"/>
      <c r="AZ66" s="61"/>
      <c r="BA66" s="61"/>
      <c r="BB66" s="61"/>
      <c r="BC66" s="447"/>
      <c r="BD66" s="43"/>
      <c r="BE66" s="93"/>
      <c r="BF66" s="61"/>
      <c r="BG66" s="61"/>
      <c r="BH66" s="61"/>
      <c r="BI66" s="447"/>
      <c r="BJ66" s="43"/>
      <c r="BK66" s="93"/>
      <c r="BL66" s="61"/>
      <c r="BM66" s="61"/>
      <c r="BN66" s="61"/>
      <c r="BO66" s="447"/>
      <c r="BP66" s="43"/>
      <c r="BQ66" s="93"/>
      <c r="BR66" s="61"/>
      <c r="BS66" s="61"/>
      <c r="BT66" s="61"/>
      <c r="BU66" s="447"/>
      <c r="BV66" s="43"/>
      <c r="BW66" s="93"/>
      <c r="BX66" s="61"/>
      <c r="BY66" s="61"/>
      <c r="BZ66" s="61"/>
      <c r="CA66" s="447"/>
      <c r="CB66" s="43"/>
      <c r="CC66" s="93"/>
      <c r="CD66" s="61"/>
      <c r="CE66" s="61"/>
      <c r="CF66" s="61"/>
      <c r="CG66" s="447"/>
    </row>
    <row r="67" spans="1:86" ht="11.25" customHeight="1" outlineLevel="1" x14ac:dyDescent="0.2">
      <c r="A67" s="78"/>
      <c r="B67" s="108" t="s">
        <v>304</v>
      </c>
      <c r="C67" s="143"/>
      <c r="D67" s="144"/>
      <c r="E67" s="144"/>
      <c r="F67" s="144"/>
      <c r="G67" s="448"/>
      <c r="H67" s="39"/>
      <c r="I67" s="143"/>
      <c r="J67" s="144"/>
      <c r="K67" s="144"/>
      <c r="L67" s="144"/>
      <c r="M67" s="448"/>
      <c r="N67" s="39"/>
      <c r="O67" s="143"/>
      <c r="P67" s="144"/>
      <c r="Q67" s="144"/>
      <c r="R67" s="144"/>
      <c r="S67" s="448"/>
      <c r="T67" s="39"/>
      <c r="U67" s="143"/>
      <c r="V67" s="144"/>
      <c r="W67" s="144"/>
      <c r="X67" s="144"/>
      <c r="Y67" s="448"/>
      <c r="Z67" s="39"/>
      <c r="AA67" s="147">
        <f>+AA126-AA8</f>
        <v>426.66323518164438</v>
      </c>
      <c r="AB67" s="148">
        <f>+AB126-AB8</f>
        <v>486.47085382381397</v>
      </c>
      <c r="AC67" s="270">
        <v>435.733</v>
      </c>
      <c r="AD67" s="270">
        <v>531.91099999999994</v>
      </c>
      <c r="AE67" s="448">
        <f>+SUM(AA67:AD67)</f>
        <v>1880.7780890054582</v>
      </c>
      <c r="AF67" s="39"/>
      <c r="AG67" s="269">
        <v>456.20499999999998</v>
      </c>
      <c r="AH67" s="270">
        <v>447.57900000000001</v>
      </c>
      <c r="AI67" s="270">
        <v>404.69900000000001</v>
      </c>
      <c r="AJ67" s="270">
        <v>505.87</v>
      </c>
      <c r="AK67" s="448">
        <f>+SUM(AG67:AJ67)</f>
        <v>1814.3530000000001</v>
      </c>
      <c r="AL67" s="39"/>
      <c r="AM67" s="269">
        <v>477.84100000000001</v>
      </c>
      <c r="AN67" s="270">
        <v>490.78100000000001</v>
      </c>
      <c r="AO67" s="270">
        <v>437.33499999999998</v>
      </c>
      <c r="AP67" s="270">
        <v>544.51099999999997</v>
      </c>
      <c r="AQ67" s="448">
        <f>+SUM(AM67:AP67)</f>
        <v>1950.4680000000001</v>
      </c>
      <c r="AR67" s="39"/>
      <c r="AS67" s="269">
        <v>527.33199999999999</v>
      </c>
      <c r="AT67" s="270">
        <v>542.12400000000002</v>
      </c>
      <c r="AU67" s="270">
        <v>486.72399999999999</v>
      </c>
      <c r="AV67" s="270">
        <v>556.13599999999997</v>
      </c>
      <c r="AW67" s="448">
        <f>+SUM(AS67:AV67)</f>
        <v>2112.3159999999998</v>
      </c>
      <c r="AX67" s="39"/>
      <c r="AY67" s="269">
        <v>460.89</v>
      </c>
      <c r="AZ67" s="270">
        <v>473.31400000000002</v>
      </c>
      <c r="BA67" s="270">
        <v>429.36799999999999</v>
      </c>
      <c r="BB67" s="270">
        <v>523.101</v>
      </c>
      <c r="BC67" s="448">
        <f>+SUM(AY67:BB67)</f>
        <v>1886.6729999999998</v>
      </c>
      <c r="BD67" s="39"/>
      <c r="BE67" s="269">
        <v>466.91800000000001</v>
      </c>
      <c r="BF67" s="270">
        <v>507.60300000000001</v>
      </c>
      <c r="BG67" s="270">
        <v>450.91300000000001</v>
      </c>
      <c r="BH67" s="270">
        <v>549.04499999999996</v>
      </c>
      <c r="BI67" s="448">
        <f>+SUM(BE67:BH67)</f>
        <v>1974.4789999999998</v>
      </c>
      <c r="BJ67" s="39"/>
      <c r="BK67" s="269">
        <v>554.702</v>
      </c>
      <c r="BL67" s="270">
        <v>575.69600000000003</v>
      </c>
      <c r="BM67" s="270">
        <v>571.85199999999998</v>
      </c>
      <c r="BN67" s="270">
        <v>646.19899999999996</v>
      </c>
      <c r="BO67" s="448">
        <f>+SUM(BK67:BN67)</f>
        <v>2348.4490000000001</v>
      </c>
      <c r="BP67" s="39"/>
      <c r="BQ67" s="147">
        <f>+BK67*(1+BQ68)</f>
        <v>535.28742999999997</v>
      </c>
      <c r="BR67" s="148">
        <f>+BL67*(1+BR68)</f>
        <v>584.33143999999993</v>
      </c>
      <c r="BS67" s="148">
        <f>+BM67*(1+BS68)</f>
        <v>566.13347999999996</v>
      </c>
      <c r="BT67" s="148">
        <f>+BN67*(1+BT68)</f>
        <v>659.12297999999998</v>
      </c>
      <c r="BU67" s="448">
        <f>+SUM(BQ67:BT67)</f>
        <v>2344.8753299999998</v>
      </c>
      <c r="BV67" s="39"/>
      <c r="BW67" s="147">
        <f>+BQ67*(1+BW68)</f>
        <v>554.02249004999987</v>
      </c>
      <c r="BX67" s="148">
        <f>+BR67*(1+BX68)</f>
        <v>604.78304039999989</v>
      </c>
      <c r="BY67" s="148">
        <f>+BS67*(1+BY68)</f>
        <v>585.94815179999989</v>
      </c>
      <c r="BZ67" s="148">
        <f>+BT67*(1+BZ68)</f>
        <v>682.19228429999998</v>
      </c>
      <c r="CA67" s="448">
        <f>+SUM(BW67:BZ67)</f>
        <v>2426.9459665499999</v>
      </c>
      <c r="CB67" s="39"/>
      <c r="CC67" s="147">
        <f>+BW67*(1+CC68)</f>
        <v>573.41327720174979</v>
      </c>
      <c r="CD67" s="148">
        <f>+BX67*(1+CD68)</f>
        <v>625.95044681399986</v>
      </c>
      <c r="CE67" s="148">
        <f>+BY67*(1+CE68)</f>
        <v>606.45633711299979</v>
      </c>
      <c r="CF67" s="148">
        <f>+BZ67*(1+CF68)</f>
        <v>706.06901425049989</v>
      </c>
      <c r="CG67" s="448">
        <f>+SUM(CC67:CF67)</f>
        <v>2511.8890753792493</v>
      </c>
    </row>
    <row r="68" spans="1:86" ht="11.25" customHeight="1" outlineLevel="1" x14ac:dyDescent="0.2">
      <c r="A68" s="78"/>
      <c r="B68" s="99" t="s">
        <v>253</v>
      </c>
      <c r="C68" s="259"/>
      <c r="D68" s="265"/>
      <c r="E68" s="265"/>
      <c r="F68" s="265"/>
      <c r="G68" s="449"/>
      <c r="H68" s="43"/>
      <c r="I68" s="259"/>
      <c r="J68" s="265"/>
      <c r="K68" s="265"/>
      <c r="L68" s="265"/>
      <c r="M68" s="449"/>
      <c r="N68" s="43"/>
      <c r="O68" s="259"/>
      <c r="P68" s="265"/>
      <c r="Q68" s="265"/>
      <c r="R68" s="265"/>
      <c r="S68" s="449"/>
      <c r="T68" s="43"/>
      <c r="U68" s="259"/>
      <c r="V68" s="265"/>
      <c r="W68" s="265"/>
      <c r="X68" s="265"/>
      <c r="Y68" s="449"/>
      <c r="Z68" s="43"/>
      <c r="AA68" s="259"/>
      <c r="AB68" s="260"/>
      <c r="AC68" s="260"/>
      <c r="AD68" s="260"/>
      <c r="AE68" s="449"/>
      <c r="AF68" s="43"/>
      <c r="AG68" s="259">
        <f>+AG67/AA67-1</f>
        <v>6.9239068151205174E-2</v>
      </c>
      <c r="AH68" s="260">
        <f>+AH67/AB67-1</f>
        <v>-7.9946935192749424E-2</v>
      </c>
      <c r="AI68" s="260">
        <f>+AI67/AC67-1</f>
        <v>-7.1222514705106099E-2</v>
      </c>
      <c r="AJ68" s="260">
        <f>+AJ67/AD67-1</f>
        <v>-4.8957438368448791E-2</v>
      </c>
      <c r="AK68" s="449">
        <f>IF(ISERROR(AK67/AE67-1),"NM",AK67/AE67-1)</f>
        <v>-3.5317876890294531E-2</v>
      </c>
      <c r="AL68" s="43"/>
      <c r="AM68" s="259">
        <f>+AM67/AG67-1</f>
        <v>4.7426047500575441E-2</v>
      </c>
      <c r="AN68" s="260">
        <f>+AN67/AH67-1</f>
        <v>9.6523742177358596E-2</v>
      </c>
      <c r="AO68" s="260">
        <f>+AO67/AI67-1</f>
        <v>8.0642650463677912E-2</v>
      </c>
      <c r="AP68" s="260">
        <f>+AP67/AJ67-1</f>
        <v>7.6385237313934429E-2</v>
      </c>
      <c r="AQ68" s="449">
        <f>IF(ISERROR(AQ67/AK67-1),"NM",AQ67/AK67-1)</f>
        <v>7.5021233464491299E-2</v>
      </c>
      <c r="AR68" s="43"/>
      <c r="AS68" s="259">
        <f>+AS67/AM67-1</f>
        <v>0.10357210871398648</v>
      </c>
      <c r="AT68" s="260">
        <f>+AT67/AN67-1</f>
        <v>0.10461488932945651</v>
      </c>
      <c r="AU68" s="260">
        <f>+AU67/AO67-1</f>
        <v>0.11293173425406167</v>
      </c>
      <c r="AV68" s="260">
        <f>+AV67/AP67-1</f>
        <v>2.1349430957317672E-2</v>
      </c>
      <c r="AW68" s="449">
        <f>IF(ISERROR(AW67/AQ67-1),"NM",AW67/AQ67-1)</f>
        <v>8.2979059384721943E-2</v>
      </c>
      <c r="AX68" s="43"/>
      <c r="AY68" s="259">
        <f>+AY67/AS67-1</f>
        <v>-0.12599652590777732</v>
      </c>
      <c r="AZ68" s="260">
        <f>+AZ67/AT67-1</f>
        <v>-0.12692668098073501</v>
      </c>
      <c r="BA68" s="260">
        <f>+BA67/AU67-1</f>
        <v>-0.11784091189257151</v>
      </c>
      <c r="BB68" s="260">
        <f>+BB67/AV67-1</f>
        <v>-5.940093790008194E-2</v>
      </c>
      <c r="BC68" s="449">
        <f>IF(ISERROR(BC67/AW67-1),"NM",BC67/AW67-1)</f>
        <v>-0.10682255874594526</v>
      </c>
      <c r="BD68" s="43"/>
      <c r="BE68" s="259">
        <f>+BE67/AY67-1</f>
        <v>1.3079042721690692E-2</v>
      </c>
      <c r="BF68" s="260">
        <f>+BF67/AZ67-1</f>
        <v>7.24445082968177E-2</v>
      </c>
      <c r="BG68" s="260">
        <f>+BG67/BA67-1</f>
        <v>5.0178401743958601E-2</v>
      </c>
      <c r="BH68" s="260">
        <f>+BH67/BB67-1</f>
        <v>4.9596540629820884E-2</v>
      </c>
      <c r="BI68" s="449">
        <f>IF(ISERROR(BI67/BC67-1),"NM",BI67/BC67-1)</f>
        <v>4.654012645540595E-2</v>
      </c>
      <c r="BJ68" s="43"/>
      <c r="BK68" s="259">
        <f>+BK67/BE67-1</f>
        <v>0.18800731605977927</v>
      </c>
      <c r="BL68" s="260">
        <f>+BL67/BF67-1</f>
        <v>0.13414617328896794</v>
      </c>
      <c r="BM68" s="260">
        <f>+BM67/BG67-1</f>
        <v>0.26820916673504636</v>
      </c>
      <c r="BN68" s="260">
        <f>+BN67/BH67-1</f>
        <v>0.17695088745002696</v>
      </c>
      <c r="BO68" s="449">
        <f>IF(ISERROR(BO67/BI67-1),"NM",BO67/BI67-1)</f>
        <v>0.18940186246599744</v>
      </c>
      <c r="BP68" s="43"/>
      <c r="BQ68" s="259">
        <f>+BQ69+BQ70</f>
        <v>-3.5000000000000003E-2</v>
      </c>
      <c r="BR68" s="260">
        <f>+BR69+BR70</f>
        <v>1.4999999999999999E-2</v>
      </c>
      <c r="BS68" s="260">
        <f>+BS69+BS70</f>
        <v>-9.9999999999999985E-3</v>
      </c>
      <c r="BT68" s="260">
        <f>+BT69+BT70</f>
        <v>2.0000000000000004E-2</v>
      </c>
      <c r="BU68" s="449">
        <f>IF(ISERROR(BU67/BO67-1),"NM",BU67/BO67-1)</f>
        <v>-1.5217149701782784E-3</v>
      </c>
      <c r="BV68" s="43"/>
      <c r="BW68" s="259">
        <f>+BW69+BW70</f>
        <v>3.5000000000000003E-2</v>
      </c>
      <c r="BX68" s="260">
        <f>+BX69+BX70</f>
        <v>3.5000000000000003E-2</v>
      </c>
      <c r="BY68" s="260">
        <f>+BY69+BY70</f>
        <v>3.5000000000000003E-2</v>
      </c>
      <c r="BZ68" s="260">
        <f>+BZ69+BZ70</f>
        <v>3.5000000000000003E-2</v>
      </c>
      <c r="CA68" s="449">
        <f>IF(ISERROR(CA67/BU67-1),"NM",CA67/BU67-1)</f>
        <v>3.499999999999992E-2</v>
      </c>
      <c r="CB68" s="43"/>
      <c r="CC68" s="259">
        <f>+CC69+CC70</f>
        <v>3.5000000000000003E-2</v>
      </c>
      <c r="CD68" s="260">
        <f>+CD69+CD70</f>
        <v>3.5000000000000003E-2</v>
      </c>
      <c r="CE68" s="260">
        <f>+CE69+CE70</f>
        <v>3.5000000000000003E-2</v>
      </c>
      <c r="CF68" s="260">
        <f>+CF69+CF70</f>
        <v>3.5000000000000003E-2</v>
      </c>
      <c r="CG68" s="449">
        <f>IF(ISERROR(CG67/CA67-1),"NM",CG67/CA67-1)</f>
        <v>3.4999999999999698E-2</v>
      </c>
    </row>
    <row r="69" spans="1:86" ht="11.25" customHeight="1" outlineLevel="1" x14ac:dyDescent="0.2">
      <c r="A69" s="78"/>
      <c r="B69" s="99" t="s">
        <v>256</v>
      </c>
      <c r="C69" s="261"/>
      <c r="D69" s="266"/>
      <c r="E69" s="266"/>
      <c r="F69" s="267"/>
      <c r="G69" s="449"/>
      <c r="H69" s="43"/>
      <c r="I69" s="261"/>
      <c r="J69" s="266"/>
      <c r="K69" s="266"/>
      <c r="L69" s="267"/>
      <c r="M69" s="449"/>
      <c r="N69" s="43"/>
      <c r="O69" s="261"/>
      <c r="P69" s="266"/>
      <c r="Q69" s="266"/>
      <c r="R69" s="267"/>
      <c r="S69" s="449"/>
      <c r="T69" s="43"/>
      <c r="U69" s="261"/>
      <c r="V69" s="266"/>
      <c r="W69" s="266"/>
      <c r="X69" s="267"/>
      <c r="Y69" s="449"/>
      <c r="Z69" s="43"/>
      <c r="AA69" s="261"/>
      <c r="AB69" s="258"/>
      <c r="AC69" s="258"/>
      <c r="AD69" s="258"/>
      <c r="AE69" s="449"/>
      <c r="AF69" s="43"/>
      <c r="AG69" s="261">
        <v>9.5000000000000001E-2</v>
      </c>
      <c r="AH69" s="258">
        <v>8.0000000000000002E-3</v>
      </c>
      <c r="AI69" s="258">
        <v>0.02</v>
      </c>
      <c r="AJ69" s="258">
        <v>-2.1999999999999999E-2</v>
      </c>
      <c r="AK69" s="449">
        <f>+SUMPRODUCT(AG69:AJ69,AA$67:AD$67)/AE$67</f>
        <v>2.2032047488791475E-2</v>
      </c>
      <c r="AL69" s="43"/>
      <c r="AM69" s="261">
        <v>4.2000000000000003E-2</v>
      </c>
      <c r="AN69" s="258">
        <v>0.09</v>
      </c>
      <c r="AO69" s="258">
        <v>5.8999999999999997E-2</v>
      </c>
      <c r="AP69" s="258">
        <v>4.8000000000000001E-2</v>
      </c>
      <c r="AQ69" s="449">
        <f>+SUMPRODUCT(AM69:AP69,AG$67:AJ$67)/AK$67</f>
        <v>5.9305835744201923E-2</v>
      </c>
      <c r="AR69" s="43"/>
      <c r="AS69" s="261">
        <v>8.2000000000000003E-2</v>
      </c>
      <c r="AT69" s="258">
        <v>4.9000000000000002E-2</v>
      </c>
      <c r="AU69" s="258">
        <v>8.4000000000000005E-2</v>
      </c>
      <c r="AV69" s="258">
        <v>8.5000000000000006E-2</v>
      </c>
      <c r="AW69" s="449">
        <f>+SUMPRODUCT(AS69:AV69,AM$67:AP$67)/AQ$67</f>
        <v>7.4982417553120587E-2</v>
      </c>
      <c r="AX69" s="43"/>
      <c r="AY69" s="261">
        <v>1.7000000000000001E-2</v>
      </c>
      <c r="AZ69" s="258">
        <v>5.7000000000000002E-2</v>
      </c>
      <c r="BA69" s="258">
        <v>4.2999999999999997E-2</v>
      </c>
      <c r="BB69" s="258">
        <v>6.4000000000000001E-2</v>
      </c>
      <c r="BC69" s="449">
        <f>+SUMPRODUCT(AY69:BB69,AS$67:AV$67)/AW$67</f>
        <v>4.5631216162733232E-2</v>
      </c>
      <c r="BD69" s="43"/>
      <c r="BE69" s="261">
        <v>0.05</v>
      </c>
      <c r="BF69" s="258">
        <v>6.9000000000000006E-2</v>
      </c>
      <c r="BG69" s="258">
        <v>6.6000000000000003E-2</v>
      </c>
      <c r="BH69" s="260">
        <f>+BH68-BH70</f>
        <v>7.559654062982088E-2</v>
      </c>
      <c r="BI69" s="449">
        <f>+SUMPRODUCT(BE69:BH69,AY$67:BB$67)/BC$67</f>
        <v>6.5504769506957453E-2</v>
      </c>
      <c r="BJ69" s="43"/>
      <c r="BK69" s="261">
        <v>0.20100000000000001</v>
      </c>
      <c r="BL69" s="258">
        <v>0.154</v>
      </c>
      <c r="BM69" s="258">
        <v>0.215</v>
      </c>
      <c r="BN69" s="258">
        <v>0.10100000000000001</v>
      </c>
      <c r="BO69" s="449">
        <f>+SUMPRODUCT(BK69:BN69,BE$67:BH$67)/BI$67</f>
        <v>0.16430725269805355</v>
      </c>
      <c r="BP69" s="43"/>
      <c r="BQ69" s="263">
        <v>-0.02</v>
      </c>
      <c r="BR69" s="262">
        <v>0.03</v>
      </c>
      <c r="BS69" s="262">
        <v>0.02</v>
      </c>
      <c r="BT69" s="262">
        <v>0.05</v>
      </c>
      <c r="BU69" s="449">
        <f>+SUMPRODUCT(BQ69:BT69,BK$67:BN$67)/BO$67</f>
        <v>2.125821339956712E-2</v>
      </c>
      <c r="BV69" s="43"/>
      <c r="BW69" s="263">
        <v>3.5000000000000003E-2</v>
      </c>
      <c r="BX69" s="262">
        <f t="shared" ref="BX69:BZ71" si="18">+BW69</f>
        <v>3.5000000000000003E-2</v>
      </c>
      <c r="BY69" s="262">
        <f t="shared" si="18"/>
        <v>3.5000000000000003E-2</v>
      </c>
      <c r="BZ69" s="262">
        <f t="shared" si="18"/>
        <v>3.5000000000000003E-2</v>
      </c>
      <c r="CA69" s="449">
        <f>+SUMPRODUCT(BW69:BZ69,BQ$67:BT$67)/BU$67</f>
        <v>3.5000000000000003E-2</v>
      </c>
      <c r="CB69" s="43"/>
      <c r="CC69" s="263">
        <f>+BZ69</f>
        <v>3.5000000000000003E-2</v>
      </c>
      <c r="CD69" s="262">
        <f t="shared" ref="CD69:CF71" si="19">+CC69</f>
        <v>3.5000000000000003E-2</v>
      </c>
      <c r="CE69" s="262">
        <f t="shared" si="19"/>
        <v>3.5000000000000003E-2</v>
      </c>
      <c r="CF69" s="262">
        <f t="shared" si="19"/>
        <v>3.5000000000000003E-2</v>
      </c>
      <c r="CG69" s="449">
        <f>+SUMPRODUCT(CC69:CF69,BW$67:BZ$67)/CA$67</f>
        <v>3.4999999999999996E-2</v>
      </c>
    </row>
    <row r="70" spans="1:86" ht="11.25" customHeight="1" outlineLevel="1" x14ac:dyDescent="0.2">
      <c r="A70" s="78"/>
      <c r="B70" s="99" t="s">
        <v>255</v>
      </c>
      <c r="C70" s="259"/>
      <c r="D70" s="265"/>
      <c r="E70" s="265"/>
      <c r="F70" s="265"/>
      <c r="G70" s="449"/>
      <c r="H70" s="43"/>
      <c r="I70" s="259"/>
      <c r="J70" s="265"/>
      <c r="K70" s="265"/>
      <c r="L70" s="265"/>
      <c r="M70" s="449"/>
      <c r="N70" s="43"/>
      <c r="O70" s="259"/>
      <c r="P70" s="265"/>
      <c r="Q70" s="265"/>
      <c r="R70" s="265"/>
      <c r="S70" s="449"/>
      <c r="T70" s="43"/>
      <c r="U70" s="259"/>
      <c r="V70" s="265"/>
      <c r="W70" s="265"/>
      <c r="X70" s="265"/>
      <c r="Y70" s="449"/>
      <c r="Z70" s="43"/>
      <c r="AA70" s="259"/>
      <c r="AB70" s="260"/>
      <c r="AC70" s="260"/>
      <c r="AD70" s="260"/>
      <c r="AE70" s="449"/>
      <c r="AF70" s="43"/>
      <c r="AG70" s="259">
        <f>AG68-AG69</f>
        <v>-2.5760931848794827E-2</v>
      </c>
      <c r="AH70" s="260">
        <f>AH68-AH69</f>
        <v>-8.7946935192749431E-2</v>
      </c>
      <c r="AI70" s="260">
        <f>AI68-AI69</f>
        <v>-9.1222514705106103E-2</v>
      </c>
      <c r="AJ70" s="260">
        <f>AJ68-AJ69</f>
        <v>-2.6957438368448793E-2</v>
      </c>
      <c r="AK70" s="449">
        <f>+SUMPRODUCT(AG70:AJ70,AA$67:AD$67)/AE$67</f>
        <v>-5.7349924379086085E-2</v>
      </c>
      <c r="AL70" s="43"/>
      <c r="AM70" s="259">
        <f>AM68-AM69</f>
        <v>5.4260475005754386E-3</v>
      </c>
      <c r="AN70" s="260">
        <f>AN68-AN69</f>
        <v>6.5237421773585991E-3</v>
      </c>
      <c r="AO70" s="260">
        <f>AO68-AO69</f>
        <v>2.1642650463677915E-2</v>
      </c>
      <c r="AP70" s="260">
        <f>AP68-AP69</f>
        <v>2.8385237313934428E-2</v>
      </c>
      <c r="AQ70" s="449">
        <f>+SUMPRODUCT(AM70:AP70,AG$67:AJ$67)/AK$67</f>
        <v>1.5715397720289268E-2</v>
      </c>
      <c r="AR70" s="43"/>
      <c r="AS70" s="259">
        <f>AS68-AS69</f>
        <v>2.1572108713986474E-2</v>
      </c>
      <c r="AT70" s="260">
        <f>AT68-AT69</f>
        <v>5.5614889329456504E-2</v>
      </c>
      <c r="AU70" s="260">
        <f>AU68-AU69</f>
        <v>2.8931734254061661E-2</v>
      </c>
      <c r="AV70" s="260">
        <f>AV68-AV69</f>
        <v>-6.3650569042682334E-2</v>
      </c>
      <c r="AW70" s="449">
        <f>+SUMPRODUCT(AS70:AV70,AM$67:AP$67)/AQ$67</f>
        <v>7.9966418316014705E-3</v>
      </c>
      <c r="AX70" s="43"/>
      <c r="AY70" s="259">
        <f>AY68-AY69</f>
        <v>-0.14299652590777734</v>
      </c>
      <c r="AZ70" s="260">
        <f>AZ68-AZ69</f>
        <v>-0.183926680980735</v>
      </c>
      <c r="BA70" s="260">
        <f>BA68-BA69</f>
        <v>-0.16084091189257149</v>
      </c>
      <c r="BB70" s="260">
        <f>BB68-BB69</f>
        <v>-0.12340093790008194</v>
      </c>
      <c r="BC70" s="449">
        <f>+SUMPRODUCT(AY70:BB70,AS$67:AV$67)/AW$67</f>
        <v>-0.15245377490867842</v>
      </c>
      <c r="BD70" s="43"/>
      <c r="BE70" s="259">
        <f>BE68-BE69</f>
        <v>-3.692095727830931E-2</v>
      </c>
      <c r="BF70" s="260">
        <f>BF68-BF69</f>
        <v>3.4445082968176943E-3</v>
      </c>
      <c r="BG70" s="260">
        <f>BG68-BG69</f>
        <v>-1.5821598256041403E-2</v>
      </c>
      <c r="BH70" s="258">
        <v>-2.5999999999999999E-2</v>
      </c>
      <c r="BI70" s="449">
        <f>+SUMPRODUCT(BE70:BH70,AY$67:BB$67)/BC$67</f>
        <v>-1.8964643051551593E-2</v>
      </c>
      <c r="BJ70" s="43"/>
      <c r="BK70" s="259">
        <f>BK68-BK69</f>
        <v>-1.2992683940220739E-2</v>
      </c>
      <c r="BL70" s="260">
        <f>BL68-BL69</f>
        <v>-1.9853826711032058E-2</v>
      </c>
      <c r="BM70" s="260">
        <f>BM68-BM69</f>
        <v>5.3209166735046359E-2</v>
      </c>
      <c r="BN70" s="260">
        <f>BN68-BN69</f>
        <v>7.5950887450026955E-2</v>
      </c>
      <c r="BO70" s="449">
        <f>+SUMPRODUCT(BK70:BN70,BE$67:BH$67)/BI$67</f>
        <v>2.5094609767943858E-2</v>
      </c>
      <c r="BP70" s="43"/>
      <c r="BQ70" s="263">
        <v>-1.4999999999999999E-2</v>
      </c>
      <c r="BR70" s="262">
        <v>-1.4999999999999999E-2</v>
      </c>
      <c r="BS70" s="262">
        <v>-0.03</v>
      </c>
      <c r="BT70" s="262">
        <f t="shared" ref="BR70:BT71" si="20">+BS70</f>
        <v>-0.03</v>
      </c>
      <c r="BU70" s="449">
        <f>+SUMPRODUCT(BQ70:BT70,BK$67:BN$67)/BO$67</f>
        <v>-2.2779928369745309E-2</v>
      </c>
      <c r="BV70" s="43"/>
      <c r="BW70" s="263">
        <v>0</v>
      </c>
      <c r="BX70" s="262">
        <f t="shared" si="18"/>
        <v>0</v>
      </c>
      <c r="BY70" s="262">
        <f t="shared" si="18"/>
        <v>0</v>
      </c>
      <c r="BZ70" s="262">
        <f t="shared" si="18"/>
        <v>0</v>
      </c>
      <c r="CA70" s="449">
        <f>+SUMPRODUCT(BW70:BZ70,BQ$67:BT$67)/BU$67</f>
        <v>0</v>
      </c>
      <c r="CB70" s="43"/>
      <c r="CC70" s="263">
        <f>+BZ70</f>
        <v>0</v>
      </c>
      <c r="CD70" s="262">
        <f t="shared" si="19"/>
        <v>0</v>
      </c>
      <c r="CE70" s="262">
        <f t="shared" si="19"/>
        <v>0</v>
      </c>
      <c r="CF70" s="262">
        <f t="shared" si="19"/>
        <v>0</v>
      </c>
      <c r="CG70" s="449">
        <f>+SUMPRODUCT(CC70:CF70,BW$67:BZ$67)/CA$67</f>
        <v>0</v>
      </c>
    </row>
    <row r="71" spans="1:86" ht="11.25" customHeight="1" outlineLevel="1" x14ac:dyDescent="0.2">
      <c r="A71" s="78"/>
      <c r="B71" s="99" t="s">
        <v>254</v>
      </c>
      <c r="C71" s="261"/>
      <c r="D71" s="266"/>
      <c r="E71" s="266"/>
      <c r="F71" s="267"/>
      <c r="G71" s="453"/>
      <c r="H71" s="43"/>
      <c r="I71" s="261"/>
      <c r="J71" s="266"/>
      <c r="K71" s="266"/>
      <c r="L71" s="267"/>
      <c r="M71" s="453"/>
      <c r="N71" s="43"/>
      <c r="O71" s="261"/>
      <c r="P71" s="266"/>
      <c r="Q71" s="266"/>
      <c r="R71" s="267"/>
      <c r="S71" s="453"/>
      <c r="T71" s="43"/>
      <c r="U71" s="261"/>
      <c r="V71" s="266"/>
      <c r="W71" s="266"/>
      <c r="X71" s="267"/>
      <c r="Y71" s="453"/>
      <c r="Z71" s="43"/>
      <c r="AA71" s="261"/>
      <c r="AB71" s="258"/>
      <c r="AC71" s="258"/>
      <c r="AD71" s="258"/>
      <c r="AE71" s="449"/>
      <c r="AF71" s="43"/>
      <c r="AG71" s="261">
        <v>6.0000000000000001E-3</v>
      </c>
      <c r="AH71" s="258">
        <v>3.0000000000000001E-3</v>
      </c>
      <c r="AI71" s="258">
        <v>0.01</v>
      </c>
      <c r="AJ71" s="258">
        <f>-5.7%+5%</f>
        <v>-6.9999999999999993E-3</v>
      </c>
      <c r="AK71" s="449">
        <f>+SUMPRODUCT(AG71:AJ71,AA$67:AD$67)/AE$67</f>
        <v>2.4741594980096592E-3</v>
      </c>
      <c r="AL71" s="43"/>
      <c r="AM71" s="261">
        <v>6.6000000000000003E-2</v>
      </c>
      <c r="AN71" s="258">
        <v>7.0999999999999994E-2</v>
      </c>
      <c r="AO71" s="258">
        <v>0.06</v>
      </c>
      <c r="AP71" s="258">
        <v>1.2999999999999999E-2</v>
      </c>
      <c r="AQ71" s="449">
        <f>+SUMPRODUCT(AM71:AP71,AG$67:AJ$67)/AK$67</f>
        <v>5.111788554928396E-2</v>
      </c>
      <c r="AR71" s="43"/>
      <c r="AS71" s="261">
        <v>4.9000000000000002E-2</v>
      </c>
      <c r="AT71" s="258">
        <v>4.9000000000000002E-2</v>
      </c>
      <c r="AU71" s="258">
        <v>4.7E-2</v>
      </c>
      <c r="AV71" s="258">
        <v>5.6000000000000001E-2</v>
      </c>
      <c r="AW71" s="449">
        <f>+SUMPRODUCT(AS71:AV71,AM$67:AP$67)/AQ$67</f>
        <v>5.0505744775100128E-2</v>
      </c>
      <c r="AX71" s="43"/>
      <c r="AY71" s="261">
        <v>1.4999999999999999E-2</v>
      </c>
      <c r="AZ71" s="258">
        <v>1.0999999999999999E-2</v>
      </c>
      <c r="BA71" s="258">
        <v>7.0000000000000001E-3</v>
      </c>
      <c r="BB71" s="258">
        <v>1.4999999999999999E-2</v>
      </c>
      <c r="BC71" s="449">
        <f>+SUMPRODUCT(AY71:BB71,AS$67:AV$67)/AW$67</f>
        <v>1.2130027893553804E-2</v>
      </c>
      <c r="BD71" s="43"/>
      <c r="BE71" s="261">
        <v>2.7E-2</v>
      </c>
      <c r="BF71" s="258">
        <v>2.7E-2</v>
      </c>
      <c r="BG71" s="258">
        <v>3.5000000000000003E-2</v>
      </c>
      <c r="BH71" s="258">
        <f>3.2%+3.7%</f>
        <v>6.9000000000000006E-2</v>
      </c>
      <c r="BI71" s="449">
        <f>+SUMPRODUCT(BE71:BH71,AY$67:BB$67)/BC$67</f>
        <v>4.0465601087204837E-2</v>
      </c>
      <c r="BJ71" s="43"/>
      <c r="BK71" s="261">
        <v>0.13300000000000001</v>
      </c>
      <c r="BL71" s="258">
        <v>0.13400000000000001</v>
      </c>
      <c r="BM71" s="258">
        <v>0.183</v>
      </c>
      <c r="BN71" s="258">
        <f>13.5%-3.5%</f>
        <v>0.1</v>
      </c>
      <c r="BO71" s="449">
        <f>+SUMPRODUCT(BK71:BN71,BE$67:BH$67)/BI$67</f>
        <v>0.13549927601154535</v>
      </c>
      <c r="BP71" s="43"/>
      <c r="BQ71" s="263">
        <v>0</v>
      </c>
      <c r="BR71" s="262">
        <f t="shared" si="20"/>
        <v>0</v>
      </c>
      <c r="BS71" s="262">
        <f t="shared" si="20"/>
        <v>0</v>
      </c>
      <c r="BT71" s="262">
        <f t="shared" si="20"/>
        <v>0</v>
      </c>
      <c r="BU71" s="449">
        <f>+SUMPRODUCT(BQ71:BT71,BK$67:BN$67)/BO$67</f>
        <v>0</v>
      </c>
      <c r="BV71" s="43"/>
      <c r="BW71" s="263">
        <f>+BT71</f>
        <v>0</v>
      </c>
      <c r="BX71" s="262">
        <f t="shared" si="18"/>
        <v>0</v>
      </c>
      <c r="BY71" s="262">
        <f t="shared" si="18"/>
        <v>0</v>
      </c>
      <c r="BZ71" s="262">
        <f t="shared" si="18"/>
        <v>0</v>
      </c>
      <c r="CA71" s="449">
        <f>+SUMPRODUCT(BW71:BZ71,BQ$67:BT$67)/BU$67</f>
        <v>0</v>
      </c>
      <c r="CB71" s="43"/>
      <c r="CC71" s="263">
        <f>+BZ71</f>
        <v>0</v>
      </c>
      <c r="CD71" s="262">
        <f t="shared" si="19"/>
        <v>0</v>
      </c>
      <c r="CE71" s="262">
        <f t="shared" si="19"/>
        <v>0</v>
      </c>
      <c r="CF71" s="262">
        <f t="shared" si="19"/>
        <v>0</v>
      </c>
      <c r="CG71" s="449">
        <f>+SUMPRODUCT(CC71:CF71,BW$67:BZ$67)/CA$67</f>
        <v>0</v>
      </c>
    </row>
    <row r="72" spans="1:86" ht="11.25" customHeight="1" outlineLevel="1" x14ac:dyDescent="0.2">
      <c r="A72" s="78"/>
      <c r="B72" s="98" t="s">
        <v>257</v>
      </c>
      <c r="C72" s="259"/>
      <c r="D72" s="260"/>
      <c r="E72" s="260"/>
      <c r="F72" s="260"/>
      <c r="G72" s="449"/>
      <c r="H72" s="264"/>
      <c r="I72" s="259"/>
      <c r="J72" s="260"/>
      <c r="K72" s="260"/>
      <c r="L72" s="260"/>
      <c r="M72" s="449"/>
      <c r="N72" s="264"/>
      <c r="O72" s="259"/>
      <c r="P72" s="260"/>
      <c r="Q72" s="260"/>
      <c r="R72" s="260"/>
      <c r="S72" s="449"/>
      <c r="T72" s="264"/>
      <c r="U72" s="259"/>
      <c r="V72" s="260"/>
      <c r="W72" s="260"/>
      <c r="X72" s="260"/>
      <c r="Y72" s="449"/>
      <c r="Z72" s="264"/>
      <c r="AA72" s="259"/>
      <c r="AB72" s="260"/>
      <c r="AC72" s="260"/>
      <c r="AD72" s="260"/>
      <c r="AE72" s="449"/>
      <c r="AF72" s="264"/>
      <c r="AG72" s="259">
        <f>+AG69-AG71</f>
        <v>8.8999999999999996E-2</v>
      </c>
      <c r="AH72" s="260">
        <f>+AH69-AH71</f>
        <v>5.0000000000000001E-3</v>
      </c>
      <c r="AI72" s="260">
        <f>+AI69-AI71</f>
        <v>0.01</v>
      </c>
      <c r="AJ72" s="260">
        <f>+AJ69-AJ71</f>
        <v>-1.4999999999999999E-2</v>
      </c>
      <c r="AK72" s="449">
        <f>+SUMPRODUCT(AG72:AJ72,AA$67:AD$67)/AE$67</f>
        <v>1.955788799078181E-2</v>
      </c>
      <c r="AL72" s="264"/>
      <c r="AM72" s="259">
        <f>+AM69-AM71</f>
        <v>-2.4E-2</v>
      </c>
      <c r="AN72" s="260">
        <f>+AN69-AN71</f>
        <v>1.9000000000000003E-2</v>
      </c>
      <c r="AO72" s="260">
        <f>+AO69-AO71</f>
        <v>-1.0000000000000009E-3</v>
      </c>
      <c r="AP72" s="260">
        <f>+AP69-AP71</f>
        <v>3.5000000000000003E-2</v>
      </c>
      <c r="AQ72" s="449">
        <f>+SUMPRODUCT(AM72:AP72,AG$67:AJ$67)/AK$67</f>
        <v>8.18795019491797E-3</v>
      </c>
      <c r="AR72" s="264"/>
      <c r="AS72" s="259">
        <f>+AS69-AS71</f>
        <v>3.3000000000000002E-2</v>
      </c>
      <c r="AT72" s="260">
        <f>+AT69-AT71</f>
        <v>0</v>
      </c>
      <c r="AU72" s="260">
        <f>+AU69-AU71</f>
        <v>3.7000000000000005E-2</v>
      </c>
      <c r="AV72" s="260">
        <f>+AV69-AV71</f>
        <v>2.9000000000000005E-2</v>
      </c>
      <c r="AW72" s="449">
        <f>+SUMPRODUCT(AS72:AV72,AM$67:AP$67)/AQ$67</f>
        <v>2.4476672778020455E-2</v>
      </c>
      <c r="AX72" s="264"/>
      <c r="AY72" s="259">
        <f>+AY69-AY71</f>
        <v>2.0000000000000018E-3</v>
      </c>
      <c r="AZ72" s="260">
        <f>+AZ69-AZ71</f>
        <v>4.5999999999999999E-2</v>
      </c>
      <c r="BA72" s="260">
        <f>+BA69-BA71</f>
        <v>3.5999999999999997E-2</v>
      </c>
      <c r="BB72" s="260">
        <f>+BB69-BB71</f>
        <v>4.9000000000000002E-2</v>
      </c>
      <c r="BC72" s="449">
        <f>+SUMPRODUCT(AY72:BB72,AS$67:AV$67)/AW$67</f>
        <v>3.3501188269179423E-2</v>
      </c>
      <c r="BD72" s="264"/>
      <c r="BE72" s="259">
        <f>+BE69-BE71</f>
        <v>2.3000000000000003E-2</v>
      </c>
      <c r="BF72" s="260">
        <f>+BF69-BF71</f>
        <v>4.200000000000001E-2</v>
      </c>
      <c r="BG72" s="260">
        <f>+BG69-BG71</f>
        <v>3.1E-2</v>
      </c>
      <c r="BH72" s="260">
        <f>+BH69-BH71</f>
        <v>6.596540629820874E-3</v>
      </c>
      <c r="BI72" s="449">
        <f>+SUMPRODUCT(BE72:BH72,AY$67:BB$67)/BC$67</f>
        <v>2.5039168419752626E-2</v>
      </c>
      <c r="BJ72" s="264"/>
      <c r="BK72" s="259">
        <f>+BK69-BK71</f>
        <v>6.8000000000000005E-2</v>
      </c>
      <c r="BL72" s="260">
        <f>+BL69-BL71</f>
        <v>1.999999999999999E-2</v>
      </c>
      <c r="BM72" s="260">
        <f>+BM69-BM71</f>
        <v>3.2000000000000001E-2</v>
      </c>
      <c r="BN72" s="260">
        <f>+BN69-BN71</f>
        <v>1.0000000000000009E-3</v>
      </c>
      <c r="BO72" s="449">
        <f>+SUMPRODUCT(BK72:BN72,BE$67:BH$67)/BI$67</f>
        <v>2.880797668650819E-2</v>
      </c>
      <c r="BP72" s="264"/>
      <c r="BQ72" s="259">
        <f>+BQ69-BQ71</f>
        <v>-0.02</v>
      </c>
      <c r="BR72" s="260">
        <f>+BR69-BR71</f>
        <v>0.03</v>
      </c>
      <c r="BS72" s="260">
        <f>+BS69-BS71</f>
        <v>0.02</v>
      </c>
      <c r="BT72" s="260">
        <f>+BT69-BT71</f>
        <v>0.05</v>
      </c>
      <c r="BU72" s="449">
        <f>+SUMPRODUCT(BQ72:BT72,BK$67:BN$67)/BO$67</f>
        <v>2.125821339956712E-2</v>
      </c>
      <c r="BV72" s="264"/>
      <c r="BW72" s="259">
        <f>+BW69-BW71</f>
        <v>3.5000000000000003E-2</v>
      </c>
      <c r="BX72" s="260">
        <f>+BX69-BX71</f>
        <v>3.5000000000000003E-2</v>
      </c>
      <c r="BY72" s="260">
        <f>+BY69-BY71</f>
        <v>3.5000000000000003E-2</v>
      </c>
      <c r="BZ72" s="260">
        <f>+BZ69-BZ71</f>
        <v>3.5000000000000003E-2</v>
      </c>
      <c r="CA72" s="449">
        <f>+SUMPRODUCT(BW72:BZ72,BQ$67:BT$67)/BU$67</f>
        <v>3.5000000000000003E-2</v>
      </c>
      <c r="CB72" s="264"/>
      <c r="CC72" s="259">
        <f>+CC69-CC71</f>
        <v>3.5000000000000003E-2</v>
      </c>
      <c r="CD72" s="260">
        <f>+CD69-CD71</f>
        <v>3.5000000000000003E-2</v>
      </c>
      <c r="CE72" s="260">
        <f>+CE69-CE71</f>
        <v>3.5000000000000003E-2</v>
      </c>
      <c r="CF72" s="260">
        <f>+CF69-CF71</f>
        <v>3.5000000000000003E-2</v>
      </c>
      <c r="CG72" s="449">
        <f>+SUMPRODUCT(CC72:CF72,BW$67:BZ$67)/CA$67</f>
        <v>3.4999999999999996E-2</v>
      </c>
    </row>
    <row r="73" spans="1:86" ht="11.25" customHeight="1" outlineLevel="1" x14ac:dyDescent="0.2">
      <c r="A73" s="78"/>
      <c r="B73" s="773"/>
      <c r="C73" s="372"/>
      <c r="D73" s="260"/>
      <c r="E73" s="260"/>
      <c r="F73" s="260"/>
      <c r="G73" s="449"/>
      <c r="H73" s="264"/>
      <c r="I73" s="372"/>
      <c r="J73" s="260"/>
      <c r="K73" s="260"/>
      <c r="L73" s="260"/>
      <c r="M73" s="449"/>
      <c r="N73" s="264"/>
      <c r="O73" s="372"/>
      <c r="P73" s="260"/>
      <c r="Q73" s="260"/>
      <c r="R73" s="260"/>
      <c r="S73" s="449"/>
      <c r="T73" s="264"/>
      <c r="U73" s="372"/>
      <c r="V73" s="260"/>
      <c r="W73" s="260"/>
      <c r="X73" s="260"/>
      <c r="Y73" s="449"/>
      <c r="Z73" s="264"/>
      <c r="AA73" s="372"/>
      <c r="AB73" s="260"/>
      <c r="AC73" s="260"/>
      <c r="AD73" s="260"/>
      <c r="AE73" s="449"/>
      <c r="AF73" s="264"/>
      <c r="AG73" s="372"/>
      <c r="AH73" s="260"/>
      <c r="AI73" s="260"/>
      <c r="AJ73" s="260"/>
      <c r="AK73" s="449"/>
      <c r="AL73" s="264"/>
      <c r="AM73" s="372"/>
      <c r="AN73" s="260"/>
      <c r="AO73" s="260"/>
      <c r="AP73" s="260"/>
      <c r="AQ73" s="449"/>
      <c r="AR73" s="264"/>
      <c r="AS73" s="372"/>
      <c r="AT73" s="260"/>
      <c r="AU73" s="260"/>
      <c r="AV73" s="260"/>
      <c r="AW73" s="449"/>
      <c r="AX73" s="264"/>
      <c r="AY73" s="372"/>
      <c r="AZ73" s="260"/>
      <c r="BA73" s="260"/>
      <c r="BB73" s="260"/>
      <c r="BC73" s="449"/>
      <c r="BD73" s="264"/>
      <c r="BE73" s="372"/>
      <c r="BF73" s="260"/>
      <c r="BG73" s="260"/>
      <c r="BH73" s="260"/>
      <c r="BI73" s="449"/>
      <c r="BJ73" s="264"/>
      <c r="BK73" s="372"/>
      <c r="BL73" s="260"/>
      <c r="BM73" s="260"/>
      <c r="BN73" s="260"/>
      <c r="BO73" s="449"/>
      <c r="BP73" s="264"/>
      <c r="BQ73" s="372"/>
      <c r="BR73" s="260"/>
      <c r="BS73" s="260"/>
      <c r="BT73" s="260"/>
      <c r="BU73" s="449"/>
      <c r="BV73" s="264"/>
      <c r="BW73" s="372"/>
      <c r="BX73" s="260"/>
      <c r="BY73" s="260"/>
      <c r="BZ73" s="260"/>
      <c r="CA73" s="449"/>
      <c r="CB73" s="264"/>
      <c r="CC73" s="372"/>
      <c r="CD73" s="260"/>
      <c r="CE73" s="260"/>
      <c r="CF73" s="260"/>
      <c r="CG73" s="449"/>
    </row>
    <row r="74" spans="1:86" ht="11.25" customHeight="1" outlineLevel="1" x14ac:dyDescent="0.2">
      <c r="A74" s="78"/>
      <c r="B74" s="1162" t="s">
        <v>601</v>
      </c>
      <c r="C74" s="1159"/>
      <c r="D74" s="1160"/>
      <c r="E74" s="1160"/>
      <c r="F74" s="1160"/>
      <c r="G74" s="1161"/>
      <c r="H74" s="264"/>
      <c r="I74" s="1159"/>
      <c r="J74" s="1160"/>
      <c r="K74" s="1160"/>
      <c r="L74" s="1160"/>
      <c r="M74" s="1161"/>
      <c r="N74" s="264"/>
      <c r="O74" s="1159"/>
      <c r="P74" s="1160"/>
      <c r="Q74" s="1160"/>
      <c r="R74" s="1160"/>
      <c r="S74" s="1161"/>
      <c r="T74" s="264"/>
      <c r="U74" s="1159"/>
      <c r="V74" s="1160"/>
      <c r="W74" s="1160"/>
      <c r="X74" s="1160"/>
      <c r="Y74" s="1161"/>
      <c r="Z74" s="264"/>
      <c r="AA74" s="1159"/>
      <c r="AB74" s="1160"/>
      <c r="AC74" s="1160"/>
      <c r="AD74" s="1160"/>
      <c r="AE74" s="1161"/>
      <c r="AF74" s="264"/>
      <c r="AG74" s="1159"/>
      <c r="AH74" s="1160"/>
      <c r="AI74" s="1160"/>
      <c r="AJ74" s="1160"/>
      <c r="AK74" s="1161"/>
      <c r="AL74" s="264"/>
      <c r="AM74" s="1159"/>
      <c r="AN74" s="1160"/>
      <c r="AO74" s="1160"/>
      <c r="AP74" s="1160"/>
      <c r="AQ74" s="1161"/>
      <c r="AR74" s="264"/>
      <c r="AS74" s="1159"/>
      <c r="AT74" s="1160"/>
      <c r="AU74" s="1160"/>
      <c r="AV74" s="1160"/>
      <c r="AW74" s="1161"/>
      <c r="AX74" s="264"/>
      <c r="AY74" s="1159"/>
      <c r="AZ74" s="1160"/>
      <c r="BA74" s="1160"/>
      <c r="BB74" s="1160"/>
      <c r="BC74" s="1161"/>
      <c r="BD74" s="264"/>
      <c r="BE74" s="1159"/>
      <c r="BF74" s="1160"/>
      <c r="BG74" s="1160"/>
      <c r="BH74" s="1160"/>
      <c r="BI74" s="1161"/>
      <c r="BJ74" s="264"/>
      <c r="BK74" s="1159"/>
      <c r="BL74" s="1160"/>
      <c r="BM74" s="1160"/>
      <c r="BN74" s="1160"/>
      <c r="BO74" s="1161"/>
      <c r="BP74" s="264"/>
      <c r="BQ74" s="1159"/>
      <c r="BR74" s="1160"/>
      <c r="BS74" s="1160"/>
      <c r="BT74" s="1160"/>
      <c r="BU74" s="1161"/>
      <c r="BV74" s="264"/>
      <c r="BW74" s="1159"/>
      <c r="BX74" s="1160"/>
      <c r="BY74" s="1160"/>
      <c r="BZ74" s="1160"/>
      <c r="CA74" s="1161"/>
      <c r="CB74" s="264"/>
      <c r="CC74" s="1159"/>
      <c r="CD74" s="1160"/>
      <c r="CE74" s="1160"/>
      <c r="CF74" s="1160"/>
      <c r="CG74" s="1161"/>
    </row>
    <row r="75" spans="1:86" ht="11.25" customHeight="1" outlineLevel="1" x14ac:dyDescent="0.2">
      <c r="A75" s="78"/>
      <c r="B75" s="108" t="s">
        <v>555</v>
      </c>
      <c r="C75" s="269"/>
      <c r="D75" s="270"/>
      <c r="E75" s="270"/>
      <c r="F75" s="270"/>
      <c r="G75" s="448"/>
      <c r="H75" s="39"/>
      <c r="I75" s="269"/>
      <c r="J75" s="270"/>
      <c r="K75" s="270"/>
      <c r="L75" s="270"/>
      <c r="M75" s="448"/>
      <c r="N75" s="39"/>
      <c r="O75" s="269"/>
      <c r="P75" s="270"/>
      <c r="Q75" s="270"/>
      <c r="R75" s="270"/>
      <c r="S75" s="448"/>
      <c r="T75" s="39"/>
      <c r="U75" s="269"/>
      <c r="V75" s="270"/>
      <c r="W75" s="270"/>
      <c r="X75" s="270"/>
      <c r="Y75" s="448"/>
      <c r="Z75" s="39"/>
      <c r="AA75" s="147">
        <f>AA67*AA$337</f>
        <v>331.22540625943441</v>
      </c>
      <c r="AB75" s="148">
        <f>AB67*AB$337</f>
        <v>375.27751580694212</v>
      </c>
      <c r="AC75" s="148">
        <f>AC67*AC$337</f>
        <v>339.87173999999999</v>
      </c>
      <c r="AD75" s="148">
        <f>AD67*AD$337</f>
        <v>412.86071142956706</v>
      </c>
      <c r="AE75" s="448">
        <f>SUM(AA75:AD75)</f>
        <v>1459.2353734959436</v>
      </c>
      <c r="AF75" s="39"/>
      <c r="AG75" s="147">
        <f>AG67*AG$337</f>
        <v>360.38873251918187</v>
      </c>
      <c r="AH75" s="148">
        <f>AH67*AH$337</f>
        <v>346.6340268491258</v>
      </c>
      <c r="AI75" s="148">
        <f>AI67*AI$337</f>
        <v>317.82457291769998</v>
      </c>
      <c r="AJ75" s="148">
        <f>AJ67*AJ$337</f>
        <v>392.10769549585882</v>
      </c>
      <c r="AK75" s="448">
        <f>SUM(AG75:AJ75)</f>
        <v>1416.9550277818666</v>
      </c>
      <c r="AL75" s="39"/>
      <c r="AM75" s="147">
        <f>AM67*AM$337</f>
        <v>381.01876074534044</v>
      </c>
      <c r="AN75" s="148">
        <f>AN67*AN$337</f>
        <v>379.93108665417219</v>
      </c>
      <c r="AO75" s="148">
        <f>AO67*AO$337</f>
        <v>341.98927702270112</v>
      </c>
      <c r="AP75" s="148">
        <f>AP67*AP$337</f>
        <v>423.2914214388511</v>
      </c>
      <c r="AQ75" s="448">
        <f>SUM(AM75:AP75)</f>
        <v>1526.2305458610649</v>
      </c>
      <c r="AR75" s="39"/>
      <c r="AS75" s="147">
        <f>AS67*AS$337</f>
        <v>416.72580817667517</v>
      </c>
      <c r="AT75" s="148">
        <f>AT67*AT$337</f>
        <v>420.11382233523915</v>
      </c>
      <c r="AU75" s="148">
        <f>AU67*AU$337</f>
        <v>381.291271616394</v>
      </c>
      <c r="AV75" s="148">
        <f>AV67*AV$337</f>
        <v>440.96439332032986</v>
      </c>
      <c r="AW75" s="448">
        <f>SUM(AS75:AV75)</f>
        <v>1659.0952954486381</v>
      </c>
      <c r="AX75" s="39"/>
      <c r="AY75" s="147">
        <f>AY67*AY$337</f>
        <v>361.20793351853979</v>
      </c>
      <c r="AZ75" s="148">
        <f>AZ67*AZ$337</f>
        <v>366.53374851934177</v>
      </c>
      <c r="BA75" s="148">
        <f>BA67*BA$337</f>
        <v>334.71398503795081</v>
      </c>
      <c r="BB75" s="148">
        <f>BB67*BB$337</f>
        <v>411.02129849796233</v>
      </c>
      <c r="BC75" s="448">
        <f>SUM(AY75:BB75)</f>
        <v>1473.4769655737948</v>
      </c>
      <c r="BD75" s="39"/>
      <c r="BE75" s="147">
        <f>BE67*BE$337</f>
        <v>361.52635974807203</v>
      </c>
      <c r="BF75" s="148">
        <f>BF67*BF$337</f>
        <v>393.42824985791788</v>
      </c>
      <c r="BG75" s="148">
        <f>BG67*BG$337</f>
        <v>345.52906938420062</v>
      </c>
      <c r="BH75" s="148">
        <f>BH67*BH$337</f>
        <v>429.74215565226586</v>
      </c>
      <c r="BI75" s="448">
        <f>SUM(BE75:BH75)</f>
        <v>1530.2258346424564</v>
      </c>
      <c r="BJ75" s="39"/>
      <c r="BK75" s="147">
        <f>BK67*BK$337</f>
        <v>440.27412019784674</v>
      </c>
      <c r="BL75" s="148">
        <f>BL67*BL$337</f>
        <v>443.98126467342934</v>
      </c>
      <c r="BM75" s="148">
        <f>BM67*BM$337</f>
        <v>448.68590512653714</v>
      </c>
      <c r="BN75" s="148">
        <f>BN67*BN$337</f>
        <v>503.9927707944247</v>
      </c>
      <c r="BO75" s="448">
        <f>SUM(BK75:BN75)</f>
        <v>1836.9340607922381</v>
      </c>
      <c r="BP75" s="39"/>
      <c r="BQ75" s="147">
        <f>+BK75*(1+BQ76)</f>
        <v>424.86452599092212</v>
      </c>
      <c r="BR75" s="148">
        <f>+BL75*(1+BR76)</f>
        <v>459.52060893699934</v>
      </c>
      <c r="BS75" s="148">
        <f>+BM75*(1+BS76)</f>
        <v>448.68590512653714</v>
      </c>
      <c r="BT75" s="148">
        <f>+BN75*(1+BT76)</f>
        <v>498.95284308648047</v>
      </c>
      <c r="BU75" s="448">
        <f>SUM(BQ75:BT75)</f>
        <v>1832.023883140939</v>
      </c>
      <c r="BV75" s="39"/>
      <c r="BW75" s="147">
        <f>+BQ75*(1+BW76)</f>
        <v>437.61046177064981</v>
      </c>
      <c r="BX75" s="148">
        <f>+BR75*(1+BX76)</f>
        <v>473.30622720510934</v>
      </c>
      <c r="BY75" s="148">
        <f>+BS75*(1+BY76)</f>
        <v>462.14648228033326</v>
      </c>
      <c r="BZ75" s="148">
        <f>+BT75*(1+BZ76)</f>
        <v>513.92142837907488</v>
      </c>
      <c r="CA75" s="448">
        <f>SUM(BW75:BZ75)</f>
        <v>1886.9845996351673</v>
      </c>
      <c r="CB75" s="39"/>
      <c r="CC75" s="147">
        <f>+BW75*(1+CC76)</f>
        <v>450.7387756237693</v>
      </c>
      <c r="CD75" s="148">
        <f>+BX75*(1+CD76)</f>
        <v>487.50541402126265</v>
      </c>
      <c r="CE75" s="148">
        <f>+BY75*(1+CE76)</f>
        <v>476.01087674874327</v>
      </c>
      <c r="CF75" s="148">
        <f>+BZ75*(1+CF76)</f>
        <v>529.33907123044719</v>
      </c>
      <c r="CG75" s="448">
        <f>SUM(CC75:CF75)</f>
        <v>1943.5941376242224</v>
      </c>
    </row>
    <row r="76" spans="1:86" ht="11.25" customHeight="1" outlineLevel="1" x14ac:dyDescent="0.2">
      <c r="A76" s="78"/>
      <c r="B76" s="99" t="s">
        <v>253</v>
      </c>
      <c r="C76" s="61"/>
      <c r="D76" s="61"/>
      <c r="E76" s="61"/>
      <c r="F76" s="61"/>
      <c r="G76" s="447"/>
      <c r="H76" s="51"/>
      <c r="I76" s="625"/>
      <c r="J76" s="61"/>
      <c r="K76" s="61"/>
      <c r="L76" s="61"/>
      <c r="M76" s="447"/>
      <c r="N76" s="51"/>
      <c r="O76" s="625"/>
      <c r="P76" s="61"/>
      <c r="Q76" s="61"/>
      <c r="R76" s="61"/>
      <c r="S76" s="447"/>
      <c r="T76" s="51"/>
      <c r="U76" s="625"/>
      <c r="V76" s="61"/>
      <c r="W76" s="61"/>
      <c r="X76" s="61"/>
      <c r="Y76" s="447"/>
      <c r="Z76" s="51"/>
      <c r="AA76" s="625"/>
      <c r="AB76" s="61"/>
      <c r="AC76" s="61"/>
      <c r="AD76" s="61"/>
      <c r="AE76" s="447"/>
      <c r="AF76" s="51"/>
      <c r="AG76" s="625">
        <f>AG75/AA75-1</f>
        <v>8.8046767272752957E-2</v>
      </c>
      <c r="AH76" s="61">
        <f>AH75/AB75-1</f>
        <v>-7.6326152650593837E-2</v>
      </c>
      <c r="AI76" s="61">
        <f>AI75/AC75-1</f>
        <v>-6.4869079972050603E-2</v>
      </c>
      <c r="AJ76" s="61">
        <f>AJ75/AD75-1</f>
        <v>-5.0266386118090756E-2</v>
      </c>
      <c r="AK76" s="447">
        <f>AK75/AE75-1</f>
        <v>-2.8974315235234749E-2</v>
      </c>
      <c r="AL76" s="51"/>
      <c r="AM76" s="625">
        <f>AM75/AG75-1</f>
        <v>5.7243821364644232E-2</v>
      </c>
      <c r="AN76" s="61">
        <f>AN75/AH75-1</f>
        <v>9.6058255179717555E-2</v>
      </c>
      <c r="AO76" s="61">
        <f>AO75/AI75-1</f>
        <v>7.6031578940431777E-2</v>
      </c>
      <c r="AP76" s="61">
        <f>AP75/AJ75-1</f>
        <v>7.9528472154971164E-2</v>
      </c>
      <c r="AQ76" s="447">
        <f>AQ75/AK75-1</f>
        <v>7.7119962127704555E-2</v>
      </c>
      <c r="AR76" s="51"/>
      <c r="AS76" s="625">
        <f>AS75/AM75-1</f>
        <v>9.3714670011223022E-2</v>
      </c>
      <c r="AT76" s="61">
        <f>AT75/AN75-1</f>
        <v>0.10576322152244111</v>
      </c>
      <c r="AU76" s="61">
        <f>AU75/AO75-1</f>
        <v>0.11492171607206281</v>
      </c>
      <c r="AV76" s="61">
        <f>AV75/AP75-1</f>
        <v>4.1751311239440758E-2</v>
      </c>
      <c r="AW76" s="447">
        <f>AW75/AQ75-1</f>
        <v>8.705418060717296E-2</v>
      </c>
      <c r="AX76" s="51"/>
      <c r="AY76" s="625">
        <f>AY75/AS75-1</f>
        <v>-0.13322398941655667</v>
      </c>
      <c r="AZ76" s="61">
        <f>AZ75/AT75-1</f>
        <v>-0.12753704107631569</v>
      </c>
      <c r="BA76" s="61">
        <f>BA75/AU75-1</f>
        <v>-0.12215670812759449</v>
      </c>
      <c r="BB76" s="61">
        <f>BB75/AV75-1</f>
        <v>-6.7903656793930622E-2</v>
      </c>
      <c r="BC76" s="447">
        <f>BC75/AW75-1</f>
        <v>-0.11187924550449047</v>
      </c>
      <c r="BD76" s="51"/>
      <c r="BE76" s="625">
        <f>BE75/AY75-1</f>
        <v>8.8155934569433825E-4</v>
      </c>
      <c r="BF76" s="61">
        <f>BF75/AZ75-1</f>
        <v>7.3375238834676892E-2</v>
      </c>
      <c r="BG76" s="61">
        <f>BG75/BA75-1</f>
        <v>3.2311420585021455E-2</v>
      </c>
      <c r="BH76" s="61">
        <f>BH75/BB75-1</f>
        <v>4.5547170481717414E-2</v>
      </c>
      <c r="BI76" s="447">
        <f>BI75/BC75-1</f>
        <v>3.8513577337507154E-2</v>
      </c>
      <c r="BJ76" s="51"/>
      <c r="BK76" s="625">
        <f>BK75/BE75-1</f>
        <v>0.21782024554073942</v>
      </c>
      <c r="BL76" s="61">
        <f>BL75/BF75-1</f>
        <v>0.128493606734565</v>
      </c>
      <c r="BM76" s="61">
        <f>BM75/BG75-1</f>
        <v>0.29854748813517151</v>
      </c>
      <c r="BN76" s="61">
        <f>BN75/BH75-1</f>
        <v>0.17277945429733488</v>
      </c>
      <c r="BO76" s="447">
        <f>BO75/BI75-1</f>
        <v>0.20043330808190496</v>
      </c>
      <c r="BP76" s="51"/>
      <c r="BQ76" s="625">
        <f>+BQ77+BQ78+BQ79</f>
        <v>-3.5000000000000003E-2</v>
      </c>
      <c r="BR76" s="61">
        <f>+BR77+BR78+BR79</f>
        <v>3.5000000000000003E-2</v>
      </c>
      <c r="BS76" s="61">
        <f>+BS77+BS78+BS79</f>
        <v>0</v>
      </c>
      <c r="BT76" s="61">
        <f>+BT77+BT78+BT79</f>
        <v>-9.9999999999999985E-3</v>
      </c>
      <c r="BU76" s="447">
        <f>BU75/BO75-1</f>
        <v>-2.673028801687849E-3</v>
      </c>
      <c r="BV76" s="51"/>
      <c r="BW76" s="625">
        <f>+BW77+BW78+BW79</f>
        <v>0.03</v>
      </c>
      <c r="BX76" s="61">
        <f>+BX77+BX78+BX79</f>
        <v>0.03</v>
      </c>
      <c r="BY76" s="61">
        <f>+BY77+BY78+BY79</f>
        <v>0.03</v>
      </c>
      <c r="BZ76" s="61">
        <f>+BZ77+BZ78+BZ79</f>
        <v>0.03</v>
      </c>
      <c r="CA76" s="447">
        <f>CA75/BU75-1</f>
        <v>3.0000000000000027E-2</v>
      </c>
      <c r="CB76" s="51"/>
      <c r="CC76" s="625">
        <f>+CC77+CC78+CC79</f>
        <v>0.03</v>
      </c>
      <c r="CD76" s="61">
        <f>+CD77+CD78+CD79</f>
        <v>0.03</v>
      </c>
      <c r="CE76" s="61">
        <f>+CE77+CE78+CE79</f>
        <v>0.03</v>
      </c>
      <c r="CF76" s="61">
        <f>+CF77+CF78+CF79</f>
        <v>0.03</v>
      </c>
      <c r="CG76" s="447">
        <f>CG75/CA75-1</f>
        <v>3.0000000000000027E-2</v>
      </c>
    </row>
    <row r="77" spans="1:86" ht="11.25" customHeight="1" outlineLevel="1" x14ac:dyDescent="0.2">
      <c r="A77" s="78"/>
      <c r="B77" s="99" t="s">
        <v>255</v>
      </c>
      <c r="C77" s="61"/>
      <c r="D77" s="61"/>
      <c r="E77" s="61"/>
      <c r="F77" s="61"/>
      <c r="G77" s="447"/>
      <c r="H77" s="51"/>
      <c r="I77" s="625"/>
      <c r="J77" s="61"/>
      <c r="K77" s="61"/>
      <c r="L77" s="61"/>
      <c r="M77" s="447"/>
      <c r="N77" s="51"/>
      <c r="O77" s="625"/>
      <c r="P77" s="61"/>
      <c r="Q77" s="61"/>
      <c r="R77" s="61"/>
      <c r="S77" s="447"/>
      <c r="T77" s="51"/>
      <c r="U77" s="625"/>
      <c r="V77" s="61"/>
      <c r="W77" s="61"/>
      <c r="X77" s="61"/>
      <c r="Y77" s="447"/>
      <c r="Z77" s="51"/>
      <c r="AA77" s="625"/>
      <c r="AB77" s="61"/>
      <c r="AC77" s="61"/>
      <c r="AD77" s="61"/>
      <c r="AE77" s="447"/>
      <c r="AF77" s="51"/>
      <c r="AG77" s="625">
        <f>AG70</f>
        <v>-2.5760931848794827E-2</v>
      </c>
      <c r="AH77" s="61">
        <f>AH70</f>
        <v>-8.7946935192749431E-2</v>
      </c>
      <c r="AI77" s="61">
        <f>AI70</f>
        <v>-9.1222514705106103E-2</v>
      </c>
      <c r="AJ77" s="61">
        <f>AJ70</f>
        <v>-2.6957438368448793E-2</v>
      </c>
      <c r="AK77" s="447">
        <f>AK70</f>
        <v>-5.7349924379086085E-2</v>
      </c>
      <c r="AL77" s="51"/>
      <c r="AM77" s="625">
        <f>AM70</f>
        <v>5.4260475005754386E-3</v>
      </c>
      <c r="AN77" s="61">
        <f>AN70</f>
        <v>6.5237421773585991E-3</v>
      </c>
      <c r="AO77" s="61">
        <f>AO70</f>
        <v>2.1642650463677915E-2</v>
      </c>
      <c r="AP77" s="61">
        <f>AP70</f>
        <v>2.8385237313934428E-2</v>
      </c>
      <c r="AQ77" s="447">
        <f>AQ70</f>
        <v>1.5715397720289268E-2</v>
      </c>
      <c r="AR77" s="51"/>
      <c r="AS77" s="625">
        <f>AS70</f>
        <v>2.1572108713986474E-2</v>
      </c>
      <c r="AT77" s="61">
        <f>AT70</f>
        <v>5.5614889329456504E-2</v>
      </c>
      <c r="AU77" s="61">
        <f>AU70</f>
        <v>2.8931734254061661E-2</v>
      </c>
      <c r="AV77" s="61">
        <f>AV70</f>
        <v>-6.3650569042682334E-2</v>
      </c>
      <c r="AW77" s="447">
        <f>AW70</f>
        <v>7.9966418316014705E-3</v>
      </c>
      <c r="AX77" s="51"/>
      <c r="AY77" s="625">
        <f>AY70</f>
        <v>-0.14299652590777734</v>
      </c>
      <c r="AZ77" s="61">
        <f>AZ70</f>
        <v>-0.183926680980735</v>
      </c>
      <c r="BA77" s="61">
        <f>BA70</f>
        <v>-0.16084091189257149</v>
      </c>
      <c r="BB77" s="61">
        <f>BB70</f>
        <v>-0.12340093790008194</v>
      </c>
      <c r="BC77" s="447">
        <f>BC70</f>
        <v>-0.15245377490867842</v>
      </c>
      <c r="BD77" s="51"/>
      <c r="BE77" s="625">
        <f>BE70</f>
        <v>-3.692095727830931E-2</v>
      </c>
      <c r="BF77" s="61">
        <f>BF70</f>
        <v>3.4445082968176943E-3</v>
      </c>
      <c r="BG77" s="61">
        <f>BG70</f>
        <v>-1.5821598256041403E-2</v>
      </c>
      <c r="BH77" s="61">
        <f>BH70</f>
        <v>-2.5999999999999999E-2</v>
      </c>
      <c r="BI77" s="447">
        <f>BI70</f>
        <v>-1.8964643051551593E-2</v>
      </c>
      <c r="BJ77" s="51"/>
      <c r="BK77" s="625">
        <f>BK70</f>
        <v>-1.2992683940220739E-2</v>
      </c>
      <c r="BL77" s="61">
        <f>BL70</f>
        <v>-1.9853826711032058E-2</v>
      </c>
      <c r="BM77" s="61">
        <f>BM70</f>
        <v>5.3209166735046359E-2</v>
      </c>
      <c r="BN77" s="61">
        <f>BN70</f>
        <v>7.5950887450026955E-2</v>
      </c>
      <c r="BO77" s="463">
        <f>BO70</f>
        <v>2.5094609767943858E-2</v>
      </c>
      <c r="BP77" s="51"/>
      <c r="BQ77" s="625">
        <f t="shared" ref="BQ77:BU78" si="21">BQ70</f>
        <v>-1.4999999999999999E-2</v>
      </c>
      <c r="BR77" s="61">
        <f t="shared" si="21"/>
        <v>-1.4999999999999999E-2</v>
      </c>
      <c r="BS77" s="51">
        <f t="shared" si="21"/>
        <v>-0.03</v>
      </c>
      <c r="BT77" s="51">
        <f t="shared" si="21"/>
        <v>-0.03</v>
      </c>
      <c r="BU77" s="463">
        <f t="shared" si="21"/>
        <v>-2.2779928369745309E-2</v>
      </c>
      <c r="BV77" s="51"/>
      <c r="BW77" s="625">
        <f t="shared" ref="BW77:CA78" si="22">BW70</f>
        <v>0</v>
      </c>
      <c r="BX77" s="61">
        <f t="shared" si="22"/>
        <v>0</v>
      </c>
      <c r="BY77" s="51">
        <f t="shared" si="22"/>
        <v>0</v>
      </c>
      <c r="BZ77" s="51">
        <f t="shared" si="22"/>
        <v>0</v>
      </c>
      <c r="CA77" s="463">
        <f t="shared" si="22"/>
        <v>0</v>
      </c>
      <c r="CB77" s="51"/>
      <c r="CC77" s="625">
        <f t="shared" ref="CC77:CG78" si="23">CC70</f>
        <v>0</v>
      </c>
      <c r="CD77" s="61">
        <f t="shared" si="23"/>
        <v>0</v>
      </c>
      <c r="CE77" s="51">
        <f t="shared" si="23"/>
        <v>0</v>
      </c>
      <c r="CF77" s="51">
        <f t="shared" si="23"/>
        <v>0</v>
      </c>
      <c r="CG77" s="463">
        <f t="shared" si="23"/>
        <v>0</v>
      </c>
    </row>
    <row r="78" spans="1:86" ht="11.25" customHeight="1" outlineLevel="1" x14ac:dyDescent="0.2">
      <c r="A78" s="78"/>
      <c r="B78" s="99" t="s">
        <v>254</v>
      </c>
      <c r="C78" s="61"/>
      <c r="D78" s="61"/>
      <c r="E78" s="61"/>
      <c r="F78" s="61"/>
      <c r="G78" s="447"/>
      <c r="H78" s="51"/>
      <c r="I78" s="625"/>
      <c r="J78" s="61"/>
      <c r="K78" s="61"/>
      <c r="L78" s="61"/>
      <c r="M78" s="447"/>
      <c r="N78" s="51"/>
      <c r="O78" s="625"/>
      <c r="P78" s="61"/>
      <c r="Q78" s="61"/>
      <c r="R78" s="61"/>
      <c r="S78" s="447"/>
      <c r="T78" s="51"/>
      <c r="U78" s="625"/>
      <c r="V78" s="61"/>
      <c r="W78" s="61"/>
      <c r="X78" s="61"/>
      <c r="Y78" s="447"/>
      <c r="Z78" s="51"/>
      <c r="AA78" s="625"/>
      <c r="AB78" s="61"/>
      <c r="AC78" s="61"/>
      <c r="AD78" s="61"/>
      <c r="AE78" s="447"/>
      <c r="AF78" s="51"/>
      <c r="AG78" s="625">
        <f>AG76-AG77-AG79</f>
        <v>1.3807699121547778E-2</v>
      </c>
      <c r="AH78" s="61">
        <f>AH76-AH77-AH79</f>
        <v>-2.2379217457844408E-2</v>
      </c>
      <c r="AI78" s="61">
        <f>AI76-AI77-AI79</f>
        <v>-7.6465652669445022E-3</v>
      </c>
      <c r="AJ78" s="61">
        <f>AJ76-AJ77-AJ79</f>
        <v>-4.5308947749641962E-2</v>
      </c>
      <c r="AK78" s="447">
        <f>AK76-AK77-AK79</f>
        <v>-1.8873791606719252E-2</v>
      </c>
      <c r="AL78" s="51"/>
      <c r="AM78" s="625">
        <f>AM76-AM77-AM79</f>
        <v>6.8817773864068787E-2</v>
      </c>
      <c r="AN78" s="61">
        <f>AN76-AN77-AN79</f>
        <v>0.10253451300235895</v>
      </c>
      <c r="AO78" s="61">
        <f>AO76-AO77-AO79</f>
        <v>6.2388928476753862E-2</v>
      </c>
      <c r="AP78" s="61">
        <f>AP76-AP77-AP79</f>
        <v>3.6143234841036737E-2</v>
      </c>
      <c r="AQ78" s="447">
        <f>AQ76-AQ77-AQ79</f>
        <v>6.6446669686763632E-2</v>
      </c>
      <c r="AR78" s="51"/>
      <c r="AS78" s="625">
        <f>AS76-AS77-AS79</f>
        <v>3.9142561297236547E-2</v>
      </c>
      <c r="AT78" s="61">
        <f>AT76-AT77-AT79</f>
        <v>2.9148332192984603E-2</v>
      </c>
      <c r="AU78" s="61">
        <f>AU76-AU77-AU79</f>
        <v>5.3989981818001145E-2</v>
      </c>
      <c r="AV78" s="61">
        <f>AV76-AV77-AV79</f>
        <v>7.4401880282123092E-2</v>
      </c>
      <c r="AW78" s="447">
        <f>AW76-AW77-AW79</f>
        <v>4.9894315091236381E-2</v>
      </c>
      <c r="AX78" s="51"/>
      <c r="AY78" s="625">
        <f>AY76-AY77-AY79</f>
        <v>-6.2274635087793268E-3</v>
      </c>
      <c r="AZ78" s="61">
        <f>AZ76-AZ77-AZ79</f>
        <v>3.6389639904419305E-2</v>
      </c>
      <c r="BA78" s="61">
        <f>BA76-BA77-BA79</f>
        <v>9.6842037649769973E-3</v>
      </c>
      <c r="BB78" s="61">
        <f>BB76-BB77-BB79</f>
        <v>1.5497281106151319E-2</v>
      </c>
      <c r="BC78" s="447">
        <f>BC76-BC77-BC79</f>
        <v>1.3958241366992318E-2</v>
      </c>
      <c r="BD78" s="51"/>
      <c r="BE78" s="625">
        <f>BE76-BE77-BE79</f>
        <v>2.1802516624003648E-2</v>
      </c>
      <c r="BF78" s="61">
        <f>BF76-BF77-BF79</f>
        <v>2.49307305378592E-2</v>
      </c>
      <c r="BG78" s="61">
        <f>BG76-BG77-BG79</f>
        <v>2.1133018841062858E-2</v>
      </c>
      <c r="BH78" s="61">
        <f>BH76-BH77-BH79</f>
        <v>4.6547170481717408E-2</v>
      </c>
      <c r="BI78" s="447">
        <f>BI76-BI77-BI79</f>
        <v>2.9008128278684309E-2</v>
      </c>
      <c r="BJ78" s="51"/>
      <c r="BK78" s="625">
        <f>BK76-BK77-BK79</f>
        <v>0.15081292948096015</v>
      </c>
      <c r="BL78" s="61">
        <f>BL76-BL77-BL79</f>
        <v>0.13434743344559705</v>
      </c>
      <c r="BM78" s="61">
        <f>BM76-BM77-BM79</f>
        <v>0.21133832140012515</v>
      </c>
      <c r="BN78" s="61">
        <f>BN76-BN77-BN79</f>
        <v>0.12282856684730792</v>
      </c>
      <c r="BO78" s="463">
        <f>+SUMPRODUCT(BK78:BN78,BE$75:BH$75)/BI$75</f>
        <v>0.15238735769830247</v>
      </c>
      <c r="BP78" s="51"/>
      <c r="BQ78" s="625">
        <f t="shared" si="21"/>
        <v>0</v>
      </c>
      <c r="BR78" s="61">
        <f t="shared" si="21"/>
        <v>0</v>
      </c>
      <c r="BS78" s="51">
        <f t="shared" si="21"/>
        <v>0</v>
      </c>
      <c r="BT78" s="51">
        <f t="shared" si="21"/>
        <v>0</v>
      </c>
      <c r="BU78" s="463">
        <f t="shared" si="21"/>
        <v>0</v>
      </c>
      <c r="BV78" s="51"/>
      <c r="BW78" s="625">
        <f t="shared" si="22"/>
        <v>0</v>
      </c>
      <c r="BX78" s="61">
        <f t="shared" si="22"/>
        <v>0</v>
      </c>
      <c r="BY78" s="51">
        <f t="shared" si="22"/>
        <v>0</v>
      </c>
      <c r="BZ78" s="51">
        <f t="shared" si="22"/>
        <v>0</v>
      </c>
      <c r="CA78" s="463">
        <f t="shared" si="22"/>
        <v>0</v>
      </c>
      <c r="CB78" s="51"/>
      <c r="CC78" s="625">
        <f t="shared" si="23"/>
        <v>0</v>
      </c>
      <c r="CD78" s="61">
        <f t="shared" si="23"/>
        <v>0</v>
      </c>
      <c r="CE78" s="51">
        <f t="shared" si="23"/>
        <v>0</v>
      </c>
      <c r="CF78" s="51">
        <f t="shared" si="23"/>
        <v>0</v>
      </c>
      <c r="CG78" s="463">
        <f t="shared" si="23"/>
        <v>0</v>
      </c>
    </row>
    <row r="79" spans="1:86" ht="11.25" customHeight="1" outlineLevel="1" x14ac:dyDescent="0.2">
      <c r="A79" s="78"/>
      <c r="B79" s="1033" t="s">
        <v>569</v>
      </c>
      <c r="C79" s="372"/>
      <c r="D79" s="260"/>
      <c r="E79" s="260"/>
      <c r="F79" s="260"/>
      <c r="G79" s="449"/>
      <c r="H79" s="264"/>
      <c r="I79" s="372"/>
      <c r="J79" s="260"/>
      <c r="K79" s="260"/>
      <c r="L79" s="260"/>
      <c r="M79" s="449"/>
      <c r="N79" s="264"/>
      <c r="O79" s="372"/>
      <c r="P79" s="260"/>
      <c r="Q79" s="260"/>
      <c r="R79" s="260"/>
      <c r="S79" s="455"/>
      <c r="T79" s="264"/>
      <c r="U79" s="374">
        <v>5.7000000000000002E-2</v>
      </c>
      <c r="V79" s="257">
        <v>4.7E-2</v>
      </c>
      <c r="W79" s="257">
        <v>2.1999999999999999E-2</v>
      </c>
      <c r="X79" s="257">
        <v>3.7999999999999999E-2</v>
      </c>
      <c r="Y79" s="449">
        <f>AVERAGE(U79:X79)</f>
        <v>4.1000000000000002E-2</v>
      </c>
      <c r="Z79" s="264"/>
      <c r="AA79" s="374">
        <v>1.4E-2</v>
      </c>
      <c r="AB79" s="257">
        <v>3.2000000000000001E-2</v>
      </c>
      <c r="AC79" s="257">
        <v>3.4000000000000002E-2</v>
      </c>
      <c r="AD79" s="257">
        <f>+(AD72-(AD85*(1-AD87)))/AD87</f>
        <v>8.9667109288020744E-3</v>
      </c>
      <c r="AE79" s="449">
        <f>SUMPRODUCT(AA79:AD79,AA67:AD67)/AE67</f>
        <v>2.1865826187661291E-2</v>
      </c>
      <c r="AF79" s="264"/>
      <c r="AG79" s="374">
        <v>0.1</v>
      </c>
      <c r="AH79" s="257">
        <v>3.4000000000000002E-2</v>
      </c>
      <c r="AI79" s="257">
        <v>3.4000000000000002E-2</v>
      </c>
      <c r="AJ79" s="257">
        <v>2.1999999999999999E-2</v>
      </c>
      <c r="AK79" s="449">
        <f>SUMPRODUCT(AG79:AJ79,AG67:AJ67)/AK67</f>
        <v>4.7249400750570589E-2</v>
      </c>
      <c r="AL79" s="264"/>
      <c r="AM79" s="374">
        <v>-1.7000000000000001E-2</v>
      </c>
      <c r="AN79" s="257">
        <v>-1.2999999999999999E-2</v>
      </c>
      <c r="AO79" s="257">
        <v>-8.0000000000000002E-3</v>
      </c>
      <c r="AP79" s="257">
        <v>1.4999999999999999E-2</v>
      </c>
      <c r="AQ79" s="449">
        <f>SUMPRODUCT(AM79:AP79,AM67:AP67)/AQ67</f>
        <v>-5.0421052793483421E-3</v>
      </c>
      <c r="AR79" s="264"/>
      <c r="AS79" s="374">
        <v>3.3000000000000002E-2</v>
      </c>
      <c r="AT79" s="257">
        <v>2.1000000000000001E-2</v>
      </c>
      <c r="AU79" s="257">
        <v>3.2000000000000001E-2</v>
      </c>
      <c r="AV79" s="257">
        <v>3.1E-2</v>
      </c>
      <c r="AW79" s="449">
        <f>SUMPRODUCT(AS79:AV79,AS67:AV67)/AW67</f>
        <v>2.9163223684335111E-2</v>
      </c>
      <c r="AX79" s="264"/>
      <c r="AY79" s="374">
        <v>1.6E-2</v>
      </c>
      <c r="AZ79" s="257">
        <v>0.02</v>
      </c>
      <c r="BA79" s="257">
        <v>2.9000000000000001E-2</v>
      </c>
      <c r="BB79" s="257">
        <v>0.04</v>
      </c>
      <c r="BC79" s="449">
        <f>SUMPRODUCT(AY79:BB79,AY67:BB67)/BC67</f>
        <v>2.6616288037195641E-2</v>
      </c>
      <c r="BD79" s="264"/>
      <c r="BE79" s="374">
        <v>1.6E-2</v>
      </c>
      <c r="BF79" s="257">
        <v>4.4999999999999998E-2</v>
      </c>
      <c r="BG79" s="257">
        <v>2.7E-2</v>
      </c>
      <c r="BH79" s="257">
        <v>2.5000000000000001E-2</v>
      </c>
      <c r="BI79" s="449">
        <f>SUMPRODUCT(BE79:BH79,BE67:BH67)/BI67</f>
        <v>2.8470092110374438E-2</v>
      </c>
      <c r="BJ79" s="264"/>
      <c r="BK79" s="374">
        <v>0.08</v>
      </c>
      <c r="BL79" s="257">
        <v>1.4E-2</v>
      </c>
      <c r="BM79" s="257">
        <v>3.4000000000000002E-2</v>
      </c>
      <c r="BN79" s="257">
        <v>-2.5999999999999999E-2</v>
      </c>
      <c r="BO79" s="463">
        <f>BO76-BO77-BO78</f>
        <v>2.2951340615658622E-2</v>
      </c>
      <c r="BP79" s="264"/>
      <c r="BQ79" s="1239">
        <v>-0.02</v>
      </c>
      <c r="BR79" s="262">
        <v>0.05</v>
      </c>
      <c r="BS79" s="1238">
        <v>0.03</v>
      </c>
      <c r="BT79" s="1238">
        <v>0.02</v>
      </c>
      <c r="BU79" s="463">
        <f>BU76-BU77-BU78</f>
        <v>2.010689956805746E-2</v>
      </c>
      <c r="BV79" s="264"/>
      <c r="BW79" s="1239">
        <v>0.03</v>
      </c>
      <c r="BX79" s="262">
        <f>+BW79</f>
        <v>0.03</v>
      </c>
      <c r="BY79" s="1238">
        <f>+BX79</f>
        <v>0.03</v>
      </c>
      <c r="BZ79" s="1238">
        <f>+BY79</f>
        <v>0.03</v>
      </c>
      <c r="CA79" s="463">
        <f>CA76-CA77-CA78</f>
        <v>3.0000000000000027E-2</v>
      </c>
      <c r="CB79" s="264"/>
      <c r="CC79" s="1239">
        <f>+BZ79</f>
        <v>0.03</v>
      </c>
      <c r="CD79" s="262">
        <f>+CC79</f>
        <v>0.03</v>
      </c>
      <c r="CE79" s="1238">
        <f>+CD79</f>
        <v>0.03</v>
      </c>
      <c r="CF79" s="1238">
        <f>+CE79</f>
        <v>0.03</v>
      </c>
      <c r="CG79" s="463">
        <f>CG76-CG77-CG78</f>
        <v>3.0000000000000027E-2</v>
      </c>
    </row>
    <row r="80" spans="1:86" ht="11.25" customHeight="1" outlineLevel="1" x14ac:dyDescent="0.2">
      <c r="A80" s="78"/>
      <c r="B80" s="373"/>
      <c r="C80" s="372"/>
      <c r="D80" s="260"/>
      <c r="E80" s="260"/>
      <c r="F80" s="260"/>
      <c r="G80" s="449"/>
      <c r="H80" s="264"/>
      <c r="I80" s="372"/>
      <c r="J80" s="260"/>
      <c r="K80" s="260"/>
      <c r="L80" s="260"/>
      <c r="M80" s="449"/>
      <c r="N80" s="264"/>
      <c r="O80" s="372"/>
      <c r="P80" s="260"/>
      <c r="Q80" s="260"/>
      <c r="R80" s="260"/>
      <c r="S80" s="455"/>
      <c r="T80" s="264"/>
      <c r="U80" s="374"/>
      <c r="V80" s="257"/>
      <c r="W80" s="257"/>
      <c r="X80" s="257"/>
      <c r="Y80" s="449"/>
      <c r="Z80" s="264"/>
      <c r="AA80" s="374"/>
      <c r="AB80" s="257"/>
      <c r="AC80" s="257"/>
      <c r="AD80" s="257"/>
      <c r="AE80" s="449"/>
      <c r="AF80" s="264"/>
      <c r="AG80" s="374"/>
      <c r="AH80" s="257"/>
      <c r="AI80" s="257"/>
      <c r="AJ80" s="257"/>
      <c r="AK80" s="449"/>
      <c r="AL80" s="264"/>
      <c r="AM80" s="374"/>
      <c r="AN80" s="257"/>
      <c r="AO80" s="257"/>
      <c r="AP80" s="257"/>
      <c r="AQ80" s="449"/>
      <c r="AR80" s="264"/>
      <c r="AS80" s="374"/>
      <c r="AT80" s="257"/>
      <c r="AU80" s="257"/>
      <c r="AV80" s="257"/>
      <c r="AW80" s="449"/>
      <c r="AX80" s="264"/>
      <c r="AY80" s="374"/>
      <c r="AZ80" s="257"/>
      <c r="BA80" s="257"/>
      <c r="BB80" s="257"/>
      <c r="BC80" s="449"/>
      <c r="BD80" s="264"/>
      <c r="BE80" s="374"/>
      <c r="BF80" s="257"/>
      <c r="BG80" s="257"/>
      <c r="BH80" s="257"/>
      <c r="BI80" s="449"/>
      <c r="BJ80" s="264"/>
      <c r="BK80" s="374"/>
      <c r="BL80" s="257"/>
      <c r="BM80" s="257"/>
      <c r="BN80" s="257"/>
      <c r="BO80" s="449"/>
      <c r="BP80" s="264"/>
      <c r="BQ80" s="372"/>
      <c r="BR80" s="260"/>
      <c r="BS80" s="260"/>
      <c r="BT80" s="1153"/>
      <c r="BU80" s="449"/>
      <c r="BV80" s="264"/>
      <c r="BW80" s="372"/>
      <c r="BX80" s="260"/>
      <c r="BY80" s="260"/>
      <c r="BZ80" s="1153"/>
      <c r="CA80" s="449"/>
      <c r="CB80" s="264"/>
      <c r="CC80" s="372"/>
      <c r="CD80" s="260"/>
      <c r="CE80" s="260"/>
      <c r="CF80" s="1153"/>
      <c r="CG80" s="449"/>
    </row>
    <row r="81" spans="1:85" ht="11.25" customHeight="1" outlineLevel="1" x14ac:dyDescent="0.2">
      <c r="A81" s="78"/>
      <c r="B81" s="108" t="s">
        <v>556</v>
      </c>
      <c r="C81" s="269"/>
      <c r="D81" s="270"/>
      <c r="E81" s="270"/>
      <c r="F81" s="270"/>
      <c r="G81" s="448"/>
      <c r="H81" s="39"/>
      <c r="I81" s="269"/>
      <c r="J81" s="270"/>
      <c r="K81" s="270"/>
      <c r="L81" s="270"/>
      <c r="M81" s="448"/>
      <c r="N81" s="39"/>
      <c r="O81" s="269"/>
      <c r="P81" s="270"/>
      <c r="Q81" s="270"/>
      <c r="R81" s="270"/>
      <c r="S81" s="448"/>
      <c r="T81" s="39"/>
      <c r="U81" s="269"/>
      <c r="V81" s="270"/>
      <c r="W81" s="270"/>
      <c r="X81" s="270"/>
      <c r="Y81" s="448"/>
      <c r="Z81" s="39"/>
      <c r="AA81" s="147">
        <f>AA67*AA$338</f>
        <v>95.437828922210016</v>
      </c>
      <c r="AB81" s="148">
        <f>AB67*AB$338</f>
        <v>111.19333801687185</v>
      </c>
      <c r="AC81" s="148">
        <f>AC67*AC$338</f>
        <v>95.861260000000044</v>
      </c>
      <c r="AD81" s="148">
        <f>AD67*AD$338</f>
        <v>119.05028857043285</v>
      </c>
      <c r="AE81" s="448">
        <f>SUM(AA81:AD81)</f>
        <v>421.54271550951478</v>
      </c>
      <c r="AF81" s="39"/>
      <c r="AG81" s="147">
        <f>AG67*AG$338</f>
        <v>95.816267480818098</v>
      </c>
      <c r="AH81" s="148">
        <f>AH67*AH$338</f>
        <v>100.94497315087423</v>
      </c>
      <c r="AI81" s="148">
        <f>AI67*AI$338</f>
        <v>86.874427082300059</v>
      </c>
      <c r="AJ81" s="148">
        <f>AJ67*AJ$338</f>
        <v>113.76230450414111</v>
      </c>
      <c r="AK81" s="448">
        <f>SUM(AG81:AJ81)</f>
        <v>397.39797221813348</v>
      </c>
      <c r="AL81" s="39"/>
      <c r="AM81" s="147">
        <f>AM67*AM$338</f>
        <v>96.822239254659536</v>
      </c>
      <c r="AN81" s="148">
        <f>AN67*AN$338</f>
        <v>110.84991334582777</v>
      </c>
      <c r="AO81" s="148">
        <f>AO67*AO$338</f>
        <v>95.345722977298863</v>
      </c>
      <c r="AP81" s="148">
        <f>AP67*AP$338</f>
        <v>121.21957856114882</v>
      </c>
      <c r="AQ81" s="448">
        <f>SUM(AM81:AP81)</f>
        <v>424.23745413893499</v>
      </c>
      <c r="AR81" s="39"/>
      <c r="AS81" s="147">
        <f>AS67*AS$338</f>
        <v>110.60619182332485</v>
      </c>
      <c r="AT81" s="148">
        <f>AT67*AT$338</f>
        <v>122.01017766476082</v>
      </c>
      <c r="AU81" s="148">
        <f>AU67*AU$338</f>
        <v>105.43272838360595</v>
      </c>
      <c r="AV81" s="148">
        <f>AV67*AV$338</f>
        <v>115.17160667967006</v>
      </c>
      <c r="AW81" s="448">
        <f>SUM(AS81:AV81)</f>
        <v>453.22070455136168</v>
      </c>
      <c r="AX81" s="39"/>
      <c r="AY81" s="147">
        <f>AY67*AY$338</f>
        <v>99.682066481460197</v>
      </c>
      <c r="AZ81" s="148">
        <f>AZ67*AZ$338</f>
        <v>106.78025148065825</v>
      </c>
      <c r="BA81" s="148">
        <f>BA67*BA$338</f>
        <v>94.654014962049175</v>
      </c>
      <c r="BB81" s="148">
        <f>BB67*BB$338</f>
        <v>112.07970150203769</v>
      </c>
      <c r="BC81" s="448">
        <f>SUM(AY81:BB81)</f>
        <v>413.1960344262053</v>
      </c>
      <c r="BD81" s="39"/>
      <c r="BE81" s="147">
        <f>BE67*BE$338</f>
        <v>105.39164025192802</v>
      </c>
      <c r="BF81" s="148">
        <f>BF67*BF$338</f>
        <v>114.17475014208215</v>
      </c>
      <c r="BG81" s="148">
        <f>BG67*BG$338</f>
        <v>105.38393061579934</v>
      </c>
      <c r="BH81" s="148">
        <f>BH67*BH$338</f>
        <v>119.30284434773415</v>
      </c>
      <c r="BI81" s="448">
        <f>SUM(BE81:BH81)</f>
        <v>444.25316535754365</v>
      </c>
      <c r="BJ81" s="39"/>
      <c r="BK81" s="147">
        <f>BK67*BK$338</f>
        <v>114.42787980215324</v>
      </c>
      <c r="BL81" s="148">
        <f>BL67*BL$338</f>
        <v>131.71473532657066</v>
      </c>
      <c r="BM81" s="148">
        <f>BM67*BM$338</f>
        <v>123.16609487346281</v>
      </c>
      <c r="BN81" s="148">
        <f>BN67*BN$338</f>
        <v>142.20622920557526</v>
      </c>
      <c r="BO81" s="448">
        <f>SUM(BK81:BN81)</f>
        <v>511.51493920776193</v>
      </c>
      <c r="BP81" s="39"/>
      <c r="BQ81" s="147">
        <f>+BQ67-BQ75</f>
        <v>110.42290400907785</v>
      </c>
      <c r="BR81" s="148">
        <f>+BR67-BR75</f>
        <v>124.81083106300059</v>
      </c>
      <c r="BS81" s="148">
        <f>+BS67-BS75</f>
        <v>117.44757487346283</v>
      </c>
      <c r="BT81" s="148">
        <f>+BT67-BT75</f>
        <v>160.17013691351951</v>
      </c>
      <c r="BU81" s="448">
        <f>SUM(BQ81:BT81)</f>
        <v>512.85144685906084</v>
      </c>
      <c r="BV81" s="39"/>
      <c r="BW81" s="147">
        <f>+BW67-BW75</f>
        <v>116.41202827935007</v>
      </c>
      <c r="BX81" s="148">
        <f>+BX67-BX75</f>
        <v>131.47681319489055</v>
      </c>
      <c r="BY81" s="148">
        <f>+BY67-BY75</f>
        <v>123.80166951966663</v>
      </c>
      <c r="BZ81" s="148">
        <f>+BZ67-BZ75</f>
        <v>168.2708559209251</v>
      </c>
      <c r="CA81" s="448">
        <f>SUM(BW81:BZ81)</f>
        <v>539.9613669148323</v>
      </c>
      <c r="CB81" s="39"/>
      <c r="CC81" s="147">
        <f>+CC67-CC75</f>
        <v>122.67450157798049</v>
      </c>
      <c r="CD81" s="148">
        <f>+CD67-CD75</f>
        <v>138.44503279273721</v>
      </c>
      <c r="CE81" s="148">
        <f>+CE67-CE75</f>
        <v>130.44546036425652</v>
      </c>
      <c r="CF81" s="148">
        <f>+CF67-CF75</f>
        <v>176.7299430200527</v>
      </c>
      <c r="CG81" s="448">
        <f>SUM(CC81:CF81)</f>
        <v>568.29493775502692</v>
      </c>
    </row>
    <row r="82" spans="1:85" ht="11.25" customHeight="1" outlineLevel="1" x14ac:dyDescent="0.2">
      <c r="A82" s="78"/>
      <c r="B82" s="99" t="s">
        <v>253</v>
      </c>
      <c r="C82" s="61"/>
      <c r="D82" s="61"/>
      <c r="E82" s="61"/>
      <c r="F82" s="61"/>
      <c r="G82" s="447"/>
      <c r="H82" s="51"/>
      <c r="I82" s="625"/>
      <c r="J82" s="61"/>
      <c r="K82" s="61"/>
      <c r="L82" s="61"/>
      <c r="M82" s="447"/>
      <c r="N82" s="51"/>
      <c r="O82" s="625"/>
      <c r="P82" s="61"/>
      <c r="Q82" s="61"/>
      <c r="R82" s="61"/>
      <c r="S82" s="447"/>
      <c r="T82" s="51"/>
      <c r="U82" s="625"/>
      <c r="V82" s="61"/>
      <c r="W82" s="61"/>
      <c r="X82" s="61"/>
      <c r="Y82" s="447"/>
      <c r="Z82" s="51"/>
      <c r="AA82" s="625"/>
      <c r="AB82" s="61"/>
      <c r="AC82" s="61"/>
      <c r="AD82" s="61"/>
      <c r="AE82" s="447"/>
      <c r="AF82" s="51"/>
      <c r="AG82" s="625">
        <f>AG81/AA81-1</f>
        <v>3.9652888470098624E-3</v>
      </c>
      <c r="AH82" s="61">
        <f>AH81/AB81-1</f>
        <v>-9.2167076272524406E-2</v>
      </c>
      <c r="AI82" s="61">
        <f>AI81/AC81-1</f>
        <v>-9.3748328758666233E-2</v>
      </c>
      <c r="AJ82" s="61">
        <f>AJ81/AD81-1</f>
        <v>-4.441807012641763E-2</v>
      </c>
      <c r="AK82" s="447">
        <f>AK81/AE81-1</f>
        <v>-5.7277097677272848E-2</v>
      </c>
      <c r="AL82" s="51"/>
      <c r="AM82" s="625">
        <f>AM81/AG81-1</f>
        <v>1.0498966410300126E-2</v>
      </c>
      <c r="AN82" s="61">
        <f>AN81/AH81-1</f>
        <v>9.812217375251997E-2</v>
      </c>
      <c r="AO82" s="61">
        <f>AO81/AI81-1</f>
        <v>9.7511962720324696E-2</v>
      </c>
      <c r="AP82" s="61">
        <f>AP81/AJ81-1</f>
        <v>6.555136246151072E-2</v>
      </c>
      <c r="AQ82" s="447">
        <f>AQ81/AK81-1</f>
        <v>6.7538044472127412E-2</v>
      </c>
      <c r="AR82" s="51"/>
      <c r="AS82" s="625">
        <f>AS81/AM81-1</f>
        <v>0.14236349701034179</v>
      </c>
      <c r="AT82" s="61">
        <f>AT81/AN81-1</f>
        <v>0.10067905316367209</v>
      </c>
      <c r="AU82" s="61">
        <f>AU81/AO81-1</f>
        <v>0.10579399989141347</v>
      </c>
      <c r="AV82" s="61">
        <f>AV81/AP81-1</f>
        <v>-4.9892698467251972E-2</v>
      </c>
      <c r="AW82" s="447">
        <f>AW81/AQ81-1</f>
        <v>6.8318462053882811E-2</v>
      </c>
      <c r="AX82" s="51"/>
      <c r="AY82" s="625">
        <f>AY81/AS81-1</f>
        <v>-9.876594756389534E-2</v>
      </c>
      <c r="AZ82" s="61">
        <f>AZ81/AT81-1</f>
        <v>-0.124825047185398</v>
      </c>
      <c r="BA82" s="61">
        <f>BA81/AU81-1</f>
        <v>-0.10223308821469124</v>
      </c>
      <c r="BB82" s="61">
        <f>BB81/AV81-1</f>
        <v>-2.6846071412652717E-2</v>
      </c>
      <c r="BC82" s="447">
        <f>BC81/AW81-1</f>
        <v>-8.8311654174705878E-2</v>
      </c>
      <c r="BD82" s="51"/>
      <c r="BE82" s="625">
        <f>BE81/AY81-1</f>
        <v>5.7277843166802178E-2</v>
      </c>
      <c r="BF82" s="61">
        <f>BF81/AZ81-1</f>
        <v>6.9249683896495551E-2</v>
      </c>
      <c r="BG82" s="61">
        <f>BG81/BA81-1</f>
        <v>0.11335932932218729</v>
      </c>
      <c r="BH82" s="61">
        <f>BH81/BB81-1</f>
        <v>6.4446485392942732E-2</v>
      </c>
      <c r="BI82" s="447">
        <f>BI81/BC81-1</f>
        <v>7.51631873100298E-2</v>
      </c>
      <c r="BJ82" s="51"/>
      <c r="BK82" s="625">
        <f>BK81/BE81-1</f>
        <v>8.5739623452343983E-2</v>
      </c>
      <c r="BL82" s="61">
        <f>BL81/BF81-1</f>
        <v>0.1536240295044331</v>
      </c>
      <c r="BM82" s="61">
        <f>BM81/BG81-1</f>
        <v>0.16873696163879415</v>
      </c>
      <c r="BN82" s="61">
        <f>BN81/BH81-1</f>
        <v>0.19197685506209883</v>
      </c>
      <c r="BO82" s="447">
        <f>BO81/BI81-1</f>
        <v>0.1514041521709466</v>
      </c>
      <c r="BP82" s="51"/>
      <c r="BQ82" s="625">
        <f>BQ81/BK81-1</f>
        <v>-3.5000000000000253E-2</v>
      </c>
      <c r="BR82" s="61">
        <f>BR81/BL81-1</f>
        <v>-5.2415580128166162E-2</v>
      </c>
      <c r="BS82" s="61">
        <f>BS81/BM81-1</f>
        <v>-4.6429335978176667E-2</v>
      </c>
      <c r="BT82" s="61">
        <f>BT81/BN81-1</f>
        <v>0.12632293119857207</v>
      </c>
      <c r="BU82" s="447">
        <f>BU81/BO81-1</f>
        <v>2.6128418719675306E-3</v>
      </c>
      <c r="BV82" s="51"/>
      <c r="BW82" s="625">
        <f>BW81/BQ81-1</f>
        <v>5.423806160522493E-2</v>
      </c>
      <c r="BX82" s="61">
        <f>BX81/BR81-1</f>
        <v>5.3408683165687698E-2</v>
      </c>
      <c r="BY82" s="61">
        <f>BY81/BS81-1</f>
        <v>5.4101539798073084E-2</v>
      </c>
      <c r="BZ82" s="61">
        <f>BZ81/BT81-1</f>
        <v>5.057571382223025E-2</v>
      </c>
      <c r="CA82" s="447">
        <f>CA81/BU81-1</f>
        <v>5.2861155451164432E-2</v>
      </c>
      <c r="CB82" s="51"/>
      <c r="CC82" s="625">
        <f>CC81/BW81-1</f>
        <v>5.3795757974447245E-2</v>
      </c>
      <c r="CD82" s="61">
        <f>CD81/BX81-1</f>
        <v>5.2999608284675537E-2</v>
      </c>
      <c r="CE82" s="61">
        <f>CE81/BY81-1</f>
        <v>5.3664792004557649E-2</v>
      </c>
      <c r="CF82" s="61">
        <f>CF81/BZ81-1</f>
        <v>5.0270660672830703E-2</v>
      </c>
      <c r="CG82" s="447">
        <f>CG81/CA81-1</f>
        <v>5.2473329716315797E-2</v>
      </c>
    </row>
    <row r="83" spans="1:85" ht="11.25" customHeight="1" outlineLevel="1" x14ac:dyDescent="0.2">
      <c r="A83" s="78"/>
      <c r="B83" s="99" t="s">
        <v>255</v>
      </c>
      <c r="C83" s="61"/>
      <c r="D83" s="61"/>
      <c r="E83" s="61"/>
      <c r="F83" s="61"/>
      <c r="G83" s="447"/>
      <c r="H83" s="51"/>
      <c r="I83" s="625"/>
      <c r="J83" s="61"/>
      <c r="K83" s="61"/>
      <c r="L83" s="61"/>
      <c r="M83" s="447"/>
      <c r="N83" s="51"/>
      <c r="O83" s="625"/>
      <c r="P83" s="61"/>
      <c r="Q83" s="61"/>
      <c r="R83" s="61"/>
      <c r="S83" s="447"/>
      <c r="T83" s="51"/>
      <c r="U83" s="625"/>
      <c r="V83" s="61"/>
      <c r="W83" s="61"/>
      <c r="X83" s="61"/>
      <c r="Y83" s="447"/>
      <c r="Z83" s="51"/>
      <c r="AA83" s="625"/>
      <c r="AB83" s="61"/>
      <c r="AC83" s="61"/>
      <c r="AD83" s="61"/>
      <c r="AE83" s="447"/>
      <c r="AF83" s="51"/>
      <c r="AG83" s="625">
        <f>AG70</f>
        <v>-2.5760931848794827E-2</v>
      </c>
      <c r="AH83" s="61">
        <f>AH70</f>
        <v>-8.7946935192749431E-2</v>
      </c>
      <c r="AI83" s="61">
        <f>AI70</f>
        <v>-9.1222514705106103E-2</v>
      </c>
      <c r="AJ83" s="61">
        <f>AJ70</f>
        <v>-2.6957438368448793E-2</v>
      </c>
      <c r="AK83" s="447">
        <f>AK70</f>
        <v>-5.7349924379086085E-2</v>
      </c>
      <c r="AL83" s="51"/>
      <c r="AM83" s="625">
        <f>AM70</f>
        <v>5.4260475005754386E-3</v>
      </c>
      <c r="AN83" s="61">
        <f>AN70</f>
        <v>6.5237421773585991E-3</v>
      </c>
      <c r="AO83" s="61">
        <f>AO70</f>
        <v>2.1642650463677915E-2</v>
      </c>
      <c r="AP83" s="61">
        <f>AP70</f>
        <v>2.8385237313934428E-2</v>
      </c>
      <c r="AQ83" s="447">
        <f>AQ70</f>
        <v>1.5715397720289268E-2</v>
      </c>
      <c r="AR83" s="51"/>
      <c r="AS83" s="625">
        <f>AS70</f>
        <v>2.1572108713986474E-2</v>
      </c>
      <c r="AT83" s="61">
        <f>AT70</f>
        <v>5.5614889329456504E-2</v>
      </c>
      <c r="AU83" s="61">
        <f>AU70</f>
        <v>2.8931734254061661E-2</v>
      </c>
      <c r="AV83" s="61">
        <f>AV70</f>
        <v>-6.3650569042682334E-2</v>
      </c>
      <c r="AW83" s="447">
        <f>AW70</f>
        <v>7.9966418316014705E-3</v>
      </c>
      <c r="AX83" s="51"/>
      <c r="AY83" s="625">
        <f>AY70</f>
        <v>-0.14299652590777734</v>
      </c>
      <c r="AZ83" s="61">
        <f>AZ70</f>
        <v>-0.183926680980735</v>
      </c>
      <c r="BA83" s="61">
        <f>BA70</f>
        <v>-0.16084091189257149</v>
      </c>
      <c r="BB83" s="61">
        <f>BB70</f>
        <v>-0.12340093790008194</v>
      </c>
      <c r="BC83" s="447">
        <f>BC70</f>
        <v>-0.15245377490867842</v>
      </c>
      <c r="BD83" s="51"/>
      <c r="BE83" s="625">
        <f>BE70</f>
        <v>-3.692095727830931E-2</v>
      </c>
      <c r="BF83" s="61">
        <f>BF70</f>
        <v>3.4445082968176943E-3</v>
      </c>
      <c r="BG83" s="61">
        <f>BG70</f>
        <v>-1.5821598256041403E-2</v>
      </c>
      <c r="BH83" s="61">
        <f>BH70</f>
        <v>-2.5999999999999999E-2</v>
      </c>
      <c r="BI83" s="447">
        <f>BI70</f>
        <v>-1.8964643051551593E-2</v>
      </c>
      <c r="BJ83" s="51"/>
      <c r="BK83" s="625">
        <f>BK70</f>
        <v>-1.2992683940220739E-2</v>
      </c>
      <c r="BL83" s="61">
        <f>BL70</f>
        <v>-1.9853826711032058E-2</v>
      </c>
      <c r="BM83" s="61">
        <f>BM70</f>
        <v>5.3209166735046359E-2</v>
      </c>
      <c r="BN83" s="61">
        <f>BN70</f>
        <v>7.5950887450026955E-2</v>
      </c>
      <c r="BO83" s="463">
        <f>BO70</f>
        <v>2.5094609767943858E-2</v>
      </c>
      <c r="BP83" s="51"/>
      <c r="BQ83" s="625">
        <f t="shared" ref="BQ83:BU84" si="24">BQ70</f>
        <v>-1.4999999999999999E-2</v>
      </c>
      <c r="BR83" s="61">
        <f t="shared" si="24"/>
        <v>-1.4999999999999999E-2</v>
      </c>
      <c r="BS83" s="51">
        <f t="shared" si="24"/>
        <v>-0.03</v>
      </c>
      <c r="BT83" s="51">
        <f t="shared" si="24"/>
        <v>-0.03</v>
      </c>
      <c r="BU83" s="463">
        <f t="shared" si="24"/>
        <v>-2.2779928369745309E-2</v>
      </c>
      <c r="BV83" s="51"/>
      <c r="BW83" s="625">
        <f t="shared" ref="BW83:CA84" si="25">BW70</f>
        <v>0</v>
      </c>
      <c r="BX83" s="61">
        <f t="shared" si="25"/>
        <v>0</v>
      </c>
      <c r="BY83" s="51">
        <f t="shared" si="25"/>
        <v>0</v>
      </c>
      <c r="BZ83" s="51">
        <f t="shared" si="25"/>
        <v>0</v>
      </c>
      <c r="CA83" s="463">
        <f t="shared" si="25"/>
        <v>0</v>
      </c>
      <c r="CB83" s="51"/>
      <c r="CC83" s="625">
        <f t="shared" ref="CC83:CG84" si="26">CC70</f>
        <v>0</v>
      </c>
      <c r="CD83" s="61">
        <f t="shared" si="26"/>
        <v>0</v>
      </c>
      <c r="CE83" s="51">
        <f t="shared" si="26"/>
        <v>0</v>
      </c>
      <c r="CF83" s="51">
        <f t="shared" si="26"/>
        <v>0</v>
      </c>
      <c r="CG83" s="463">
        <f t="shared" si="26"/>
        <v>0</v>
      </c>
    </row>
    <row r="84" spans="1:85" ht="11.25" customHeight="1" outlineLevel="1" x14ac:dyDescent="0.2">
      <c r="A84" s="78"/>
      <c r="B84" s="99" t="s">
        <v>254</v>
      </c>
      <c r="C84" s="61"/>
      <c r="D84" s="61"/>
      <c r="E84" s="61"/>
      <c r="F84" s="61"/>
      <c r="G84" s="447"/>
      <c r="H84" s="51"/>
      <c r="I84" s="625"/>
      <c r="J84" s="61"/>
      <c r="K84" s="61"/>
      <c r="L84" s="61"/>
      <c r="M84" s="447"/>
      <c r="N84" s="51"/>
      <c r="O84" s="625"/>
      <c r="P84" s="61"/>
      <c r="Q84" s="61"/>
      <c r="R84" s="61"/>
      <c r="S84" s="447"/>
      <c r="T84" s="51"/>
      <c r="U84" s="625"/>
      <c r="V84" s="61"/>
      <c r="W84" s="61"/>
      <c r="X84" s="61"/>
      <c r="Y84" s="447"/>
      <c r="Z84" s="51"/>
      <c r="AA84" s="625"/>
      <c r="AB84" s="61"/>
      <c r="AC84" s="61"/>
      <c r="AD84" s="61"/>
      <c r="AE84" s="447"/>
      <c r="AF84" s="51"/>
      <c r="AG84" s="625">
        <f>AG82-AG83-AG85</f>
        <v>-3.0273779304195308E-2</v>
      </c>
      <c r="AH84" s="61">
        <f>AH82-AH83-AH85</f>
        <v>6.0779858920225027E-2</v>
      </c>
      <c r="AI84" s="61">
        <f>AI82-AI83-AI85</f>
        <v>-4.7525814053560128E-2</v>
      </c>
      <c r="AJ84" s="61">
        <f>AJ82-AJ83-AJ85</f>
        <v>7.4539368242031168E-2</v>
      </c>
      <c r="AK84" s="447">
        <f>AK82-AK83-AK85</f>
        <v>1.663460933176452E-2</v>
      </c>
      <c r="AL84" s="51"/>
      <c r="AM84" s="625">
        <f>AM82-AM83-AM85</f>
        <v>4.8072918909724684E-2</v>
      </c>
      <c r="AN84" s="61">
        <f>AN82-AN83-AN85</f>
        <v>-1.9401568424838631E-2</v>
      </c>
      <c r="AO84" s="61">
        <f>AO82-AO83-AO85</f>
        <v>6.1869312256646783E-2</v>
      </c>
      <c r="AP84" s="61">
        <f>AP82-AP83-AP85</f>
        <v>-4.88338748524237E-2</v>
      </c>
      <c r="AQ84" s="447">
        <f>AQ82-AQ83-AQ85</f>
        <v>7.2794068729988143E-3</v>
      </c>
      <c r="AR84" s="51"/>
      <c r="AS84" s="625">
        <f>AS82-AS83-AS85</f>
        <v>9.6791388296355307E-2</v>
      </c>
      <c r="AT84" s="61">
        <f>AT82-AT83-AT85</f>
        <v>0.1000641638342156</v>
      </c>
      <c r="AU84" s="61">
        <f>AU82-AU83-AU85</f>
        <v>2.7862265637351807E-2</v>
      </c>
      <c r="AV84" s="61">
        <f>AV82-AV83-AV85</f>
        <v>-1.2242129424569637E-2</v>
      </c>
      <c r="AW84" s="447">
        <f>AW82-AW83-AW85</f>
        <v>5.0309984871888695E-2</v>
      </c>
      <c r="AX84" s="51"/>
      <c r="AY84" s="625">
        <f>AY82-AY83-AY85</f>
        <v>-9.7694216561180006E-3</v>
      </c>
      <c r="AZ84" s="61">
        <f>AZ82-AZ83-AZ85</f>
        <v>-5.8898366204662989E-2</v>
      </c>
      <c r="BA84" s="61">
        <f>BA82-BA83-BA85</f>
        <v>5.6078236778802568E-3</v>
      </c>
      <c r="BB84" s="61">
        <f>BB82-BB83-BB85</f>
        <v>2.6554866487429218E-2</v>
      </c>
      <c r="BC84" s="447">
        <f>BC82-BC83-BC85</f>
        <v>-1.0122304526790735E-2</v>
      </c>
      <c r="BD84" s="51"/>
      <c r="BE84" s="625">
        <f>BE82-BE83-BE85</f>
        <v>5.1198800445111492E-2</v>
      </c>
      <c r="BF84" s="61">
        <f>BF82-BF83-BF85</f>
        <v>3.4805175599677857E-2</v>
      </c>
      <c r="BG84" s="61">
        <f>BG82-BG83-BG85</f>
        <v>8.7180927578228679E-2</v>
      </c>
      <c r="BH84" s="61">
        <f>BH82-BH83-BH85</f>
        <v>0.12944648539294273</v>
      </c>
      <c r="BI84" s="447">
        <f>BI82-BI83-BI85</f>
        <v>7.7242992386601664E-2</v>
      </c>
      <c r="BJ84" s="51"/>
      <c r="BK84" s="625">
        <f>BK82-BK83-BK85</f>
        <v>6.7732307392564722E-2</v>
      </c>
      <c r="BL84" s="61">
        <f>BL82-BL83-BL85</f>
        <v>0.13747785621546516</v>
      </c>
      <c r="BM84" s="61">
        <f>BM82-BM83-BM85</f>
        <v>8.9527794903747793E-2</v>
      </c>
      <c r="BN84" s="61">
        <f>BN82-BN83-BN85</f>
        <v>3.9025967612071874E-2</v>
      </c>
      <c r="BO84" s="463">
        <f>+SUMPRODUCT(BK84:BN84,BE$81:BH$81)/BI$81</f>
        <v>8.3118414460291709E-2</v>
      </c>
      <c r="BP84" s="51"/>
      <c r="BQ84" s="625">
        <f t="shared" si="24"/>
        <v>0</v>
      </c>
      <c r="BR84" s="61">
        <f t="shared" si="24"/>
        <v>0</v>
      </c>
      <c r="BS84" s="51">
        <f t="shared" si="24"/>
        <v>0</v>
      </c>
      <c r="BT84" s="51">
        <f t="shared" si="24"/>
        <v>0</v>
      </c>
      <c r="BU84" s="463">
        <f t="shared" si="24"/>
        <v>0</v>
      </c>
      <c r="BV84" s="51"/>
      <c r="BW84" s="625">
        <f t="shared" si="25"/>
        <v>0</v>
      </c>
      <c r="BX84" s="61">
        <f t="shared" si="25"/>
        <v>0</v>
      </c>
      <c r="BY84" s="51">
        <f t="shared" si="25"/>
        <v>0</v>
      </c>
      <c r="BZ84" s="51">
        <f t="shared" si="25"/>
        <v>0</v>
      </c>
      <c r="CA84" s="463">
        <f t="shared" si="25"/>
        <v>0</v>
      </c>
      <c r="CB84" s="51"/>
      <c r="CC84" s="625">
        <f t="shared" si="26"/>
        <v>0</v>
      </c>
      <c r="CD84" s="61">
        <f t="shared" si="26"/>
        <v>0</v>
      </c>
      <c r="CE84" s="51">
        <f t="shared" si="26"/>
        <v>0</v>
      </c>
      <c r="CF84" s="51">
        <f t="shared" si="26"/>
        <v>0</v>
      </c>
      <c r="CG84" s="463">
        <f t="shared" si="26"/>
        <v>0</v>
      </c>
    </row>
    <row r="85" spans="1:85" ht="11.25" customHeight="1" outlineLevel="1" x14ac:dyDescent="0.2">
      <c r="A85" s="78"/>
      <c r="B85" s="1175" t="s">
        <v>570</v>
      </c>
      <c r="C85" s="1166"/>
      <c r="D85" s="1167"/>
      <c r="E85" s="1167"/>
      <c r="F85" s="1167"/>
      <c r="G85" s="1168"/>
      <c r="H85" s="764"/>
      <c r="I85" s="1166"/>
      <c r="J85" s="1167"/>
      <c r="K85" s="1167"/>
      <c r="L85" s="1167"/>
      <c r="M85" s="1168"/>
      <c r="N85" s="764"/>
      <c r="O85" s="1166"/>
      <c r="P85" s="1167"/>
      <c r="Q85" s="1167"/>
      <c r="R85" s="1167"/>
      <c r="S85" s="1168"/>
      <c r="T85" s="764"/>
      <c r="U85" s="1172">
        <v>0.104</v>
      </c>
      <c r="V85" s="1173">
        <v>3.7999999999999999E-2</v>
      </c>
      <c r="W85" s="1173">
        <v>9.2999999999999999E-2</v>
      </c>
      <c r="X85" s="1173">
        <v>0.09</v>
      </c>
      <c r="Y85" s="771">
        <f>AVERAGE(U85:X85)</f>
        <v>8.1249999999999989E-2</v>
      </c>
      <c r="Z85" s="264"/>
      <c r="AA85" s="1172">
        <v>-5.0000000000000001E-3</v>
      </c>
      <c r="AB85" s="1173">
        <v>4.1000000000000002E-2</v>
      </c>
      <c r="AC85" s="1173">
        <v>3.0000000000000001E-3</v>
      </c>
      <c r="AD85" s="1173">
        <v>8.9999999999999993E-3</v>
      </c>
      <c r="AE85" s="771">
        <f>SUMPRODUCT(AA85:AD85,AA67:AD67)/AE67</f>
        <v>1.2710902456073207E-2</v>
      </c>
      <c r="AF85" s="264"/>
      <c r="AG85" s="1172">
        <v>0.06</v>
      </c>
      <c r="AH85" s="1173">
        <v>-6.5000000000000002E-2</v>
      </c>
      <c r="AI85" s="1173">
        <v>4.4999999999999998E-2</v>
      </c>
      <c r="AJ85" s="1173">
        <v>-9.1999999999999998E-2</v>
      </c>
      <c r="AK85" s="771">
        <f>SUMPRODUCT(AG85:AJ85,AG67:AJ67)/AK67</f>
        <v>-1.6561782629951283E-2</v>
      </c>
      <c r="AL85" s="264"/>
      <c r="AM85" s="1172">
        <v>-4.2999999999999997E-2</v>
      </c>
      <c r="AN85" s="1173">
        <v>0.111</v>
      </c>
      <c r="AO85" s="1173">
        <v>1.4E-2</v>
      </c>
      <c r="AP85" s="1173">
        <v>8.5999999999999993E-2</v>
      </c>
      <c r="AQ85" s="771">
        <f>SUMPRODUCT(AM85:AP85,AM67:AP67)/AQ67</f>
        <v>4.4543239878839333E-2</v>
      </c>
      <c r="AR85" s="264"/>
      <c r="AS85" s="1172">
        <v>2.4E-2</v>
      </c>
      <c r="AT85" s="1173">
        <v>-5.5E-2</v>
      </c>
      <c r="AU85" s="1173">
        <v>4.9000000000000002E-2</v>
      </c>
      <c r="AV85" s="1173">
        <v>2.5999999999999999E-2</v>
      </c>
      <c r="AW85" s="771">
        <f>SUMPRODUCT(AS85:AV85,AS67:AV67)/AW67</f>
        <v>1.0011835350392649E-2</v>
      </c>
      <c r="AX85" s="264"/>
      <c r="AY85" s="1172">
        <v>5.3999999999999999E-2</v>
      </c>
      <c r="AZ85" s="1173">
        <v>0.11799999999999999</v>
      </c>
      <c r="BA85" s="1173">
        <v>5.2999999999999999E-2</v>
      </c>
      <c r="BB85" s="1173">
        <v>7.0000000000000007E-2</v>
      </c>
      <c r="BC85" s="771">
        <f>SUMPRODUCT(AY85:BB85,AY67:BB67)/BC67</f>
        <v>7.4264425260763281E-2</v>
      </c>
      <c r="BD85" s="264"/>
      <c r="BE85" s="1172">
        <v>4.2999999999999997E-2</v>
      </c>
      <c r="BF85" s="1173">
        <v>3.1E-2</v>
      </c>
      <c r="BG85" s="1173">
        <v>4.2000000000000003E-2</v>
      </c>
      <c r="BH85" s="1173">
        <v>-3.9E-2</v>
      </c>
      <c r="BI85" s="771">
        <f>SUMPRODUCT(BE85:BH85,BE67:BH67)/BI67</f>
        <v>1.6884837974979732E-2</v>
      </c>
      <c r="BJ85" s="264"/>
      <c r="BK85" s="1172">
        <v>3.1E-2</v>
      </c>
      <c r="BL85" s="1173">
        <v>3.5999999999999997E-2</v>
      </c>
      <c r="BM85" s="1173">
        <v>2.5999999999999999E-2</v>
      </c>
      <c r="BN85" s="1173">
        <v>7.6999999999999999E-2</v>
      </c>
      <c r="BO85" s="771">
        <f>BO82-BO83-BO84</f>
        <v>4.319112794271103E-2</v>
      </c>
      <c r="BP85" s="264"/>
      <c r="BQ85" s="769">
        <f>BQ82-BQ83-BQ84</f>
        <v>-2.0000000000000254E-2</v>
      </c>
      <c r="BR85" s="770">
        <f>BR82-BR83-BR84</f>
        <v>-3.7415580128166162E-2</v>
      </c>
      <c r="BS85" s="770">
        <f>BS82-BS83-BS84</f>
        <v>-1.6429335978176668E-2</v>
      </c>
      <c r="BT85" s="770">
        <f>BT82-BT83-BT84</f>
        <v>0.15632293119857207</v>
      </c>
      <c r="BU85" s="771">
        <f>BU82-BU83-BU84</f>
        <v>2.5392770241712839E-2</v>
      </c>
      <c r="BV85" s="264"/>
      <c r="BW85" s="769">
        <f>BW82-BW83-BW84</f>
        <v>5.423806160522493E-2</v>
      </c>
      <c r="BX85" s="770">
        <f>BX82-BX83-BX84</f>
        <v>5.3408683165687698E-2</v>
      </c>
      <c r="BY85" s="770">
        <f>BY82-BY83-BY84</f>
        <v>5.4101539798073084E-2</v>
      </c>
      <c r="BZ85" s="770">
        <f>BZ82-BZ83-BZ84</f>
        <v>5.057571382223025E-2</v>
      </c>
      <c r="CA85" s="771">
        <f>CA82-CA83-CA84</f>
        <v>5.2861155451164432E-2</v>
      </c>
      <c r="CB85" s="264"/>
      <c r="CC85" s="769">
        <f>CC82-CC83-CC84</f>
        <v>5.3795757974447245E-2</v>
      </c>
      <c r="CD85" s="770">
        <f>CD82-CD83-CD84</f>
        <v>5.2999608284675537E-2</v>
      </c>
      <c r="CE85" s="770">
        <f>CE82-CE83-CE84</f>
        <v>5.3664792004557649E-2</v>
      </c>
      <c r="CF85" s="770">
        <f>CF82-CF83-CF84</f>
        <v>5.0270660672830703E-2</v>
      </c>
      <c r="CG85" s="771">
        <f>CG82-CG83-CG84</f>
        <v>5.2473329716315797E-2</v>
      </c>
    </row>
    <row r="86" spans="1:85" ht="11.25" customHeight="1" outlineLevel="1" x14ac:dyDescent="0.2">
      <c r="A86" s="78"/>
      <c r="B86" s="373"/>
      <c r="C86" s="761"/>
      <c r="D86" s="762"/>
      <c r="E86" s="762"/>
      <c r="F86" s="762"/>
      <c r="G86" s="763"/>
      <c r="H86" s="764"/>
      <c r="I86" s="761"/>
      <c r="J86" s="762"/>
      <c r="K86" s="762"/>
      <c r="L86" s="762"/>
      <c r="M86" s="763"/>
      <c r="N86" s="764"/>
      <c r="O86" s="761"/>
      <c r="P86" s="762"/>
      <c r="Q86" s="762"/>
      <c r="R86" s="762"/>
      <c r="S86" s="763"/>
      <c r="T86" s="764"/>
      <c r="U86" s="761"/>
      <c r="V86" s="762"/>
      <c r="W86" s="762"/>
      <c r="X86" s="762"/>
      <c r="Y86" s="763"/>
      <c r="Z86" s="764"/>
      <c r="AA86" s="761"/>
      <c r="AB86" s="762"/>
      <c r="AC86" s="762"/>
      <c r="AD86" s="762"/>
      <c r="AE86" s="763"/>
      <c r="AF86" s="764"/>
      <c r="AG86" s="761"/>
      <c r="AH86" s="762"/>
      <c r="AI86" s="762"/>
      <c r="AJ86" s="762"/>
      <c r="AK86" s="763"/>
      <c r="AL86" s="764"/>
      <c r="AM86" s="761"/>
      <c r="AN86" s="762"/>
      <c r="AO86" s="762"/>
      <c r="AP86" s="762"/>
      <c r="AQ86" s="763"/>
      <c r="AR86" s="764"/>
      <c r="AS86" s="761"/>
      <c r="AT86" s="762"/>
      <c r="AU86" s="762"/>
      <c r="AV86" s="762"/>
      <c r="AW86" s="763"/>
      <c r="AX86" s="764"/>
      <c r="AY86" s="761"/>
      <c r="AZ86" s="762"/>
      <c r="BA86" s="762"/>
      <c r="BB86" s="762"/>
      <c r="BC86" s="763"/>
      <c r="BD86" s="764"/>
      <c r="BE86" s="761"/>
      <c r="BF86" s="762"/>
      <c r="BG86" s="762"/>
      <c r="BH86" s="762"/>
      <c r="BI86" s="763"/>
      <c r="BJ86" s="764"/>
      <c r="BK86" s="761"/>
      <c r="BL86" s="762"/>
      <c r="BM86" s="762"/>
      <c r="BN86" s="762"/>
      <c r="BO86" s="449"/>
      <c r="BP86" s="264"/>
      <c r="BQ86" s="372"/>
      <c r="BR86" s="260"/>
      <c r="BS86" s="260"/>
      <c r="BT86" s="260"/>
      <c r="BU86" s="1151"/>
      <c r="BV86" s="264"/>
      <c r="BW86" s="372"/>
      <c r="BX86" s="260"/>
      <c r="BY86" s="260"/>
      <c r="BZ86" s="260"/>
      <c r="CA86" s="449"/>
      <c r="CB86" s="264"/>
      <c r="CC86" s="372"/>
      <c r="CD86" s="260"/>
      <c r="CE86" s="260"/>
      <c r="CF86" s="260"/>
      <c r="CG86" s="449"/>
    </row>
    <row r="87" spans="1:85" ht="11.25" customHeight="1" outlineLevel="1" x14ac:dyDescent="0.2">
      <c r="A87" s="78"/>
      <c r="B87" s="108" t="s">
        <v>305</v>
      </c>
      <c r="C87" s="143"/>
      <c r="D87" s="144"/>
      <c r="E87" s="144"/>
      <c r="F87" s="144"/>
      <c r="G87" s="448"/>
      <c r="H87" s="39"/>
      <c r="I87" s="143"/>
      <c r="J87" s="144"/>
      <c r="K87" s="144"/>
      <c r="L87" s="144"/>
      <c r="M87" s="448"/>
      <c r="N87" s="39"/>
      <c r="O87" s="143"/>
      <c r="P87" s="144"/>
      <c r="Q87" s="144"/>
      <c r="R87" s="144"/>
      <c r="S87" s="448"/>
      <c r="T87" s="39"/>
      <c r="U87" s="143"/>
      <c r="V87" s="144"/>
      <c r="W87" s="144"/>
      <c r="X87" s="144"/>
      <c r="Y87" s="448"/>
      <c r="Z87" s="39"/>
      <c r="AA87" s="147">
        <f>+AA146-AA28</f>
        <v>225.10341623488773</v>
      </c>
      <c r="AB87" s="148">
        <f>+AB146-AB28</f>
        <v>266.21029246935194</v>
      </c>
      <c r="AC87" s="270">
        <v>255.43199999999999</v>
      </c>
      <c r="AD87" s="270">
        <v>270.35899999999998</v>
      </c>
      <c r="AE87" s="448">
        <f>+SUM(AA87:AD87)</f>
        <v>1017.1047087042396</v>
      </c>
      <c r="AF87" s="39"/>
      <c r="AG87" s="269">
        <v>258.58</v>
      </c>
      <c r="AH87" s="270">
        <v>289.02199999999999</v>
      </c>
      <c r="AI87" s="270">
        <v>321.68900000000002</v>
      </c>
      <c r="AJ87" s="270">
        <v>329.58699999999999</v>
      </c>
      <c r="AK87" s="448">
        <f>+SUM(AG87:AJ87)</f>
        <v>1198.8779999999999</v>
      </c>
      <c r="AL87" s="39"/>
      <c r="AM87" s="269">
        <v>332.31200000000001</v>
      </c>
      <c r="AN87" s="270">
        <v>340.476</v>
      </c>
      <c r="AO87" s="270">
        <v>337.185</v>
      </c>
      <c r="AP87" s="270">
        <v>350.47500000000002</v>
      </c>
      <c r="AQ87" s="448">
        <f>+SUM(AM87:AP87)</f>
        <v>1360.4479999999999</v>
      </c>
      <c r="AR87" s="39"/>
      <c r="AS87" s="269">
        <v>348.839</v>
      </c>
      <c r="AT87" s="270">
        <v>403.02600000000001</v>
      </c>
      <c r="AU87" s="270">
        <v>389.47399999999999</v>
      </c>
      <c r="AV87" s="270">
        <v>375.98200000000003</v>
      </c>
      <c r="AW87" s="448">
        <f>+SUM(AS87:AV87)</f>
        <v>1517.3209999999999</v>
      </c>
      <c r="AX87" s="39"/>
      <c r="AY87" s="269">
        <v>345.97500000000002</v>
      </c>
      <c r="AZ87" s="270">
        <v>372.983</v>
      </c>
      <c r="BA87" s="270">
        <v>365.79700000000003</v>
      </c>
      <c r="BB87" s="270">
        <v>392.23599999999999</v>
      </c>
      <c r="BC87" s="448">
        <f>+SUM(AY87:BB87)</f>
        <v>1476.991</v>
      </c>
      <c r="BD87" s="39"/>
      <c r="BE87" s="269">
        <v>372.08600000000001</v>
      </c>
      <c r="BF87" s="270">
        <v>407.68</v>
      </c>
      <c r="BG87" s="270">
        <v>386.37799999999999</v>
      </c>
      <c r="BH87" s="270">
        <v>411.16899999999998</v>
      </c>
      <c r="BI87" s="448">
        <f>+SUM(BE87:BH87)</f>
        <v>1577.3130000000001</v>
      </c>
      <c r="BJ87" s="39"/>
      <c r="BK87" s="269">
        <v>390.29500000000002</v>
      </c>
      <c r="BL87" s="270">
        <v>418.13</v>
      </c>
      <c r="BM87" s="270">
        <v>434.20400000000001</v>
      </c>
      <c r="BN87" s="270">
        <v>441.11</v>
      </c>
      <c r="BO87" s="448">
        <f>+SUM(BK87:BN87)</f>
        <v>1683.739</v>
      </c>
      <c r="BP87" s="39"/>
      <c r="BQ87" s="147">
        <f>+BK87*(1+BQ88)</f>
        <v>400.05237499999998</v>
      </c>
      <c r="BR87" s="148">
        <f>+BL87*(1+BR88)</f>
        <v>436.94584999999995</v>
      </c>
      <c r="BS87" s="148">
        <f>+BM87*(1+BS88)</f>
        <v>447.23012</v>
      </c>
      <c r="BT87" s="148">
        <f>+BN87*(1+BT88)</f>
        <v>463.16550000000001</v>
      </c>
      <c r="BU87" s="448">
        <f>+SUM(BQ87:BT87)</f>
        <v>1747.3938450000001</v>
      </c>
      <c r="BV87" s="39"/>
      <c r="BW87" s="147">
        <f>+BQ87*(1+BW88)</f>
        <v>424.05551750000001</v>
      </c>
      <c r="BX87" s="148">
        <f>+BR87*(1+BX88)</f>
        <v>463.162601</v>
      </c>
      <c r="BY87" s="148">
        <f>+BS87*(1+BY88)</f>
        <v>474.06392720000002</v>
      </c>
      <c r="BZ87" s="148">
        <f>+BT87*(1+BZ88)</f>
        <v>490.95543000000004</v>
      </c>
      <c r="CA87" s="448">
        <f>+SUM(BW87:BZ87)</f>
        <v>1852.2374757</v>
      </c>
      <c r="CB87" s="39"/>
      <c r="CC87" s="147">
        <f>+BW87*(1+CC88)</f>
        <v>449.49884855000005</v>
      </c>
      <c r="CD87" s="148">
        <f>+BX87*(1+CD88)</f>
        <v>490.95235706</v>
      </c>
      <c r="CE87" s="148">
        <f>+BY87*(1+CE88)</f>
        <v>502.50776283200003</v>
      </c>
      <c r="CF87" s="148">
        <f>+BZ87*(1+CF88)</f>
        <v>520.41275580000001</v>
      </c>
      <c r="CG87" s="448">
        <f>+SUM(CC87:CF87)</f>
        <v>1963.371724242</v>
      </c>
    </row>
    <row r="88" spans="1:85" ht="11.25" customHeight="1" outlineLevel="1" x14ac:dyDescent="0.2">
      <c r="A88" s="78"/>
      <c r="B88" s="99" t="s">
        <v>253</v>
      </c>
      <c r="C88" s="259"/>
      <c r="D88" s="265"/>
      <c r="E88" s="265"/>
      <c r="F88" s="265"/>
      <c r="G88" s="449"/>
      <c r="H88" s="43"/>
      <c r="I88" s="259"/>
      <c r="J88" s="265"/>
      <c r="K88" s="265"/>
      <c r="L88" s="265"/>
      <c r="M88" s="449"/>
      <c r="N88" s="43"/>
      <c r="O88" s="259"/>
      <c r="P88" s="265"/>
      <c r="Q88" s="265"/>
      <c r="R88" s="265"/>
      <c r="S88" s="449"/>
      <c r="T88" s="43"/>
      <c r="U88" s="259"/>
      <c r="V88" s="265"/>
      <c r="W88" s="265"/>
      <c r="X88" s="265"/>
      <c r="Y88" s="449"/>
      <c r="Z88" s="43"/>
      <c r="AA88" s="259"/>
      <c r="AB88" s="260"/>
      <c r="AC88" s="260"/>
      <c r="AD88" s="260"/>
      <c r="AE88" s="449"/>
      <c r="AF88" s="43"/>
      <c r="AG88" s="259">
        <f>+AG87/AA87-1</f>
        <v>0.14871646252663084</v>
      </c>
      <c r="AH88" s="260">
        <f>+AH87/AB87-1</f>
        <v>8.5690554332245705E-2</v>
      </c>
      <c r="AI88" s="260">
        <f>+AI87/AC87-1</f>
        <v>0.25939193209934563</v>
      </c>
      <c r="AJ88" s="260">
        <f>+AJ87/AD87-1</f>
        <v>0.2190716787678606</v>
      </c>
      <c r="AK88" s="449">
        <f>IF(ISERROR(AK87/AE87-1),"NM",AK87/AE87-1)</f>
        <v>0.1787163993443055</v>
      </c>
      <c r="AL88" s="43"/>
      <c r="AM88" s="259">
        <f>+AM87/AG87-1</f>
        <v>0.28514192899682889</v>
      </c>
      <c r="AN88" s="260">
        <f>+AN87/AH87-1</f>
        <v>0.17802797018912053</v>
      </c>
      <c r="AO88" s="260">
        <f>+AO87/AI87-1</f>
        <v>4.8170748766665827E-2</v>
      </c>
      <c r="AP88" s="260">
        <f>+AP87/AJ87-1</f>
        <v>6.3376286079244837E-2</v>
      </c>
      <c r="AQ88" s="449">
        <f>IF(ISERROR(AQ87/AK87-1),"NM",AQ87/AK87-1)</f>
        <v>0.13476767444227011</v>
      </c>
      <c r="AR88" s="43"/>
      <c r="AS88" s="259">
        <f>+AS87/AM87-1</f>
        <v>4.9733383085774685E-2</v>
      </c>
      <c r="AT88" s="260">
        <f>+AT87/AN87-1</f>
        <v>0.18371338949000804</v>
      </c>
      <c r="AU88" s="260">
        <f>+AU87/AO87-1</f>
        <v>0.15507510713703154</v>
      </c>
      <c r="AV88" s="260">
        <f>+AV87/AP87-1</f>
        <v>7.2778372209144848E-2</v>
      </c>
      <c r="AW88" s="449">
        <f>IF(ISERROR(AW87/AQ87-1),"NM",AW87/AQ87-1)</f>
        <v>0.11530980970974269</v>
      </c>
      <c r="AX88" s="43"/>
      <c r="AY88" s="259">
        <f>+AY87/AS87-1</f>
        <v>-8.2100911881984873E-3</v>
      </c>
      <c r="AZ88" s="260">
        <f>+AZ87/AT87-1</f>
        <v>-7.4543577833688146E-2</v>
      </c>
      <c r="BA88" s="260">
        <f>+BA87/AU87-1</f>
        <v>-6.0792248006285354E-2</v>
      </c>
      <c r="BB88" s="260">
        <f>+BB87/AV87-1</f>
        <v>4.3230792963492748E-2</v>
      </c>
      <c r="BC88" s="449">
        <f>IF(ISERROR(BC87/AW87-1),"NM",BC87/AW87-1)</f>
        <v>-2.6579741531290946E-2</v>
      </c>
      <c r="BD88" s="43"/>
      <c r="BE88" s="259">
        <f>+BE87/AY87-1</f>
        <v>7.5470771009465976E-2</v>
      </c>
      <c r="BF88" s="260">
        <f>+BF87/AZ87-1</f>
        <v>9.3025687497821696E-2</v>
      </c>
      <c r="BG88" s="260">
        <f>+BG87/BA87-1</f>
        <v>5.6263446665773431E-2</v>
      </c>
      <c r="BH88" s="260">
        <f>+BH87/BB87-1</f>
        <v>4.8269409233216765E-2</v>
      </c>
      <c r="BI88" s="449">
        <f>IF(ISERROR(BI87/BC87-1),"NM",BI87/BC87-1)</f>
        <v>6.7923230405601664E-2</v>
      </c>
      <c r="BJ88" s="43"/>
      <c r="BK88" s="259">
        <f>+BK87/BE87-1</f>
        <v>4.8937611197411357E-2</v>
      </c>
      <c r="BL88" s="260">
        <f>+BL87/BF87-1</f>
        <v>2.5632849293563575E-2</v>
      </c>
      <c r="BM88" s="260">
        <f>+BM87/BG87-1</f>
        <v>0.12378033946032141</v>
      </c>
      <c r="BN88" s="260">
        <f>+BN87/BH87-1</f>
        <v>7.2819205728058334E-2</v>
      </c>
      <c r="BO88" s="449">
        <f>IF(ISERROR(BO87/BI87-1),"NM",BO87/BI87-1)</f>
        <v>6.7472974609351422E-2</v>
      </c>
      <c r="BP88" s="43"/>
      <c r="BQ88" s="259">
        <f>+BQ89+BQ90</f>
        <v>2.5000000000000001E-2</v>
      </c>
      <c r="BR88" s="260">
        <f>+BR89+BR90</f>
        <v>4.4999999999999998E-2</v>
      </c>
      <c r="BS88" s="260">
        <f>+BS89+BS90</f>
        <v>0.03</v>
      </c>
      <c r="BT88" s="260">
        <f>+BT89+BT90</f>
        <v>0.05</v>
      </c>
      <c r="BU88" s="449">
        <f>IF(ISERROR(BU87/BO87-1),"NM",BU87/BO87-1)</f>
        <v>3.7805648618936871E-2</v>
      </c>
      <c r="BV88" s="43"/>
      <c r="BW88" s="259">
        <f>+BW89+BW90</f>
        <v>0.06</v>
      </c>
      <c r="BX88" s="260">
        <f>+BX89+BX90</f>
        <v>0.06</v>
      </c>
      <c r="BY88" s="260">
        <f>+BY89+BY90</f>
        <v>0.06</v>
      </c>
      <c r="BZ88" s="260">
        <f>+BZ89+BZ90</f>
        <v>0.06</v>
      </c>
      <c r="CA88" s="449">
        <f>IF(ISERROR(CA87/BU87-1),"NM",CA87/BU87-1)</f>
        <v>6.0000000000000053E-2</v>
      </c>
      <c r="CB88" s="43"/>
      <c r="CC88" s="259">
        <f>+CC89+CC90</f>
        <v>0.06</v>
      </c>
      <c r="CD88" s="260">
        <f>+CD89+CD90</f>
        <v>0.06</v>
      </c>
      <c r="CE88" s="260">
        <f>+CE89+CE90</f>
        <v>0.06</v>
      </c>
      <c r="CF88" s="260">
        <f>+CF89+CF90</f>
        <v>0.06</v>
      </c>
      <c r="CG88" s="449">
        <f>IF(ISERROR(CG87/CA87-1),"NM",CG87/CA87-1)</f>
        <v>6.0000000000000053E-2</v>
      </c>
    </row>
    <row r="89" spans="1:85" ht="11.25" customHeight="1" outlineLevel="1" x14ac:dyDescent="0.2">
      <c r="A89" s="78"/>
      <c r="B89" s="99" t="s">
        <v>256</v>
      </c>
      <c r="C89" s="261"/>
      <c r="D89" s="266"/>
      <c r="E89" s="266"/>
      <c r="F89" s="267"/>
      <c r="G89" s="449"/>
      <c r="H89" s="43"/>
      <c r="I89" s="261"/>
      <c r="J89" s="266"/>
      <c r="K89" s="266"/>
      <c r="L89" s="267"/>
      <c r="M89" s="449"/>
      <c r="N89" s="43"/>
      <c r="O89" s="261"/>
      <c r="P89" s="266"/>
      <c r="Q89" s="266"/>
      <c r="R89" s="267"/>
      <c r="S89" s="449"/>
      <c r="T89" s="43"/>
      <c r="U89" s="261"/>
      <c r="V89" s="266"/>
      <c r="W89" s="266"/>
      <c r="X89" s="267"/>
      <c r="Y89" s="449"/>
      <c r="Z89" s="43"/>
      <c r="AA89" s="261"/>
      <c r="AB89" s="258"/>
      <c r="AC89" s="258"/>
      <c r="AD89" s="258"/>
      <c r="AE89" s="449"/>
      <c r="AF89" s="43"/>
      <c r="AG89" s="261">
        <v>0.14899999999999999</v>
      </c>
      <c r="AH89" s="258">
        <v>0.156</v>
      </c>
      <c r="AI89" s="258">
        <v>0.35199999999999998</v>
      </c>
      <c r="AJ89" s="258">
        <v>0.22500000000000001</v>
      </c>
      <c r="AK89" s="449">
        <f>+SUMPRODUCT(AG89:AJ89,AA$87:AD$87)/AE$87</f>
        <v>0.22201455927963878</v>
      </c>
      <c r="AL89" s="43"/>
      <c r="AM89" s="261">
        <v>0.28799999999999998</v>
      </c>
      <c r="AN89" s="258">
        <v>0.187</v>
      </c>
      <c r="AO89" s="258">
        <v>5.8999999999999997E-2</v>
      </c>
      <c r="AP89" s="258">
        <v>6.2E-2</v>
      </c>
      <c r="AQ89" s="449">
        <f>+SUMPRODUCT(AM89:AP89,AG$87:AJ$87)/AK$87</f>
        <v>0.14007446879498997</v>
      </c>
      <c r="AR89" s="43"/>
      <c r="AS89" s="261">
        <v>4.2000000000000003E-2</v>
      </c>
      <c r="AT89" s="258">
        <v>0.13400000000000001</v>
      </c>
      <c r="AU89" s="258">
        <v>0.11600000000000001</v>
      </c>
      <c r="AV89" s="258">
        <v>0.14099999999999999</v>
      </c>
      <c r="AW89" s="449">
        <f>+SUMPRODUCT(AS89:AV89,AM$87:AP$87)/AQ$87</f>
        <v>0.10886952165757163</v>
      </c>
      <c r="AX89" s="43"/>
      <c r="AY89" s="261">
        <v>0.13800000000000001</v>
      </c>
      <c r="AZ89" s="258">
        <v>8.6999999999999994E-2</v>
      </c>
      <c r="BA89" s="258">
        <v>0.09</v>
      </c>
      <c r="BB89" s="258">
        <v>0.161</v>
      </c>
      <c r="BC89" s="449">
        <f>+SUMPRODUCT(AY89:BB89,AS$87:AV$87)/AW$87</f>
        <v>0.11783189318542354</v>
      </c>
      <c r="BD89" s="43"/>
      <c r="BE89" s="261">
        <v>0.13200000000000001</v>
      </c>
      <c r="BF89" s="258">
        <v>0.11600000000000001</v>
      </c>
      <c r="BG89" s="258">
        <v>0.11</v>
      </c>
      <c r="BH89" s="260">
        <f>+BH88-BH90</f>
        <v>0.11526940923321677</v>
      </c>
      <c r="BI89" s="449">
        <f>+SUMPRODUCT(BE89:BH89,AY$87:BB$87)/BC$87</f>
        <v>0.11806788937779582</v>
      </c>
      <c r="BJ89" s="43"/>
      <c r="BK89" s="261">
        <v>0.105</v>
      </c>
      <c r="BL89" s="258">
        <v>7.3999999999999996E-2</v>
      </c>
      <c r="BM89" s="258">
        <v>8.7999999999999995E-2</v>
      </c>
      <c r="BN89" s="258">
        <v>8.0000000000000002E-3</v>
      </c>
      <c r="BO89" s="449">
        <f>+SUMPRODUCT(BK89:BN89,BE$87:BH$87)/BI$87</f>
        <v>6.7537619990452102E-2</v>
      </c>
      <c r="BP89" s="43"/>
      <c r="BQ89" s="1177">
        <v>0.04</v>
      </c>
      <c r="BR89" s="262">
        <v>0.06</v>
      </c>
      <c r="BS89" s="262">
        <f t="shared" ref="BS89:BT91" si="27">+BR89</f>
        <v>0.06</v>
      </c>
      <c r="BT89" s="262">
        <v>0.08</v>
      </c>
      <c r="BU89" s="449">
        <f>+SUMPRODUCT(BQ89:BT89,BK$87:BN$87)/BO$87</f>
        <v>6.060359711332932E-2</v>
      </c>
      <c r="BV89" s="43"/>
      <c r="BW89" s="263">
        <v>0.06</v>
      </c>
      <c r="BX89" s="262">
        <f t="shared" ref="BX89:BZ91" si="28">+BW89</f>
        <v>0.06</v>
      </c>
      <c r="BY89" s="262">
        <f t="shared" si="28"/>
        <v>0.06</v>
      </c>
      <c r="BZ89" s="262">
        <f t="shared" si="28"/>
        <v>0.06</v>
      </c>
      <c r="CA89" s="449">
        <f>+SUMPRODUCT(BW89:BZ89,BQ$87:BT$87)/BU$87</f>
        <v>5.9999999999999991E-2</v>
      </c>
      <c r="CB89" s="43"/>
      <c r="CC89" s="263">
        <f>+BZ89</f>
        <v>0.06</v>
      </c>
      <c r="CD89" s="262">
        <f t="shared" ref="CD89:CF91" si="29">+CC89</f>
        <v>0.06</v>
      </c>
      <c r="CE89" s="262">
        <f t="shared" si="29"/>
        <v>0.06</v>
      </c>
      <c r="CF89" s="262">
        <f t="shared" si="29"/>
        <v>0.06</v>
      </c>
      <c r="CG89" s="449">
        <f>+SUMPRODUCT(CC89:CF89,BW$87:BZ$87)/CA$87</f>
        <v>0.06</v>
      </c>
    </row>
    <row r="90" spans="1:85" ht="11.25" customHeight="1" outlineLevel="1" x14ac:dyDescent="0.2">
      <c r="A90" s="78"/>
      <c r="B90" s="99" t="s">
        <v>255</v>
      </c>
      <c r="C90" s="259"/>
      <c r="D90" s="265"/>
      <c r="E90" s="265"/>
      <c r="F90" s="265"/>
      <c r="G90" s="449"/>
      <c r="H90" s="43"/>
      <c r="I90" s="259"/>
      <c r="J90" s="265"/>
      <c r="K90" s="265"/>
      <c r="L90" s="265"/>
      <c r="M90" s="449"/>
      <c r="N90" s="43"/>
      <c r="O90" s="259"/>
      <c r="P90" s="265"/>
      <c r="Q90" s="265"/>
      <c r="R90" s="265"/>
      <c r="S90" s="449"/>
      <c r="T90" s="43"/>
      <c r="U90" s="259"/>
      <c r="V90" s="265"/>
      <c r="W90" s="265"/>
      <c r="X90" s="265"/>
      <c r="Y90" s="449"/>
      <c r="Z90" s="43"/>
      <c r="AA90" s="259"/>
      <c r="AB90" s="260"/>
      <c r="AC90" s="260"/>
      <c r="AD90" s="260"/>
      <c r="AE90" s="449"/>
      <c r="AF90" s="43"/>
      <c r="AG90" s="259">
        <f>AG88-AG89</f>
        <v>-2.8353747336914981E-4</v>
      </c>
      <c r="AH90" s="260">
        <f>AH88-AH89</f>
        <v>-7.0309445667754294E-2</v>
      </c>
      <c r="AI90" s="260">
        <f>AI88-AI89</f>
        <v>-9.2608067900654345E-2</v>
      </c>
      <c r="AJ90" s="260">
        <f>AJ88-AJ89</f>
        <v>-5.9283212321394052E-3</v>
      </c>
      <c r="AK90" s="449">
        <f>+SUMPRODUCT(AG90:AJ90,AA$87:AD$87)/AE$87</f>
        <v>-4.3298159935333348E-2</v>
      </c>
      <c r="AL90" s="43"/>
      <c r="AM90" s="259">
        <f>AM88-AM89</f>
        <v>-2.8580710031710921E-3</v>
      </c>
      <c r="AN90" s="260">
        <f>AN88-AN89</f>
        <v>-8.9720298108794672E-3</v>
      </c>
      <c r="AO90" s="260">
        <f>AO88-AO89</f>
        <v>-1.082925123333417E-2</v>
      </c>
      <c r="AP90" s="260">
        <f>AP88-AP89</f>
        <v>1.3762860792448373E-3</v>
      </c>
      <c r="AQ90" s="449">
        <f>+SUMPRODUCT(AM90:AP90,AG$87:AJ$87)/AK$87</f>
        <v>-5.3067943527197554E-3</v>
      </c>
      <c r="AR90" s="43"/>
      <c r="AS90" s="259">
        <f>AS88-AS89</f>
        <v>7.7333830857746824E-3</v>
      </c>
      <c r="AT90" s="260">
        <f>AT88-AT89</f>
        <v>4.9713389490008031E-2</v>
      </c>
      <c r="AU90" s="260">
        <f>AU88-AU89</f>
        <v>3.9075107137031537E-2</v>
      </c>
      <c r="AV90" s="260">
        <f>AV88-AV89</f>
        <v>-6.8221627790855138E-2</v>
      </c>
      <c r="AW90" s="449">
        <f>+SUMPRODUCT(AS90:AV90,AM$87:AP$87)/AQ$87</f>
        <v>6.4402880521710155E-3</v>
      </c>
      <c r="AX90" s="43"/>
      <c r="AY90" s="259">
        <f>AY88-AY89</f>
        <v>-0.1462100911881985</v>
      </c>
      <c r="AZ90" s="260">
        <f>AZ88-AZ89</f>
        <v>-0.16154357783368814</v>
      </c>
      <c r="BA90" s="260">
        <f>BA88-BA89</f>
        <v>-0.15079224800628535</v>
      </c>
      <c r="BB90" s="260">
        <f>BB88-BB89</f>
        <v>-0.11776920703650726</v>
      </c>
      <c r="BC90" s="449">
        <f>+SUMPRODUCT(AY90:BB90,AS$87:AV$87)/AW$87</f>
        <v>-0.14441163471671456</v>
      </c>
      <c r="BD90" s="43"/>
      <c r="BE90" s="259">
        <f>BE88-BE89</f>
        <v>-5.6529228990534031E-2</v>
      </c>
      <c r="BF90" s="260">
        <f>BF88-BF89</f>
        <v>-2.297431250217831E-2</v>
      </c>
      <c r="BG90" s="260">
        <f>BG88-BG89</f>
        <v>-5.3736553334226569E-2</v>
      </c>
      <c r="BH90" s="258">
        <v>-6.7000000000000004E-2</v>
      </c>
      <c r="BI90" s="449">
        <f>+SUMPRODUCT(BE90:BH90,AY$87:BB$87)/BC$87</f>
        <v>-5.0144658972194181E-2</v>
      </c>
      <c r="BJ90" s="43"/>
      <c r="BK90" s="259">
        <f>BK88-BK89</f>
        <v>-5.6062388802588639E-2</v>
      </c>
      <c r="BL90" s="260">
        <f>BL88-BL89</f>
        <v>-4.8367150706436421E-2</v>
      </c>
      <c r="BM90" s="260">
        <f>BM88-BM89</f>
        <v>3.5780339460321414E-2</v>
      </c>
      <c r="BN90" s="260">
        <f>BN88-BN89</f>
        <v>6.4819205728058327E-2</v>
      </c>
      <c r="BO90" s="449">
        <f>+SUMPRODUCT(BK90:BN90,BE$87:BH$87)/BI$87</f>
        <v>-6.4645381100594945E-5</v>
      </c>
      <c r="BP90" s="43"/>
      <c r="BQ90" s="263">
        <v>-1.4999999999999999E-2</v>
      </c>
      <c r="BR90" s="262">
        <v>-1.4999999999999999E-2</v>
      </c>
      <c r="BS90" s="262">
        <v>-0.03</v>
      </c>
      <c r="BT90" s="262">
        <f t="shared" si="27"/>
        <v>-0.03</v>
      </c>
      <c r="BU90" s="449">
        <f>+SUMPRODUCT(BQ90:BT90,BK$87:BN$87)/BO$87</f>
        <v>-2.2797948494392539E-2</v>
      </c>
      <c r="BV90" s="43"/>
      <c r="BW90" s="263">
        <v>0</v>
      </c>
      <c r="BX90" s="262">
        <f t="shared" si="28"/>
        <v>0</v>
      </c>
      <c r="BY90" s="262">
        <f t="shared" si="28"/>
        <v>0</v>
      </c>
      <c r="BZ90" s="262">
        <f t="shared" si="28"/>
        <v>0</v>
      </c>
      <c r="CA90" s="449">
        <f>+SUMPRODUCT(BW90:BZ90,BQ$87:BT$87)/BU$87</f>
        <v>0</v>
      </c>
      <c r="CB90" s="43"/>
      <c r="CC90" s="263">
        <f>+BZ90</f>
        <v>0</v>
      </c>
      <c r="CD90" s="262">
        <f t="shared" si="29"/>
        <v>0</v>
      </c>
      <c r="CE90" s="262">
        <f t="shared" si="29"/>
        <v>0</v>
      </c>
      <c r="CF90" s="262">
        <f t="shared" si="29"/>
        <v>0</v>
      </c>
      <c r="CG90" s="449">
        <f>+SUMPRODUCT(CC90:CF90,BW$87:BZ$87)/CA$87</f>
        <v>0</v>
      </c>
    </row>
    <row r="91" spans="1:85" ht="11.25" customHeight="1" outlineLevel="1" x14ac:dyDescent="0.2">
      <c r="A91" s="78"/>
      <c r="B91" s="99" t="s">
        <v>254</v>
      </c>
      <c r="C91" s="261"/>
      <c r="D91" s="266"/>
      <c r="E91" s="266"/>
      <c r="F91" s="267"/>
      <c r="G91" s="453"/>
      <c r="H91" s="43"/>
      <c r="I91" s="261"/>
      <c r="J91" s="266"/>
      <c r="K91" s="266"/>
      <c r="L91" s="267"/>
      <c r="M91" s="453"/>
      <c r="N91" s="43"/>
      <c r="O91" s="261"/>
      <c r="P91" s="266"/>
      <c r="Q91" s="266"/>
      <c r="R91" s="267"/>
      <c r="S91" s="453"/>
      <c r="T91" s="43"/>
      <c r="U91" s="261"/>
      <c r="V91" s="266"/>
      <c r="W91" s="266"/>
      <c r="X91" s="267"/>
      <c r="Y91" s="453"/>
      <c r="Z91" s="43"/>
      <c r="AA91" s="261"/>
      <c r="AB91" s="258"/>
      <c r="AC91" s="258"/>
      <c r="AD91" s="258"/>
      <c r="AE91" s="449"/>
      <c r="AF91" s="43"/>
      <c r="AG91" s="261">
        <v>1.2E-2</v>
      </c>
      <c r="AH91" s="258">
        <v>0.122</v>
      </c>
      <c r="AI91" s="258">
        <v>0.28999999999999998</v>
      </c>
      <c r="AJ91" s="258">
        <f>-7.3%+26.7%</f>
        <v>0.19400000000000001</v>
      </c>
      <c r="AK91" s="449">
        <f>+SUMPRODUCT(AG91:AJ91,AA$87:AD$87)/AE$87</f>
        <v>0.15898444013899543</v>
      </c>
      <c r="AL91" s="43"/>
      <c r="AM91" s="261">
        <v>0.30299999999999999</v>
      </c>
      <c r="AN91" s="258">
        <v>0.20100000000000001</v>
      </c>
      <c r="AO91" s="258">
        <v>3.7999999999999999E-2</v>
      </c>
      <c r="AP91" s="258">
        <v>3.3000000000000002E-2</v>
      </c>
      <c r="AQ91" s="449">
        <f>+SUMPRODUCT(AM91:AP91,AG$87:AJ$87)/AK$87</f>
        <v>0.13307752331763534</v>
      </c>
      <c r="AR91" s="43"/>
      <c r="AS91" s="261">
        <v>0</v>
      </c>
      <c r="AT91" s="258">
        <v>6.6000000000000003E-2</v>
      </c>
      <c r="AU91" s="258">
        <v>0.06</v>
      </c>
      <c r="AV91" s="258">
        <v>5.5E-2</v>
      </c>
      <c r="AW91" s="449">
        <f>+SUMPRODUCT(AS91:AV91,AM$87:AP$87)/AQ$87</f>
        <v>4.5557522963023955E-2</v>
      </c>
      <c r="AX91" s="43"/>
      <c r="AY91" s="261">
        <v>6.4000000000000001E-2</v>
      </c>
      <c r="AZ91" s="258">
        <v>3.9E-2</v>
      </c>
      <c r="BA91" s="258">
        <v>6.3E-2</v>
      </c>
      <c r="BB91" s="258">
        <v>0.128</v>
      </c>
      <c r="BC91" s="449">
        <f>+SUMPRODUCT(AY91:BB91,AS$87:AV$87)/AW$87</f>
        <v>7.2961665988937094E-2</v>
      </c>
      <c r="BD91" s="43"/>
      <c r="BE91" s="261">
        <v>0.10100000000000001</v>
      </c>
      <c r="BF91" s="258">
        <v>6.7000000000000004E-2</v>
      </c>
      <c r="BG91" s="258">
        <v>3.7999999999999999E-2</v>
      </c>
      <c r="BH91" s="258">
        <f>0.5%+4.7%</f>
        <v>5.1999999999999998E-2</v>
      </c>
      <c r="BI91" s="449">
        <f>+SUMPRODUCT(BE91:BH91,AY$87:BB$87)/BC$87</f>
        <v>6.3798556660128611E-2</v>
      </c>
      <c r="BJ91" s="43"/>
      <c r="BK91" s="261">
        <v>1.6E-2</v>
      </c>
      <c r="BL91" s="258">
        <v>1.7000000000000001E-2</v>
      </c>
      <c r="BM91" s="258">
        <v>1.9E-2</v>
      </c>
      <c r="BN91" s="258">
        <f>2.3%-4.4%</f>
        <v>-2.1000000000000005E-2</v>
      </c>
      <c r="BO91" s="449">
        <f>+SUMPRODUCT(BK91:BN91,BE$87:BH$87)/BI$87</f>
        <v>7.3482999252526288E-3</v>
      </c>
      <c r="BP91" s="43"/>
      <c r="BQ91" s="263">
        <v>1E-3</v>
      </c>
      <c r="BR91" s="262">
        <v>0</v>
      </c>
      <c r="BS91" s="262">
        <f t="shared" si="27"/>
        <v>0</v>
      </c>
      <c r="BT91" s="262">
        <f t="shared" si="27"/>
        <v>0</v>
      </c>
      <c r="BU91" s="449">
        <f>+SUMPRODUCT(BQ91:BT91,BK$87:BN$87)/BO$87</f>
        <v>2.3180255372121214E-4</v>
      </c>
      <c r="BV91" s="43"/>
      <c r="BW91" s="263">
        <f>+BT91</f>
        <v>0</v>
      </c>
      <c r="BX91" s="262">
        <f t="shared" si="28"/>
        <v>0</v>
      </c>
      <c r="BY91" s="262">
        <f t="shared" si="28"/>
        <v>0</v>
      </c>
      <c r="BZ91" s="262">
        <f t="shared" si="28"/>
        <v>0</v>
      </c>
      <c r="CA91" s="449">
        <f>+SUMPRODUCT(BW91:BZ91,BQ$87:BT$87)/BU$87</f>
        <v>0</v>
      </c>
      <c r="CB91" s="43"/>
      <c r="CC91" s="263">
        <f>+BZ91</f>
        <v>0</v>
      </c>
      <c r="CD91" s="262">
        <f t="shared" si="29"/>
        <v>0</v>
      </c>
      <c r="CE91" s="262">
        <f t="shared" si="29"/>
        <v>0</v>
      </c>
      <c r="CF91" s="262">
        <f t="shared" si="29"/>
        <v>0</v>
      </c>
      <c r="CG91" s="449">
        <f>+SUMPRODUCT(CC91:CF91,BW$87:BZ$87)/CA$87</f>
        <v>0</v>
      </c>
    </row>
    <row r="92" spans="1:85" ht="11.25" customHeight="1" outlineLevel="1" x14ac:dyDescent="0.2">
      <c r="A92" s="78"/>
      <c r="B92" s="98" t="s">
        <v>257</v>
      </c>
      <c r="C92" s="259"/>
      <c r="D92" s="260"/>
      <c r="E92" s="260"/>
      <c r="F92" s="260"/>
      <c r="G92" s="449"/>
      <c r="H92" s="264"/>
      <c r="I92" s="259"/>
      <c r="J92" s="260"/>
      <c r="K92" s="260"/>
      <c r="L92" s="260"/>
      <c r="M92" s="449"/>
      <c r="N92" s="264"/>
      <c r="O92" s="259"/>
      <c r="P92" s="260"/>
      <c r="Q92" s="260"/>
      <c r="R92" s="260"/>
      <c r="S92" s="449"/>
      <c r="T92" s="264"/>
      <c r="U92" s="259"/>
      <c r="V92" s="260"/>
      <c r="W92" s="260"/>
      <c r="X92" s="260"/>
      <c r="Y92" s="449"/>
      <c r="Z92" s="264"/>
      <c r="AA92" s="259"/>
      <c r="AB92" s="260"/>
      <c r="AC92" s="260"/>
      <c r="AD92" s="260"/>
      <c r="AE92" s="449"/>
      <c r="AF92" s="264"/>
      <c r="AG92" s="259">
        <f>+AG89-AG91</f>
        <v>0.13699999999999998</v>
      </c>
      <c r="AH92" s="260">
        <f>+AH89-AH91</f>
        <v>3.4000000000000002E-2</v>
      </c>
      <c r="AI92" s="260">
        <f>+AI89-AI91</f>
        <v>6.2E-2</v>
      </c>
      <c r="AJ92" s="260">
        <f>+AJ89-AJ91</f>
        <v>3.1E-2</v>
      </c>
      <c r="AK92" s="449">
        <f>+SUMPRODUCT(AG92:AJ92,AA$87:AD$87)/AE$87</f>
        <v>6.3030119140643354E-2</v>
      </c>
      <c r="AL92" s="264"/>
      <c r="AM92" s="259">
        <f>+AM89-AM91</f>
        <v>-1.5000000000000013E-2</v>
      </c>
      <c r="AN92" s="260">
        <f>+AN89-AN91</f>
        <v>-1.4000000000000012E-2</v>
      </c>
      <c r="AO92" s="260">
        <f>+AO89-AO91</f>
        <v>2.0999999999999998E-2</v>
      </c>
      <c r="AP92" s="260">
        <f>+AP89-AP91</f>
        <v>2.8999999999999998E-2</v>
      </c>
      <c r="AQ92" s="449">
        <f>+SUMPRODUCT(AM92:AP92,AG$87:AJ$87)/AK$87</f>
        <v>6.9969454773546533E-3</v>
      </c>
      <c r="AR92" s="264"/>
      <c r="AS92" s="259">
        <f>+AS89-AS91</f>
        <v>4.2000000000000003E-2</v>
      </c>
      <c r="AT92" s="260">
        <f>+AT89-AT91</f>
        <v>6.8000000000000005E-2</v>
      </c>
      <c r="AU92" s="260">
        <f>+AU89-AU91</f>
        <v>5.6000000000000008E-2</v>
      </c>
      <c r="AV92" s="260">
        <f>+AV89-AV91</f>
        <v>8.5999999999999993E-2</v>
      </c>
      <c r="AW92" s="449">
        <f>+SUMPRODUCT(AS92:AV92,AM$87:AP$87)/AQ$87</f>
        <v>6.3311998694547691E-2</v>
      </c>
      <c r="AX92" s="264"/>
      <c r="AY92" s="259">
        <f>+AY89-AY91</f>
        <v>7.400000000000001E-2</v>
      </c>
      <c r="AZ92" s="260">
        <f>+AZ89-AZ91</f>
        <v>4.7999999999999994E-2</v>
      </c>
      <c r="BA92" s="260">
        <f>+BA89-BA91</f>
        <v>2.6999999999999996E-2</v>
      </c>
      <c r="BB92" s="260">
        <f>+BB89-BB91</f>
        <v>3.3000000000000002E-2</v>
      </c>
      <c r="BC92" s="449">
        <f>+SUMPRODUCT(AY92:BB92,AS$87:AV$87)/AW$87</f>
        <v>4.4870227196486444E-2</v>
      </c>
      <c r="BD92" s="264"/>
      <c r="BE92" s="259">
        <f>+BE89-BE91</f>
        <v>3.1E-2</v>
      </c>
      <c r="BF92" s="260">
        <f>+BF89-BF91</f>
        <v>4.9000000000000002E-2</v>
      </c>
      <c r="BG92" s="260">
        <f>+BG89-BG91</f>
        <v>7.2000000000000008E-2</v>
      </c>
      <c r="BH92" s="260">
        <f>+BH89-BH91</f>
        <v>6.3269409233216778E-2</v>
      </c>
      <c r="BI92" s="449">
        <f>+SUMPRODUCT(BE92:BH92,AY$87:BB$87)/BC$87</f>
        <v>5.4269332717667221E-2</v>
      </c>
      <c r="BJ92" s="264"/>
      <c r="BK92" s="259">
        <f>+BK89-BK91</f>
        <v>8.8999999999999996E-2</v>
      </c>
      <c r="BL92" s="260">
        <f>+BL89-BL91</f>
        <v>5.6999999999999995E-2</v>
      </c>
      <c r="BM92" s="260">
        <f>+BM89-BM91</f>
        <v>6.8999999999999992E-2</v>
      </c>
      <c r="BN92" s="260">
        <f>+BN89-BN91</f>
        <v>2.9000000000000005E-2</v>
      </c>
      <c r="BO92" s="449">
        <f>+SUMPRODUCT(BK92:BN92,BE$87:BH$87)/BI$87</f>
        <v>6.0189320065199489E-2</v>
      </c>
      <c r="BP92" s="264"/>
      <c r="BQ92" s="259">
        <f>+BQ89-BQ91</f>
        <v>3.9E-2</v>
      </c>
      <c r="BR92" s="260">
        <f>+BR89-BR91</f>
        <v>0.06</v>
      </c>
      <c r="BS92" s="260">
        <f>+BS89-BS91</f>
        <v>0.06</v>
      </c>
      <c r="BT92" s="260">
        <f>+BT89-BT91</f>
        <v>0.08</v>
      </c>
      <c r="BU92" s="449">
        <f>+SUMPRODUCT(BQ92:BT92,BK$87:BN$87)/BO$87</f>
        <v>6.0371794559608102E-2</v>
      </c>
      <c r="BV92" s="264"/>
      <c r="BW92" s="259">
        <f>+BW89-BW91</f>
        <v>0.06</v>
      </c>
      <c r="BX92" s="260">
        <f>+BX89-BX91</f>
        <v>0.06</v>
      </c>
      <c r="BY92" s="260">
        <f>+BY89-BY91</f>
        <v>0.06</v>
      </c>
      <c r="BZ92" s="260">
        <f>+BZ89-BZ91</f>
        <v>0.06</v>
      </c>
      <c r="CA92" s="449">
        <f>+SUMPRODUCT(BW92:BZ92,BQ$87:BT$87)/BU$87</f>
        <v>5.9999999999999991E-2</v>
      </c>
      <c r="CB92" s="264"/>
      <c r="CC92" s="259">
        <f>+CC89-CC91</f>
        <v>0.06</v>
      </c>
      <c r="CD92" s="260">
        <f>+CD89-CD91</f>
        <v>0.06</v>
      </c>
      <c r="CE92" s="260">
        <f>+CE89-CE91</f>
        <v>0.06</v>
      </c>
      <c r="CF92" s="260">
        <f>+CF89-CF91</f>
        <v>0.06</v>
      </c>
      <c r="CG92" s="449">
        <f>+SUMPRODUCT(CC92:CF92,BW$87:BZ$87)/CA$87</f>
        <v>0.06</v>
      </c>
    </row>
    <row r="93" spans="1:85" ht="11.25" customHeight="1" outlineLevel="1" x14ac:dyDescent="0.2">
      <c r="A93" s="78"/>
      <c r="B93" s="99"/>
      <c r="C93" s="93"/>
      <c r="D93" s="59"/>
      <c r="E93" s="59"/>
      <c r="F93" s="59"/>
      <c r="G93" s="447"/>
      <c r="H93" s="43"/>
      <c r="I93" s="93"/>
      <c r="J93" s="59"/>
      <c r="K93" s="59"/>
      <c r="L93" s="59"/>
      <c r="M93" s="447"/>
      <c r="N93" s="43"/>
      <c r="O93" s="93"/>
      <c r="P93" s="59"/>
      <c r="Q93" s="59"/>
      <c r="R93" s="59"/>
      <c r="S93" s="447"/>
      <c r="T93" s="43"/>
      <c r="U93" s="93"/>
      <c r="V93" s="59"/>
      <c r="W93" s="59"/>
      <c r="X93" s="59"/>
      <c r="Y93" s="447"/>
      <c r="Z93" s="43"/>
      <c r="AA93" s="93"/>
      <c r="AB93" s="61"/>
      <c r="AC93" s="61"/>
      <c r="AD93" s="61"/>
      <c r="AE93" s="447"/>
      <c r="AF93" s="43"/>
      <c r="AG93" s="93"/>
      <c r="AH93" s="61"/>
      <c r="AI93" s="61"/>
      <c r="AJ93" s="61"/>
      <c r="AK93" s="447"/>
      <c r="AL93" s="43"/>
      <c r="AM93" s="93"/>
      <c r="AN93" s="61"/>
      <c r="AO93" s="61"/>
      <c r="AP93" s="61"/>
      <c r="AQ93" s="447"/>
      <c r="AR93" s="43"/>
      <c r="AS93" s="93"/>
      <c r="AT93" s="61"/>
      <c r="AU93" s="61"/>
      <c r="AV93" s="61"/>
      <c r="AW93" s="447"/>
      <c r="AX93" s="43"/>
      <c r="AY93" s="93"/>
      <c r="AZ93" s="61"/>
      <c r="BA93" s="61"/>
      <c r="BB93" s="61"/>
      <c r="BC93" s="447"/>
      <c r="BD93" s="43"/>
      <c r="BE93" s="93"/>
      <c r="BF93" s="61"/>
      <c r="BG93" s="61"/>
      <c r="BH93" s="61"/>
      <c r="BI93" s="447"/>
      <c r="BJ93" s="43"/>
      <c r="BK93" s="93"/>
      <c r="BL93" s="61"/>
      <c r="BM93" s="61"/>
      <c r="BN93" s="61"/>
      <c r="BO93" s="447"/>
      <c r="BP93" s="43"/>
      <c r="BQ93" s="93"/>
      <c r="BR93" s="61"/>
      <c r="BS93" s="61"/>
      <c r="BT93" s="61"/>
      <c r="BU93" s="447"/>
      <c r="BV93" s="43"/>
      <c r="BW93" s="93"/>
      <c r="BX93" s="61"/>
      <c r="BY93" s="61"/>
      <c r="BZ93" s="61"/>
      <c r="CA93" s="447"/>
      <c r="CB93" s="43"/>
      <c r="CC93" s="93"/>
      <c r="CD93" s="61"/>
      <c r="CE93" s="61"/>
      <c r="CF93" s="61"/>
      <c r="CG93" s="447"/>
    </row>
    <row r="94" spans="1:85" ht="11.25" customHeight="1" outlineLevel="1" x14ac:dyDescent="0.2">
      <c r="A94" s="78"/>
      <c r="B94" s="108" t="s">
        <v>306</v>
      </c>
      <c r="C94" s="143"/>
      <c r="D94" s="144"/>
      <c r="E94" s="144"/>
      <c r="F94" s="144"/>
      <c r="G94" s="448"/>
      <c r="H94" s="39"/>
      <c r="I94" s="143"/>
      <c r="J94" s="144"/>
      <c r="K94" s="144"/>
      <c r="L94" s="144"/>
      <c r="M94" s="448"/>
      <c r="N94" s="39"/>
      <c r="O94" s="143"/>
      <c r="P94" s="144"/>
      <c r="Q94" s="144"/>
      <c r="R94" s="144"/>
      <c r="S94" s="448"/>
      <c r="T94" s="39"/>
      <c r="U94" s="143"/>
      <c r="V94" s="144"/>
      <c r="W94" s="144"/>
      <c r="X94" s="144"/>
      <c r="Y94" s="448"/>
      <c r="Z94" s="39"/>
      <c r="AA94" s="147">
        <f>+AA153-AA35</f>
        <v>20.834384615384636</v>
      </c>
      <c r="AB94" s="148">
        <f>+AB153-AB35</f>
        <v>22.033380597014968</v>
      </c>
      <c r="AC94" s="270">
        <v>21.27</v>
      </c>
      <c r="AD94" s="270">
        <v>23.251999999999999</v>
      </c>
      <c r="AE94" s="448">
        <f>+SUM(AA94:AD94)</f>
        <v>87.389765212399595</v>
      </c>
      <c r="AF94" s="39"/>
      <c r="AG94" s="269">
        <v>21.782</v>
      </c>
      <c r="AH94" s="270">
        <v>19.327000000000002</v>
      </c>
      <c r="AI94" s="270">
        <v>18.452000000000002</v>
      </c>
      <c r="AJ94" s="270">
        <v>21.585000000000001</v>
      </c>
      <c r="AK94" s="448">
        <f>+SUM(AG94:AJ94)</f>
        <v>81.146000000000015</v>
      </c>
      <c r="AL94" s="39"/>
      <c r="AM94" s="269">
        <v>21.23</v>
      </c>
      <c r="AN94" s="270">
        <v>20.574999999999999</v>
      </c>
      <c r="AO94" s="270">
        <v>18.222000000000001</v>
      </c>
      <c r="AP94" s="270">
        <v>21.109000000000002</v>
      </c>
      <c r="AQ94" s="448">
        <f>+SUM(AM94:AP94)</f>
        <v>81.135999999999996</v>
      </c>
      <c r="AR94" s="39"/>
      <c r="AS94" s="269">
        <v>22.295999999999999</v>
      </c>
      <c r="AT94" s="270">
        <v>21.446000000000002</v>
      </c>
      <c r="AU94" s="270">
        <v>19.989000000000001</v>
      </c>
      <c r="AV94" s="270">
        <v>21.132999999999999</v>
      </c>
      <c r="AW94" s="448">
        <f>+SUM(AS94:AV94)</f>
        <v>84.864000000000004</v>
      </c>
      <c r="AX94" s="39"/>
      <c r="AY94" s="269">
        <v>18.888999999999999</v>
      </c>
      <c r="AZ94" s="270">
        <v>17.783999999999999</v>
      </c>
      <c r="BA94" s="270">
        <v>17.148</v>
      </c>
      <c r="BB94" s="270">
        <v>18.670999999999999</v>
      </c>
      <c r="BC94" s="448">
        <f>+SUM(AY94:BB94)</f>
        <v>72.49199999999999</v>
      </c>
      <c r="BD94" s="39"/>
      <c r="BE94" s="269">
        <v>18.675999999999998</v>
      </c>
      <c r="BF94" s="270">
        <v>18.492999999999999</v>
      </c>
      <c r="BG94" s="270">
        <v>16.745000000000001</v>
      </c>
      <c r="BH94" s="270">
        <v>19.097999999999999</v>
      </c>
      <c r="BI94" s="448">
        <f>+SUM(BE94:BH94)</f>
        <v>73.012</v>
      </c>
      <c r="BJ94" s="39"/>
      <c r="BK94" s="269">
        <v>18.849</v>
      </c>
      <c r="BL94" s="270">
        <v>17.693000000000001</v>
      </c>
      <c r="BM94" s="270">
        <v>18.335999999999999</v>
      </c>
      <c r="BN94" s="270">
        <v>19.222999999999999</v>
      </c>
      <c r="BO94" s="448">
        <f>+SUM(BK94:BN94)</f>
        <v>74.100999999999999</v>
      </c>
      <c r="BP94" s="39"/>
      <c r="BQ94" s="147">
        <f>+BK94*(1+BQ95)</f>
        <v>18.189284999999998</v>
      </c>
      <c r="BR94" s="148">
        <f>+BL94*(1+BR95)</f>
        <v>18.312255</v>
      </c>
      <c r="BS94" s="148">
        <f>+BM94*(1+BS95)</f>
        <v>18.152639999999998</v>
      </c>
      <c r="BT94" s="148">
        <f>+BN94*(1+BT95)</f>
        <v>19.415229999999998</v>
      </c>
      <c r="BU94" s="448">
        <f>+SUM(BQ94:BT94)</f>
        <v>74.069409999999991</v>
      </c>
      <c r="BV94" s="39"/>
      <c r="BW94" s="147">
        <f>+BQ94*(1+BW95)</f>
        <v>18.553070699999999</v>
      </c>
      <c r="BX94" s="148">
        <f>+BR94*(1+BX95)</f>
        <v>18.678500100000001</v>
      </c>
      <c r="BY94" s="148">
        <f>+BS94*(1+BY95)</f>
        <v>18.5156928</v>
      </c>
      <c r="BZ94" s="148">
        <f>+BT94*(1+BZ95)</f>
        <v>19.803534599999999</v>
      </c>
      <c r="CA94" s="448">
        <f>+SUM(BW94:BZ94)</f>
        <v>75.550798200000003</v>
      </c>
      <c r="CB94" s="39"/>
      <c r="CC94" s="147">
        <f>+BW94*(1+CC95)</f>
        <v>18.924132113999999</v>
      </c>
      <c r="CD94" s="148">
        <f>+BX94*(1+CD95)</f>
        <v>19.052070102000002</v>
      </c>
      <c r="CE94" s="148">
        <f>+BY94*(1+CE95)</f>
        <v>18.886006655999999</v>
      </c>
      <c r="CF94" s="148">
        <f>+BZ94*(1+CF95)</f>
        <v>20.199605291999998</v>
      </c>
      <c r="CG94" s="448">
        <f>+SUM(CC94:CF94)</f>
        <v>77.061814163999998</v>
      </c>
    </row>
    <row r="95" spans="1:85" ht="11.25" customHeight="1" outlineLevel="1" x14ac:dyDescent="0.2">
      <c r="A95" s="78"/>
      <c r="B95" s="99" t="s">
        <v>253</v>
      </c>
      <c r="C95" s="259"/>
      <c r="D95" s="265"/>
      <c r="E95" s="265"/>
      <c r="F95" s="265"/>
      <c r="G95" s="449"/>
      <c r="H95" s="43"/>
      <c r="I95" s="259"/>
      <c r="J95" s="265"/>
      <c r="K95" s="265"/>
      <c r="L95" s="265"/>
      <c r="M95" s="449"/>
      <c r="N95" s="43"/>
      <c r="O95" s="259"/>
      <c r="P95" s="265"/>
      <c r="Q95" s="265"/>
      <c r="R95" s="265"/>
      <c r="S95" s="449"/>
      <c r="T95" s="43"/>
      <c r="U95" s="259"/>
      <c r="V95" s="265"/>
      <c r="W95" s="265"/>
      <c r="X95" s="265"/>
      <c r="Y95" s="449"/>
      <c r="Z95" s="43"/>
      <c r="AA95" s="259"/>
      <c r="AB95" s="260"/>
      <c r="AC95" s="260"/>
      <c r="AD95" s="260"/>
      <c r="AE95" s="449"/>
      <c r="AF95" s="43"/>
      <c r="AG95" s="259">
        <f>+AG94/AA94-1</f>
        <v>4.5483243307105958E-2</v>
      </c>
      <c r="AH95" s="260">
        <f>+AH94/AB94-1</f>
        <v>-0.12283092851314981</v>
      </c>
      <c r="AI95" s="260">
        <f>+AI94/AC94-1</f>
        <v>-0.13248707099200741</v>
      </c>
      <c r="AJ95" s="260">
        <f>+AJ94/AD94-1</f>
        <v>-7.1692757612248359E-2</v>
      </c>
      <c r="AK95" s="449">
        <f>IF(ISERROR(AK94/AE94-1),"NM",AK94/AE94-1)</f>
        <v>-7.1447327924776927E-2</v>
      </c>
      <c r="AL95" s="43"/>
      <c r="AM95" s="259">
        <f>+AM94/AG94-1</f>
        <v>-2.5342025525663336E-2</v>
      </c>
      <c r="AN95" s="260">
        <f>+AN94/AH94-1</f>
        <v>6.4572877321881217E-2</v>
      </c>
      <c r="AO95" s="260">
        <f>+AO94/AI94-1</f>
        <v>-1.2464773466290935E-2</v>
      </c>
      <c r="AP95" s="260">
        <f>+AP94/AJ94-1</f>
        <v>-2.205235116979376E-2</v>
      </c>
      <c r="AQ95" s="449">
        <f>IF(ISERROR(AQ94/AK94-1),"NM",AQ94/AK94-1)</f>
        <v>-1.232346634463255E-4</v>
      </c>
      <c r="AR95" s="43"/>
      <c r="AS95" s="259">
        <f>+AS94/AM94-1</f>
        <v>5.0211964201601456E-2</v>
      </c>
      <c r="AT95" s="260">
        <f>+AT94/AN94-1</f>
        <v>4.2332928311057172E-2</v>
      </c>
      <c r="AU95" s="260">
        <f>+AU94/AO94-1</f>
        <v>9.697069476457032E-2</v>
      </c>
      <c r="AV95" s="260">
        <f>+AV94/AP94-1</f>
        <v>1.1369558008431646E-3</v>
      </c>
      <c r="AW95" s="449">
        <f>IF(ISERROR(AW94/AQ94-1),"NM",AW94/AQ94-1)</f>
        <v>4.5947544862946277E-2</v>
      </c>
      <c r="AX95" s="43"/>
      <c r="AY95" s="259">
        <f>+AY94/AS94-1</f>
        <v>-0.15280767850735555</v>
      </c>
      <c r="AZ95" s="260">
        <f>+AZ94/AT94-1</f>
        <v>-0.17075445304485692</v>
      </c>
      <c r="BA95" s="260">
        <f>+BA94/AU94-1</f>
        <v>-0.14212817049377158</v>
      </c>
      <c r="BB95" s="260">
        <f>+BB94/AV94-1</f>
        <v>-0.11650026025647087</v>
      </c>
      <c r="BC95" s="449">
        <f>IF(ISERROR(BC94/AW94-1),"NM",BC94/AW94-1)</f>
        <v>-0.14578619909502277</v>
      </c>
      <c r="BD95" s="43"/>
      <c r="BE95" s="259">
        <f>+BE94/AY94-1</f>
        <v>-1.1276404256445605E-2</v>
      </c>
      <c r="BF95" s="260">
        <f>+BF94/AZ94-1</f>
        <v>3.9867296446243872E-2</v>
      </c>
      <c r="BG95" s="260">
        <f>+BG94/BA94-1</f>
        <v>-2.3501282948448776E-2</v>
      </c>
      <c r="BH95" s="260">
        <f>+BH94/BB94-1</f>
        <v>2.2869690964597567E-2</v>
      </c>
      <c r="BI95" s="449">
        <f>IF(ISERROR(BI94/BC94-1),"NM",BI94/BC94-1)</f>
        <v>7.1732053192077316E-3</v>
      </c>
      <c r="BJ95" s="43"/>
      <c r="BK95" s="259">
        <f>+BK94/BE94-1</f>
        <v>9.2632255300921784E-3</v>
      </c>
      <c r="BL95" s="260">
        <f>+BL94/BF94-1</f>
        <v>-4.3259611744984383E-2</v>
      </c>
      <c r="BM95" s="260">
        <f>+BM94/BG94-1</f>
        <v>9.5013436846819843E-2</v>
      </c>
      <c r="BN95" s="260">
        <f>+BN94/BH94-1</f>
        <v>6.5451879777986832E-3</v>
      </c>
      <c r="BO95" s="449">
        <f>IF(ISERROR(BO94/BI94-1),"NM",BO94/BI94-1)</f>
        <v>1.4915356379773259E-2</v>
      </c>
      <c r="BP95" s="43"/>
      <c r="BQ95" s="259">
        <f>+BQ96+BQ97</f>
        <v>-3.5000000000000003E-2</v>
      </c>
      <c r="BR95" s="260">
        <f>+BR96+BR97</f>
        <v>3.5000000000000003E-2</v>
      </c>
      <c r="BS95" s="260">
        <f>+BS96+BS97</f>
        <v>-9.9999999999999985E-3</v>
      </c>
      <c r="BT95" s="260">
        <f>+BT96+BT97</f>
        <v>1.0000000000000002E-2</v>
      </c>
      <c r="BU95" s="449">
        <f>IF(ISERROR(BU94/BO94-1),"NM",BU94/BO94-1)</f>
        <v>-4.2631003630189124E-4</v>
      </c>
      <c r="BV95" s="43"/>
      <c r="BW95" s="259">
        <f>+BW96+BW97</f>
        <v>0.02</v>
      </c>
      <c r="BX95" s="260">
        <f>+BX96+BX97</f>
        <v>0.02</v>
      </c>
      <c r="BY95" s="260">
        <f>+BY96+BY97</f>
        <v>0.02</v>
      </c>
      <c r="BZ95" s="260">
        <f>+BZ96+BZ97</f>
        <v>0.02</v>
      </c>
      <c r="CA95" s="449">
        <f>IF(ISERROR(CA94/BU94-1),"NM",CA94/BU94-1)</f>
        <v>2.000000000000024E-2</v>
      </c>
      <c r="CB95" s="43"/>
      <c r="CC95" s="259">
        <f>+CC96+CC97</f>
        <v>0.02</v>
      </c>
      <c r="CD95" s="260">
        <f>+CD96+CD97</f>
        <v>0.02</v>
      </c>
      <c r="CE95" s="260">
        <f>+CE96+CE97</f>
        <v>0.02</v>
      </c>
      <c r="CF95" s="260">
        <f>+CF96+CF97</f>
        <v>0.02</v>
      </c>
      <c r="CG95" s="449">
        <f>IF(ISERROR(CG94/CA94-1),"NM",CG94/CA94-1)</f>
        <v>2.0000000000000018E-2</v>
      </c>
    </row>
    <row r="96" spans="1:85" ht="11.25" customHeight="1" outlineLevel="1" x14ac:dyDescent="0.2">
      <c r="A96" s="78"/>
      <c r="B96" s="99" t="s">
        <v>256</v>
      </c>
      <c r="C96" s="261"/>
      <c r="D96" s="266"/>
      <c r="E96" s="266"/>
      <c r="F96" s="267"/>
      <c r="G96" s="449"/>
      <c r="H96" s="43"/>
      <c r="I96" s="261"/>
      <c r="J96" s="266"/>
      <c r="K96" s="266"/>
      <c r="L96" s="267"/>
      <c r="M96" s="449"/>
      <c r="N96" s="43"/>
      <c r="O96" s="261"/>
      <c r="P96" s="266"/>
      <c r="Q96" s="266"/>
      <c r="R96" s="267"/>
      <c r="S96" s="449"/>
      <c r="T96" s="43"/>
      <c r="U96" s="261"/>
      <c r="V96" s="266"/>
      <c r="W96" s="266"/>
      <c r="X96" s="267"/>
      <c r="Y96" s="449"/>
      <c r="Z96" s="43"/>
      <c r="AA96" s="261"/>
      <c r="AB96" s="258"/>
      <c r="AC96" s="258"/>
      <c r="AD96" s="258"/>
      <c r="AE96" s="449"/>
      <c r="AF96" s="43"/>
      <c r="AG96" s="261">
        <v>7.3999999999999996E-2</v>
      </c>
      <c r="AH96" s="258">
        <v>-2.1999999999999999E-2</v>
      </c>
      <c r="AI96" s="258">
        <v>-2.1000000000000001E-2</v>
      </c>
      <c r="AJ96" s="258">
        <v>-3.3000000000000002E-2</v>
      </c>
      <c r="AK96" s="449">
        <f>+SUMPRODUCT(AG96:AJ96,AA$94:AD$94)/AE$94</f>
        <v>-1.796273410442727E-3</v>
      </c>
      <c r="AL96" s="43"/>
      <c r="AM96" s="261">
        <v>-3.3000000000000002E-2</v>
      </c>
      <c r="AN96" s="258">
        <v>5.6000000000000001E-2</v>
      </c>
      <c r="AO96" s="258">
        <v>-5.8000000000000003E-2</v>
      </c>
      <c r="AP96" s="258">
        <v>-6.5000000000000002E-2</v>
      </c>
      <c r="AQ96" s="449">
        <f>+SUMPRODUCT(AM96:AP96,AG$94:AJ$94)/AK$94</f>
        <v>-2.5999248268552974E-2</v>
      </c>
      <c r="AR96" s="43"/>
      <c r="AS96" s="261">
        <v>8.9999999999999993E-3</v>
      </c>
      <c r="AT96" s="258">
        <v>-1.4E-2</v>
      </c>
      <c r="AU96" s="258">
        <v>8.1000000000000003E-2</v>
      </c>
      <c r="AV96" s="258">
        <v>8.4000000000000005E-2</v>
      </c>
      <c r="AW96" s="449">
        <f>+SUMPRODUCT(AS96:AV96,AM$94:AP$94)/AQ$94</f>
        <v>3.8850300729639124E-2</v>
      </c>
      <c r="AX96" s="43"/>
      <c r="AY96" s="261">
        <v>1.4999999999999999E-2</v>
      </c>
      <c r="AZ96" s="258">
        <v>1.2999999999999999E-2</v>
      </c>
      <c r="BA96" s="258">
        <v>1.2999999999999999E-2</v>
      </c>
      <c r="BB96" s="258">
        <v>-3.0000000000000001E-3</v>
      </c>
      <c r="BC96" s="449">
        <f>+SUMPRODUCT(AY96:BB96,AS$94:AV$94)/AW$94</f>
        <v>9.5411010558069369E-3</v>
      </c>
      <c r="BD96" s="43"/>
      <c r="BE96" s="261">
        <v>0.02</v>
      </c>
      <c r="BF96" s="258">
        <v>2.4E-2</v>
      </c>
      <c r="BG96" s="258">
        <v>-8.9999999999999993E-3</v>
      </c>
      <c r="BH96" s="260">
        <f>+BH95-BH97</f>
        <v>5.0869690964597564E-2</v>
      </c>
      <c r="BI96" s="449">
        <f>+SUMPRODUCT(BE96:BH96,AY$94:BB$94)/BC$94</f>
        <v>2.2072118302709283E-2</v>
      </c>
      <c r="BJ96" s="43"/>
      <c r="BK96" s="261">
        <v>5.5E-2</v>
      </c>
      <c r="BL96" s="258">
        <v>-5.0000000000000001E-3</v>
      </c>
      <c r="BM96" s="258">
        <v>4.4999999999999998E-2</v>
      </c>
      <c r="BN96" s="258">
        <v>-6.9000000000000006E-2</v>
      </c>
      <c r="BO96" s="449">
        <f>+SUMPRODUCT(BK96:BN96,BE$94:BH$94)/BI$94</f>
        <v>5.0742069796745719E-3</v>
      </c>
      <c r="BP96" s="43"/>
      <c r="BQ96" s="263">
        <v>-0.02</v>
      </c>
      <c r="BR96" s="262">
        <v>0.05</v>
      </c>
      <c r="BS96" s="262">
        <v>0.02</v>
      </c>
      <c r="BT96" s="262">
        <v>0.04</v>
      </c>
      <c r="BU96" s="449">
        <f>+SUMPRODUCT(BQ96:BT96,BK$94:BN$94)/BO$94</f>
        <v>2.21766237972497E-2</v>
      </c>
      <c r="BV96" s="43"/>
      <c r="BW96" s="263">
        <v>0.02</v>
      </c>
      <c r="BX96" s="262">
        <f t="shared" ref="BX96:BZ98" si="30">+BW96</f>
        <v>0.02</v>
      </c>
      <c r="BY96" s="262">
        <f t="shared" si="30"/>
        <v>0.02</v>
      </c>
      <c r="BZ96" s="262">
        <f t="shared" si="30"/>
        <v>0.02</v>
      </c>
      <c r="CA96" s="449">
        <f>+SUMPRODUCT(BW96:BZ96,BQ$94:BT$94)/BU$94</f>
        <v>0.02</v>
      </c>
      <c r="CB96" s="43"/>
      <c r="CC96" s="263">
        <f>+BZ96</f>
        <v>0.02</v>
      </c>
      <c r="CD96" s="262">
        <f t="shared" ref="CD96:CF98" si="31">+CC96</f>
        <v>0.02</v>
      </c>
      <c r="CE96" s="262">
        <f t="shared" si="31"/>
        <v>0.02</v>
      </c>
      <c r="CF96" s="262">
        <f t="shared" si="31"/>
        <v>0.02</v>
      </c>
      <c r="CG96" s="449">
        <f>+SUMPRODUCT(CC96:CF96,BW$94:BZ$94)/CA$94</f>
        <v>1.9999999999999997E-2</v>
      </c>
    </row>
    <row r="97" spans="1:85" ht="11.25" customHeight="1" outlineLevel="1" x14ac:dyDescent="0.2">
      <c r="A97" s="78"/>
      <c r="B97" s="99" t="s">
        <v>255</v>
      </c>
      <c r="C97" s="259"/>
      <c r="D97" s="265"/>
      <c r="E97" s="265"/>
      <c r="F97" s="265"/>
      <c r="G97" s="449"/>
      <c r="H97" s="43"/>
      <c r="I97" s="259"/>
      <c r="J97" s="265"/>
      <c r="K97" s="265"/>
      <c r="L97" s="265"/>
      <c r="M97" s="449"/>
      <c r="N97" s="43"/>
      <c r="O97" s="259"/>
      <c r="P97" s="265"/>
      <c r="Q97" s="265"/>
      <c r="R97" s="265"/>
      <c r="S97" s="449"/>
      <c r="T97" s="43"/>
      <c r="U97" s="259"/>
      <c r="V97" s="265"/>
      <c r="W97" s="265"/>
      <c r="X97" s="265"/>
      <c r="Y97" s="449"/>
      <c r="Z97" s="43"/>
      <c r="AA97" s="259"/>
      <c r="AB97" s="260"/>
      <c r="AC97" s="260"/>
      <c r="AD97" s="260"/>
      <c r="AE97" s="449"/>
      <c r="AF97" s="43"/>
      <c r="AG97" s="259">
        <f>AG95-AG96</f>
        <v>-2.8516756692894038E-2</v>
      </c>
      <c r="AH97" s="260">
        <f>AH95-AH96</f>
        <v>-0.10083092851314981</v>
      </c>
      <c r="AI97" s="260">
        <f>AI95-AI96</f>
        <v>-0.1114870709920074</v>
      </c>
      <c r="AJ97" s="260">
        <f>AJ95-AJ96</f>
        <v>-3.8692757612248357E-2</v>
      </c>
      <c r="AK97" s="449">
        <f>+SUMPRODUCT(AG97:AJ97,AA$94:AD$94)/AE$94</f>
        <v>-6.9651054514334454E-2</v>
      </c>
      <c r="AL97" s="43"/>
      <c r="AM97" s="259">
        <f>AM95-AM96</f>
        <v>7.6579744743366651E-3</v>
      </c>
      <c r="AN97" s="260">
        <f>AN95-AN96</f>
        <v>8.5728773218812157E-3</v>
      </c>
      <c r="AO97" s="260">
        <f>AO95-AO96</f>
        <v>4.5535226533709068E-2</v>
      </c>
      <c r="AP97" s="260">
        <f>AP95-AP96</f>
        <v>4.2947648830206242E-2</v>
      </c>
      <c r="AQ97" s="449">
        <f>+SUMPRODUCT(AM97:AP97,AG$94:AJ$94)/AK$94</f>
        <v>2.5876013605106853E-2</v>
      </c>
      <c r="AR97" s="43"/>
      <c r="AS97" s="259">
        <f>AS95-AS96</f>
        <v>4.1211964201601455E-2</v>
      </c>
      <c r="AT97" s="260">
        <f>AT95-AT96</f>
        <v>5.633292831105717E-2</v>
      </c>
      <c r="AU97" s="260">
        <f>AU95-AU96</f>
        <v>1.5970694764570317E-2</v>
      </c>
      <c r="AV97" s="260">
        <f>AV95-AV96</f>
        <v>-8.2863044199156841E-2</v>
      </c>
      <c r="AW97" s="449">
        <f>+SUMPRODUCT(AS97:AV97,AM$94:AP$94)/AQ$94</f>
        <v>7.0972441333070208E-3</v>
      </c>
      <c r="AX97" s="43"/>
      <c r="AY97" s="259">
        <f>AY95-AY96</f>
        <v>-0.16780767850735556</v>
      </c>
      <c r="AZ97" s="260">
        <f>AZ95-AZ96</f>
        <v>-0.18375445304485694</v>
      </c>
      <c r="BA97" s="260">
        <f>BA95-BA96</f>
        <v>-0.15512817049377159</v>
      </c>
      <c r="BB97" s="260">
        <f>BB95-BB96</f>
        <v>-0.11350026025647086</v>
      </c>
      <c r="BC97" s="449">
        <f>+SUMPRODUCT(AY97:BB97,AS$94:AV$94)/AW$94</f>
        <v>-0.15532730015082957</v>
      </c>
      <c r="BD97" s="43"/>
      <c r="BE97" s="259">
        <f>BE95-BE96</f>
        <v>-3.1276404256445609E-2</v>
      </c>
      <c r="BF97" s="260">
        <f>BF95-BF96</f>
        <v>1.5867296446243871E-2</v>
      </c>
      <c r="BG97" s="260">
        <f>BG95-BG96</f>
        <v>-1.4501282948448777E-2</v>
      </c>
      <c r="BH97" s="258">
        <v>-2.8000000000000001E-2</v>
      </c>
      <c r="BI97" s="449">
        <f>+SUMPRODUCT(BE97:BH97,AY$94:BB$94)/BC$94</f>
        <v>-1.4898912983501628E-2</v>
      </c>
      <c r="BJ97" s="43"/>
      <c r="BK97" s="259">
        <f>BK95-BK96</f>
        <v>-4.5736774469907822E-2</v>
      </c>
      <c r="BL97" s="260">
        <f>BL95-BL96</f>
        <v>-3.8259611744984386E-2</v>
      </c>
      <c r="BM97" s="260">
        <f>BM95-BM96</f>
        <v>5.0013436846819845E-2</v>
      </c>
      <c r="BN97" s="260">
        <f>BN95-BN96</f>
        <v>7.5545187977798689E-2</v>
      </c>
      <c r="BO97" s="449">
        <f>+SUMPRODUCT(BK97:BN97,BE$94:BH$94)/BI$94</f>
        <v>9.8411494000986525E-3</v>
      </c>
      <c r="BP97" s="43"/>
      <c r="BQ97" s="263">
        <v>-1.4999999999999999E-2</v>
      </c>
      <c r="BR97" s="262">
        <v>-1.4999999999999999E-2</v>
      </c>
      <c r="BS97" s="262">
        <v>-0.03</v>
      </c>
      <c r="BT97" s="262">
        <f t="shared" ref="BR97:BT98" si="32">+BS97</f>
        <v>-0.03</v>
      </c>
      <c r="BU97" s="449">
        <f>+SUMPRODUCT(BQ97:BT97,BK$94:BN$94)/BO$94</f>
        <v>-2.2602933833551501E-2</v>
      </c>
      <c r="BV97" s="43"/>
      <c r="BW97" s="263">
        <v>0</v>
      </c>
      <c r="BX97" s="262">
        <f t="shared" si="30"/>
        <v>0</v>
      </c>
      <c r="BY97" s="262">
        <f t="shared" si="30"/>
        <v>0</v>
      </c>
      <c r="BZ97" s="262">
        <f t="shared" si="30"/>
        <v>0</v>
      </c>
      <c r="CA97" s="449">
        <f>+SUMPRODUCT(BW97:BZ97,BQ$94:BT$94)/BU$94</f>
        <v>0</v>
      </c>
      <c r="CB97" s="43"/>
      <c r="CC97" s="263">
        <f>+BZ97</f>
        <v>0</v>
      </c>
      <c r="CD97" s="262">
        <f t="shared" si="31"/>
        <v>0</v>
      </c>
      <c r="CE97" s="262">
        <f t="shared" si="31"/>
        <v>0</v>
      </c>
      <c r="CF97" s="262">
        <f t="shared" si="31"/>
        <v>0</v>
      </c>
      <c r="CG97" s="449">
        <f>+SUMPRODUCT(CC97:CF97,BW$94:BZ$94)/CA$94</f>
        <v>0</v>
      </c>
    </row>
    <row r="98" spans="1:85" ht="11.25" customHeight="1" outlineLevel="1" x14ac:dyDescent="0.2">
      <c r="A98" s="78"/>
      <c r="B98" s="99" t="s">
        <v>254</v>
      </c>
      <c r="C98" s="261"/>
      <c r="D98" s="266"/>
      <c r="E98" s="266"/>
      <c r="F98" s="267"/>
      <c r="G98" s="453"/>
      <c r="H98" s="43"/>
      <c r="I98" s="261"/>
      <c r="J98" s="266"/>
      <c r="K98" s="266"/>
      <c r="L98" s="267"/>
      <c r="M98" s="453"/>
      <c r="N98" s="43"/>
      <c r="O98" s="261"/>
      <c r="P98" s="266"/>
      <c r="Q98" s="266"/>
      <c r="R98" s="267"/>
      <c r="S98" s="453"/>
      <c r="T98" s="43"/>
      <c r="U98" s="261"/>
      <c r="V98" s="266"/>
      <c r="W98" s="266"/>
      <c r="X98" s="267"/>
      <c r="Y98" s="453"/>
      <c r="Z98" s="43"/>
      <c r="AA98" s="261"/>
      <c r="AB98" s="258"/>
      <c r="AC98" s="258"/>
      <c r="AD98" s="258"/>
      <c r="AE98" s="449"/>
      <c r="AF98" s="43"/>
      <c r="AG98" s="261">
        <v>0</v>
      </c>
      <c r="AH98" s="258">
        <v>0</v>
      </c>
      <c r="AI98" s="258">
        <v>0</v>
      </c>
      <c r="AJ98" s="258">
        <v>-6.2E-2</v>
      </c>
      <c r="AK98" s="449">
        <f>+SUMPRODUCT(AG98:AJ98,AA$94:AD$94)/AE$94</f>
        <v>-1.6496485560936719E-2</v>
      </c>
      <c r="AL98" s="43"/>
      <c r="AM98" s="261">
        <v>0</v>
      </c>
      <c r="AN98" s="258">
        <v>0</v>
      </c>
      <c r="AO98" s="258">
        <v>0</v>
      </c>
      <c r="AP98" s="258">
        <v>0</v>
      </c>
      <c r="AQ98" s="449">
        <f>+SUMPRODUCT(AM98:AP98,AG$94:AJ$94)/AK$94</f>
        <v>0</v>
      </c>
      <c r="AR98" s="43"/>
      <c r="AS98" s="261">
        <v>0</v>
      </c>
      <c r="AT98" s="258">
        <v>0</v>
      </c>
      <c r="AU98" s="258">
        <v>0</v>
      </c>
      <c r="AV98" s="258">
        <v>0</v>
      </c>
      <c r="AW98" s="449">
        <f>+SUMPRODUCT(AS98:AV98,AM$94:AP$94)/AQ$94</f>
        <v>0</v>
      </c>
      <c r="AX98" s="43"/>
      <c r="AY98" s="261">
        <v>0</v>
      </c>
      <c r="AZ98" s="258">
        <v>0</v>
      </c>
      <c r="BA98" s="258">
        <v>0</v>
      </c>
      <c r="BB98" s="258">
        <v>0</v>
      </c>
      <c r="BC98" s="449">
        <f>+SUMPRODUCT(AY98:BB98,AS$94:AV$94)/AW$94</f>
        <v>0</v>
      </c>
      <c r="BD98" s="43"/>
      <c r="BE98" s="261">
        <v>0</v>
      </c>
      <c r="BF98" s="258">
        <v>0</v>
      </c>
      <c r="BG98" s="258">
        <v>0</v>
      </c>
      <c r="BH98" s="258">
        <v>4.2000000000000003E-2</v>
      </c>
      <c r="BI98" s="449">
        <f>+SUMPRODUCT(BE98:BH98,AY$94:BB$94)/BC$94</f>
        <v>1.0817497103128623E-2</v>
      </c>
      <c r="BJ98" s="43"/>
      <c r="BK98" s="261">
        <v>0</v>
      </c>
      <c r="BL98" s="258">
        <v>0</v>
      </c>
      <c r="BM98" s="258">
        <v>0</v>
      </c>
      <c r="BN98" s="258">
        <v>-0.04</v>
      </c>
      <c r="BO98" s="449">
        <f>+SUMPRODUCT(BK98:BN98,BE$94:BH$94)/BI$94</f>
        <v>-1.0462937599298745E-2</v>
      </c>
      <c r="BP98" s="43"/>
      <c r="BQ98" s="263">
        <v>0</v>
      </c>
      <c r="BR98" s="262">
        <f t="shared" si="32"/>
        <v>0</v>
      </c>
      <c r="BS98" s="262">
        <f t="shared" si="32"/>
        <v>0</v>
      </c>
      <c r="BT98" s="262">
        <f t="shared" si="32"/>
        <v>0</v>
      </c>
      <c r="BU98" s="449">
        <f>+SUMPRODUCT(BQ98:BT98,BK$94:BN$94)/BO$94</f>
        <v>0</v>
      </c>
      <c r="BV98" s="43"/>
      <c r="BW98" s="263">
        <f>+BT98</f>
        <v>0</v>
      </c>
      <c r="BX98" s="262">
        <f t="shared" si="30"/>
        <v>0</v>
      </c>
      <c r="BY98" s="262">
        <f t="shared" si="30"/>
        <v>0</v>
      </c>
      <c r="BZ98" s="262">
        <f t="shared" si="30"/>
        <v>0</v>
      </c>
      <c r="CA98" s="449">
        <f>+SUMPRODUCT(BW98:BZ98,BQ$94:BT$94)/BU$94</f>
        <v>0</v>
      </c>
      <c r="CB98" s="43"/>
      <c r="CC98" s="263">
        <f>+BZ98</f>
        <v>0</v>
      </c>
      <c r="CD98" s="262">
        <f t="shared" si="31"/>
        <v>0</v>
      </c>
      <c r="CE98" s="262">
        <f t="shared" si="31"/>
        <v>0</v>
      </c>
      <c r="CF98" s="262">
        <f t="shared" si="31"/>
        <v>0</v>
      </c>
      <c r="CG98" s="449">
        <f>+SUMPRODUCT(CC98:CF98,BW$94:BZ$94)/CA$94</f>
        <v>0</v>
      </c>
    </row>
    <row r="99" spans="1:85" ht="11.25" customHeight="1" outlineLevel="1" x14ac:dyDescent="0.2">
      <c r="A99" s="78"/>
      <c r="B99" s="98" t="s">
        <v>257</v>
      </c>
      <c r="C99" s="259"/>
      <c r="D99" s="260"/>
      <c r="E99" s="260"/>
      <c r="F99" s="260"/>
      <c r="G99" s="449"/>
      <c r="H99" s="264"/>
      <c r="I99" s="259"/>
      <c r="J99" s="260"/>
      <c r="K99" s="260"/>
      <c r="L99" s="260"/>
      <c r="M99" s="449"/>
      <c r="N99" s="264"/>
      <c r="O99" s="259"/>
      <c r="P99" s="260"/>
      <c r="Q99" s="260"/>
      <c r="R99" s="260"/>
      <c r="S99" s="449"/>
      <c r="T99" s="264"/>
      <c r="U99" s="259"/>
      <c r="V99" s="260"/>
      <c r="W99" s="260"/>
      <c r="X99" s="260"/>
      <c r="Y99" s="449"/>
      <c r="Z99" s="264"/>
      <c r="AA99" s="259"/>
      <c r="AB99" s="260"/>
      <c r="AC99" s="260"/>
      <c r="AD99" s="260"/>
      <c r="AE99" s="449"/>
      <c r="AF99" s="264"/>
      <c r="AG99" s="259">
        <f>+AG96-AG98</f>
        <v>7.3999999999999996E-2</v>
      </c>
      <c r="AH99" s="260">
        <f>+AH96-AH98</f>
        <v>-2.1999999999999999E-2</v>
      </c>
      <c r="AI99" s="260">
        <f>+AI96-AI98</f>
        <v>-2.1000000000000001E-2</v>
      </c>
      <c r="AJ99" s="260">
        <f>+AJ96-AJ98</f>
        <v>2.8999999999999998E-2</v>
      </c>
      <c r="AK99" s="449">
        <f>+SUMPRODUCT(AG99:AJ99,AA$94:AD$94)/AE$94</f>
        <v>1.4700212150493991E-2</v>
      </c>
      <c r="AL99" s="264"/>
      <c r="AM99" s="259">
        <f>+AM96-AM98</f>
        <v>-3.3000000000000002E-2</v>
      </c>
      <c r="AN99" s="260">
        <f>+AN96-AN98</f>
        <v>5.6000000000000001E-2</v>
      </c>
      <c r="AO99" s="260">
        <f>+AO96-AO98</f>
        <v>-5.8000000000000003E-2</v>
      </c>
      <c r="AP99" s="260">
        <f>+AP96-AP98</f>
        <v>-6.5000000000000002E-2</v>
      </c>
      <c r="AQ99" s="449">
        <f>+SUMPRODUCT(AM99:AP99,AG$94:AJ$94)/AK$94</f>
        <v>-2.5999248268552974E-2</v>
      </c>
      <c r="AR99" s="264"/>
      <c r="AS99" s="259">
        <f>+AS96-AS98</f>
        <v>8.9999999999999993E-3</v>
      </c>
      <c r="AT99" s="260">
        <f>+AT96-AT98</f>
        <v>-1.4E-2</v>
      </c>
      <c r="AU99" s="260">
        <f>+AU96-AU98</f>
        <v>8.1000000000000003E-2</v>
      </c>
      <c r="AV99" s="260">
        <f>+AV96-AV98</f>
        <v>8.4000000000000005E-2</v>
      </c>
      <c r="AW99" s="449">
        <f>+SUMPRODUCT(AS99:AV99,AM$94:AP$94)/AQ$94</f>
        <v>3.8850300729639124E-2</v>
      </c>
      <c r="AX99" s="264"/>
      <c r="AY99" s="259">
        <f>+AY96-AY98</f>
        <v>1.4999999999999999E-2</v>
      </c>
      <c r="AZ99" s="260">
        <f>+AZ96-AZ98</f>
        <v>1.2999999999999999E-2</v>
      </c>
      <c r="BA99" s="260">
        <f>+BA96-BA98</f>
        <v>1.2999999999999999E-2</v>
      </c>
      <c r="BB99" s="260">
        <f>+BB96-BB98</f>
        <v>-3.0000000000000001E-3</v>
      </c>
      <c r="BC99" s="449">
        <f>+SUMPRODUCT(AY99:BB99,AS$94:AV$94)/AW$94</f>
        <v>9.5411010558069369E-3</v>
      </c>
      <c r="BD99" s="264"/>
      <c r="BE99" s="259">
        <f>+BE96-BE98</f>
        <v>0.02</v>
      </c>
      <c r="BF99" s="260">
        <f>+BF96-BF98</f>
        <v>2.4E-2</v>
      </c>
      <c r="BG99" s="260">
        <f>+BG96-BG98</f>
        <v>-8.9999999999999993E-3</v>
      </c>
      <c r="BH99" s="260">
        <f>+BH96-BH98</f>
        <v>8.8696909645975611E-3</v>
      </c>
      <c r="BI99" s="449">
        <f>+SUMPRODUCT(BE99:BH99,AY$94:BB$94)/BC$94</f>
        <v>1.1254621199580659E-2</v>
      </c>
      <c r="BJ99" s="264"/>
      <c r="BK99" s="259">
        <f>+BK96-BK98</f>
        <v>5.5E-2</v>
      </c>
      <c r="BL99" s="260">
        <f>+BL96-BL98</f>
        <v>-5.0000000000000001E-3</v>
      </c>
      <c r="BM99" s="260">
        <f>+BM96-BM98</f>
        <v>4.4999999999999998E-2</v>
      </c>
      <c r="BN99" s="260">
        <f>+BN96-BN98</f>
        <v>-2.9000000000000005E-2</v>
      </c>
      <c r="BO99" s="449">
        <f>+SUMPRODUCT(BK99:BN99,BE$94:BH$94)/BI$94</f>
        <v>1.553714457897332E-2</v>
      </c>
      <c r="BP99" s="264"/>
      <c r="BQ99" s="259">
        <f>+BQ96-BQ98</f>
        <v>-0.02</v>
      </c>
      <c r="BR99" s="260">
        <f>+BR96-BR98</f>
        <v>0.05</v>
      </c>
      <c r="BS99" s="260">
        <f>+BS96-BS98</f>
        <v>0.02</v>
      </c>
      <c r="BT99" s="260">
        <f>+BT96-BT98</f>
        <v>0.04</v>
      </c>
      <c r="BU99" s="449">
        <f>+SUMPRODUCT(BQ99:BT99,BK$94:BN$94)/BO$94</f>
        <v>2.21766237972497E-2</v>
      </c>
      <c r="BV99" s="264"/>
      <c r="BW99" s="259">
        <f>+BW96-BW98</f>
        <v>0.02</v>
      </c>
      <c r="BX99" s="260">
        <f>+BX96-BX98</f>
        <v>0.02</v>
      </c>
      <c r="BY99" s="260">
        <f>+BY96-BY98</f>
        <v>0.02</v>
      </c>
      <c r="BZ99" s="260">
        <f>+BZ96-BZ98</f>
        <v>0.02</v>
      </c>
      <c r="CA99" s="449">
        <f>+SUMPRODUCT(BW99:BZ99,BQ$94:BT$94)/BU$94</f>
        <v>0.02</v>
      </c>
      <c r="CB99" s="264"/>
      <c r="CC99" s="259">
        <f>+CC96-CC98</f>
        <v>0.02</v>
      </c>
      <c r="CD99" s="260">
        <f>+CD96-CD98</f>
        <v>0.02</v>
      </c>
      <c r="CE99" s="260">
        <f>+CE96-CE98</f>
        <v>0.02</v>
      </c>
      <c r="CF99" s="260">
        <f>+CF96-CF98</f>
        <v>0.02</v>
      </c>
      <c r="CG99" s="449">
        <f>+SUMPRODUCT(CC99:CF99,BW$94:BZ$94)/CA$94</f>
        <v>1.9999999999999997E-2</v>
      </c>
    </row>
    <row r="100" spans="1:85" ht="11.25" customHeight="1" outlineLevel="1" x14ac:dyDescent="0.2">
      <c r="A100" s="78"/>
      <c r="B100" s="99"/>
      <c r="C100" s="93"/>
      <c r="D100" s="59"/>
      <c r="E100" s="59"/>
      <c r="F100" s="59"/>
      <c r="G100" s="447"/>
      <c r="H100" s="43"/>
      <c r="I100" s="93"/>
      <c r="J100" s="59"/>
      <c r="K100" s="59"/>
      <c r="L100" s="59"/>
      <c r="M100" s="447"/>
      <c r="N100" s="43"/>
      <c r="O100" s="93"/>
      <c r="P100" s="59"/>
      <c r="Q100" s="59"/>
      <c r="R100" s="59"/>
      <c r="S100" s="447"/>
      <c r="T100" s="43"/>
      <c r="U100" s="93"/>
      <c r="V100" s="59"/>
      <c r="W100" s="59"/>
      <c r="X100" s="59"/>
      <c r="Y100" s="447"/>
      <c r="Z100" s="43"/>
      <c r="AA100" s="93"/>
      <c r="AB100" s="61"/>
      <c r="AC100" s="61"/>
      <c r="AD100" s="61"/>
      <c r="AE100" s="447"/>
      <c r="AF100" s="43"/>
      <c r="AG100" s="93"/>
      <c r="AH100" s="61"/>
      <c r="AI100" s="61"/>
      <c r="AJ100" s="61"/>
      <c r="AK100" s="447"/>
      <c r="AL100" s="43"/>
      <c r="AM100" s="93"/>
      <c r="AN100" s="61"/>
      <c r="AO100" s="61"/>
      <c r="AP100" s="61"/>
      <c r="AQ100" s="447"/>
      <c r="AR100" s="43"/>
      <c r="AS100" s="93"/>
      <c r="AT100" s="61"/>
      <c r="AU100" s="61"/>
      <c r="AV100" s="61"/>
      <c r="AW100" s="447"/>
      <c r="AX100" s="43"/>
      <c r="AY100" s="93"/>
      <c r="AZ100" s="61"/>
      <c r="BA100" s="61"/>
      <c r="BB100" s="61"/>
      <c r="BC100" s="447"/>
      <c r="BD100" s="43"/>
      <c r="BE100" s="93"/>
      <c r="BF100" s="61"/>
      <c r="BG100" s="61"/>
      <c r="BH100" s="61"/>
      <c r="BI100" s="447"/>
      <c r="BJ100" s="43"/>
      <c r="BK100" s="93"/>
      <c r="BL100" s="61"/>
      <c r="BM100" s="61"/>
      <c r="BN100" s="61"/>
      <c r="BO100" s="447"/>
      <c r="BP100" s="43"/>
      <c r="BQ100" s="93"/>
      <c r="BR100" s="61"/>
      <c r="BS100" s="61"/>
      <c r="BT100" s="61"/>
      <c r="BU100" s="447"/>
      <c r="BV100" s="43"/>
      <c r="BW100" s="93"/>
      <c r="BX100" s="61"/>
      <c r="BY100" s="61"/>
      <c r="BZ100" s="61"/>
      <c r="CA100" s="447"/>
      <c r="CB100" s="43"/>
      <c r="CC100" s="93"/>
      <c r="CD100" s="61"/>
      <c r="CE100" s="61"/>
      <c r="CF100" s="61"/>
      <c r="CG100" s="447"/>
    </row>
    <row r="101" spans="1:85" ht="11.25" customHeight="1" outlineLevel="1" x14ac:dyDescent="0.2">
      <c r="A101" s="78"/>
      <c r="B101" s="108" t="s">
        <v>307</v>
      </c>
      <c r="C101" s="269">
        <v>370.82499999999999</v>
      </c>
      <c r="D101" s="270">
        <v>395.14499999999998</v>
      </c>
      <c r="E101" s="270">
        <v>411.77199999999999</v>
      </c>
      <c r="F101" s="270">
        <f>1769.881-E101-D101-C101</f>
        <v>592.13900000000012</v>
      </c>
      <c r="G101" s="448">
        <f>+SUM(C101:F101)</f>
        <v>1769.8810000000001</v>
      </c>
      <c r="H101" s="39"/>
      <c r="I101" s="269">
        <v>539.72799999999995</v>
      </c>
      <c r="J101" s="270">
        <v>615.25599999999997</v>
      </c>
      <c r="K101" s="270">
        <v>538.03300000000002</v>
      </c>
      <c r="L101" s="270">
        <f>2221.092-K101-J101-I101</f>
        <v>528.07500000000039</v>
      </c>
      <c r="M101" s="448">
        <f>+SUM(I101:L101)</f>
        <v>2221.0920000000001</v>
      </c>
      <c r="N101" s="39"/>
      <c r="O101" s="269">
        <v>523.71900000000005</v>
      </c>
      <c r="P101" s="270">
        <v>591.79399999999998</v>
      </c>
      <c r="Q101" s="270">
        <v>583.54</v>
      </c>
      <c r="R101" s="270">
        <f>2398.105-Q101-P101-O101</f>
        <v>699.05200000000013</v>
      </c>
      <c r="S101" s="448">
        <f>+SUM(O101:R101)</f>
        <v>2398.105</v>
      </c>
      <c r="T101" s="39"/>
      <c r="U101" s="269">
        <v>609.45299999999997</v>
      </c>
      <c r="V101" s="270">
        <v>602.43499999999995</v>
      </c>
      <c r="W101" s="270">
        <v>561.35299999999995</v>
      </c>
      <c r="X101" s="270">
        <f>2468.277-W101-V101-U101</f>
        <v>695.03600000000006</v>
      </c>
      <c r="Y101" s="448">
        <f>+SUM(U101:X101)</f>
        <v>2468.277</v>
      </c>
      <c r="Z101" s="39"/>
      <c r="AA101" s="147">
        <f>+AA67+AA87+AA94</f>
        <v>672.60103603191669</v>
      </c>
      <c r="AB101" s="148">
        <f>+AB67+AB87+AB94</f>
        <v>774.71452689018088</v>
      </c>
      <c r="AC101" s="148">
        <f>+AC67+AC87+AC94</f>
        <v>712.43499999999995</v>
      </c>
      <c r="AD101" s="148">
        <f>+AD67+AD87+AD94</f>
        <v>825.52199999999993</v>
      </c>
      <c r="AE101" s="448">
        <f>+SUM(AA101:AD101)</f>
        <v>2985.2725629220977</v>
      </c>
      <c r="AF101" s="39"/>
      <c r="AG101" s="147">
        <f>+AG67+AG87+AG94</f>
        <v>736.56700000000001</v>
      </c>
      <c r="AH101" s="148">
        <f>+AH67+AH87+AH94</f>
        <v>755.928</v>
      </c>
      <c r="AI101" s="148">
        <f>+AI67+AI87+AI94</f>
        <v>744.84</v>
      </c>
      <c r="AJ101" s="148">
        <f>+AJ67+AJ87+AJ94</f>
        <v>857.04200000000003</v>
      </c>
      <c r="AK101" s="448">
        <f>+SUM(AG101:AJ101)</f>
        <v>3094.377</v>
      </c>
      <c r="AL101" s="39"/>
      <c r="AM101" s="147">
        <f>+AM67+AM87+AM94</f>
        <v>831.38300000000004</v>
      </c>
      <c r="AN101" s="148">
        <f>+AN67+AN87+AN94</f>
        <v>851.83200000000011</v>
      </c>
      <c r="AO101" s="148">
        <f>+AO67+AO87+AO94</f>
        <v>792.74199999999996</v>
      </c>
      <c r="AP101" s="148">
        <f>+AP67+AP87+AP94</f>
        <v>916.09500000000003</v>
      </c>
      <c r="AQ101" s="448">
        <f>+SUM(AM101:AP101)</f>
        <v>3392.0520000000006</v>
      </c>
      <c r="AR101" s="39"/>
      <c r="AS101" s="147">
        <f>+AS67+AS87+AS94</f>
        <v>898.4670000000001</v>
      </c>
      <c r="AT101" s="148">
        <f>+AT67+AT87+AT94</f>
        <v>966.59600000000012</v>
      </c>
      <c r="AU101" s="148">
        <f>+AU67+AU87+AU94</f>
        <v>896.18700000000001</v>
      </c>
      <c r="AV101" s="148">
        <f>+AV67+AV87+AV94</f>
        <v>953.25099999999998</v>
      </c>
      <c r="AW101" s="448">
        <f>+SUM(AS101:AV101)</f>
        <v>3714.5010000000002</v>
      </c>
      <c r="AX101" s="39"/>
      <c r="AY101" s="147">
        <f>+AY67+AY87+AY94</f>
        <v>825.75400000000002</v>
      </c>
      <c r="AZ101" s="148">
        <f>+AZ67+AZ87+AZ94</f>
        <v>864.08100000000002</v>
      </c>
      <c r="BA101" s="148">
        <f>+BA67+BA87+BA94</f>
        <v>812.31299999999999</v>
      </c>
      <c r="BB101" s="148">
        <f>+BB67+BB87+BB94</f>
        <v>934.00800000000004</v>
      </c>
      <c r="BC101" s="448">
        <f>+SUM(AY101:BB101)</f>
        <v>3436.1559999999999</v>
      </c>
      <c r="BD101" s="39"/>
      <c r="BE101" s="147">
        <f>+BE67+BE87+BE94</f>
        <v>857.68000000000006</v>
      </c>
      <c r="BF101" s="148">
        <f>+BF67+BF87+BF94</f>
        <v>933.77600000000007</v>
      </c>
      <c r="BG101" s="148">
        <f>+BG67+BG87+BG94</f>
        <v>854.03599999999994</v>
      </c>
      <c r="BH101" s="148">
        <f>+BH67+BH87+BH94</f>
        <v>979.3119999999999</v>
      </c>
      <c r="BI101" s="448">
        <f>+SUM(BE101:BH101)</f>
        <v>3624.8040000000001</v>
      </c>
      <c r="BJ101" s="39"/>
      <c r="BK101" s="147">
        <f>+BK67+BK87+BK94</f>
        <v>963.84600000000012</v>
      </c>
      <c r="BL101" s="148">
        <f>+BL67+BL87+BL94</f>
        <v>1011.519</v>
      </c>
      <c r="BM101" s="148">
        <f>+BM67+BM87+BM94</f>
        <v>1024.3920000000001</v>
      </c>
      <c r="BN101" s="148">
        <f>+BN67+BN87+BN94</f>
        <v>1106.5319999999999</v>
      </c>
      <c r="BO101" s="448">
        <f>+SUM(BK101:BN101)</f>
        <v>4106.2890000000007</v>
      </c>
      <c r="BP101" s="39"/>
      <c r="BQ101" s="147">
        <f>+BQ67+BQ87+BQ94</f>
        <v>953.52909</v>
      </c>
      <c r="BR101" s="148">
        <f>+BR67+BR87+BR94</f>
        <v>1039.5895449999998</v>
      </c>
      <c r="BS101" s="148">
        <f>+BS67+BS87+BS94</f>
        <v>1031.5162399999999</v>
      </c>
      <c r="BT101" s="148">
        <f>+BT67+BT87+BT94</f>
        <v>1141.70371</v>
      </c>
      <c r="BU101" s="448">
        <f>+SUM(BQ101:BT101)</f>
        <v>4166.3385849999995</v>
      </c>
      <c r="BV101" s="39"/>
      <c r="BW101" s="147">
        <f>+BW67+BW87+BW94</f>
        <v>996.63107824999997</v>
      </c>
      <c r="BX101" s="148">
        <f>+BX67+BX87+BX94</f>
        <v>1086.6241415</v>
      </c>
      <c r="BY101" s="148">
        <f>+BY67+BY87+BY94</f>
        <v>1078.5277717999998</v>
      </c>
      <c r="BZ101" s="148">
        <f>+BZ67+BZ87+BZ94</f>
        <v>1192.9512488999999</v>
      </c>
      <c r="CA101" s="448">
        <f>+SUM(BW101:BZ101)</f>
        <v>4354.7342404499996</v>
      </c>
      <c r="CB101" s="39"/>
      <c r="CC101" s="147">
        <f>+CC67+CC87+CC94</f>
        <v>1041.8362578657498</v>
      </c>
      <c r="CD101" s="148">
        <f>+CD67+CD87+CD94</f>
        <v>1135.9548739759998</v>
      </c>
      <c r="CE101" s="148">
        <f>+CE67+CE87+CE94</f>
        <v>1127.8501066009999</v>
      </c>
      <c r="CF101" s="148">
        <f>+CF67+CF87+CF94</f>
        <v>1246.6813753424999</v>
      </c>
      <c r="CG101" s="448">
        <f>+SUM(CC101:CF101)</f>
        <v>4552.3226137852489</v>
      </c>
    </row>
    <row r="102" spans="1:85" ht="11.25" customHeight="1" outlineLevel="1" x14ac:dyDescent="0.2">
      <c r="A102" s="78"/>
      <c r="B102" s="99" t="s">
        <v>253</v>
      </c>
      <c r="C102" s="261">
        <v>0.151</v>
      </c>
      <c r="D102" s="258">
        <v>0.17399999999999999</v>
      </c>
      <c r="E102" s="258">
        <v>0.25700000000000001</v>
      </c>
      <c r="F102" s="258">
        <v>0.42499999999999999</v>
      </c>
      <c r="G102" s="453">
        <v>0.26200000000000001</v>
      </c>
      <c r="H102" s="43"/>
      <c r="I102" s="259">
        <f>+I101/C101-1</f>
        <v>0.45547899952807924</v>
      </c>
      <c r="J102" s="260">
        <f>+J101/D101-1</f>
        <v>0.55703855546698056</v>
      </c>
      <c r="K102" s="260">
        <f>+K101/E101-1</f>
        <v>0.30662842543932078</v>
      </c>
      <c r="L102" s="260">
        <f>+L101/F101-1</f>
        <v>-0.10819081330565916</v>
      </c>
      <c r="M102" s="449">
        <f>IF(ISERROR(M101/G101-1),"NM",M101/G101-1)</f>
        <v>0.25493860886692388</v>
      </c>
      <c r="N102" s="43"/>
      <c r="O102" s="259">
        <f>+O101/I101-1</f>
        <v>-2.9661236771114208E-2</v>
      </c>
      <c r="P102" s="260">
        <f>+P101/J101-1</f>
        <v>-3.8133719947469058E-2</v>
      </c>
      <c r="Q102" s="260">
        <f>+Q101/K101-1</f>
        <v>8.4580313846920108E-2</v>
      </c>
      <c r="R102" s="260">
        <f>+R101/L101-1</f>
        <v>0.323774085120484</v>
      </c>
      <c r="S102" s="449">
        <f>IF(ISERROR(S101/M101-1),"NM",S101/M101-1)</f>
        <v>7.9696383580689201E-2</v>
      </c>
      <c r="T102" s="43"/>
      <c r="U102" s="259">
        <f>+U101/O101-1</f>
        <v>0.16370229073224363</v>
      </c>
      <c r="V102" s="260">
        <f>+V101/P101-1</f>
        <v>1.7980919036015841E-2</v>
      </c>
      <c r="W102" s="260">
        <f>+W101/Q101-1</f>
        <v>-3.8021386708708915E-2</v>
      </c>
      <c r="X102" s="260">
        <f>+X101/R101-1</f>
        <v>-5.7449231244600663E-3</v>
      </c>
      <c r="Y102" s="449">
        <f>IF(ISERROR(Y101/S101-1),"NM",Y101/S101-1)</f>
        <v>2.9261437676832314E-2</v>
      </c>
      <c r="Z102" s="43"/>
      <c r="AA102" s="259">
        <f>+AA101/U101-1</f>
        <v>0.10361428368047521</v>
      </c>
      <c r="AB102" s="260">
        <f>+AB101/V101-1</f>
        <v>0.28597197521754381</v>
      </c>
      <c r="AC102" s="260">
        <f>+AC101/W101-1</f>
        <v>0.26913902660179967</v>
      </c>
      <c r="AD102" s="260">
        <f>+AD101/X101-1</f>
        <v>0.18773991563026926</v>
      </c>
      <c r="AE102" s="449">
        <f>IF(ISERROR(AE101/Y101-1),"NM",AE101/Y101-1)</f>
        <v>0.20945605494119901</v>
      </c>
      <c r="AF102" s="43"/>
      <c r="AG102" s="259">
        <f>+AG101/AA101-1</f>
        <v>9.5102386914919901E-2</v>
      </c>
      <c r="AH102" s="260">
        <f>+AH101/AB101-1</f>
        <v>-2.424961226116773E-2</v>
      </c>
      <c r="AI102" s="260">
        <f>+AI101/AC101-1</f>
        <v>4.5484851249587788E-2</v>
      </c>
      <c r="AJ102" s="260">
        <f>+AJ101/AD101-1</f>
        <v>3.8181901875419477E-2</v>
      </c>
      <c r="AK102" s="449">
        <f>IF(ISERROR(AK101/AE101-1),"NM",AK101/AE101-1)</f>
        <v>3.6547563004132089E-2</v>
      </c>
      <c r="AL102" s="43"/>
      <c r="AM102" s="259">
        <f>+AM101/AG101-1</f>
        <v>0.12872691825726656</v>
      </c>
      <c r="AN102" s="260">
        <f>+AN101/AH101-1</f>
        <v>0.12686922564053726</v>
      </c>
      <c r="AO102" s="260">
        <f>+AO101/AI101-1</f>
        <v>6.4311798507061813E-2</v>
      </c>
      <c r="AP102" s="260">
        <f>+AP101/AJ101-1</f>
        <v>6.8903274285274208E-2</v>
      </c>
      <c r="AQ102" s="449">
        <f>IF(ISERROR(AQ101/AK101-1),"NM",AQ101/AK101-1)</f>
        <v>9.6198685551243557E-2</v>
      </c>
      <c r="AR102" s="43"/>
      <c r="AS102" s="259">
        <f>+AS101/AM101-1</f>
        <v>8.0689646047609864E-2</v>
      </c>
      <c r="AT102" s="260">
        <f>+AT101/AN101-1</f>
        <v>0.13472609622554677</v>
      </c>
      <c r="AU102" s="260">
        <f>+AU101/AO101-1</f>
        <v>0.1304901216284744</v>
      </c>
      <c r="AV102" s="260">
        <f>+AV101/AP101-1</f>
        <v>4.0559112319137114E-2</v>
      </c>
      <c r="AW102" s="449">
        <f>IF(ISERROR(AW101/AQ101-1),"NM",AW101/AQ101-1)</f>
        <v>9.5060158275875439E-2</v>
      </c>
      <c r="AX102" s="43"/>
      <c r="AY102" s="259">
        <f>+AY101/AS101-1</f>
        <v>-8.0930073113425482E-2</v>
      </c>
      <c r="AZ102" s="260">
        <f>+AZ101/AT101-1</f>
        <v>-0.10605775318747446</v>
      </c>
      <c r="BA102" s="260">
        <f>+BA101/AU101-1</f>
        <v>-9.3589842298538173E-2</v>
      </c>
      <c r="BB102" s="260">
        <f>+BB101/AV101-1</f>
        <v>-2.0186708432511469E-2</v>
      </c>
      <c r="BC102" s="449">
        <f>IF(ISERROR(BC101/AW101-1),"NM",BC101/AW101-1)</f>
        <v>-7.4934695131324558E-2</v>
      </c>
      <c r="BD102" s="43"/>
      <c r="BE102" s="259">
        <f>+BE101/AY101-1</f>
        <v>3.8662846319848398E-2</v>
      </c>
      <c r="BF102" s="260">
        <f>+BF101/AZ101-1</f>
        <v>8.0657947576673994E-2</v>
      </c>
      <c r="BG102" s="260">
        <f>+BG101/BA101-1</f>
        <v>5.1363206054808819E-2</v>
      </c>
      <c r="BH102" s="260">
        <f>+BH101/BB101-1</f>
        <v>4.85049378592044E-2</v>
      </c>
      <c r="BI102" s="449">
        <f>IF(ISERROR(BI101/BC101-1),"NM",BI101/BC101-1)</f>
        <v>5.4900883429041203E-2</v>
      </c>
      <c r="BJ102" s="43"/>
      <c r="BK102" s="259">
        <f>+BK101/BE101-1</f>
        <v>0.12378276280197742</v>
      </c>
      <c r="BL102" s="260">
        <f>+BL101/BF101-1</f>
        <v>8.3256584020150459E-2</v>
      </c>
      <c r="BM102" s="260">
        <f>+BM101/BG101-1</f>
        <v>0.19947168503435475</v>
      </c>
      <c r="BN102" s="260">
        <f>+BN101/BH101-1</f>
        <v>0.12990752691685592</v>
      </c>
      <c r="BO102" s="449">
        <f>IF(ISERROR(BO101/BI101-1),"NM",BO101/BI101-1)</f>
        <v>0.13283063029063102</v>
      </c>
      <c r="BP102" s="43"/>
      <c r="BQ102" s="259">
        <f>+BQ101/BK101-1</f>
        <v>-1.0703898755610508E-2</v>
      </c>
      <c r="BR102" s="260">
        <f>+BR101/BL101-1</f>
        <v>2.7750882583520209E-2</v>
      </c>
      <c r="BS102" s="260">
        <f>+BS101/BM101-1</f>
        <v>6.9546033159180176E-3</v>
      </c>
      <c r="BT102" s="260">
        <f>+BT101/BN101-1</f>
        <v>3.1785533540828581E-2</v>
      </c>
      <c r="BU102" s="449">
        <f>IF(ISERROR(BU101/BO101-1),"NM",BU101/BO101-1)</f>
        <v>1.4623808747995737E-2</v>
      </c>
      <c r="BV102" s="43"/>
      <c r="BW102" s="259">
        <f>+BW101/BQ101-1</f>
        <v>4.5202593924009049E-2</v>
      </c>
      <c r="BX102" s="260">
        <f>+BX101/BR101-1</f>
        <v>4.5243429703787807E-2</v>
      </c>
      <c r="BY102" s="260">
        <f>+BY101/BS101-1</f>
        <v>4.5575173688007009E-2</v>
      </c>
      <c r="BZ102" s="260">
        <f>+BZ101/BT101-1</f>
        <v>4.4886898808448095E-2</v>
      </c>
      <c r="CA102" s="449">
        <f>IF(ISERROR(CA101/BU101-1),"NM",CA101/BU101-1)</f>
        <v>4.5218517796003832E-2</v>
      </c>
      <c r="CB102" s="43"/>
      <c r="CC102" s="259">
        <f>+CC101/BW101-1</f>
        <v>4.5357987125111743E-2</v>
      </c>
      <c r="CD102" s="260">
        <f>+CD101/BX101-1</f>
        <v>4.5398156171924109E-2</v>
      </c>
      <c r="CE102" s="260">
        <f>+CE101/BY101-1</f>
        <v>4.5731168070604289E-2</v>
      </c>
      <c r="CF102" s="260">
        <f>+CF101/BZ101-1</f>
        <v>4.5039666534608003E-2</v>
      </c>
      <c r="CG102" s="449">
        <f>IF(ISERROR(CG101/CA101-1),"NM",CG101/CA101-1)</f>
        <v>4.5373233457027595E-2</v>
      </c>
    </row>
    <row r="103" spans="1:85" ht="11.25" customHeight="1" outlineLevel="1" x14ac:dyDescent="0.2">
      <c r="A103" s="78"/>
      <c r="B103" s="99" t="s">
        <v>256</v>
      </c>
      <c r="C103" s="261">
        <v>6.0999999999999999E-2</v>
      </c>
      <c r="D103" s="258">
        <v>9.4E-2</v>
      </c>
      <c r="E103" s="258">
        <v>0.17399999999999999</v>
      </c>
      <c r="F103" s="258">
        <v>0.30099999999999999</v>
      </c>
      <c r="G103" s="453">
        <v>0.16600000000000001</v>
      </c>
      <c r="H103" s="43"/>
      <c r="I103" s="261">
        <v>0.35899999999999999</v>
      </c>
      <c r="J103" s="258">
        <v>0.39700000000000002</v>
      </c>
      <c r="K103" s="258">
        <v>0.247</v>
      </c>
      <c r="L103" s="258">
        <v>2.9000000000000001E-2</v>
      </c>
      <c r="M103" s="449">
        <f>+SUMPRODUCT(I103:L103,C$101:F$101)/G$101</f>
        <v>0.23102030871002058</v>
      </c>
      <c r="N103" s="43"/>
      <c r="O103" s="261">
        <v>0.16200000000000001</v>
      </c>
      <c r="P103" s="258">
        <v>0.13400000000000001</v>
      </c>
      <c r="Q103" s="258">
        <v>0.16900000000000001</v>
      </c>
      <c r="R103" s="258">
        <v>0.193</v>
      </c>
      <c r="S103" s="449">
        <f>+SUMPRODUCT(O103:R103,I$101:L$101)/M$101</f>
        <v>0.16330989081046624</v>
      </c>
      <c r="T103" s="43"/>
      <c r="U103" s="261">
        <v>7.4999999999999997E-2</v>
      </c>
      <c r="V103" s="258">
        <v>4.7E-2</v>
      </c>
      <c r="W103" s="258">
        <v>3.4000000000000002E-2</v>
      </c>
      <c r="X103" s="258">
        <v>4.3999999999999997E-2</v>
      </c>
      <c r="Y103" s="449">
        <f>+SUMPRODUCT(U103:X103,O$101:R$101)/S$101</f>
        <v>4.9077038328179966E-2</v>
      </c>
      <c r="Z103" s="43"/>
      <c r="AA103" s="261">
        <v>9.8000000000000004E-2</v>
      </c>
      <c r="AB103" s="258">
        <v>0.151</v>
      </c>
      <c r="AC103" s="258">
        <v>0.152</v>
      </c>
      <c r="AD103" s="258">
        <v>0.2</v>
      </c>
      <c r="AE103" s="449">
        <f>+SUMPRODUCT(AA103:AD103,U$101:X$101)/Y$101</f>
        <v>0.15193875525315836</v>
      </c>
      <c r="AF103" s="43"/>
      <c r="AG103" s="259">
        <f>((AA67*(1+AG69)+AA87*(1+AG89)+AA94*(1+AG96))/AA101-1)</f>
        <v>0.11242201063039214</v>
      </c>
      <c r="AH103" s="260">
        <f>((AB67*(1+AH69)+AB87*(1+AH89)+AB94*(1+AH96))/AB101-1)</f>
        <v>5.80030921364727E-2</v>
      </c>
      <c r="AI103" s="260">
        <f>((AC67*(1+AI69)+AC87*(1+AI89)+AC94*(1+AI96))/AC101-1)</f>
        <v>0.13780913907935455</v>
      </c>
      <c r="AJ103" s="260">
        <f>((AD67*(1+AJ69)+AD87*(1+AJ89)+AD94*(1+AJ96))/AD101-1)</f>
        <v>5.8582832438142329E-2</v>
      </c>
      <c r="AK103" s="449">
        <f>+SUMPRODUCT(AG103:AJ103,AA$101:AD$101)/AE$101</f>
        <v>8.9470044786807618E-2</v>
      </c>
      <c r="AL103" s="43"/>
      <c r="AM103" s="259">
        <f>((AG67*(1+AM69)+AG87*(1+AM89)+AG94*(1+AM96))/AG101-1)</f>
        <v>0.12614309899846177</v>
      </c>
      <c r="AN103" s="260">
        <f>((AH67*(1+AN69)+AH87*(1+AN89)+AH94*(1+AN96))/AH101-1)</f>
        <v>0.12621775618842013</v>
      </c>
      <c r="AO103" s="260">
        <f>((AI67*(1+AO69)+AI87*(1+AO89)+AI94*(1+AO96))/AI101-1)</f>
        <v>5.6101546640889177E-2</v>
      </c>
      <c r="AP103" s="260">
        <f>((AJ67*(1+AP69)+AJ87*(1+AP89)+AJ94*(1+AP96))/AJ101-1)</f>
        <v>5.0537930463151248E-2</v>
      </c>
      <c r="AQ103" s="449">
        <f>+SUMPRODUCT(AM103:AP103,AG$101:AJ$101)/AK$101</f>
        <v>8.8361626589132491E-2</v>
      </c>
      <c r="AR103" s="43"/>
      <c r="AS103" s="261">
        <v>6.4000000000000001E-2</v>
      </c>
      <c r="AT103" s="258">
        <v>8.1000000000000003E-2</v>
      </c>
      <c r="AU103" s="258">
        <v>9.7000000000000003E-2</v>
      </c>
      <c r="AV103" s="258">
        <v>0.106</v>
      </c>
      <c r="AW103" s="449">
        <f>+SUMPRODUCT(AS103:AV103,AM$101:AP$101)/AQ$101</f>
        <v>8.7324412479525659E-2</v>
      </c>
      <c r="AX103" s="43"/>
      <c r="AY103" s="261">
        <v>6.4000000000000001E-2</v>
      </c>
      <c r="AZ103" s="258">
        <v>6.9000000000000006E-2</v>
      </c>
      <c r="BA103" s="258">
        <v>6.3E-2</v>
      </c>
      <c r="BB103" s="258">
        <v>0.10100000000000001</v>
      </c>
      <c r="BC103" s="449">
        <f>+SUMPRODUCT(AY103:BB103,AS$101:AV$101)/AW$101</f>
        <v>7.4555140515509363E-2</v>
      </c>
      <c r="BD103" s="43"/>
      <c r="BE103" s="261">
        <v>8.4000000000000005E-2</v>
      </c>
      <c r="BF103" s="258">
        <v>8.7999999999999995E-2</v>
      </c>
      <c r="BG103" s="258">
        <v>8.5000000000000006E-2</v>
      </c>
      <c r="BH103" s="260">
        <f>+BH102-BH104</f>
        <v>9.1504937859204397E-2</v>
      </c>
      <c r="BI103" s="449">
        <f>+SUMPRODUCT(BE103:BH103,AY$101:BB$101)/BC$101</f>
        <v>8.7282245916657966E-2</v>
      </c>
      <c r="BJ103" s="43"/>
      <c r="BK103" s="259">
        <f>((BE67*(1+BK69)+BE87*(1+BK89)+BE94*(1+BK96))/BE101-1)</f>
        <v>0.15617331405652468</v>
      </c>
      <c r="BL103" s="258">
        <v>0.11600000000000001</v>
      </c>
      <c r="BM103" s="258">
        <v>0.154</v>
      </c>
      <c r="BN103" s="258">
        <v>5.8999999999999997E-2</v>
      </c>
      <c r="BO103" s="449">
        <f>+SUMPRODUCT(BK103:BN103,BE$101:BH$101)/BI$101</f>
        <v>0.11905904319240436</v>
      </c>
      <c r="BP103" s="43"/>
      <c r="BQ103" s="259">
        <f>((BK67*(1+BQ69)+BK87*(1+BQ89)+BK94*(1+BQ96))/BK101-1)</f>
        <v>4.2961012443896163E-3</v>
      </c>
      <c r="BR103" s="260">
        <f>((BL67*(1+BR69)+BL87*(1+BR89)+BL94*(1+BR96))/BL101-1)</f>
        <v>4.2750882583520333E-2</v>
      </c>
      <c r="BS103" s="260">
        <f>((BM67*(1+BS69)+BM87*(1+BS89)+BM94*(1+BS96))/BM101-1)</f>
        <v>3.6954603315918044E-2</v>
      </c>
      <c r="BT103" s="260">
        <f>((BN67*(1+BT69)+BN87*(1+BT89)+BN94*(1+BT96))/BN101-1)</f>
        <v>6.1785533540828608E-2</v>
      </c>
      <c r="BU103" s="449">
        <f>+SUMPRODUCT(BQ103:BT103,BK$101:BN$101)/BO$101</f>
        <v>3.7407932076870362E-2</v>
      </c>
      <c r="BV103" s="43"/>
      <c r="BW103" s="259">
        <f>((BQ67*(1+BW69)+BQ87*(1+BW89)+BQ94*(1+BW96))/BQ101-1)</f>
        <v>4.5202593924009049E-2</v>
      </c>
      <c r="BX103" s="260">
        <f>((BR67*(1+BX69)+BR87*(1+BX89)+BR94*(1+BX96))/BR101-1)</f>
        <v>4.5243429703787807E-2</v>
      </c>
      <c r="BY103" s="260">
        <f>((BS67*(1+BY69)+BS87*(1+BY89)+BS94*(1+BY96))/BS101-1)</f>
        <v>4.5575173688007009E-2</v>
      </c>
      <c r="BZ103" s="260">
        <f>((BT67*(1+BZ69)+BT87*(1+BZ89)+BT94*(1+BZ96))/BT101-1)</f>
        <v>4.4886898808448095E-2</v>
      </c>
      <c r="CA103" s="449">
        <f>+SUMPRODUCT(BW103:BZ103,BQ$101:BT$101)/BU$101</f>
        <v>4.5218517796003804E-2</v>
      </c>
      <c r="CB103" s="43"/>
      <c r="CC103" s="259">
        <f>((BW67*(1+CC69)+BW87*(1+CC89)+BW94*(1+CC96))/BW101-1)</f>
        <v>4.5357987125111743E-2</v>
      </c>
      <c r="CD103" s="260">
        <f>((BX67*(1+CD69)+BX87*(1+CD89)+BX94*(1+CD96))/BX101-1)</f>
        <v>4.5398156171924109E-2</v>
      </c>
      <c r="CE103" s="260">
        <f>((BY67*(1+CE69)+BY87*(1+CE89)+BY94*(1+CE96))/BY101-1)</f>
        <v>4.5731168070604289E-2</v>
      </c>
      <c r="CF103" s="260">
        <f>((BZ67*(1+CF69)+BZ87*(1+CF89)+BZ94*(1+CF96))/BZ101-1)</f>
        <v>4.5039666534608003E-2</v>
      </c>
      <c r="CG103" s="449">
        <f>+SUMPRODUCT(CC103:CF103,BW$101:BZ$101)/CA$101</f>
        <v>4.5373233457027685E-2</v>
      </c>
    </row>
    <row r="104" spans="1:85" ht="11.25" customHeight="1" outlineLevel="1" x14ac:dyDescent="0.2">
      <c r="A104" s="78"/>
      <c r="B104" s="99" t="s">
        <v>255</v>
      </c>
      <c r="C104" s="259">
        <f>C102-C103</f>
        <v>0.09</v>
      </c>
      <c r="D104" s="260">
        <f>D102-D103</f>
        <v>7.9999999999999988E-2</v>
      </c>
      <c r="E104" s="260">
        <f>E102-E103</f>
        <v>8.3000000000000018E-2</v>
      </c>
      <c r="F104" s="260">
        <f>F102-F103</f>
        <v>0.124</v>
      </c>
      <c r="G104" s="449">
        <f>G102-G103</f>
        <v>9.6000000000000002E-2</v>
      </c>
      <c r="H104" s="43"/>
      <c r="I104" s="259">
        <f>I102-I103</f>
        <v>9.6478999528079257E-2</v>
      </c>
      <c r="J104" s="260">
        <f>J102-J103</f>
        <v>0.16003855546698054</v>
      </c>
      <c r="K104" s="260">
        <f>K102-K103</f>
        <v>5.9628425439320787E-2</v>
      </c>
      <c r="L104" s="260">
        <f>L102-L103</f>
        <v>-0.13719081330565916</v>
      </c>
      <c r="M104" s="449">
        <f>+SUMPRODUCT(I104:L104,C$101:F$101)/G$101</f>
        <v>2.3918300156903362E-2</v>
      </c>
      <c r="N104" s="43"/>
      <c r="O104" s="259">
        <f>O102-O103</f>
        <v>-0.19166123677111421</v>
      </c>
      <c r="P104" s="260">
        <f>P102-P103</f>
        <v>-0.17213371994746907</v>
      </c>
      <c r="Q104" s="260">
        <f>Q102-Q103</f>
        <v>-8.4419686153079904E-2</v>
      </c>
      <c r="R104" s="260">
        <f>R102-R103</f>
        <v>0.130774085120484</v>
      </c>
      <c r="S104" s="449">
        <f>+SUMPRODUCT(O104:R104,I$101:L$101)/M$101</f>
        <v>-8.3613507229777229E-2</v>
      </c>
      <c r="T104" s="43"/>
      <c r="U104" s="259">
        <f>U102-U103</f>
        <v>8.870229073224363E-2</v>
      </c>
      <c r="V104" s="260">
        <f>V102-V103</f>
        <v>-2.9019080963984159E-2</v>
      </c>
      <c r="W104" s="260">
        <f>W102-W103</f>
        <v>-7.2021386708708918E-2</v>
      </c>
      <c r="X104" s="260">
        <f>X102-X103</f>
        <v>-4.9744923124460064E-2</v>
      </c>
      <c r="Y104" s="449">
        <f>+SUMPRODUCT(U104:X104,O$101:R$101)/S$101</f>
        <v>-1.9815600651347711E-2</v>
      </c>
      <c r="Z104" s="43"/>
      <c r="AA104" s="259">
        <f>AA102-AA103</f>
        <v>5.6142836804752017E-3</v>
      </c>
      <c r="AB104" s="260">
        <f>AB102-AB103</f>
        <v>0.13497197521754381</v>
      </c>
      <c r="AC104" s="260">
        <f>AC102-AC103</f>
        <v>0.11713902660179967</v>
      </c>
      <c r="AD104" s="260">
        <f>AD102-AD103</f>
        <v>-1.226008436973075E-2</v>
      </c>
      <c r="AE104" s="449">
        <f>+SUMPRODUCT(AA104:AD104,U$101:X$101)/Y$101</f>
        <v>5.7517299688040473E-2</v>
      </c>
      <c r="AF104" s="43"/>
      <c r="AG104" s="259">
        <f>AG102-AG103</f>
        <v>-1.7319623715472243E-2</v>
      </c>
      <c r="AH104" s="260">
        <f>AH102-AH103</f>
        <v>-8.225270439764043E-2</v>
      </c>
      <c r="AI104" s="260">
        <f>AI102-AI103</f>
        <v>-9.232428782976676E-2</v>
      </c>
      <c r="AJ104" s="260">
        <f>AJ102-AJ103</f>
        <v>-2.0400930562722852E-2</v>
      </c>
      <c r="AK104" s="449">
        <f>+SUMPRODUCT(AG104:AJ104,AA$101:AD$101)/AE$101</f>
        <v>-5.2922481782675418E-2</v>
      </c>
      <c r="AL104" s="43"/>
      <c r="AM104" s="259">
        <f>AM102-AM103</f>
        <v>2.5838192588047981E-3</v>
      </c>
      <c r="AN104" s="260">
        <f>AN102-AN103</f>
        <v>6.5146945211713714E-4</v>
      </c>
      <c r="AO104" s="260">
        <f>AO102-AO103</f>
        <v>8.2102518661726354E-3</v>
      </c>
      <c r="AP104" s="260">
        <f>AP102-AP103</f>
        <v>1.8365343822122959E-2</v>
      </c>
      <c r="AQ104" s="449">
        <f>+SUMPRODUCT(AM104:AP104,AG$101:AJ$101)/AK$101</f>
        <v>7.8370589621109543E-3</v>
      </c>
      <c r="AR104" s="43"/>
      <c r="AS104" s="259">
        <f>AS102-AS103</f>
        <v>1.6689646047609863E-2</v>
      </c>
      <c r="AT104" s="260">
        <f>AT102-AT103</f>
        <v>5.3726096225546763E-2</v>
      </c>
      <c r="AU104" s="260">
        <f>AU102-AU103</f>
        <v>3.3490121628474395E-2</v>
      </c>
      <c r="AV104" s="260">
        <f>AV102-AV103</f>
        <v>-6.5440887680862883E-2</v>
      </c>
      <c r="AW104" s="449">
        <f>+SUMPRODUCT(AS104:AV104,AM$101:AP$101)/AQ$101</f>
        <v>7.7357457963498034E-3</v>
      </c>
      <c r="AX104" s="43"/>
      <c r="AY104" s="259">
        <f>AY102-AY103</f>
        <v>-0.14493007311342548</v>
      </c>
      <c r="AZ104" s="260">
        <f>AZ102-AZ103</f>
        <v>-0.17505775318747446</v>
      </c>
      <c r="BA104" s="260">
        <f>BA102-BA103</f>
        <v>-0.15658984229853817</v>
      </c>
      <c r="BB104" s="260">
        <f>BB102-BB103</f>
        <v>-0.12118670843251148</v>
      </c>
      <c r="BC104" s="449">
        <f>+SUMPRODUCT(AY104:BB104,AS$101:AV$101)/AW$101</f>
        <v>-0.14948983564683391</v>
      </c>
      <c r="BD104" s="43"/>
      <c r="BE104" s="259">
        <f>BE102-BE103</f>
        <v>-4.5337153680151607E-2</v>
      </c>
      <c r="BF104" s="260">
        <f>BF102-BF103</f>
        <v>-7.3420524233260009E-3</v>
      </c>
      <c r="BG104" s="260">
        <f>BG102-BG103</f>
        <v>-3.3636793945191187E-2</v>
      </c>
      <c r="BH104" s="258">
        <v>-4.2999999999999997E-2</v>
      </c>
      <c r="BI104" s="449">
        <f>+SUMPRODUCT(BE104:BH104,AY$101:BB$101)/BC$101</f>
        <v>-3.2381362487616965E-2</v>
      </c>
      <c r="BJ104" s="43"/>
      <c r="BK104" s="259">
        <f>BK102-BK103</f>
        <v>-3.2390551254547262E-2</v>
      </c>
      <c r="BL104" s="260">
        <f>BL102-BL103</f>
        <v>-3.2743415979849547E-2</v>
      </c>
      <c r="BM104" s="260">
        <f>BM102-BM103</f>
        <v>4.5471685034354753E-2</v>
      </c>
      <c r="BN104" s="260">
        <f>BN102-BN103</f>
        <v>7.0907526916855923E-2</v>
      </c>
      <c r="BO104" s="449">
        <f>+SUMPRODUCT(BK104:BN104,BE$101:BH$101)/BI$101</f>
        <v>1.377158709822658E-2</v>
      </c>
      <c r="BP104" s="43"/>
      <c r="BQ104" s="259">
        <f>BQ102-BQ103</f>
        <v>-1.5000000000000124E-2</v>
      </c>
      <c r="BR104" s="260">
        <f>BR102-BR103</f>
        <v>-1.5000000000000124E-2</v>
      </c>
      <c r="BS104" s="260">
        <f>BS102-BS103</f>
        <v>-3.0000000000000027E-2</v>
      </c>
      <c r="BT104" s="260">
        <f>BT102-BT103</f>
        <v>-3.0000000000000027E-2</v>
      </c>
      <c r="BU104" s="449">
        <f>+SUMPRODUCT(BQ104:BT104,BK$101:BN$101)/BO$101</f>
        <v>-2.2784123328874389E-2</v>
      </c>
      <c r="BV104" s="43"/>
      <c r="BW104" s="259">
        <f>BW102-BW103</f>
        <v>0</v>
      </c>
      <c r="BX104" s="260">
        <f>BX102-BX103</f>
        <v>0</v>
      </c>
      <c r="BY104" s="260">
        <f>BY102-BY103</f>
        <v>0</v>
      </c>
      <c r="BZ104" s="260">
        <f>BZ102-BZ103</f>
        <v>0</v>
      </c>
      <c r="CA104" s="449">
        <f>+SUMPRODUCT(BW104:BZ104,BQ$101:BT$101)/BU$101</f>
        <v>0</v>
      </c>
      <c r="CB104" s="43"/>
      <c r="CC104" s="259">
        <f>CC102-CC103</f>
        <v>0</v>
      </c>
      <c r="CD104" s="260">
        <f>CD102-CD103</f>
        <v>0</v>
      </c>
      <c r="CE104" s="260">
        <f>CE102-CE103</f>
        <v>0</v>
      </c>
      <c r="CF104" s="260">
        <f>CF102-CF103</f>
        <v>0</v>
      </c>
      <c r="CG104" s="449">
        <f>+SUMPRODUCT(CC104:CF104,BW$101:BZ$101)/CA$101</f>
        <v>0</v>
      </c>
    </row>
    <row r="105" spans="1:85" ht="11.25" customHeight="1" outlineLevel="1" x14ac:dyDescent="0.2">
      <c r="A105" s="78"/>
      <c r="B105" s="99" t="s">
        <v>254</v>
      </c>
      <c r="C105" s="261">
        <v>0.05</v>
      </c>
      <c r="D105" s="258">
        <v>0.05</v>
      </c>
      <c r="E105" s="258">
        <v>0.105</v>
      </c>
      <c r="F105" s="258">
        <v>0.251</v>
      </c>
      <c r="G105" s="453">
        <v>0.123</v>
      </c>
      <c r="H105" s="43"/>
      <c r="I105" s="261">
        <v>0.25700000000000001</v>
      </c>
      <c r="J105" s="258">
        <v>0.28799999999999998</v>
      </c>
      <c r="K105" s="258">
        <v>0.19500000000000001</v>
      </c>
      <c r="L105" s="258">
        <v>2.8000000000000001E-2</v>
      </c>
      <c r="M105" s="449">
        <f>+SUMPRODUCT(I105:L105,C$101:F$101)/G$101</f>
        <v>0.17288123721312337</v>
      </c>
      <c r="N105" s="43"/>
      <c r="O105" s="261">
        <v>0.104</v>
      </c>
      <c r="P105" s="258">
        <v>9.2999999999999999E-2</v>
      </c>
      <c r="Q105" s="258">
        <v>9.9000000000000005E-2</v>
      </c>
      <c r="R105" s="258">
        <v>0.106</v>
      </c>
      <c r="S105" s="449">
        <f>+SUMPRODUCT(O105:R105,I$101:L$101)/M$101</f>
        <v>0.10021725214444067</v>
      </c>
      <c r="T105" s="43"/>
      <c r="U105" s="261">
        <v>1.2999999999999999E-2</v>
      </c>
      <c r="V105" s="258">
        <v>6.0000000000000001E-3</v>
      </c>
      <c r="W105" s="258">
        <v>5.0000000000000001E-3</v>
      </c>
      <c r="X105" s="258">
        <v>4.0000000000000001E-3</v>
      </c>
      <c r="Y105" s="449">
        <f>+SUMPRODUCT(U105:X105,O$101:R$101)/S$101</f>
        <v>6.702383340179017E-3</v>
      </c>
      <c r="Z105" s="43"/>
      <c r="AA105" s="261">
        <v>9.9000000000000005E-2</v>
      </c>
      <c r="AB105" s="258">
        <v>0.113</v>
      </c>
      <c r="AC105" s="258">
        <v>0.121</v>
      </c>
      <c r="AD105" s="258">
        <f>3%+12.2%</f>
        <v>0.152</v>
      </c>
      <c r="AE105" s="449">
        <f>+SUMPRODUCT(AA105:AD105,U$101:X$101)/Y$101</f>
        <v>0.12234452899735321</v>
      </c>
      <c r="AF105" s="43"/>
      <c r="AG105" s="259">
        <f>((AA67*(1+AG71)+AA87*(1+AG91)+AA94*(1+AG98))/AA101-1)</f>
        <v>7.8222008650887798E-3</v>
      </c>
      <c r="AH105" s="260">
        <f>((AB67*(1+AH71)+AB87*(1+AH91)+AB94*(1+AH98))/AB101-1)</f>
        <v>4.3805901483428666E-2</v>
      </c>
      <c r="AI105" s="260">
        <f>((AC67*(1+AI71)+AC87*(1+AI91)+AC94*(1+AI98))/AC101-1)</f>
        <v>0.1100908995206582</v>
      </c>
      <c r="AJ105" s="260">
        <f>((AD67*(1+AJ71)+AD87*(1+AJ91)+AD94*(1+AJ98))/AD101-1)</f>
        <v>5.7278479555965767E-2</v>
      </c>
      <c r="AK105" s="449">
        <f>+SUMPRODUCT(AG105:AJ105,AA$101:AD$101)/AE$101</f>
        <v>5.5243044034550506E-2</v>
      </c>
      <c r="AL105" s="43"/>
      <c r="AM105" s="259">
        <f>((AG67*(1+AM71)+AG87*(1+AM91)+AG94*(1+AM98))/AG101-1)</f>
        <v>0.14724970029881868</v>
      </c>
      <c r="AN105" s="260">
        <f>((AH67*(1+AN71)+AH87*(1+AN91)+AH94*(1+AN98))/AH101-1)</f>
        <v>0.11888900927072421</v>
      </c>
      <c r="AO105" s="260">
        <f>((AI67*(1+AO71)+AI87*(1+AO91)+AI94*(1+AO98))/AI101-1)</f>
        <v>4.9012032114279513E-2</v>
      </c>
      <c r="AP105" s="260">
        <f>((AJ67*(1+AP71)+AJ87*(1+AP91)+AJ94*(1+AP98))/AJ101-1)</f>
        <v>2.0363857313877132E-2</v>
      </c>
      <c r="AQ105" s="449">
        <f>+SUMPRODUCT(AM105:AP105,AG$101:AJ$101)/AK$101</f>
        <v>8.1531631084383008E-2</v>
      </c>
      <c r="AR105" s="43"/>
      <c r="AS105" s="261">
        <v>2.8000000000000001E-2</v>
      </c>
      <c r="AT105" s="258">
        <v>5.3999999999999999E-2</v>
      </c>
      <c r="AU105" s="258">
        <v>5.0999999999999997E-2</v>
      </c>
      <c r="AV105" s="258">
        <v>5.3999999999999999E-2</v>
      </c>
      <c r="AW105" s="449">
        <f>+SUMPRODUCT(AS105:AV105,AM$101:AP$101)/AQ$101</f>
        <v>4.6926351364896521E-2</v>
      </c>
      <c r="AX105" s="43"/>
      <c r="AY105" s="261">
        <v>3.4000000000000002E-2</v>
      </c>
      <c r="AZ105" s="258">
        <v>2.3E-2</v>
      </c>
      <c r="BA105" s="258">
        <v>3.1E-2</v>
      </c>
      <c r="BB105" s="258">
        <v>5.8999999999999997E-2</v>
      </c>
      <c r="BC105" s="449">
        <f>+SUMPRODUCT(AY105:BB105,AS$101:AV$101)/AW$101</f>
        <v>3.6829493921256173E-2</v>
      </c>
      <c r="BD105" s="43"/>
      <c r="BE105" s="261">
        <v>5.8000000000000003E-2</v>
      </c>
      <c r="BF105" s="258">
        <v>4.3999999999999997E-2</v>
      </c>
      <c r="BG105" s="258">
        <v>3.5999999999999997E-2</v>
      </c>
      <c r="BH105" s="258">
        <f>2%+4.1%</f>
        <v>6.0999999999999999E-2</v>
      </c>
      <c r="BI105" s="449">
        <f>+SUMPRODUCT(BE105:BH105,AY$101:BB$101)/BC$101</f>
        <v>5.0094073726571209E-2</v>
      </c>
      <c r="BJ105" s="43"/>
      <c r="BK105" s="261">
        <v>0.08</v>
      </c>
      <c r="BL105" s="258">
        <v>8.1000000000000003E-2</v>
      </c>
      <c r="BM105" s="258">
        <v>0.105</v>
      </c>
      <c r="BN105" s="258">
        <f>8.6%-3.9%</f>
        <v>4.6999999999999993E-2</v>
      </c>
      <c r="BO105" s="449">
        <f>+SUMPRODUCT(BK105:BN105,BE$101:BH$101)/BI$101</f>
        <v>7.7232231039250657E-2</v>
      </c>
      <c r="BP105" s="43"/>
      <c r="BQ105" s="259">
        <f>((BK67*(1+BQ71)+BK87*(1+BQ91)+BK94*(1+BQ98))/BK101-1)</f>
        <v>4.0493502073979393E-4</v>
      </c>
      <c r="BR105" s="260">
        <f>((BL67*(1+BR71)+BL87*(1+BR91)+BL94*(1+BR98))/BL101-1)</f>
        <v>0</v>
      </c>
      <c r="BS105" s="260">
        <f>((BM67*(1+BS71)+BM87*(1+BS91)+BM94*(1+BS98))/BM101-1)</f>
        <v>0</v>
      </c>
      <c r="BT105" s="260">
        <f>((BN67*(1+BT71)+BN87*(1+BT91)+BN94*(1+BT98))/BN101-1)</f>
        <v>0</v>
      </c>
      <c r="BU105" s="449">
        <f>+SUMPRODUCT(BQ105:BT105,BK$101:BN$101)/BO$101</f>
        <v>9.5048107914461792E-5</v>
      </c>
      <c r="BV105" s="43"/>
      <c r="BW105" s="259">
        <f>((BQ67*(1+BW71)+BQ87*(1+BW91)+BQ94*(1+BW98))/BQ101-1)</f>
        <v>0</v>
      </c>
      <c r="BX105" s="260">
        <f>((BR67*(1+BX71)+BR87*(1+BX91)+BR94*(1+BX98))/BR101-1)</f>
        <v>0</v>
      </c>
      <c r="BY105" s="260">
        <f>((BS67*(1+BY71)+BS87*(1+BY91)+BS94*(1+BY98))/BS101-1)</f>
        <v>0</v>
      </c>
      <c r="BZ105" s="260">
        <f>((BT67*(1+BZ71)+BT87*(1+BZ91)+BT94*(1+BZ98))/BT101-1)</f>
        <v>0</v>
      </c>
      <c r="CA105" s="449">
        <f>+SUMPRODUCT(BW105:BZ105,BQ$101:BT$101)/BU$101</f>
        <v>0</v>
      </c>
      <c r="CB105" s="43"/>
      <c r="CC105" s="259">
        <f>((BW67*(1+CC71)+BW87*(1+CC91)+BW94*(1+CC98))/BW101-1)</f>
        <v>0</v>
      </c>
      <c r="CD105" s="260">
        <f>((BX67*(1+CD71)+BX87*(1+CD91)+BX94*(1+CD98))/BX101-1)</f>
        <v>0</v>
      </c>
      <c r="CE105" s="260">
        <f>((BY67*(1+CE71)+BY87*(1+CE91)+BY94*(1+CE98))/BY101-1)</f>
        <v>0</v>
      </c>
      <c r="CF105" s="260">
        <f>((BZ67*(1+CF71)+BZ87*(1+CF91)+BZ94*(1+CF98))/BZ101-1)</f>
        <v>0</v>
      </c>
      <c r="CG105" s="449">
        <f>+SUMPRODUCT(CC105:CF105,BW$101:BZ$101)/CA$101</f>
        <v>0</v>
      </c>
    </row>
    <row r="106" spans="1:85" ht="11.25" customHeight="1" outlineLevel="1" x14ac:dyDescent="0.2">
      <c r="A106" s="78"/>
      <c r="B106" s="98" t="s">
        <v>257</v>
      </c>
      <c r="C106" s="259">
        <f>+C103-C105</f>
        <v>1.0999999999999996E-2</v>
      </c>
      <c r="D106" s="260">
        <f>+D103-D105</f>
        <v>4.3999999999999997E-2</v>
      </c>
      <c r="E106" s="260">
        <f>+E103-E105</f>
        <v>6.8999999999999992E-2</v>
      </c>
      <c r="F106" s="260">
        <f>+F103-F105</f>
        <v>4.9999999999999989E-2</v>
      </c>
      <c r="G106" s="449">
        <f>+G103-G105</f>
        <v>4.300000000000001E-2</v>
      </c>
      <c r="H106" s="264"/>
      <c r="I106" s="259">
        <f>+I103-I105</f>
        <v>0.10199999999999998</v>
      </c>
      <c r="J106" s="260">
        <f>+J103-J105</f>
        <v>0.10900000000000004</v>
      </c>
      <c r="K106" s="260">
        <f>+K103-K105</f>
        <v>5.1999999999999991E-2</v>
      </c>
      <c r="L106" s="260">
        <f>+L103-L105</f>
        <v>1.0000000000000009E-3</v>
      </c>
      <c r="M106" s="449">
        <f>+SUMPRODUCT(I106:L106,C$101:F$101)/G$101</f>
        <v>5.8139071496897253E-2</v>
      </c>
      <c r="N106" s="264"/>
      <c r="O106" s="259">
        <f>+O103-O105</f>
        <v>5.800000000000001E-2</v>
      </c>
      <c r="P106" s="260">
        <f>+P103-P105</f>
        <v>4.1000000000000009E-2</v>
      </c>
      <c r="Q106" s="260">
        <f>+Q103-Q105</f>
        <v>7.0000000000000007E-2</v>
      </c>
      <c r="R106" s="260">
        <f>+R103-R105</f>
        <v>8.7000000000000008E-2</v>
      </c>
      <c r="S106" s="449">
        <f>+SUMPRODUCT(O106:R106,I$101:L$101)/M$101</f>
        <v>6.3092638666025561E-2</v>
      </c>
      <c r="T106" s="264"/>
      <c r="U106" s="259">
        <f>+U103-U105</f>
        <v>6.2E-2</v>
      </c>
      <c r="V106" s="260">
        <f>+V103-V105</f>
        <v>4.1000000000000002E-2</v>
      </c>
      <c r="W106" s="260">
        <f>+W103-W105</f>
        <v>2.9000000000000001E-2</v>
      </c>
      <c r="X106" s="260">
        <f>+X103-X105</f>
        <v>3.9999999999999994E-2</v>
      </c>
      <c r="Y106" s="449">
        <f>+SUMPRODUCT(U106:X106,O$101:R$101)/S$101</f>
        <v>4.2374654988000943E-2</v>
      </c>
      <c r="Z106" s="264"/>
      <c r="AA106" s="259">
        <f>+AA103-AA105</f>
        <v>-1.0000000000000009E-3</v>
      </c>
      <c r="AB106" s="260">
        <f>+AB103-AB105</f>
        <v>3.7999999999999992E-2</v>
      </c>
      <c r="AC106" s="260">
        <f>+AC103-AC105</f>
        <v>3.1E-2</v>
      </c>
      <c r="AD106" s="260">
        <f>+AD103-AD105</f>
        <v>4.8000000000000015E-2</v>
      </c>
      <c r="AE106" s="449">
        <f>+SUMPRODUCT(AA106:AD106,U$101:X$101)/Y$101</f>
        <v>2.9594226255805166E-2</v>
      </c>
      <c r="AF106" s="264"/>
      <c r="AG106" s="259">
        <f>+AG103-AG105</f>
        <v>0.10459980976530336</v>
      </c>
      <c r="AH106" s="260">
        <f>+AH103-AH105</f>
        <v>1.4197190653044034E-2</v>
      </c>
      <c r="AI106" s="260">
        <f>+AI103-AI105</f>
        <v>2.7718239558696345E-2</v>
      </c>
      <c r="AJ106" s="260">
        <f>+AJ103-AJ105</f>
        <v>1.3043528821765626E-3</v>
      </c>
      <c r="AK106" s="449">
        <f>+SUMPRODUCT(AG106:AJ106,AA$101:AD$101)/AE$101</f>
        <v>3.4227000752257111E-2</v>
      </c>
      <c r="AL106" s="264"/>
      <c r="AM106" s="259">
        <f>+AM103-AM105</f>
        <v>-2.1106601300356909E-2</v>
      </c>
      <c r="AN106" s="260">
        <f>+AN103-AN105</f>
        <v>7.3287469176959164E-3</v>
      </c>
      <c r="AO106" s="260">
        <f>+AO103-AO105</f>
        <v>7.0895145266096637E-3</v>
      </c>
      <c r="AP106" s="260">
        <f>+AP103-AP105</f>
        <v>3.0174073149274117E-2</v>
      </c>
      <c r="AQ106" s="449">
        <f>+SUMPRODUCT(AM106:AP106,AG$101:AJ$101)/AK$101</f>
        <v>6.8299955047494802E-3</v>
      </c>
      <c r="AR106" s="264"/>
      <c r="AS106" s="259">
        <f>+AS103-AS105</f>
        <v>3.6000000000000004E-2</v>
      </c>
      <c r="AT106" s="260">
        <f>+AT103-AT105</f>
        <v>2.7000000000000003E-2</v>
      </c>
      <c r="AU106" s="260">
        <f>+AU103-AU105</f>
        <v>4.6000000000000006E-2</v>
      </c>
      <c r="AV106" s="260">
        <f>+AV103-AV105</f>
        <v>5.1999999999999998E-2</v>
      </c>
      <c r="AW106" s="449">
        <f>+SUMPRODUCT(AS106:AV106,AM$101:AP$101)/AQ$101</f>
        <v>4.0398061114629139E-2</v>
      </c>
      <c r="AX106" s="264"/>
      <c r="AY106" s="259">
        <f>+AY103-AY105</f>
        <v>0.03</v>
      </c>
      <c r="AZ106" s="260">
        <f>+AZ103-AZ105</f>
        <v>4.6000000000000006E-2</v>
      </c>
      <c r="BA106" s="260">
        <f>+BA103-BA105</f>
        <v>3.2000000000000001E-2</v>
      </c>
      <c r="BB106" s="260">
        <f>+BB103-BB105</f>
        <v>4.200000000000001E-2</v>
      </c>
      <c r="BC106" s="449">
        <f>+SUMPRODUCT(AY106:BB106,AS$101:AV$101)/AW$101</f>
        <v>3.7725646594253176E-2</v>
      </c>
      <c r="BD106" s="264"/>
      <c r="BE106" s="259">
        <f>+BE103-BE105</f>
        <v>2.6000000000000002E-2</v>
      </c>
      <c r="BF106" s="260">
        <f>+BF103-BF105</f>
        <v>4.3999999999999997E-2</v>
      </c>
      <c r="BG106" s="260">
        <f>+BG103-BG105</f>
        <v>4.9000000000000009E-2</v>
      </c>
      <c r="BH106" s="260">
        <f>+BH103-BH105</f>
        <v>3.0504937859204398E-2</v>
      </c>
      <c r="BI106" s="449">
        <f>+SUMPRODUCT(BE106:BH106,AY$101:BB$101)/BC$101</f>
        <v>3.7188172190086771E-2</v>
      </c>
      <c r="BJ106" s="264"/>
      <c r="BK106" s="259">
        <f>+BK103-BK105</f>
        <v>7.617331405652468E-2</v>
      </c>
      <c r="BL106" s="260">
        <f>+BL103-BL105</f>
        <v>3.5000000000000003E-2</v>
      </c>
      <c r="BM106" s="260">
        <f>+BM103-BM105</f>
        <v>4.9000000000000002E-2</v>
      </c>
      <c r="BN106" s="260">
        <f>+BN103-BN105</f>
        <v>1.2000000000000004E-2</v>
      </c>
      <c r="BO106" s="449">
        <f>+SUMPRODUCT(BK106:BN106,BE$101:BH$101)/BI$101</f>
        <v>4.1826812153153682E-2</v>
      </c>
      <c r="BP106" s="264"/>
      <c r="BQ106" s="259">
        <f>+BQ103-BQ105</f>
        <v>3.8911662236498223E-3</v>
      </c>
      <c r="BR106" s="260">
        <f>+BR103-BR105</f>
        <v>4.2750882583520333E-2</v>
      </c>
      <c r="BS106" s="260">
        <f>+BS103-BS105</f>
        <v>3.6954603315918044E-2</v>
      </c>
      <c r="BT106" s="260">
        <f>+BT103-BT105</f>
        <v>6.1785533540828608E-2</v>
      </c>
      <c r="BU106" s="449">
        <f>+SUMPRODUCT(BQ106:BT106,BK$101:BN$101)/BO$101</f>
        <v>3.7312883968955893E-2</v>
      </c>
      <c r="BV106" s="264"/>
      <c r="BW106" s="259">
        <f>+BW103-BW105</f>
        <v>4.5202593924009049E-2</v>
      </c>
      <c r="BX106" s="260">
        <f>+BX103-BX105</f>
        <v>4.5243429703787807E-2</v>
      </c>
      <c r="BY106" s="260">
        <f>+BY103-BY105</f>
        <v>4.5575173688007009E-2</v>
      </c>
      <c r="BZ106" s="260">
        <f>+BZ103-BZ105</f>
        <v>4.4886898808448095E-2</v>
      </c>
      <c r="CA106" s="449">
        <f>+SUMPRODUCT(BW106:BZ106,BQ$101:BT$101)/BU$101</f>
        <v>4.5218517796003804E-2</v>
      </c>
      <c r="CB106" s="264"/>
      <c r="CC106" s="259">
        <f>+CC103-CC105</f>
        <v>4.5357987125111743E-2</v>
      </c>
      <c r="CD106" s="260">
        <f>+CD103-CD105</f>
        <v>4.5398156171924109E-2</v>
      </c>
      <c r="CE106" s="260">
        <f>+CE103-CE105</f>
        <v>4.5731168070604289E-2</v>
      </c>
      <c r="CF106" s="260">
        <f>+CF103-CF105</f>
        <v>4.5039666534608003E-2</v>
      </c>
      <c r="CG106" s="449">
        <f>+SUMPRODUCT(CC106:CF106,BW$101:BZ$101)/CA$101</f>
        <v>4.5373233457027685E-2</v>
      </c>
    </row>
    <row r="107" spans="1:85" ht="11.25" customHeight="1" outlineLevel="1" x14ac:dyDescent="0.2">
      <c r="A107" s="78"/>
      <c r="B107" s="99"/>
      <c r="C107" s="94"/>
      <c r="D107" s="89"/>
      <c r="E107" s="89"/>
      <c r="F107" s="95"/>
      <c r="G107" s="447"/>
      <c r="H107" s="43"/>
      <c r="I107" s="94"/>
      <c r="J107" s="89"/>
      <c r="K107" s="89"/>
      <c r="L107" s="95"/>
      <c r="M107" s="447"/>
      <c r="N107" s="43"/>
      <c r="O107" s="94"/>
      <c r="P107" s="89"/>
      <c r="Q107" s="89"/>
      <c r="R107" s="95"/>
      <c r="S107" s="447"/>
      <c r="T107" s="43"/>
      <c r="U107" s="94"/>
      <c r="V107" s="89"/>
      <c r="W107" s="89"/>
      <c r="X107" s="95"/>
      <c r="Y107" s="447"/>
      <c r="Z107" s="43"/>
      <c r="AA107" s="94"/>
      <c r="AB107" s="90"/>
      <c r="AC107" s="90"/>
      <c r="AD107" s="90"/>
      <c r="AE107" s="447"/>
      <c r="AF107" s="43"/>
      <c r="AG107" s="94"/>
      <c r="AH107" s="90"/>
      <c r="AI107" s="90"/>
      <c r="AJ107" s="90"/>
      <c r="AK107" s="447"/>
      <c r="AL107" s="43"/>
      <c r="AM107" s="94"/>
      <c r="AN107" s="90"/>
      <c r="AO107" s="90"/>
      <c r="AP107" s="90"/>
      <c r="AQ107" s="447"/>
      <c r="AR107" s="43"/>
      <c r="AS107" s="94"/>
      <c r="AT107" s="90"/>
      <c r="AU107" s="90"/>
      <c r="AV107" s="90"/>
      <c r="AW107" s="447"/>
      <c r="AX107" s="43"/>
      <c r="AY107" s="94"/>
      <c r="AZ107" s="90"/>
      <c r="BA107" s="90"/>
      <c r="BB107" s="90"/>
      <c r="BC107" s="447"/>
      <c r="BD107" s="43"/>
      <c r="BE107" s="94"/>
      <c r="BF107" s="90"/>
      <c r="BG107" s="90"/>
      <c r="BH107" s="90"/>
      <c r="BI107" s="447"/>
      <c r="BJ107" s="43"/>
      <c r="BK107" s="94"/>
      <c r="BL107" s="90"/>
      <c r="BM107" s="90"/>
      <c r="BN107" s="90"/>
      <c r="BO107" s="447"/>
      <c r="BP107" s="43"/>
      <c r="BQ107" s="94"/>
      <c r="BR107" s="90"/>
      <c r="BS107" s="90"/>
      <c r="BT107" s="90"/>
      <c r="BU107" s="447"/>
      <c r="BV107" s="43"/>
      <c r="BW107" s="94"/>
      <c r="BX107" s="90"/>
      <c r="BY107" s="90"/>
      <c r="BZ107" s="90"/>
      <c r="CA107" s="447"/>
      <c r="CB107" s="43"/>
      <c r="CC107" s="94"/>
      <c r="CD107" s="90"/>
      <c r="CE107" s="90"/>
      <c r="CF107" s="90"/>
      <c r="CG107" s="447"/>
    </row>
    <row r="108" spans="1:85" ht="11.25" customHeight="1" outlineLevel="1" x14ac:dyDescent="0.2">
      <c r="A108" s="78"/>
      <c r="B108" s="108" t="s">
        <v>308</v>
      </c>
      <c r="C108" s="143"/>
      <c r="D108" s="144"/>
      <c r="E108" s="144"/>
      <c r="F108" s="144"/>
      <c r="G108" s="448"/>
      <c r="H108" s="39"/>
      <c r="I108" s="143"/>
      <c r="J108" s="144"/>
      <c r="K108" s="144"/>
      <c r="L108" s="144"/>
      <c r="M108" s="448"/>
      <c r="N108" s="39"/>
      <c r="O108" s="143"/>
      <c r="P108" s="144"/>
      <c r="Q108" s="144"/>
      <c r="R108" s="144"/>
      <c r="S108" s="448"/>
      <c r="T108" s="39"/>
      <c r="U108" s="143"/>
      <c r="V108" s="144"/>
      <c r="W108" s="144"/>
      <c r="X108" s="144"/>
      <c r="Y108" s="448"/>
      <c r="Z108" s="39"/>
      <c r="AA108" s="147">
        <f>+AA167-AA49</f>
        <v>8.1682319093286821</v>
      </c>
      <c r="AB108" s="148">
        <f>+AB167-AB49</f>
        <v>8.4062647058823572</v>
      </c>
      <c r="AC108" s="270">
        <v>8.6270000000000007</v>
      </c>
      <c r="AD108" s="270">
        <v>9.1059999999999999</v>
      </c>
      <c r="AE108" s="448">
        <f>+SUM(AA108:AD108)</f>
        <v>34.307496615211043</v>
      </c>
      <c r="AF108" s="39"/>
      <c r="AG108" s="269">
        <v>8.48</v>
      </c>
      <c r="AH108" s="270">
        <v>9.7810000000000006</v>
      </c>
      <c r="AI108" s="270">
        <v>9.7330000000000005</v>
      </c>
      <c r="AJ108" s="270">
        <v>10.034000000000001</v>
      </c>
      <c r="AK108" s="448">
        <f>+SUM(AG108:AJ108)</f>
        <v>38.028000000000006</v>
      </c>
      <c r="AL108" s="39"/>
      <c r="AM108" s="269">
        <v>10.85</v>
      </c>
      <c r="AN108" s="270">
        <v>11.37</v>
      </c>
      <c r="AO108" s="270">
        <v>10.997999999999999</v>
      </c>
      <c r="AP108" s="270">
        <v>12.14</v>
      </c>
      <c r="AQ108" s="448">
        <f>+SUM(AM108:AP108)</f>
        <v>45.357999999999997</v>
      </c>
      <c r="AR108" s="39"/>
      <c r="AS108" s="269">
        <v>14.445</v>
      </c>
      <c r="AT108" s="270">
        <v>16.974</v>
      </c>
      <c r="AU108" s="270">
        <v>15.659000000000001</v>
      </c>
      <c r="AV108" s="270">
        <v>15.778</v>
      </c>
      <c r="AW108" s="448">
        <f>+SUM(AS108:AV108)</f>
        <v>62.856000000000002</v>
      </c>
      <c r="AX108" s="39"/>
      <c r="AY108" s="269">
        <v>15.051</v>
      </c>
      <c r="AZ108" s="270">
        <v>15.346</v>
      </c>
      <c r="BA108" s="270">
        <v>14.968</v>
      </c>
      <c r="BB108" s="270">
        <v>14.898</v>
      </c>
      <c r="BC108" s="448">
        <f>+SUM(AY108:BB108)</f>
        <v>60.262999999999991</v>
      </c>
      <c r="BD108" s="39"/>
      <c r="BE108" s="269">
        <v>15.635999999999999</v>
      </c>
      <c r="BF108" s="270">
        <v>16.928999999999998</v>
      </c>
      <c r="BG108" s="270">
        <v>16.63</v>
      </c>
      <c r="BH108" s="270">
        <v>17.129000000000001</v>
      </c>
      <c r="BI108" s="448">
        <f>+SUM(BE108:BH108)</f>
        <v>66.323999999999998</v>
      </c>
      <c r="BJ108" s="39"/>
      <c r="BK108" s="269">
        <v>16.911999999999999</v>
      </c>
      <c r="BL108" s="270">
        <v>18.241</v>
      </c>
      <c r="BM108" s="270">
        <v>19.131</v>
      </c>
      <c r="BN108" s="270">
        <v>20.425999999999998</v>
      </c>
      <c r="BO108" s="448">
        <f>+SUM(BK108:BN108)</f>
        <v>74.709999999999994</v>
      </c>
      <c r="BP108" s="39"/>
      <c r="BQ108" s="147">
        <f>+BK108*(1+BQ109)</f>
        <v>18.823055999999998</v>
      </c>
      <c r="BR108" s="148">
        <f>+BL108*(1+BR109)</f>
        <v>24.351734999999998</v>
      </c>
      <c r="BS108" s="148">
        <f>+BM108*(1+BS109)</f>
        <v>25.635539999999999</v>
      </c>
      <c r="BT108" s="148">
        <f>+BN108*(1+BT109)</f>
        <v>26.75806</v>
      </c>
      <c r="BU108" s="448">
        <f>+SUM(BQ108:BT108)</f>
        <v>95.568390999999991</v>
      </c>
      <c r="BV108" s="39"/>
      <c r="BW108" s="147">
        <f>+BQ108*(1+BW109)</f>
        <v>25.222895039999997</v>
      </c>
      <c r="BX108" s="148">
        <f>+BR108*(1+BX109)</f>
        <v>26.2998738</v>
      </c>
      <c r="BY108" s="148">
        <f>+BS108*(1+BY109)</f>
        <v>27.686383200000002</v>
      </c>
      <c r="BZ108" s="148">
        <f>+BT108*(1+BZ109)</f>
        <v>28.898704800000001</v>
      </c>
      <c r="CA108" s="448">
        <f>+SUM(BW108:BZ108)</f>
        <v>108.10785684</v>
      </c>
      <c r="CB108" s="39"/>
      <c r="CC108" s="147">
        <f>+BW108*(1+CC109)</f>
        <v>27.240726643199999</v>
      </c>
      <c r="CD108" s="148">
        <f>+BX108*(1+CD109)</f>
        <v>28.403863704000003</v>
      </c>
      <c r="CE108" s="148">
        <f>+BY108*(1+CE109)</f>
        <v>29.901293856000002</v>
      </c>
      <c r="CF108" s="148">
        <f>+BZ108*(1+CF109)</f>
        <v>31.210601184000001</v>
      </c>
      <c r="CG108" s="448">
        <f>+SUM(CC108:CF108)</f>
        <v>116.7564853872</v>
      </c>
    </row>
    <row r="109" spans="1:85" ht="11.25" customHeight="1" outlineLevel="1" x14ac:dyDescent="0.2">
      <c r="A109" s="78"/>
      <c r="B109" s="99" t="s">
        <v>253</v>
      </c>
      <c r="C109" s="259"/>
      <c r="D109" s="265"/>
      <c r="E109" s="265"/>
      <c r="F109" s="265"/>
      <c r="G109" s="449"/>
      <c r="H109" s="43"/>
      <c r="I109" s="259"/>
      <c r="J109" s="265"/>
      <c r="K109" s="265"/>
      <c r="L109" s="265"/>
      <c r="M109" s="449"/>
      <c r="N109" s="43"/>
      <c r="O109" s="259"/>
      <c r="P109" s="265"/>
      <c r="Q109" s="265"/>
      <c r="R109" s="265"/>
      <c r="S109" s="449"/>
      <c r="T109" s="43"/>
      <c r="U109" s="259"/>
      <c r="V109" s="265"/>
      <c r="W109" s="265"/>
      <c r="X109" s="265"/>
      <c r="Y109" s="449"/>
      <c r="Z109" s="43"/>
      <c r="AA109" s="259"/>
      <c r="AB109" s="260"/>
      <c r="AC109" s="260"/>
      <c r="AD109" s="260"/>
      <c r="AE109" s="449"/>
      <c r="AF109" s="43"/>
      <c r="AG109" s="259">
        <f>+AG108/AA108-1</f>
        <v>3.8168369132034252E-2</v>
      </c>
      <c r="AH109" s="260">
        <f>+AH108/AB108-1</f>
        <v>0.16353699796720189</v>
      </c>
      <c r="AI109" s="260">
        <f>+AI108/AC108-1</f>
        <v>0.12820215602179208</v>
      </c>
      <c r="AJ109" s="260">
        <f>+AJ108/AD108-1</f>
        <v>0.10191082802547791</v>
      </c>
      <c r="AK109" s="449">
        <f>IF(ISERROR(AK108/AE108-1),"NM",AK108/AE108-1)</f>
        <v>0.10844578450353581</v>
      </c>
      <c r="AL109" s="43"/>
      <c r="AM109" s="259">
        <f>+AM108/AG108-1</f>
        <v>0.27948113207547154</v>
      </c>
      <c r="AN109" s="260">
        <f>+AN108/AH108-1</f>
        <v>0.16245782639811868</v>
      </c>
      <c r="AO109" s="260">
        <f>+AO108/AI108-1</f>
        <v>0.12997020445905672</v>
      </c>
      <c r="AP109" s="260">
        <f>+AP108/AJ108-1</f>
        <v>0.20988638628662537</v>
      </c>
      <c r="AQ109" s="449">
        <f>IF(ISERROR(AQ108/AK108-1),"NM",AQ108/AK108-1)</f>
        <v>0.19275270853055626</v>
      </c>
      <c r="AR109" s="43"/>
      <c r="AS109" s="259">
        <f>+AS108/AM108-1</f>
        <v>0.33133640552995391</v>
      </c>
      <c r="AT109" s="260">
        <f>+AT108/AN108-1</f>
        <v>0.49287598944591049</v>
      </c>
      <c r="AU109" s="260">
        <f>+AU108/AO108-1</f>
        <v>0.4238043280596473</v>
      </c>
      <c r="AV109" s="260">
        <f>+AV108/AP108-1</f>
        <v>0.29967051070840189</v>
      </c>
      <c r="AW109" s="449">
        <f>IF(ISERROR(AW108/AQ108-1),"NM",AW108/AQ108-1)</f>
        <v>0.38577538692182212</v>
      </c>
      <c r="AX109" s="43"/>
      <c r="AY109" s="259">
        <f>+AY108/AS108-1</f>
        <v>4.19522326064381E-2</v>
      </c>
      <c r="AZ109" s="260">
        <f>+AZ108/AT108-1</f>
        <v>-9.5911393896547681E-2</v>
      </c>
      <c r="BA109" s="260">
        <f>+BA108/AU108-1</f>
        <v>-4.4127977520914574E-2</v>
      </c>
      <c r="BB109" s="260">
        <f>+BB108/AV108-1</f>
        <v>-5.5773862339967062E-2</v>
      </c>
      <c r="BC109" s="449">
        <f>IF(ISERROR(BC108/AW108-1),"NM",BC108/AW108-1)</f>
        <v>-4.1253022782232529E-2</v>
      </c>
      <c r="BD109" s="43"/>
      <c r="BE109" s="259">
        <f>+BE108/AY108-1</f>
        <v>3.8867849312337999E-2</v>
      </c>
      <c r="BF109" s="260">
        <f>+BF108/AZ108-1</f>
        <v>0.10315391632998816</v>
      </c>
      <c r="BG109" s="260">
        <f>+BG108/BA108-1</f>
        <v>0.11103687867450551</v>
      </c>
      <c r="BH109" s="260">
        <f>+BH108/BB108-1</f>
        <v>0.1497516445160425</v>
      </c>
      <c r="BI109" s="449">
        <f>IF(ISERROR(BI108/BC108-1),"NM",BI108/BC108-1)</f>
        <v>0.10057580936893307</v>
      </c>
      <c r="BJ109" s="43"/>
      <c r="BK109" s="259">
        <f>+BK108/BE108-1</f>
        <v>8.1606548989511474E-2</v>
      </c>
      <c r="BL109" s="260">
        <f>+BL108/BF108-1</f>
        <v>7.7500147675586328E-2</v>
      </c>
      <c r="BM109" s="260">
        <f>+BM108/BG108-1</f>
        <v>0.15039085989176204</v>
      </c>
      <c r="BN109" s="260">
        <f>+BN108/BH108-1</f>
        <v>0.19248058847568439</v>
      </c>
      <c r="BO109" s="449">
        <f>IF(ISERROR(BO108/BI108-1),"NM",BO108/BI108-1)</f>
        <v>0.12643990109161085</v>
      </c>
      <c r="BP109" s="43"/>
      <c r="BQ109" s="259">
        <f>+BQ110+BQ111</f>
        <v>0.113</v>
      </c>
      <c r="BR109" s="260">
        <f>+BR110+BR111</f>
        <v>0.33499999999999996</v>
      </c>
      <c r="BS109" s="260">
        <f>+BS110+BS111</f>
        <v>0.33999999999999997</v>
      </c>
      <c r="BT109" s="260">
        <f>+BT110+BT111</f>
        <v>0.31000000000000005</v>
      </c>
      <c r="BU109" s="449">
        <f>IF(ISERROR(BU108/BO108-1),"NM",BU108/BO108-1)</f>
        <v>0.27919142015794396</v>
      </c>
      <c r="BV109" s="43"/>
      <c r="BW109" s="259">
        <f>+BW110+BW111</f>
        <v>0.34</v>
      </c>
      <c r="BX109" s="260">
        <f>+BX110+BX111</f>
        <v>0.08</v>
      </c>
      <c r="BY109" s="260">
        <f>+BY110+BY111</f>
        <v>0.08</v>
      </c>
      <c r="BZ109" s="260">
        <f>+BZ110+BZ111</f>
        <v>0.08</v>
      </c>
      <c r="CA109" s="449">
        <f>IF(ISERROR(CA108/BU108-1),"NM",CA108/BU108-1)</f>
        <v>0.13120934347424562</v>
      </c>
      <c r="CB109" s="43"/>
      <c r="CC109" s="259">
        <f>+CC110+CC111</f>
        <v>0.08</v>
      </c>
      <c r="CD109" s="260">
        <f>+CD110+CD111</f>
        <v>0.08</v>
      </c>
      <c r="CE109" s="260">
        <f>+CE110+CE111</f>
        <v>0.08</v>
      </c>
      <c r="CF109" s="260">
        <f>+CF110+CF111</f>
        <v>0.08</v>
      </c>
      <c r="CG109" s="449">
        <f>IF(ISERROR(CG108/CA108-1),"NM",CG108/CA108-1)</f>
        <v>8.0000000000000071E-2</v>
      </c>
    </row>
    <row r="110" spans="1:85" ht="11.25" customHeight="1" outlineLevel="1" x14ac:dyDescent="0.2">
      <c r="A110" s="78"/>
      <c r="B110" s="99" t="s">
        <v>256</v>
      </c>
      <c r="C110" s="261"/>
      <c r="D110" s="266"/>
      <c r="E110" s="266"/>
      <c r="F110" s="267"/>
      <c r="G110" s="449"/>
      <c r="H110" s="43"/>
      <c r="I110" s="261"/>
      <c r="J110" s="266"/>
      <c r="K110" s="266"/>
      <c r="L110" s="267"/>
      <c r="M110" s="449"/>
      <c r="N110" s="43"/>
      <c r="O110" s="261"/>
      <c r="P110" s="266"/>
      <c r="Q110" s="266"/>
      <c r="R110" s="267"/>
      <c r="S110" s="449"/>
      <c r="T110" s="43"/>
      <c r="U110" s="261"/>
      <c r="V110" s="266"/>
      <c r="W110" s="266"/>
      <c r="X110" s="267"/>
      <c r="Y110" s="449"/>
      <c r="Z110" s="43"/>
      <c r="AA110" s="261"/>
      <c r="AB110" s="258"/>
      <c r="AC110" s="258"/>
      <c r="AD110" s="258"/>
      <c r="AE110" s="449"/>
      <c r="AF110" s="43"/>
      <c r="AG110" s="261">
        <v>0.04</v>
      </c>
      <c r="AH110" s="258">
        <v>0.21099999999999999</v>
      </c>
      <c r="AI110" s="258">
        <v>0.16800000000000001</v>
      </c>
      <c r="AJ110" s="258">
        <v>8.7999999999999995E-2</v>
      </c>
      <c r="AK110" s="449">
        <f>+SUMPRODUCT(AG110:AJ110,AA$108:AD$108)/AE$108</f>
        <v>0.12682694916845533</v>
      </c>
      <c r="AL110" s="43"/>
      <c r="AM110" s="261">
        <v>0.29099999999999998</v>
      </c>
      <c r="AN110" s="258">
        <v>0.184</v>
      </c>
      <c r="AO110" s="258">
        <v>0.16200000000000001</v>
      </c>
      <c r="AP110" s="258">
        <v>0.215</v>
      </c>
      <c r="AQ110" s="449">
        <f>+SUMPRODUCT(AM110:AP110,AG$108:AJ$108)/AK$108</f>
        <v>0.21040917218891342</v>
      </c>
      <c r="AR110" s="43"/>
      <c r="AS110" s="261">
        <v>0.29199999999999998</v>
      </c>
      <c r="AT110" s="258">
        <v>0.40899999999999997</v>
      </c>
      <c r="AU110" s="258">
        <v>0.35399999999999998</v>
      </c>
      <c r="AV110" s="258">
        <v>0.36199999999999999</v>
      </c>
      <c r="AW110" s="449">
        <f>+SUMPRODUCT(AS110:AV110,AM$108:AP$108)/AQ$108</f>
        <v>0.35509727060276025</v>
      </c>
      <c r="AX110" s="43"/>
      <c r="AY110" s="261">
        <v>0.17399999999999999</v>
      </c>
      <c r="AZ110" s="258">
        <v>0.04</v>
      </c>
      <c r="BA110" s="258">
        <v>8.4000000000000005E-2</v>
      </c>
      <c r="BB110" s="258">
        <v>2.7E-2</v>
      </c>
      <c r="BC110" s="449">
        <f>+SUMPRODUCT(AY110:BB110,AS$108:AV$108)/AW$108</f>
        <v>7.8492936235204272E-2</v>
      </c>
      <c r="BD110" s="43"/>
      <c r="BE110" s="261">
        <v>9.7000000000000003E-2</v>
      </c>
      <c r="BF110" s="258">
        <v>0.14699999999999999</v>
      </c>
      <c r="BG110" s="258">
        <v>0.21199999999999999</v>
      </c>
      <c r="BH110" s="260">
        <f>+BH109-BH111</f>
        <v>0.26475164451604249</v>
      </c>
      <c r="BI110" s="449">
        <f>+SUMPRODUCT(BE110:BH110,AY$108:BB$108)/BC$108</f>
        <v>0.17976693825398674</v>
      </c>
      <c r="BJ110" s="43"/>
      <c r="BK110" s="261">
        <v>0.17199999999999999</v>
      </c>
      <c r="BL110" s="258">
        <v>0.157</v>
      </c>
      <c r="BM110" s="258">
        <v>0.13200000000000001</v>
      </c>
      <c r="BN110" s="258">
        <v>0.128</v>
      </c>
      <c r="BO110" s="449">
        <f>+SUMPRODUCT(BK110:BN110,BE$108:BH$108)/BI$108</f>
        <v>0.14677819492189856</v>
      </c>
      <c r="BP110" s="43"/>
      <c r="BQ110" s="263">
        <f>+BN110</f>
        <v>0.128</v>
      </c>
      <c r="BR110" s="262">
        <v>0.35</v>
      </c>
      <c r="BS110" s="262">
        <v>0.37</v>
      </c>
      <c r="BT110" s="262">
        <v>0.34</v>
      </c>
      <c r="BU110" s="449">
        <f>+SUMPRODUCT(BQ110:BT110,BK$108:BN$108)/BO$108</f>
        <v>0.30213352964797213</v>
      </c>
      <c r="BV110" s="43"/>
      <c r="BW110" s="263">
        <v>0.34</v>
      </c>
      <c r="BX110" s="262">
        <v>0.08</v>
      </c>
      <c r="BY110" s="262">
        <f t="shared" ref="BX110:BZ112" si="33">+BX110</f>
        <v>0.08</v>
      </c>
      <c r="BZ110" s="262">
        <f t="shared" si="33"/>
        <v>0.08</v>
      </c>
      <c r="CA110" s="449">
        <f>+SUMPRODUCT(BW110:BZ110,BQ$108:BT$108)/BU$108</f>
        <v>0.13120934347424562</v>
      </c>
      <c r="CB110" s="43"/>
      <c r="CC110" s="263">
        <f>+BZ110</f>
        <v>0.08</v>
      </c>
      <c r="CD110" s="262">
        <f t="shared" ref="CD110:CF112" si="34">+CC110</f>
        <v>0.08</v>
      </c>
      <c r="CE110" s="262">
        <f t="shared" si="34"/>
        <v>0.08</v>
      </c>
      <c r="CF110" s="262">
        <f t="shared" si="34"/>
        <v>0.08</v>
      </c>
      <c r="CG110" s="449">
        <f>+SUMPRODUCT(CC110:CF110,BW$108:BZ$108)/CA$108</f>
        <v>8.0000000000000016E-2</v>
      </c>
    </row>
    <row r="111" spans="1:85" ht="11.25" customHeight="1" outlineLevel="1" x14ac:dyDescent="0.2">
      <c r="A111" s="78"/>
      <c r="B111" s="99" t="s">
        <v>255</v>
      </c>
      <c r="C111" s="259"/>
      <c r="D111" s="265"/>
      <c r="E111" s="265"/>
      <c r="F111" s="265"/>
      <c r="G111" s="449"/>
      <c r="H111" s="43"/>
      <c r="I111" s="259"/>
      <c r="J111" s="265"/>
      <c r="K111" s="265"/>
      <c r="L111" s="265"/>
      <c r="M111" s="449"/>
      <c r="N111" s="43"/>
      <c r="O111" s="259"/>
      <c r="P111" s="265"/>
      <c r="Q111" s="265"/>
      <c r="R111" s="265"/>
      <c r="S111" s="449"/>
      <c r="T111" s="43"/>
      <c r="U111" s="259"/>
      <c r="V111" s="265"/>
      <c r="W111" s="265"/>
      <c r="X111" s="265"/>
      <c r="Y111" s="449"/>
      <c r="Z111" s="43"/>
      <c r="AA111" s="259"/>
      <c r="AB111" s="260"/>
      <c r="AC111" s="260"/>
      <c r="AD111" s="260"/>
      <c r="AE111" s="449"/>
      <c r="AF111" s="43"/>
      <c r="AG111" s="259">
        <f>AG109-AG110</f>
        <v>-1.8316308679657486E-3</v>
      </c>
      <c r="AH111" s="260">
        <f>AH109-AH110</f>
        <v>-4.7463002032798102E-2</v>
      </c>
      <c r="AI111" s="260">
        <f>AI109-AI110</f>
        <v>-3.9797843978207931E-2</v>
      </c>
      <c r="AJ111" s="260">
        <f>AJ109-AJ110</f>
        <v>1.3910828025477912E-2</v>
      </c>
      <c r="AK111" s="449">
        <f>+SUMPRODUCT(AG111:AJ111,AA$108:AD$108)/AE$108</f>
        <v>-1.8381164664919437E-2</v>
      </c>
      <c r="AL111" s="43"/>
      <c r="AM111" s="259">
        <f>AM109-AM110</f>
        <v>-1.1518867924528442E-2</v>
      </c>
      <c r="AN111" s="260">
        <f>AN109-AN110</f>
        <v>-2.154217360188132E-2</v>
      </c>
      <c r="AO111" s="260">
        <f>AO109-AO110</f>
        <v>-3.202979554094329E-2</v>
      </c>
      <c r="AP111" s="260">
        <f>AP109-AP110</f>
        <v>-5.1136137133746262E-3</v>
      </c>
      <c r="AQ111" s="449">
        <f>+SUMPRODUCT(AM111:AP111,AG$108:AJ$108)/AK$108</f>
        <v>-1.7656463658357113E-2</v>
      </c>
      <c r="AR111" s="43"/>
      <c r="AS111" s="259">
        <f>AS109-AS110</f>
        <v>3.9336405529953933E-2</v>
      </c>
      <c r="AT111" s="260">
        <f>AT109-AT110</f>
        <v>8.3875989445910515E-2</v>
      </c>
      <c r="AU111" s="260">
        <f>AU109-AU110</f>
        <v>6.9804328059647314E-2</v>
      </c>
      <c r="AV111" s="260">
        <f>AV109-AV110</f>
        <v>-6.2329489291598095E-2</v>
      </c>
      <c r="AW111" s="449">
        <f>+SUMPRODUCT(AS111:AV111,AM$108:AP$108)/AQ$108</f>
        <v>3.0678116319061751E-2</v>
      </c>
      <c r="AX111" s="43"/>
      <c r="AY111" s="259">
        <f>AY109-AY110</f>
        <v>-0.13204776739356189</v>
      </c>
      <c r="AZ111" s="260">
        <f>AZ109-AZ110</f>
        <v>-0.13591139389654769</v>
      </c>
      <c r="BA111" s="260">
        <f>BA109-BA110</f>
        <v>-0.12812797752091459</v>
      </c>
      <c r="BB111" s="260">
        <f>BB109-BB110</f>
        <v>-8.2773862339967058E-2</v>
      </c>
      <c r="BC111" s="449">
        <f>+SUMPRODUCT(AY111:BB111,AS$108:AV$108)/AW$108</f>
        <v>-0.11974595901743673</v>
      </c>
      <c r="BD111" s="43"/>
      <c r="BE111" s="259">
        <f>BE109-BE110</f>
        <v>-5.8132150687662004E-2</v>
      </c>
      <c r="BF111" s="260">
        <f>BF109-BF110</f>
        <v>-4.3846083670011832E-2</v>
      </c>
      <c r="BG111" s="260">
        <f>BG109-BG110</f>
        <v>-0.10096312132549448</v>
      </c>
      <c r="BH111" s="258">
        <v>-0.115</v>
      </c>
      <c r="BI111" s="449">
        <f>+SUMPRODUCT(BE111:BH111,AY$108:BB$108)/BC$108</f>
        <v>-7.9191128885053919E-2</v>
      </c>
      <c r="BJ111" s="43"/>
      <c r="BK111" s="259">
        <f>BK109-BK110</f>
        <v>-9.0393451010488512E-2</v>
      </c>
      <c r="BL111" s="260">
        <f>BL109-BL110</f>
        <v>-7.9499852324413672E-2</v>
      </c>
      <c r="BM111" s="260">
        <f>BM109-BM110</f>
        <v>1.8390859891762035E-2</v>
      </c>
      <c r="BN111" s="260">
        <f>BN109-BN110</f>
        <v>6.4480588475684386E-2</v>
      </c>
      <c r="BO111" s="449">
        <f>+SUMPRODUCT(BK111:BN111,BE$108:BH$108)/BI$108</f>
        <v>-2.0338293830287631E-2</v>
      </c>
      <c r="BP111" s="43"/>
      <c r="BQ111" s="263">
        <v>-1.4999999999999999E-2</v>
      </c>
      <c r="BR111" s="262">
        <v>-1.4999999999999999E-2</v>
      </c>
      <c r="BS111" s="262">
        <v>-0.03</v>
      </c>
      <c r="BT111" s="262">
        <f t="shared" ref="BT111" si="35">+BS111</f>
        <v>-0.03</v>
      </c>
      <c r="BU111" s="449">
        <f>+SUMPRODUCT(BQ111:BT111,BK$108:BN$108)/BO$108</f>
        <v>-2.2942109490028107E-2</v>
      </c>
      <c r="BV111" s="43"/>
      <c r="BW111" s="263">
        <v>0</v>
      </c>
      <c r="BX111" s="262">
        <f t="shared" si="33"/>
        <v>0</v>
      </c>
      <c r="BY111" s="262">
        <f t="shared" si="33"/>
        <v>0</v>
      </c>
      <c r="BZ111" s="262">
        <f t="shared" si="33"/>
        <v>0</v>
      </c>
      <c r="CA111" s="449">
        <f>+SUMPRODUCT(BW111:BZ111,BQ$108:BT$108)/BU$108</f>
        <v>0</v>
      </c>
      <c r="CB111" s="43"/>
      <c r="CC111" s="263">
        <f>+BZ111</f>
        <v>0</v>
      </c>
      <c r="CD111" s="262">
        <f t="shared" si="34"/>
        <v>0</v>
      </c>
      <c r="CE111" s="262">
        <f t="shared" si="34"/>
        <v>0</v>
      </c>
      <c r="CF111" s="262">
        <f t="shared" si="34"/>
        <v>0</v>
      </c>
      <c r="CG111" s="449">
        <f>+SUMPRODUCT(CC111:CF111,BW$108:BZ$108)/CA$108</f>
        <v>0</v>
      </c>
    </row>
    <row r="112" spans="1:85" ht="11.25" customHeight="1" outlineLevel="1" x14ac:dyDescent="0.2">
      <c r="A112" s="78"/>
      <c r="B112" s="99" t="s">
        <v>254</v>
      </c>
      <c r="C112" s="261"/>
      <c r="D112" s="266"/>
      <c r="E112" s="266"/>
      <c r="F112" s="267"/>
      <c r="G112" s="453"/>
      <c r="H112" s="43"/>
      <c r="I112" s="261"/>
      <c r="J112" s="266"/>
      <c r="K112" s="266"/>
      <c r="L112" s="267"/>
      <c r="M112" s="453"/>
      <c r="N112" s="43"/>
      <c r="O112" s="261"/>
      <c r="P112" s="266"/>
      <c r="Q112" s="266"/>
      <c r="R112" s="267"/>
      <c r="S112" s="453"/>
      <c r="T112" s="43"/>
      <c r="U112" s="261"/>
      <c r="V112" s="266"/>
      <c r="W112" s="266"/>
      <c r="X112" s="267"/>
      <c r="Y112" s="453"/>
      <c r="Z112" s="43"/>
      <c r="AA112" s="261"/>
      <c r="AB112" s="258"/>
      <c r="AC112" s="258"/>
      <c r="AD112" s="258"/>
      <c r="AE112" s="449"/>
      <c r="AF112" s="43"/>
      <c r="AG112" s="261">
        <v>0</v>
      </c>
      <c r="AH112" s="258">
        <v>0.14899999999999999</v>
      </c>
      <c r="AI112" s="258">
        <v>0.121</v>
      </c>
      <c r="AJ112" s="258">
        <f>-3.1%+12.9%</f>
        <v>9.8000000000000004E-2</v>
      </c>
      <c r="AK112" s="449">
        <f>+SUMPRODUCT(AG112:AJ112,AA$108:AD$108)/AE$108</f>
        <v>9.294727846049386E-2</v>
      </c>
      <c r="AL112" s="43"/>
      <c r="AM112" s="261">
        <v>0.14799999999999999</v>
      </c>
      <c r="AN112" s="258">
        <v>0</v>
      </c>
      <c r="AO112" s="258">
        <v>0</v>
      </c>
      <c r="AP112" s="258">
        <v>0</v>
      </c>
      <c r="AQ112" s="449">
        <f>+SUMPRODUCT(AM112:AP112,AG$108:AJ$108)/AK$108</f>
        <v>3.3003050383927625E-2</v>
      </c>
      <c r="AR112" s="43"/>
      <c r="AS112" s="261">
        <v>0.15</v>
      </c>
      <c r="AT112" s="258">
        <v>0.26500000000000001</v>
      </c>
      <c r="AU112" s="258">
        <v>0.22</v>
      </c>
      <c r="AV112" s="258">
        <v>0.21199999999999999</v>
      </c>
      <c r="AW112" s="449">
        <f>+SUMPRODUCT(AS112:AV112,AM$108:AP$108)/AQ$108</f>
        <v>0.21239450593059658</v>
      </c>
      <c r="AX112" s="43"/>
      <c r="AY112" s="261">
        <v>1E-3</v>
      </c>
      <c r="AZ112" s="258">
        <v>1E-3</v>
      </c>
      <c r="BA112" s="258">
        <v>0</v>
      </c>
      <c r="BB112" s="258">
        <v>0</v>
      </c>
      <c r="BC112" s="449">
        <f>+SUMPRODUCT(AY112:BB112,AS$108:AV$108)/AW$108</f>
        <v>4.9985681557846513E-4</v>
      </c>
      <c r="BD112" s="43"/>
      <c r="BE112" s="261">
        <v>4.5999999999999999E-2</v>
      </c>
      <c r="BF112" s="258">
        <v>8.3000000000000004E-2</v>
      </c>
      <c r="BG112" s="258">
        <v>0.104</v>
      </c>
      <c r="BH112" s="258">
        <f>10.1%+2.5%</f>
        <v>0.126</v>
      </c>
      <c r="BI112" s="449">
        <f>+SUMPRODUCT(BE112:BH112,AY$108:BB$108)/BC$108</f>
        <v>8.9605296782437005E-2</v>
      </c>
      <c r="BJ112" s="43"/>
      <c r="BK112" s="261">
        <v>0</v>
      </c>
      <c r="BL112" s="258">
        <v>3.3000000000000002E-2</v>
      </c>
      <c r="BM112" s="258">
        <v>4.4999999999999998E-2</v>
      </c>
      <c r="BN112" s="258">
        <f>4.2%-2.8%</f>
        <v>1.4000000000000005E-2</v>
      </c>
      <c r="BO112" s="449">
        <f>+SUMPRODUCT(BK112:BN112,BE$108:BH$108)/BI$108</f>
        <v>2.3322070442072254E-2</v>
      </c>
      <c r="BP112" s="43"/>
      <c r="BQ112" s="263">
        <v>0.04</v>
      </c>
      <c r="BR112" s="262">
        <f>+BR114</f>
        <v>0.21928622334301848</v>
      </c>
      <c r="BS112" s="262">
        <f>+BS114</f>
        <v>0.20908473158747581</v>
      </c>
      <c r="BT112" s="262">
        <f>+BT114</f>
        <v>0.19582884558895527</v>
      </c>
      <c r="BU112" s="449">
        <f>+SUMPRODUCT(BQ112:BT112,BK$108:BN$108)/BO$108</f>
        <v>0.16967581314415742</v>
      </c>
      <c r="BV112" s="43"/>
      <c r="BW112" s="263">
        <v>0.26</v>
      </c>
      <c r="BX112" s="262">
        <v>0</v>
      </c>
      <c r="BY112" s="262">
        <f t="shared" si="33"/>
        <v>0</v>
      </c>
      <c r="BZ112" s="262">
        <f t="shared" si="33"/>
        <v>0</v>
      </c>
      <c r="CA112" s="449">
        <f>+SUMPRODUCT(BW112:BZ112,BQ$108:BT$108)/BU$108</f>
        <v>5.1209343474245578E-2</v>
      </c>
      <c r="CB112" s="43"/>
      <c r="CC112" s="263">
        <f>+BZ112</f>
        <v>0</v>
      </c>
      <c r="CD112" s="262">
        <f t="shared" si="34"/>
        <v>0</v>
      </c>
      <c r="CE112" s="262">
        <f t="shared" si="34"/>
        <v>0</v>
      </c>
      <c r="CF112" s="262">
        <f t="shared" si="34"/>
        <v>0</v>
      </c>
      <c r="CG112" s="449">
        <f>+SUMPRODUCT(CC112:CF112,BW$108:BZ$108)/CA$108</f>
        <v>0</v>
      </c>
    </row>
    <row r="113" spans="1:86" ht="11.25" customHeight="1" outlineLevel="1" x14ac:dyDescent="0.2">
      <c r="A113" s="78"/>
      <c r="B113" s="98" t="s">
        <v>257</v>
      </c>
      <c r="C113" s="259"/>
      <c r="D113" s="260"/>
      <c r="E113" s="260"/>
      <c r="F113" s="260"/>
      <c r="G113" s="449"/>
      <c r="H113" s="264"/>
      <c r="I113" s="259"/>
      <c r="J113" s="260"/>
      <c r="K113" s="260"/>
      <c r="L113" s="260"/>
      <c r="M113" s="449"/>
      <c r="N113" s="264"/>
      <c r="O113" s="259"/>
      <c r="P113" s="260"/>
      <c r="Q113" s="260"/>
      <c r="R113" s="260"/>
      <c r="S113" s="449"/>
      <c r="T113" s="264"/>
      <c r="U113" s="259"/>
      <c r="V113" s="260"/>
      <c r="W113" s="260"/>
      <c r="X113" s="260"/>
      <c r="Y113" s="449"/>
      <c r="Z113" s="264"/>
      <c r="AA113" s="259"/>
      <c r="AB113" s="260"/>
      <c r="AC113" s="260"/>
      <c r="AD113" s="260"/>
      <c r="AE113" s="449"/>
      <c r="AF113" s="264"/>
      <c r="AG113" s="259">
        <f>+AG110-AG112</f>
        <v>0.04</v>
      </c>
      <c r="AH113" s="260">
        <f>+AH110-AH112</f>
        <v>6.2E-2</v>
      </c>
      <c r="AI113" s="260">
        <f>+AI110-AI112</f>
        <v>4.7000000000000014E-2</v>
      </c>
      <c r="AJ113" s="260">
        <f>+AJ110-AJ112</f>
        <v>-1.0000000000000009E-2</v>
      </c>
      <c r="AK113" s="449">
        <f>+SUMPRODUCT(AG113:AJ113,AA$108:AD$108)/AE$108</f>
        <v>3.3879670707961482E-2</v>
      </c>
      <c r="AL113" s="264"/>
      <c r="AM113" s="259">
        <f>+AM110-AM112</f>
        <v>0.14299999999999999</v>
      </c>
      <c r="AN113" s="260">
        <f>+AN110-AN112</f>
        <v>0.184</v>
      </c>
      <c r="AO113" s="260">
        <f>+AO110-AO112</f>
        <v>0.16200000000000001</v>
      </c>
      <c r="AP113" s="260">
        <f>+AP110-AP112</f>
        <v>0.215</v>
      </c>
      <c r="AQ113" s="449">
        <f>+SUMPRODUCT(AM113:AP113,AG$108:AJ$108)/AK$108</f>
        <v>0.17740612180498577</v>
      </c>
      <c r="AR113" s="264"/>
      <c r="AS113" s="259">
        <f>+AS110-AS112</f>
        <v>0.14199999999999999</v>
      </c>
      <c r="AT113" s="260">
        <f>+AT110-AT112</f>
        <v>0.14399999999999996</v>
      </c>
      <c r="AU113" s="260">
        <f>+AU110-AU112</f>
        <v>0.13399999999999998</v>
      </c>
      <c r="AV113" s="260">
        <f>+AV110-AV112</f>
        <v>0.15</v>
      </c>
      <c r="AW113" s="449">
        <f>+SUMPRODUCT(AS113:AV113,AM$108:AP$108)/AQ$108</f>
        <v>0.14270276467216364</v>
      </c>
      <c r="AX113" s="264"/>
      <c r="AY113" s="259">
        <f>+AY110-AY112</f>
        <v>0.17299999999999999</v>
      </c>
      <c r="AZ113" s="260">
        <f>+AZ110-AZ112</f>
        <v>3.9E-2</v>
      </c>
      <c r="BA113" s="260">
        <f>+BA110-BA112</f>
        <v>8.4000000000000005E-2</v>
      </c>
      <c r="BB113" s="260">
        <f>+BB110-BB112</f>
        <v>2.7E-2</v>
      </c>
      <c r="BC113" s="449">
        <f>+SUMPRODUCT(AY113:BB113,AS$108:AV$108)/AW$108</f>
        <v>7.7993079419625813E-2</v>
      </c>
      <c r="BD113" s="264"/>
      <c r="BE113" s="259">
        <f>+BE110-BE112</f>
        <v>5.1000000000000004E-2</v>
      </c>
      <c r="BF113" s="260">
        <f>+BF110-BF112</f>
        <v>6.3999999999999987E-2</v>
      </c>
      <c r="BG113" s="260">
        <f>+BG110-BG112</f>
        <v>0.108</v>
      </c>
      <c r="BH113" s="260">
        <f>+BH110-BH112</f>
        <v>0.13875164451604249</v>
      </c>
      <c r="BI113" s="449">
        <f>+SUMPRODUCT(BE113:BH113,AY$108:BB$108)/BC$108</f>
        <v>9.0161641471549744E-2</v>
      </c>
      <c r="BJ113" s="264"/>
      <c r="BK113" s="259">
        <f>+BK110-BK112</f>
        <v>0.17199999999999999</v>
      </c>
      <c r="BL113" s="260">
        <f>+BL110-BL112</f>
        <v>0.124</v>
      </c>
      <c r="BM113" s="260">
        <f>+BM110-BM112</f>
        <v>8.7000000000000008E-2</v>
      </c>
      <c r="BN113" s="260">
        <f>+BN110-BN112</f>
        <v>0.11399999999999999</v>
      </c>
      <c r="BO113" s="449">
        <f>+SUMPRODUCT(BK113:BN113,BE$108:BH$108)/BI$108</f>
        <v>0.1234561244798263</v>
      </c>
      <c r="BP113" s="264"/>
      <c r="BQ113" s="259">
        <f>+BQ110-BQ112</f>
        <v>8.7999999999999995E-2</v>
      </c>
      <c r="BR113" s="260">
        <f>+BR110-BR112</f>
        <v>0.1307137766569815</v>
      </c>
      <c r="BS113" s="260">
        <f>+BS110-BS112</f>
        <v>0.16091526841252418</v>
      </c>
      <c r="BT113" s="260">
        <f>+BT110-BT112</f>
        <v>0.14417115441104475</v>
      </c>
      <c r="BU113" s="449">
        <f>+SUMPRODUCT(BQ113:BT113,BK$108:BN$108)/BO$108</f>
        <v>0.13245771650381477</v>
      </c>
      <c r="BV113" s="264"/>
      <c r="BW113" s="259">
        <f>+BW110-BW112</f>
        <v>8.0000000000000016E-2</v>
      </c>
      <c r="BX113" s="260">
        <f>+BX110-BX112</f>
        <v>0.08</v>
      </c>
      <c r="BY113" s="260">
        <f>+BY110-BY112</f>
        <v>0.08</v>
      </c>
      <c r="BZ113" s="260">
        <f>+BZ110-BZ112</f>
        <v>0.08</v>
      </c>
      <c r="CA113" s="449">
        <f>+SUMPRODUCT(BW113:BZ113,BQ$108:BT$108)/BU$108</f>
        <v>8.0000000000000016E-2</v>
      </c>
      <c r="CB113" s="264"/>
      <c r="CC113" s="259">
        <f>+CC110-CC112</f>
        <v>0.08</v>
      </c>
      <c r="CD113" s="260">
        <f>+CD110-CD112</f>
        <v>0.08</v>
      </c>
      <c r="CE113" s="260">
        <f>+CE110-CE112</f>
        <v>0.08</v>
      </c>
      <c r="CF113" s="260">
        <f>+CF110-CF112</f>
        <v>0.08</v>
      </c>
      <c r="CG113" s="449">
        <f>+SUMPRODUCT(CC113:CF113,BW$108:BZ$108)/CA$108</f>
        <v>8.0000000000000016E-2</v>
      </c>
    </row>
    <row r="114" spans="1:86" ht="11.25" customHeight="1" outlineLevel="1" collapsed="1" x14ac:dyDescent="0.2">
      <c r="A114" s="78"/>
      <c r="B114" s="99"/>
      <c r="C114" s="94"/>
      <c r="D114" s="89"/>
      <c r="E114" s="89"/>
      <c r="F114" s="95"/>
      <c r="G114" s="447"/>
      <c r="H114" s="43"/>
      <c r="I114" s="94"/>
      <c r="J114" s="89"/>
      <c r="K114" s="89"/>
      <c r="L114" s="95"/>
      <c r="M114" s="447"/>
      <c r="N114" s="43"/>
      <c r="O114" s="94"/>
      <c r="P114" s="89"/>
      <c r="Q114" s="89"/>
      <c r="R114" s="95"/>
      <c r="S114" s="447"/>
      <c r="T114" s="43"/>
      <c r="U114" s="94"/>
      <c r="V114" s="89"/>
      <c r="W114" s="89"/>
      <c r="X114" s="95"/>
      <c r="Y114" s="447"/>
      <c r="Z114" s="43"/>
      <c r="AA114" s="94"/>
      <c r="AB114" s="89"/>
      <c r="AC114" s="89"/>
      <c r="AD114" s="95"/>
      <c r="AE114" s="447"/>
      <c r="AF114" s="43"/>
      <c r="AG114" s="94"/>
      <c r="AH114" s="89"/>
      <c r="AI114" s="89"/>
      <c r="AJ114" s="95"/>
      <c r="AK114" s="447"/>
      <c r="AL114" s="43"/>
      <c r="AM114" s="94"/>
      <c r="AN114" s="89"/>
      <c r="AO114" s="89"/>
      <c r="AP114" s="95"/>
      <c r="AQ114" s="447"/>
      <c r="AR114" s="43"/>
      <c r="AS114" s="94"/>
      <c r="AT114" s="89"/>
      <c r="AU114" s="89"/>
      <c r="AV114" s="95"/>
      <c r="AW114" s="447"/>
      <c r="AX114" s="43"/>
      <c r="AY114" s="94"/>
      <c r="AZ114" s="89"/>
      <c r="BA114" s="89"/>
      <c r="BB114" s="95"/>
      <c r="BC114" s="447"/>
      <c r="BD114" s="43"/>
      <c r="BE114" s="94"/>
      <c r="BF114" s="89"/>
      <c r="BG114" s="89"/>
      <c r="BH114" s="95"/>
      <c r="BI114" s="447"/>
      <c r="BJ114" s="43"/>
      <c r="BK114" s="94"/>
      <c r="BL114" s="89"/>
      <c r="BM114" s="89"/>
      <c r="BN114" s="89"/>
      <c r="BO114" s="447"/>
      <c r="BP114" s="43"/>
      <c r="BQ114" s="94"/>
      <c r="BR114" s="1352">
        <f>4/BL108</f>
        <v>0.21928622334301848</v>
      </c>
      <c r="BS114" s="1352">
        <f>4/BM108</f>
        <v>0.20908473158747581</v>
      </c>
      <c r="BT114" s="1352">
        <f>4/BN108</f>
        <v>0.19582884558895527</v>
      </c>
      <c r="BU114" s="1353"/>
      <c r="BV114" s="1354"/>
      <c r="BW114" s="1355">
        <f>4/BQ108</f>
        <v>0.21250534450941444</v>
      </c>
      <c r="BX114" s="89"/>
      <c r="BY114" s="89"/>
      <c r="BZ114" s="95"/>
      <c r="CA114" s="447"/>
      <c r="CB114" s="43"/>
      <c r="CC114" s="94"/>
      <c r="CD114" s="89"/>
      <c r="CE114" s="89"/>
      <c r="CF114" s="95"/>
      <c r="CG114" s="447"/>
    </row>
    <row r="115" spans="1:86" ht="11.25" customHeight="1" outlineLevel="1" x14ac:dyDescent="0.2">
      <c r="A115" s="78"/>
      <c r="B115" s="110" t="s">
        <v>309</v>
      </c>
      <c r="C115" s="149"/>
      <c r="D115" s="150"/>
      <c r="E115" s="150"/>
      <c r="F115" s="150"/>
      <c r="G115" s="450"/>
      <c r="H115" s="39"/>
      <c r="I115" s="149"/>
      <c r="J115" s="150"/>
      <c r="K115" s="150"/>
      <c r="L115" s="150"/>
      <c r="M115" s="450"/>
      <c r="N115" s="39"/>
      <c r="O115" s="149"/>
      <c r="P115" s="150"/>
      <c r="Q115" s="150"/>
      <c r="R115" s="150"/>
      <c r="S115" s="450"/>
      <c r="T115" s="39"/>
      <c r="U115" s="149"/>
      <c r="V115" s="150"/>
      <c r="W115" s="150"/>
      <c r="X115" s="150"/>
      <c r="Y115" s="450"/>
      <c r="Z115" s="39"/>
      <c r="AA115" s="151">
        <f>+AA101+AA108</f>
        <v>680.7692679412454</v>
      </c>
      <c r="AB115" s="152">
        <f>+AB101+AB108</f>
        <v>783.12079159606321</v>
      </c>
      <c r="AC115" s="152">
        <f>+AC101+AC108</f>
        <v>721.0619999999999</v>
      </c>
      <c r="AD115" s="152">
        <f>+AD101+AD108</f>
        <v>834.62799999999993</v>
      </c>
      <c r="AE115" s="450">
        <f>+SUM(AA115:AD115)</f>
        <v>3019.5800595373084</v>
      </c>
      <c r="AF115" s="39"/>
      <c r="AG115" s="151">
        <f>+AG101+AG108</f>
        <v>745.04700000000003</v>
      </c>
      <c r="AH115" s="152">
        <f>+AH101+AH108</f>
        <v>765.70899999999995</v>
      </c>
      <c r="AI115" s="152">
        <f>+AI101+AI108</f>
        <v>754.57299999999998</v>
      </c>
      <c r="AJ115" s="152">
        <f>+AJ101+AJ108</f>
        <v>867.07600000000002</v>
      </c>
      <c r="AK115" s="450">
        <f>+SUM(AG115:AJ115)</f>
        <v>3132.4049999999997</v>
      </c>
      <c r="AL115" s="39"/>
      <c r="AM115" s="151">
        <f>+AM101+AM108</f>
        <v>842.23300000000006</v>
      </c>
      <c r="AN115" s="152">
        <f>+AN101+AN108</f>
        <v>863.20200000000011</v>
      </c>
      <c r="AO115" s="152">
        <f>+AO101+AO108</f>
        <v>803.74</v>
      </c>
      <c r="AP115" s="152">
        <f>+AP101+AP108</f>
        <v>928.23500000000001</v>
      </c>
      <c r="AQ115" s="450">
        <f>+SUM(AM115:AP115)</f>
        <v>3437.4100000000003</v>
      </c>
      <c r="AR115" s="39"/>
      <c r="AS115" s="151">
        <f>+AS101+AS108</f>
        <v>912.91200000000015</v>
      </c>
      <c r="AT115" s="152">
        <f>+AT101+AT108</f>
        <v>983.57000000000016</v>
      </c>
      <c r="AU115" s="152">
        <f>+AU101+AU108</f>
        <v>911.846</v>
      </c>
      <c r="AV115" s="152">
        <f>+AV101+AV108</f>
        <v>969.029</v>
      </c>
      <c r="AW115" s="450">
        <f>+SUM(AS115:AV115)</f>
        <v>3777.3570000000004</v>
      </c>
      <c r="AX115" s="39"/>
      <c r="AY115" s="151">
        <f>+AY101+AY108</f>
        <v>840.80500000000006</v>
      </c>
      <c r="AZ115" s="152">
        <f>+AZ101+AZ108</f>
        <v>879.42700000000002</v>
      </c>
      <c r="BA115" s="152">
        <f>+BA101+BA108</f>
        <v>827.28099999999995</v>
      </c>
      <c r="BB115" s="152">
        <f>+BB101+BB108</f>
        <v>948.90600000000006</v>
      </c>
      <c r="BC115" s="450">
        <f>+SUM(AY115:BB115)</f>
        <v>3496.4189999999999</v>
      </c>
      <c r="BD115" s="39"/>
      <c r="BE115" s="151">
        <f>+BE101+BE108</f>
        <v>873.31600000000003</v>
      </c>
      <c r="BF115" s="152">
        <f>+BF101+BF108</f>
        <v>950.70500000000004</v>
      </c>
      <c r="BG115" s="152">
        <f>+BG101+BG108</f>
        <v>870.66599999999994</v>
      </c>
      <c r="BH115" s="152">
        <f>+BH101+BH108</f>
        <v>996.44099999999992</v>
      </c>
      <c r="BI115" s="450">
        <f>+SUM(BE115:BH115)</f>
        <v>3691.1279999999997</v>
      </c>
      <c r="BJ115" s="39"/>
      <c r="BK115" s="151">
        <f>+BK101+BK108</f>
        <v>980.75800000000015</v>
      </c>
      <c r="BL115" s="152">
        <f>+BL101+BL108</f>
        <v>1029.76</v>
      </c>
      <c r="BM115" s="152">
        <f>+BM101+BM108</f>
        <v>1043.5230000000001</v>
      </c>
      <c r="BN115" s="152">
        <f>+BN101+BN108</f>
        <v>1126.9579999999999</v>
      </c>
      <c r="BO115" s="450">
        <f>+SUM(BK115:BN115)</f>
        <v>4180.9989999999998</v>
      </c>
      <c r="BP115" s="39"/>
      <c r="BQ115" s="151">
        <f>+BQ101+BQ108</f>
        <v>972.35214599999995</v>
      </c>
      <c r="BR115" s="152">
        <f>+BR101+BR108</f>
        <v>1063.9412799999998</v>
      </c>
      <c r="BS115" s="152">
        <f>+BS101+BS108</f>
        <v>1057.1517799999999</v>
      </c>
      <c r="BT115" s="152">
        <f>+BT101+BT108</f>
        <v>1168.4617699999999</v>
      </c>
      <c r="BU115" s="450">
        <f>+SUM(BQ115:BT115)</f>
        <v>4261.9069759999993</v>
      </c>
      <c r="BV115" s="39"/>
      <c r="BW115" s="151">
        <f>+BW101+BW108</f>
        <v>1021.85397329</v>
      </c>
      <c r="BX115" s="152">
        <f>+BX101+BX108</f>
        <v>1112.9240153000001</v>
      </c>
      <c r="BY115" s="152">
        <f>+BY101+BY108</f>
        <v>1106.2141549999997</v>
      </c>
      <c r="BZ115" s="152">
        <f>+BZ101+BZ108</f>
        <v>1221.8499536999998</v>
      </c>
      <c r="CA115" s="450">
        <f>+SUM(BW115:BZ115)</f>
        <v>4462.8420972899994</v>
      </c>
      <c r="CB115" s="39"/>
      <c r="CC115" s="151">
        <f>+CC101+CC108</f>
        <v>1069.0769845089499</v>
      </c>
      <c r="CD115" s="152">
        <f>+CD101+CD108</f>
        <v>1164.3587376799999</v>
      </c>
      <c r="CE115" s="152">
        <f>+CE101+CE108</f>
        <v>1157.7514004569998</v>
      </c>
      <c r="CF115" s="152">
        <f>+CF101+CF108</f>
        <v>1277.8919765265</v>
      </c>
      <c r="CG115" s="450">
        <f>+SUM(CC115:CF115)</f>
        <v>4669.0790991724498</v>
      </c>
    </row>
    <row r="116" spans="1:86" ht="11.25" customHeight="1" outlineLevel="1" x14ac:dyDescent="0.2">
      <c r="A116" s="78"/>
      <c r="B116" s="99" t="s">
        <v>253</v>
      </c>
      <c r="C116" s="259"/>
      <c r="D116" s="265"/>
      <c r="E116" s="265"/>
      <c r="F116" s="265"/>
      <c r="G116" s="449"/>
      <c r="H116" s="43"/>
      <c r="I116" s="259"/>
      <c r="J116" s="265"/>
      <c r="K116" s="265"/>
      <c r="L116" s="265"/>
      <c r="M116" s="449"/>
      <c r="N116" s="43"/>
      <c r="O116" s="259"/>
      <c r="P116" s="265"/>
      <c r="Q116" s="265"/>
      <c r="R116" s="265"/>
      <c r="S116" s="449"/>
      <c r="T116" s="43"/>
      <c r="U116" s="259"/>
      <c r="V116" s="260"/>
      <c r="W116" s="260"/>
      <c r="X116" s="260"/>
      <c r="Y116" s="449"/>
      <c r="Z116" s="43"/>
      <c r="AA116" s="259"/>
      <c r="AB116" s="260"/>
      <c r="AC116" s="260"/>
      <c r="AD116" s="260"/>
      <c r="AE116" s="449"/>
      <c r="AF116" s="43"/>
      <c r="AG116" s="259">
        <f>+AG115/AA115-1</f>
        <v>9.4419262275367899E-2</v>
      </c>
      <c r="AH116" s="260">
        <f>+AH115/AB115-1</f>
        <v>-2.2233851767077484E-2</v>
      </c>
      <c r="AI116" s="260">
        <f>+AI115/AC115-1</f>
        <v>4.6474505659707566E-2</v>
      </c>
      <c r="AJ116" s="260">
        <f>+AJ115/AD115-1</f>
        <v>3.8877200381487453E-2</v>
      </c>
      <c r="AK116" s="449">
        <f>IF(ISERROR(AK115/AE115-1),"NM",AK115/AE115-1)</f>
        <v>3.7364447452332028E-2</v>
      </c>
      <c r="AL116" s="43"/>
      <c r="AM116" s="259">
        <f>+AM115/AG115-1</f>
        <v>0.13044277743551747</v>
      </c>
      <c r="AN116" s="260">
        <f>+AN115/AH115-1</f>
        <v>0.12732382667566955</v>
      </c>
      <c r="AO116" s="260">
        <f>+AO115/AI115-1</f>
        <v>6.5158705652070825E-2</v>
      </c>
      <c r="AP116" s="260">
        <f>+AP115/AJ115-1</f>
        <v>7.0534762812025642E-2</v>
      </c>
      <c r="AQ116" s="449">
        <f>IF(ISERROR(AQ115/AK115-1),"NM",AQ115/AK115-1)</f>
        <v>9.7370869986480146E-2</v>
      </c>
      <c r="AR116" s="43"/>
      <c r="AS116" s="259">
        <f>+AS115/AM115-1</f>
        <v>8.3918583099926058E-2</v>
      </c>
      <c r="AT116" s="260">
        <f>+AT115/AN115-1</f>
        <v>0.13944360647913245</v>
      </c>
      <c r="AU116" s="260">
        <f>+AU115/AO115-1</f>
        <v>0.13450369522482397</v>
      </c>
      <c r="AV116" s="260">
        <f>+AV115/AP115-1</f>
        <v>4.394792267044445E-2</v>
      </c>
      <c r="AW116" s="449">
        <f>IF(ISERROR(AW115/AQ115-1),"NM",AW115/AQ115-1)</f>
        <v>9.8896262011223701E-2</v>
      </c>
      <c r="AX116" s="43"/>
      <c r="AY116" s="259">
        <f>+AY115/AS115-1</f>
        <v>-7.8985707275181061E-2</v>
      </c>
      <c r="AZ116" s="260">
        <f>+AZ115/AT115-1</f>
        <v>-0.10588265197189839</v>
      </c>
      <c r="BA116" s="260">
        <f>+BA115/AU115-1</f>
        <v>-9.274044082005084E-2</v>
      </c>
      <c r="BB116" s="260">
        <f>+BB115/AV115-1</f>
        <v>-2.076614838152413E-2</v>
      </c>
      <c r="BC116" s="449">
        <f>IF(ISERROR(BC115/AW115-1),"NM",BC115/AW115-1)</f>
        <v>-7.4374225152666451E-2</v>
      </c>
      <c r="BD116" s="43"/>
      <c r="BE116" s="259">
        <f>+BE115/AY115-1</f>
        <v>3.866651601738802E-2</v>
      </c>
      <c r="BF116" s="260">
        <f>+BF115/AZ115-1</f>
        <v>8.105050220200205E-2</v>
      </c>
      <c r="BG116" s="260">
        <f>+BG115/BA115-1</f>
        <v>5.2442882164585036E-2</v>
      </c>
      <c r="BH116" s="260">
        <f>+BH115/BB115-1</f>
        <v>5.0094529911287156E-2</v>
      </c>
      <c r="BI116" s="449">
        <f>IF(ISERROR(BI115/BC115-1),"NM",BI115/BC115-1)</f>
        <v>5.568811975910215E-2</v>
      </c>
      <c r="BJ116" s="43"/>
      <c r="BK116" s="259">
        <f>+BK115/BE115-1</f>
        <v>0.12302763260950234</v>
      </c>
      <c r="BL116" s="260">
        <f>+BL115/BF115-1</f>
        <v>8.3154080392971563E-2</v>
      </c>
      <c r="BM116" s="260">
        <f>+BM115/BG115-1</f>
        <v>0.19853422552390954</v>
      </c>
      <c r="BN116" s="260">
        <f>+BN115/BH115-1</f>
        <v>0.13098316909882257</v>
      </c>
      <c r="BO116" s="449">
        <f>IF(ISERROR(BO115/BI115-1),"NM",BO115/BI115-1)</f>
        <v>0.13271579853096394</v>
      </c>
      <c r="BP116" s="43"/>
      <c r="BQ116" s="259">
        <f>+BQ115/BK115-1</f>
        <v>-8.5707728104182923E-3</v>
      </c>
      <c r="BR116" s="260">
        <f>+BR115/BL115-1</f>
        <v>3.3193443132380152E-2</v>
      </c>
      <c r="BS116" s="260">
        <f>+BS115/BM115-1</f>
        <v>1.3060354203979996E-2</v>
      </c>
      <c r="BT116" s="260">
        <f>+BT115/BN115-1</f>
        <v>3.6828142663701824E-2</v>
      </c>
      <c r="BU116" s="449">
        <f>IF(ISERROR(BU115/BO115-1),"NM",BU115/BO115-1)</f>
        <v>1.9351350239499965E-2</v>
      </c>
      <c r="BV116" s="43"/>
      <c r="BW116" s="259">
        <f>+BW115/BQ115-1</f>
        <v>5.0909361894903471E-2</v>
      </c>
      <c r="BX116" s="260">
        <f>+BX115/BR115-1</f>
        <v>4.6038946153118765E-2</v>
      </c>
      <c r="BY116" s="260">
        <f>+BY115/BS115-1</f>
        <v>4.6409963004555355E-2</v>
      </c>
      <c r="BZ116" s="260">
        <f>+BZ115/BT115-1</f>
        <v>4.5690997404219669E-2</v>
      </c>
      <c r="CA116" s="449">
        <f>IF(ISERROR(CA115/BU115-1),"NM",CA115/BU115-1)</f>
        <v>4.7146763742503595E-2</v>
      </c>
      <c r="CB116" s="43"/>
      <c r="CC116" s="259">
        <f>+CC115/BW115-1</f>
        <v>4.6213071978287612E-2</v>
      </c>
      <c r="CD116" s="260">
        <f>+CD115/BX115-1</f>
        <v>4.6215843734969786E-2</v>
      </c>
      <c r="CE116" s="260">
        <f>+CE115/BY115-1</f>
        <v>4.658885011013103E-2</v>
      </c>
      <c r="CF116" s="260">
        <f>+CF115/BZ115-1</f>
        <v>4.5866534312821283E-2</v>
      </c>
      <c r="CG116" s="449">
        <f>IF(ISERROR(CG115/CA115-1),"NM",CG115/CA115-1)</f>
        <v>4.6212032016029747E-2</v>
      </c>
    </row>
    <row r="117" spans="1:86" ht="11.25" customHeight="1" outlineLevel="1" x14ac:dyDescent="0.2">
      <c r="A117" s="78"/>
      <c r="B117" s="99" t="s">
        <v>256</v>
      </c>
      <c r="C117" s="261"/>
      <c r="D117" s="266"/>
      <c r="E117" s="266"/>
      <c r="F117" s="267"/>
      <c r="G117" s="449"/>
      <c r="H117" s="43"/>
      <c r="I117" s="261"/>
      <c r="J117" s="266"/>
      <c r="K117" s="266"/>
      <c r="L117" s="267"/>
      <c r="M117" s="449"/>
      <c r="N117" s="43"/>
      <c r="O117" s="261"/>
      <c r="P117" s="266"/>
      <c r="Q117" s="266"/>
      <c r="R117" s="267"/>
      <c r="S117" s="449"/>
      <c r="T117" s="43"/>
      <c r="U117" s="261"/>
      <c r="V117" s="266"/>
      <c r="W117" s="266"/>
      <c r="X117" s="267"/>
      <c r="Y117" s="449"/>
      <c r="Z117" s="43"/>
      <c r="AA117" s="261"/>
      <c r="AB117" s="258"/>
      <c r="AC117" s="258"/>
      <c r="AD117" s="258"/>
      <c r="AE117" s="449"/>
      <c r="AF117" s="43"/>
      <c r="AG117" s="261">
        <v>0.111</v>
      </c>
      <c r="AH117" s="258">
        <v>0.06</v>
      </c>
      <c r="AI117" s="258">
        <v>0.13800000000000001</v>
      </c>
      <c r="AJ117" s="258">
        <v>5.8999999999999997E-2</v>
      </c>
      <c r="AK117" s="449">
        <f>+SUMPRODUCT(AG117:AJ117,AA$115:AD$115)/AE$115</f>
        <v>8.9847673811574241E-2</v>
      </c>
      <c r="AL117" s="43"/>
      <c r="AM117" s="261">
        <v>0.128</v>
      </c>
      <c r="AN117" s="258">
        <v>0.127</v>
      </c>
      <c r="AO117" s="258">
        <v>5.8000000000000003E-2</v>
      </c>
      <c r="AP117" s="258">
        <v>5.2999999999999999E-2</v>
      </c>
      <c r="AQ117" s="449">
        <f>+SUMPRODUCT(AM117:AP117,AG$115:AJ$115)/AK$115</f>
        <v>9.0132444878615645E-2</v>
      </c>
      <c r="AR117" s="43"/>
      <c r="AS117" s="261">
        <v>6.7000000000000004E-2</v>
      </c>
      <c r="AT117" s="258">
        <v>8.5999999999999993E-2</v>
      </c>
      <c r="AU117" s="258">
        <v>0.10100000000000001</v>
      </c>
      <c r="AV117" s="258">
        <v>0.109</v>
      </c>
      <c r="AW117" s="449">
        <f>+SUMPRODUCT(AS117:AV117,AM$115:AP$115)/AQ$115</f>
        <v>9.1062846154517499E-2</v>
      </c>
      <c r="AX117" s="43"/>
      <c r="AY117" s="261">
        <v>6.6000000000000003E-2</v>
      </c>
      <c r="AZ117" s="258">
        <v>6.8000000000000005E-2</v>
      </c>
      <c r="BA117" s="258">
        <v>6.3E-2</v>
      </c>
      <c r="BB117" s="258">
        <v>9.9000000000000005E-2</v>
      </c>
      <c r="BC117" s="449">
        <f>+SUMPRODUCT(AY117:BB117,AS$115:AV$115)/AW$115</f>
        <v>7.4262274124473809E-2</v>
      </c>
      <c r="BD117" s="43"/>
      <c r="BE117" s="261">
        <v>8.4000000000000005E-2</v>
      </c>
      <c r="BF117" s="258">
        <v>8.8999999999999996E-2</v>
      </c>
      <c r="BG117" s="258">
        <v>8.6999999999999994E-2</v>
      </c>
      <c r="BH117" s="260">
        <f>+BH116-BH118</f>
        <v>9.5094529911287154E-2</v>
      </c>
      <c r="BI117" s="449">
        <f>+SUMPRODUCT(BE117:BH117,AY$115:BB$115)/BC$115</f>
        <v>8.8978420492509577E-2</v>
      </c>
      <c r="BJ117" s="43"/>
      <c r="BK117" s="259">
        <f>((BE67*(1+BK69)+BE87*(1+BK89)+BE108*(1+BK110)+BE94*(1+BK96))/BE115-1)</f>
        <v>0.1564566777661236</v>
      </c>
      <c r="BL117" s="260">
        <f>((+BF101*(1+BL103)+BF108*(1+BL110))/BF115-1)</f>
        <v>0.11673007820512171</v>
      </c>
      <c r="BM117" s="260">
        <f>((+BG101*(1+BM103)+BG108*(1+BM110))/BG115-1)</f>
        <v>0.15357979294011703</v>
      </c>
      <c r="BN117" s="260">
        <f>((+BH101*(1+BN103)+BH108*(1+BN110))/BH115-1)</f>
        <v>6.0186122409655818E-2</v>
      </c>
      <c r="BO117" s="449">
        <f>+SUMPRODUCT(BK117:BN117,BE$115:BH$115)/BI$115</f>
        <v>0.11955711451892213</v>
      </c>
      <c r="BP117" s="43"/>
      <c r="BQ117" s="259">
        <f>((+BK101*(1+BQ103)+BK108*(1+BQ110))/BK115-1)</f>
        <v>6.429227189581832E-3</v>
      </c>
      <c r="BR117" s="260">
        <f>((+BL101*(1+BR103)+BL108*(1+BR110))/BL115-1)</f>
        <v>4.8193443132380498E-2</v>
      </c>
      <c r="BS117" s="260">
        <f>((+BM101*(1+BS103)+BM108*(1+BS110))/BM115-1)</f>
        <v>4.3060354203980022E-2</v>
      </c>
      <c r="BT117" s="260">
        <f>((+BN101*(1+BT103)+BN108*(1+BT110))/BN115-1)</f>
        <v>6.6828142663701851E-2</v>
      </c>
      <c r="BU117" s="449">
        <f>+SUMPRODUCT(BQ117:BT117,BK$115:BN$115)/BO$115</f>
        <v>4.2138296612843004E-2</v>
      </c>
      <c r="BV117" s="43"/>
      <c r="BW117" s="259">
        <f>((+BQ101*(1+BW103)+BQ108*(1+BW110))/BQ115-1)</f>
        <v>5.0909361894903471E-2</v>
      </c>
      <c r="BX117" s="260">
        <f>((+BR101*(1+BX103)+BR108*(1+BX110))/BR115-1)</f>
        <v>4.6038946153118765E-2</v>
      </c>
      <c r="BY117" s="260">
        <f>((+BS101*(1+BY103)+BS108*(1+BY110))/BS115-1)</f>
        <v>4.6409963004555355E-2</v>
      </c>
      <c r="BZ117" s="260">
        <f>((+BT101*(1+BZ103)+BT108*(1+BZ110))/BT115-1)</f>
        <v>4.5690997404219669E-2</v>
      </c>
      <c r="CA117" s="449">
        <f>+SUMPRODUCT(BW117:BZ117,BQ$115:BT$115)/BU$115</f>
        <v>4.7146763742503615E-2</v>
      </c>
      <c r="CB117" s="43"/>
      <c r="CC117" s="259">
        <f>((+BW101*(1+CC103)+BW108*(1+CC110))/BW115-1)</f>
        <v>4.6213071978287612E-2</v>
      </c>
      <c r="CD117" s="260">
        <f>((+BX101*(1+CD103)+BX108*(1+CD110))/BX115-1)</f>
        <v>4.6215843734969786E-2</v>
      </c>
      <c r="CE117" s="260">
        <f>((+BY101*(1+CE103)+BY108*(1+CE110))/BY115-1)</f>
        <v>4.658885011013103E-2</v>
      </c>
      <c r="CF117" s="260">
        <f>((+BZ101*(1+CF103)+BZ108*(1+CF110))/BZ115-1)</f>
        <v>4.5866534312821505E-2</v>
      </c>
      <c r="CG117" s="449">
        <f>+SUMPRODUCT(CC117:CF117,BW$115:BZ$115)/CA$115</f>
        <v>4.6212032016029685E-2</v>
      </c>
    </row>
    <row r="118" spans="1:86" ht="11.25" customHeight="1" outlineLevel="1" x14ac:dyDescent="0.2">
      <c r="A118" s="78"/>
      <c r="B118" s="99" t="s">
        <v>255</v>
      </c>
      <c r="C118" s="259"/>
      <c r="D118" s="265"/>
      <c r="E118" s="265"/>
      <c r="F118" s="265"/>
      <c r="G118" s="449"/>
      <c r="H118" s="43"/>
      <c r="I118" s="259"/>
      <c r="J118" s="265"/>
      <c r="K118" s="265"/>
      <c r="L118" s="265"/>
      <c r="M118" s="449"/>
      <c r="N118" s="43"/>
      <c r="O118" s="259"/>
      <c r="P118" s="265"/>
      <c r="Q118" s="265"/>
      <c r="R118" s="265"/>
      <c r="S118" s="449"/>
      <c r="T118" s="43"/>
      <c r="U118" s="259"/>
      <c r="V118" s="265"/>
      <c r="W118" s="265"/>
      <c r="X118" s="265"/>
      <c r="Y118" s="449"/>
      <c r="Z118" s="43"/>
      <c r="AA118" s="259"/>
      <c r="AB118" s="260"/>
      <c r="AC118" s="260"/>
      <c r="AD118" s="260"/>
      <c r="AE118" s="449"/>
      <c r="AF118" s="43"/>
      <c r="AG118" s="259">
        <f>AG116-AG117</f>
        <v>-1.6580737724632102E-2</v>
      </c>
      <c r="AH118" s="260">
        <f>AH116-AH117</f>
        <v>-8.2233851767077482E-2</v>
      </c>
      <c r="AI118" s="260">
        <f>AI116-AI117</f>
        <v>-9.1525494340292446E-2</v>
      </c>
      <c r="AJ118" s="260">
        <f>AJ116-AJ117</f>
        <v>-2.0122799618512544E-2</v>
      </c>
      <c r="AK118" s="449">
        <f>+SUMPRODUCT(AG118:AJ118,AA$115:AD$115)/AE$115</f>
        <v>-5.2483226359242151E-2</v>
      </c>
      <c r="AL118" s="43"/>
      <c r="AM118" s="259">
        <f>AM116-AM117</f>
        <v>2.4427774355174625E-3</v>
      </c>
      <c r="AN118" s="260">
        <f>AN116-AN117</f>
        <v>3.2382667566954737E-4</v>
      </c>
      <c r="AO118" s="260">
        <f>AO116-AO117</f>
        <v>7.1587056520708223E-3</v>
      </c>
      <c r="AP118" s="260">
        <f>AP116-AP117</f>
        <v>1.7534762812025644E-2</v>
      </c>
      <c r="AQ118" s="449">
        <f>+SUMPRODUCT(AM118:AP118,AG$115:AJ$115)/AK$115</f>
        <v>7.238425107864474E-3</v>
      </c>
      <c r="AR118" s="43"/>
      <c r="AS118" s="259">
        <f>AS116-AS117</f>
        <v>1.6918583099926054E-2</v>
      </c>
      <c r="AT118" s="260">
        <f>AT116-AT117</f>
        <v>5.3443606479132461E-2</v>
      </c>
      <c r="AU118" s="260">
        <f>AU116-AU117</f>
        <v>3.3503695224823965E-2</v>
      </c>
      <c r="AV118" s="260">
        <f>AV116-AV117</f>
        <v>-6.5052077329555549E-2</v>
      </c>
      <c r="AW118" s="449">
        <f>+SUMPRODUCT(AS118:AV118,AM$115:AP$115)/AQ$115</f>
        <v>7.8334158567061069E-3</v>
      </c>
      <c r="AX118" s="43"/>
      <c r="AY118" s="259">
        <f>AY116-AY117</f>
        <v>-0.14498570727518106</v>
      </c>
      <c r="AZ118" s="260">
        <f>AZ116-AZ117</f>
        <v>-0.17388265197189839</v>
      </c>
      <c r="BA118" s="260">
        <f>BA116-BA117</f>
        <v>-0.15574044082005084</v>
      </c>
      <c r="BB118" s="260">
        <f>BB116-BB117</f>
        <v>-0.11976614838152413</v>
      </c>
      <c r="BC118" s="449">
        <f>+SUMPRODUCT(AY118:BB118,AS$115:AV$115)/AW$115</f>
        <v>-0.14863649927714012</v>
      </c>
      <c r="BD118" s="43"/>
      <c r="BE118" s="259">
        <f>BE116-BE117</f>
        <v>-4.5333483982611986E-2</v>
      </c>
      <c r="BF118" s="260">
        <f>BF116-BF117</f>
        <v>-7.9494977979979453E-3</v>
      </c>
      <c r="BG118" s="260">
        <f>BG116-BG117</f>
        <v>-3.4557117835414958E-2</v>
      </c>
      <c r="BH118" s="258">
        <v>-4.4999999999999998E-2</v>
      </c>
      <c r="BI118" s="449">
        <f>+SUMPRODUCT(BE118:BH118,AY$115:BB$115)/BC$115</f>
        <v>-3.329030073340751E-2</v>
      </c>
      <c r="BJ118" s="43"/>
      <c r="BK118" s="259">
        <f>((BE67*(1+BK70)+BE87*(1+BK90)+BE108*(1+BK111)+BE94*(1+BK97))/BE115-1)</f>
        <v>-3.3429045156621373E-2</v>
      </c>
      <c r="BL118" s="260">
        <f>BL116-BL117</f>
        <v>-3.3575997812150149E-2</v>
      </c>
      <c r="BM118" s="260">
        <f>BM116-BM117</f>
        <v>4.4954432583792503E-2</v>
      </c>
      <c r="BN118" s="260">
        <f>BN116-BN117</f>
        <v>7.0797046689166754E-2</v>
      </c>
      <c r="BO118" s="449">
        <f>+SUMPRODUCT(BK118:BN118,BE$115:BH$115)/BI$115</f>
        <v>1.315868401204188E-2</v>
      </c>
      <c r="BP118" s="43"/>
      <c r="BQ118" s="259">
        <f>BQ116-BQ117</f>
        <v>-1.5000000000000124E-2</v>
      </c>
      <c r="BR118" s="260">
        <f>BR116-BR117</f>
        <v>-1.5000000000000346E-2</v>
      </c>
      <c r="BS118" s="260">
        <f>BS116-BS117</f>
        <v>-3.0000000000000027E-2</v>
      </c>
      <c r="BT118" s="260">
        <f>BT116-BT117</f>
        <v>-3.0000000000000027E-2</v>
      </c>
      <c r="BU118" s="449">
        <f>+SUMPRODUCT(BQ118:BT118,BK$115:BN$115)/BO$115</f>
        <v>-2.278694637334296E-2</v>
      </c>
      <c r="BV118" s="43"/>
      <c r="BW118" s="259">
        <f>BW116-BW117</f>
        <v>0</v>
      </c>
      <c r="BX118" s="260">
        <f>BX116-BX117</f>
        <v>0</v>
      </c>
      <c r="BY118" s="260">
        <f>BY116-BY117</f>
        <v>0</v>
      </c>
      <c r="BZ118" s="260">
        <f>BZ116-BZ117</f>
        <v>0</v>
      </c>
      <c r="CA118" s="449">
        <f>+SUMPRODUCT(BW118:BZ118,BQ$115:BT$115)/BU$115</f>
        <v>0</v>
      </c>
      <c r="CB118" s="43"/>
      <c r="CC118" s="259">
        <f>CC116-CC117</f>
        <v>0</v>
      </c>
      <c r="CD118" s="260">
        <f>CD116-CD117</f>
        <v>0</v>
      </c>
      <c r="CE118" s="260">
        <f>CE116-CE117</f>
        <v>0</v>
      </c>
      <c r="CF118" s="260">
        <f>CF116-CF117</f>
        <v>-2.2204460492503131E-16</v>
      </c>
      <c r="CG118" s="449">
        <f>+SUMPRODUCT(CC118:CF118,BW$115:BZ$115)/CA$115</f>
        <v>-6.0792020943723426E-17</v>
      </c>
    </row>
    <row r="119" spans="1:86" ht="11.25" customHeight="1" outlineLevel="1" x14ac:dyDescent="0.2">
      <c r="A119" s="78"/>
      <c r="B119" s="99" t="s">
        <v>254</v>
      </c>
      <c r="C119" s="261"/>
      <c r="D119" s="266"/>
      <c r="E119" s="266"/>
      <c r="F119" s="267"/>
      <c r="G119" s="453"/>
      <c r="H119" s="43"/>
      <c r="I119" s="261"/>
      <c r="J119" s="266"/>
      <c r="K119" s="266"/>
      <c r="L119" s="267"/>
      <c r="M119" s="453"/>
      <c r="N119" s="43"/>
      <c r="O119" s="261"/>
      <c r="P119" s="266"/>
      <c r="Q119" s="266"/>
      <c r="R119" s="267"/>
      <c r="S119" s="453"/>
      <c r="T119" s="43"/>
      <c r="U119" s="261"/>
      <c r="V119" s="266"/>
      <c r="W119" s="266"/>
      <c r="X119" s="267"/>
      <c r="Y119" s="453"/>
      <c r="Z119" s="43"/>
      <c r="AA119" s="261"/>
      <c r="AB119" s="258"/>
      <c r="AC119" s="258"/>
      <c r="AD119" s="258"/>
      <c r="AE119" s="449"/>
      <c r="AF119" s="43"/>
      <c r="AG119" s="261">
        <v>7.0000000000000001E-3</v>
      </c>
      <c r="AH119" s="258">
        <v>4.4999999999999998E-2</v>
      </c>
      <c r="AI119" s="258">
        <v>0.11</v>
      </c>
      <c r="AJ119" s="258">
        <f>-6.2%+12%</f>
        <v>5.7999999999999996E-2</v>
      </c>
      <c r="AK119" s="449">
        <f>+SUMPRODUCT(AG119:AJ119,AA$115:AD$115)/AE$115</f>
        <v>5.5547811679188611E-2</v>
      </c>
      <c r="AL119" s="43"/>
      <c r="AM119" s="261">
        <v>0.14699999999999999</v>
      </c>
      <c r="AN119" s="258">
        <v>0.11700000000000001</v>
      </c>
      <c r="AO119" s="258">
        <v>4.9000000000000002E-2</v>
      </c>
      <c r="AP119" s="258">
        <v>2.1000000000000001E-2</v>
      </c>
      <c r="AQ119" s="449">
        <f>+SUMPRODUCT(AM119:AP119,AG$115:AJ$115)/AK$115</f>
        <v>8.1181244123923954E-2</v>
      </c>
      <c r="AR119" s="43"/>
      <c r="AS119" s="261">
        <v>2.9000000000000001E-2</v>
      </c>
      <c r="AT119" s="258">
        <v>5.8000000000000003E-2</v>
      </c>
      <c r="AU119" s="258">
        <v>5.3999999999999999E-2</v>
      </c>
      <c r="AV119" s="258">
        <v>5.6000000000000001E-2</v>
      </c>
      <c r="AW119" s="449">
        <f>+SUMPRODUCT(AS119:AV119,AM$115:AP$115)/AQ$115</f>
        <v>4.9419066390101851E-2</v>
      </c>
      <c r="AX119" s="43"/>
      <c r="AY119" s="261">
        <v>3.4000000000000002E-2</v>
      </c>
      <c r="AZ119" s="258">
        <v>2.1999999999999999E-2</v>
      </c>
      <c r="BA119" s="258">
        <v>3.1E-2</v>
      </c>
      <c r="BB119" s="258">
        <v>5.8000000000000003E-2</v>
      </c>
      <c r="BC119" s="449">
        <f>+SUMPRODUCT(AY119:BB119,AS$115:AV$115)/AW$115</f>
        <v>3.6308047134544073E-2</v>
      </c>
      <c r="BD119" s="43"/>
      <c r="BE119" s="261">
        <v>5.7000000000000002E-2</v>
      </c>
      <c r="BF119" s="258">
        <v>4.3999999999999997E-2</v>
      </c>
      <c r="BG119" s="258">
        <v>3.6999999999999998E-2</v>
      </c>
      <c r="BH119" s="258">
        <f>2.2%+4.1%</f>
        <v>6.3E-2</v>
      </c>
      <c r="BI119" s="449">
        <f>+SUMPRODUCT(BE119:BH119,AY$115:BB$115)/BC$115</f>
        <v>5.0626411765866741E-2</v>
      </c>
      <c r="BJ119" s="43"/>
      <c r="BK119" s="261">
        <v>7.8E-2</v>
      </c>
      <c r="BL119" s="260">
        <f>((+BF101*(1+BL105)+BF108*(1+BL112))/BF115-1)</f>
        <v>8.0145274296443247E-2</v>
      </c>
      <c r="BM119" s="260">
        <f>((+BG101*(1+BM105)+BG108*(1+BM112))/BG115-1)</f>
        <v>0.1038539807457739</v>
      </c>
      <c r="BN119" s="260">
        <f>((+BH101*(1+BN105)+BH108*(1+BN112))/BH115-1)</f>
        <v>4.643272406494714E-2</v>
      </c>
      <c r="BO119" s="449">
        <f>+SUMPRODUCT(BK119:BN119,BE$115:BH$115)/BI$115</f>
        <v>7.6129237728954427E-2</v>
      </c>
      <c r="BP119" s="43"/>
      <c r="BQ119" s="259">
        <f>((+BK101*(1+BQ105)+BK108*(1+BQ112))/BK115-1)</f>
        <v>1.0877046121469114E-3</v>
      </c>
      <c r="BR119" s="260">
        <f>((+BL101*(1+BR105)+BL108*(1+BR112))/BL115-1)</f>
        <v>3.8844002486015938E-3</v>
      </c>
      <c r="BS119" s="260">
        <f>((+BM101*(1+BS105)+BM108*(1+BS112))/BM115-1)</f>
        <v>3.8331689862129981E-3</v>
      </c>
      <c r="BT119" s="260">
        <f>((+BN101*(1+BT105)+BN108*(1+BT112))/BN115-1)</f>
        <v>3.549378060229369E-3</v>
      </c>
      <c r="BU119" s="449">
        <f>+SUMPRODUCT(BQ119:BT119,BK$115:BN$115)/BO$115</f>
        <v>3.1252758013096565E-3</v>
      </c>
      <c r="BV119" s="43"/>
      <c r="BW119" s="259">
        <f>((+BQ101*(1+BW105)+BQ108*(1+BW112))/BQ115-1)</f>
        <v>5.0331503664928778E-3</v>
      </c>
      <c r="BX119" s="260">
        <f>((+BR101*(1+BX105)+BR108*(1+BX112))/BR115-1)</f>
        <v>0</v>
      </c>
      <c r="BY119" s="260">
        <f>((+BS101*(1+BY105)+BS108*(1+BY112))/BS115-1)</f>
        <v>0</v>
      </c>
      <c r="BZ119" s="260">
        <f>((+BT101*(1+BZ105)+BT108*(1+BZ112))/BT115-1)</f>
        <v>0</v>
      </c>
      <c r="CA119" s="449">
        <f>+SUMPRODUCT(BW119:BZ119,BQ$115:BT$115)/BU$115</f>
        <v>1.1483109761802638E-3</v>
      </c>
      <c r="CB119" s="43"/>
      <c r="CC119" s="259">
        <f>((+BW101*(1+CC105)+BW108*(1+CC112))/BW115-1)</f>
        <v>0</v>
      </c>
      <c r="CD119" s="260">
        <f>((+BX101*(1+CD105)+BX108*(1+CD112))/BX115-1)</f>
        <v>0</v>
      </c>
      <c r="CE119" s="260">
        <f>((+BY101*(1+CE105)+BY108*(1+CE112))/BY115-1)</f>
        <v>0</v>
      </c>
      <c r="CF119" s="260">
        <f>((+BZ101*(1+CF105)+BZ108*(1+CF112))/BZ115-1)</f>
        <v>0</v>
      </c>
      <c r="CG119" s="449">
        <f>+SUMPRODUCT(CC119:CF119,BW$115:BZ$115)/CA$115</f>
        <v>0</v>
      </c>
    </row>
    <row r="120" spans="1:86" ht="11.25" customHeight="1" outlineLevel="1" x14ac:dyDescent="0.2">
      <c r="A120" s="78"/>
      <c r="B120" s="98" t="s">
        <v>257</v>
      </c>
      <c r="C120" s="259"/>
      <c r="D120" s="260"/>
      <c r="E120" s="260"/>
      <c r="F120" s="260"/>
      <c r="G120" s="449"/>
      <c r="H120" s="264"/>
      <c r="I120" s="259"/>
      <c r="J120" s="260"/>
      <c r="K120" s="260"/>
      <c r="L120" s="260"/>
      <c r="M120" s="449"/>
      <c r="N120" s="264"/>
      <c r="O120" s="259"/>
      <c r="P120" s="260"/>
      <c r="Q120" s="260"/>
      <c r="R120" s="260"/>
      <c r="S120" s="449"/>
      <c r="T120" s="264"/>
      <c r="U120" s="259"/>
      <c r="V120" s="260"/>
      <c r="W120" s="260"/>
      <c r="X120" s="260"/>
      <c r="Y120" s="449"/>
      <c r="Z120" s="264"/>
      <c r="AA120" s="259"/>
      <c r="AB120" s="260"/>
      <c r="AC120" s="260"/>
      <c r="AD120" s="260"/>
      <c r="AE120" s="449"/>
      <c r="AF120" s="264"/>
      <c r="AG120" s="259">
        <f>+AG117-AG119</f>
        <v>0.104</v>
      </c>
      <c r="AH120" s="260">
        <f>+AH117-AH119</f>
        <v>1.4999999999999999E-2</v>
      </c>
      <c r="AI120" s="260">
        <f>+AI117-AI119</f>
        <v>2.8000000000000011E-2</v>
      </c>
      <c r="AJ120" s="260">
        <f>+AJ117-AJ119</f>
        <v>1.0000000000000009E-3</v>
      </c>
      <c r="AK120" s="449">
        <f>+SUMPRODUCT(AG120:AJ120,AA$115:AD$115)/AE$115</f>
        <v>3.4299862132385631E-2</v>
      </c>
      <c r="AL120" s="264"/>
      <c r="AM120" s="259">
        <f>+AM117-AM119</f>
        <v>-1.8999999999999989E-2</v>
      </c>
      <c r="AN120" s="260">
        <f>+AN117-AN119</f>
        <v>9.999999999999995E-3</v>
      </c>
      <c r="AO120" s="260">
        <f>+AO117-AO119</f>
        <v>9.0000000000000011E-3</v>
      </c>
      <c r="AP120" s="260">
        <f>+AP117-AP119</f>
        <v>3.2000000000000001E-2</v>
      </c>
      <c r="AQ120" s="449">
        <f>+SUMPRODUCT(AM120:AP120,AG$115:AJ$115)/AK$115</f>
        <v>8.9512007546916853E-3</v>
      </c>
      <c r="AR120" s="264"/>
      <c r="AS120" s="259">
        <f>+AS117-AS119</f>
        <v>3.8000000000000006E-2</v>
      </c>
      <c r="AT120" s="260">
        <f>+AT117-AT119</f>
        <v>2.799999999999999E-2</v>
      </c>
      <c r="AU120" s="260">
        <f>+AU117-AU119</f>
        <v>4.7000000000000007E-2</v>
      </c>
      <c r="AV120" s="260">
        <f>+AV117-AV119</f>
        <v>5.2999999999999999E-2</v>
      </c>
      <c r="AW120" s="449">
        <f>+SUMPRODUCT(AS120:AV120,AM$115:AP$115)/AQ$115</f>
        <v>4.1643779764415648E-2</v>
      </c>
      <c r="AX120" s="264"/>
      <c r="AY120" s="259">
        <f>+AY117-AY119</f>
        <v>3.2000000000000001E-2</v>
      </c>
      <c r="AZ120" s="260">
        <f>+AZ117-AZ119</f>
        <v>4.6000000000000006E-2</v>
      </c>
      <c r="BA120" s="260">
        <f>+BA117-BA119</f>
        <v>3.2000000000000001E-2</v>
      </c>
      <c r="BB120" s="260">
        <f>+BB117-BB119</f>
        <v>4.1000000000000002E-2</v>
      </c>
      <c r="BC120" s="449">
        <f>+SUMPRODUCT(AY120:BB120,AS$115:AV$115)/AW$115</f>
        <v>3.7954226989929736E-2</v>
      </c>
      <c r="BD120" s="264"/>
      <c r="BE120" s="259">
        <f>+BE117-BE119</f>
        <v>2.7000000000000003E-2</v>
      </c>
      <c r="BF120" s="260">
        <f>+BF117-BF119</f>
        <v>4.4999999999999998E-2</v>
      </c>
      <c r="BG120" s="260">
        <f>+BG117-BG119</f>
        <v>4.9999999999999996E-2</v>
      </c>
      <c r="BH120" s="260">
        <f>+BH117-BH119</f>
        <v>3.2094529911287153E-2</v>
      </c>
      <c r="BI120" s="449">
        <f>+SUMPRODUCT(BE120:BH120,AY$115:BB$115)/BC$115</f>
        <v>3.8352008726642843E-2</v>
      </c>
      <c r="BJ120" s="264"/>
      <c r="BK120" s="259">
        <f>+BK117-BK119</f>
        <v>7.8456677766123598E-2</v>
      </c>
      <c r="BL120" s="260">
        <f>+BL117-BL119</f>
        <v>3.6584803908678465E-2</v>
      </c>
      <c r="BM120" s="260">
        <f>+BM117-BM119</f>
        <v>4.9725812194343133E-2</v>
      </c>
      <c r="BN120" s="260">
        <f>+BN117-BN119</f>
        <v>1.3753398344708678E-2</v>
      </c>
      <c r="BO120" s="449">
        <f>+SUMPRODUCT(BK120:BN120,BE$115:BH$115)/BI$115</f>
        <v>4.3427876789967727E-2</v>
      </c>
      <c r="BP120" s="264"/>
      <c r="BQ120" s="259">
        <f>+BQ117-BQ119</f>
        <v>5.3415225774349206E-3</v>
      </c>
      <c r="BR120" s="260">
        <f>+BR117-BR119</f>
        <v>4.4309042883778904E-2</v>
      </c>
      <c r="BS120" s="260">
        <f>+BS117-BS119</f>
        <v>3.9227185217767024E-2</v>
      </c>
      <c r="BT120" s="260">
        <f>+BT117-BT119</f>
        <v>6.3278764603472482E-2</v>
      </c>
      <c r="BU120" s="449">
        <f>+SUMPRODUCT(BQ120:BT120,BK$115:BN$115)/BO$115</f>
        <v>3.901302081153335E-2</v>
      </c>
      <c r="BV120" s="264"/>
      <c r="BW120" s="259">
        <f>+BW117-BW119</f>
        <v>4.5876211528410593E-2</v>
      </c>
      <c r="BX120" s="260">
        <f>+BX117-BX119</f>
        <v>4.6038946153118765E-2</v>
      </c>
      <c r="BY120" s="260">
        <f>+BY117-BY119</f>
        <v>4.6409963004555355E-2</v>
      </c>
      <c r="BZ120" s="260">
        <f>+BZ117-BZ119</f>
        <v>4.5690997404219669E-2</v>
      </c>
      <c r="CA120" s="449">
        <f>+SUMPRODUCT(BW120:BZ120,BQ$115:BT$115)/BU$115</f>
        <v>4.5998452766323354E-2</v>
      </c>
      <c r="CB120" s="264"/>
      <c r="CC120" s="259">
        <f>+CC117-CC119</f>
        <v>4.6213071978287612E-2</v>
      </c>
      <c r="CD120" s="260">
        <f>+CD117-CD119</f>
        <v>4.6215843734969786E-2</v>
      </c>
      <c r="CE120" s="260">
        <f>+CE117-CE119</f>
        <v>4.658885011013103E-2</v>
      </c>
      <c r="CF120" s="260">
        <f>+CF117-CF119</f>
        <v>4.5866534312821505E-2</v>
      </c>
      <c r="CG120" s="449">
        <f>+SUMPRODUCT(CC120:CF120,BW$115:BZ$115)/CA$115</f>
        <v>4.6212032016029685E-2</v>
      </c>
    </row>
    <row r="121" spans="1:86" ht="11.25" customHeight="1" outlineLevel="1" x14ac:dyDescent="0.2">
      <c r="A121" s="78"/>
      <c r="B121" s="98" t="s">
        <v>44</v>
      </c>
      <c r="C121" s="93"/>
      <c r="D121" s="61"/>
      <c r="E121" s="61"/>
      <c r="F121" s="61"/>
      <c r="G121" s="447"/>
      <c r="H121" s="109"/>
      <c r="I121" s="93"/>
      <c r="J121" s="61"/>
      <c r="K121" s="61"/>
      <c r="L121" s="61"/>
      <c r="M121" s="447"/>
      <c r="N121" s="109"/>
      <c r="O121" s="93"/>
      <c r="P121" s="61"/>
      <c r="Q121" s="61"/>
      <c r="R121" s="61"/>
      <c r="S121" s="447"/>
      <c r="T121" s="109"/>
      <c r="U121" s="93"/>
      <c r="V121" s="61"/>
      <c r="W121" s="61"/>
      <c r="X121" s="61"/>
      <c r="Y121" s="447"/>
      <c r="Z121" s="109"/>
      <c r="AA121" s="93"/>
      <c r="AB121" s="61"/>
      <c r="AC121" s="61"/>
      <c r="AD121" s="61"/>
      <c r="AE121" s="447"/>
      <c r="AF121" s="109"/>
      <c r="AG121" s="93"/>
      <c r="AH121" s="61"/>
      <c r="AI121" s="61"/>
      <c r="AJ121" s="61"/>
      <c r="AK121" s="447"/>
      <c r="AL121" s="109"/>
      <c r="AM121" s="111"/>
      <c r="AN121" s="112"/>
      <c r="AO121" s="112"/>
      <c r="AP121" s="112"/>
      <c r="AQ121" s="451"/>
      <c r="AR121" s="109"/>
      <c r="AS121" s="111"/>
      <c r="AT121" s="112"/>
      <c r="AU121" s="112"/>
      <c r="AV121" s="112"/>
      <c r="AW121" s="451"/>
      <c r="AX121" s="109"/>
      <c r="AY121" s="111"/>
      <c r="AZ121" s="112"/>
      <c r="BA121" s="112"/>
      <c r="BB121" s="112"/>
      <c r="BC121" s="451"/>
      <c r="BD121" s="109"/>
      <c r="BE121" s="111"/>
      <c r="BF121" s="112"/>
      <c r="BG121" s="112"/>
      <c r="BH121" s="112"/>
      <c r="BI121" s="451"/>
      <c r="BJ121" s="109"/>
      <c r="BK121" s="111"/>
      <c r="BL121" s="112"/>
      <c r="BM121" s="112"/>
      <c r="BN121" s="112"/>
      <c r="BO121" s="451"/>
      <c r="BP121" s="109"/>
      <c r="BQ121" s="111"/>
      <c r="BR121" s="112"/>
      <c r="BS121" s="112"/>
      <c r="BT121" s="112"/>
      <c r="BU121" s="451"/>
      <c r="BV121" s="109"/>
      <c r="BW121" s="111"/>
      <c r="BX121" s="112"/>
      <c r="BY121" s="112"/>
      <c r="BZ121" s="112"/>
      <c r="CA121" s="451"/>
      <c r="CB121" s="109"/>
      <c r="CC121" s="111"/>
      <c r="CD121" s="112"/>
      <c r="CE121" s="112"/>
      <c r="CF121" s="112"/>
      <c r="CG121" s="451"/>
    </row>
    <row r="122" spans="1:86" ht="11.25" customHeight="1" outlineLevel="1" x14ac:dyDescent="0.2">
      <c r="A122" s="78"/>
      <c r="B122" s="98"/>
      <c r="C122" s="93"/>
      <c r="D122" s="61"/>
      <c r="E122" s="61"/>
      <c r="F122" s="61"/>
      <c r="G122" s="447"/>
      <c r="H122" s="109"/>
      <c r="I122" s="93"/>
      <c r="J122" s="61"/>
      <c r="K122" s="61"/>
      <c r="L122" s="61"/>
      <c r="M122" s="447"/>
      <c r="N122" s="109"/>
      <c r="O122" s="93"/>
      <c r="P122" s="61"/>
      <c r="Q122" s="61"/>
      <c r="R122" s="61"/>
      <c r="S122" s="447"/>
      <c r="T122" s="109"/>
      <c r="U122" s="93"/>
      <c r="V122" s="61"/>
      <c r="W122" s="61"/>
      <c r="X122" s="61"/>
      <c r="Y122" s="447"/>
      <c r="Z122" s="109"/>
      <c r="AA122" s="93"/>
      <c r="AB122" s="61"/>
      <c r="AC122" s="61"/>
      <c r="AD122" s="61"/>
      <c r="AE122" s="447"/>
      <c r="AF122" s="109"/>
      <c r="AG122" s="93"/>
      <c r="AH122" s="61"/>
      <c r="AI122" s="61"/>
      <c r="AJ122" s="61"/>
      <c r="AK122" s="447"/>
      <c r="AL122" s="109"/>
      <c r="AM122" s="111"/>
      <c r="AN122" s="112"/>
      <c r="AO122" s="112"/>
      <c r="AP122" s="112"/>
      <c r="AQ122" s="451"/>
      <c r="AR122" s="109"/>
      <c r="AS122" s="111"/>
      <c r="AT122" s="112"/>
      <c r="AU122" s="112"/>
      <c r="AV122" s="112"/>
      <c r="AW122" s="451"/>
      <c r="AX122" s="109"/>
      <c r="AY122" s="111"/>
      <c r="AZ122" s="112"/>
      <c r="BA122" s="112"/>
      <c r="BB122" s="112"/>
      <c r="BC122" s="451"/>
      <c r="BD122" s="109"/>
      <c r="BE122" s="111"/>
      <c r="BF122" s="112"/>
      <c r="BG122" s="112"/>
      <c r="BH122" s="112"/>
      <c r="BI122" s="451"/>
      <c r="BJ122" s="109"/>
      <c r="BK122" s="111"/>
      <c r="BL122" s="112"/>
      <c r="BM122" s="112"/>
      <c r="BN122" s="112"/>
      <c r="BO122" s="451"/>
      <c r="BP122" s="109"/>
      <c r="BQ122" s="111"/>
      <c r="BR122" s="112"/>
      <c r="BS122" s="112"/>
      <c r="BT122" s="112"/>
      <c r="BU122" s="451"/>
      <c r="BV122" s="109"/>
      <c r="BW122" s="111"/>
      <c r="BX122" s="112"/>
      <c r="BY122" s="112"/>
      <c r="BZ122" s="112"/>
      <c r="CA122" s="451"/>
      <c r="CB122" s="109"/>
      <c r="CC122" s="111"/>
      <c r="CD122" s="112"/>
      <c r="CE122" s="112"/>
      <c r="CF122" s="112"/>
      <c r="CG122" s="451"/>
    </row>
    <row r="123" spans="1:86" ht="11.25" customHeight="1" outlineLevel="1" x14ac:dyDescent="0.2">
      <c r="A123" s="78"/>
      <c r="B123" s="624"/>
      <c r="C123" s="625"/>
      <c r="D123" s="61"/>
      <c r="E123" s="61"/>
      <c r="F123" s="61"/>
      <c r="G123" s="447"/>
      <c r="H123" s="43"/>
      <c r="I123" s="625"/>
      <c r="J123" s="61"/>
      <c r="K123" s="61"/>
      <c r="L123" s="61"/>
      <c r="M123" s="447"/>
      <c r="N123" s="43"/>
      <c r="O123" s="625"/>
      <c r="P123" s="61"/>
      <c r="Q123" s="61"/>
      <c r="R123" s="61"/>
      <c r="S123" s="447"/>
      <c r="T123" s="43"/>
      <c r="U123" s="625"/>
      <c r="V123" s="61"/>
      <c r="W123" s="61"/>
      <c r="X123" s="61"/>
      <c r="Y123" s="447"/>
      <c r="Z123" s="43"/>
      <c r="AA123" s="625"/>
      <c r="AB123" s="61"/>
      <c r="AC123" s="61"/>
      <c r="AD123" s="61"/>
      <c r="AE123" s="447"/>
      <c r="AF123" s="43"/>
      <c r="AG123" s="625"/>
      <c r="AH123" s="61"/>
      <c r="AI123" s="61"/>
      <c r="AJ123" s="61"/>
      <c r="AK123" s="447"/>
      <c r="AL123" s="43"/>
      <c r="AM123" s="625"/>
      <c r="AN123" s="61"/>
      <c r="AO123" s="61"/>
      <c r="AP123" s="61"/>
      <c r="AQ123" s="447"/>
      <c r="AR123" s="43"/>
      <c r="AS123" s="625"/>
      <c r="AT123" s="61"/>
      <c r="AU123" s="61"/>
      <c r="AV123" s="61"/>
      <c r="AW123" s="447"/>
      <c r="AX123" s="43"/>
      <c r="AY123" s="625"/>
      <c r="AZ123" s="61"/>
      <c r="BA123" s="61"/>
      <c r="BB123" s="61"/>
      <c r="BC123" s="447"/>
      <c r="BD123" s="43"/>
      <c r="BE123" s="625"/>
      <c r="BF123" s="61"/>
      <c r="BG123" s="61"/>
      <c r="BH123" s="61"/>
      <c r="BI123" s="447"/>
      <c r="BJ123" s="43"/>
      <c r="BK123" s="625"/>
      <c r="BL123" s="61"/>
      <c r="BM123" s="61"/>
      <c r="BN123" s="61"/>
      <c r="BO123" s="447"/>
      <c r="BP123" s="43"/>
      <c r="BQ123" s="625"/>
      <c r="BR123" s="61"/>
      <c r="BS123" s="61"/>
      <c r="BT123" s="61"/>
      <c r="BU123" s="447"/>
      <c r="BV123" s="43"/>
      <c r="BW123" s="625"/>
      <c r="BX123" s="61"/>
      <c r="BY123" s="61"/>
      <c r="BZ123" s="61"/>
      <c r="CA123" s="447"/>
      <c r="CB123" s="43"/>
      <c r="CC123" s="625"/>
      <c r="CD123" s="61"/>
      <c r="CE123" s="61"/>
      <c r="CF123" s="61"/>
      <c r="CG123" s="447"/>
      <c r="CH123" s="11"/>
    </row>
    <row r="124" spans="1:86" ht="11.25" customHeight="1" x14ac:dyDescent="0.2">
      <c r="A124" s="78"/>
      <c r="B124" s="706" t="s">
        <v>311</v>
      </c>
      <c r="C124" s="703"/>
      <c r="D124" s="704"/>
      <c r="E124" s="704"/>
      <c r="F124" s="704"/>
      <c r="G124" s="705"/>
      <c r="H124" s="130"/>
      <c r="I124" s="703"/>
      <c r="J124" s="704"/>
      <c r="K124" s="704"/>
      <c r="L124" s="704"/>
      <c r="M124" s="705"/>
      <c r="N124" s="130"/>
      <c r="O124" s="703"/>
      <c r="P124" s="704"/>
      <c r="Q124" s="704"/>
      <c r="R124" s="704"/>
      <c r="S124" s="705"/>
      <c r="T124" s="130"/>
      <c r="U124" s="703"/>
      <c r="V124" s="704"/>
      <c r="W124" s="704"/>
      <c r="X124" s="704"/>
      <c r="Y124" s="705"/>
      <c r="Z124" s="130"/>
      <c r="AA124" s="703"/>
      <c r="AB124" s="704"/>
      <c r="AC124" s="704"/>
      <c r="AD124" s="704"/>
      <c r="AE124" s="705"/>
      <c r="AF124" s="130"/>
      <c r="AG124" s="703"/>
      <c r="AH124" s="704"/>
      <c r="AI124" s="704"/>
      <c r="AJ124" s="704"/>
      <c r="AK124" s="705"/>
      <c r="AL124" s="130"/>
      <c r="AM124" s="703"/>
      <c r="AN124" s="704"/>
      <c r="AO124" s="704"/>
      <c r="AP124" s="704"/>
      <c r="AQ124" s="705"/>
      <c r="AR124" s="130"/>
      <c r="AS124" s="703"/>
      <c r="AT124" s="704"/>
      <c r="AU124" s="704"/>
      <c r="AV124" s="704"/>
      <c r="AW124" s="705"/>
      <c r="AX124" s="130"/>
      <c r="AY124" s="703"/>
      <c r="AZ124" s="704"/>
      <c r="BA124" s="704"/>
      <c r="BB124" s="704"/>
      <c r="BC124" s="705"/>
      <c r="BD124" s="130"/>
      <c r="BE124" s="703"/>
      <c r="BF124" s="704"/>
      <c r="BG124" s="704"/>
      <c r="BH124" s="704"/>
      <c r="BI124" s="705"/>
      <c r="BJ124" s="130"/>
      <c r="BK124" s="703"/>
      <c r="BL124" s="704"/>
      <c r="BM124" s="704"/>
      <c r="BN124" s="704"/>
      <c r="BO124" s="705"/>
      <c r="BP124" s="130"/>
      <c r="BQ124" s="703"/>
      <c r="BR124" s="704"/>
      <c r="BS124" s="704"/>
      <c r="BT124" s="704"/>
      <c r="BU124" s="1112"/>
      <c r="BV124" s="130"/>
      <c r="BW124" s="703"/>
      <c r="BX124" s="704"/>
      <c r="BY124" s="704"/>
      <c r="BZ124" s="704"/>
      <c r="CA124" s="705"/>
      <c r="CB124" s="130"/>
      <c r="CC124" s="703"/>
      <c r="CD124" s="704"/>
      <c r="CE124" s="704"/>
      <c r="CF124" s="704"/>
      <c r="CG124" s="705"/>
      <c r="CH124" s="1164"/>
    </row>
    <row r="125" spans="1:86" ht="11.25" customHeight="1" x14ac:dyDescent="0.2">
      <c r="A125" s="78"/>
      <c r="B125" s="99"/>
      <c r="C125" s="94"/>
      <c r="D125" s="89"/>
      <c r="E125" s="89"/>
      <c r="F125" s="95"/>
      <c r="G125" s="454"/>
      <c r="H125" s="43"/>
      <c r="I125" s="94"/>
      <c r="J125" s="89"/>
      <c r="K125" s="89"/>
      <c r="L125" s="95"/>
      <c r="M125" s="454"/>
      <c r="N125" s="43"/>
      <c r="O125" s="94"/>
      <c r="P125" s="89"/>
      <c r="Q125" s="89"/>
      <c r="R125" s="95"/>
      <c r="S125" s="454"/>
      <c r="T125" s="43"/>
      <c r="U125" s="94"/>
      <c r="V125" s="89"/>
      <c r="W125" s="89"/>
      <c r="X125" s="95"/>
      <c r="Y125" s="454"/>
      <c r="Z125" s="43"/>
      <c r="AA125" s="94"/>
      <c r="AB125" s="89"/>
      <c r="AC125" s="89"/>
      <c r="AD125" s="95"/>
      <c r="AE125" s="454"/>
      <c r="AF125" s="43"/>
      <c r="AG125" s="94"/>
      <c r="AH125" s="89"/>
      <c r="AI125" s="89"/>
      <c r="AJ125" s="95"/>
      <c r="AK125" s="454"/>
      <c r="AL125" s="43"/>
      <c r="AM125" s="94"/>
      <c r="AN125" s="90"/>
      <c r="AO125" s="90"/>
      <c r="AP125" s="90"/>
      <c r="AQ125" s="447"/>
      <c r="AR125" s="43"/>
      <c r="AS125" s="94"/>
      <c r="AT125" s="90"/>
      <c r="AU125" s="90"/>
      <c r="AV125" s="90"/>
      <c r="AW125" s="447"/>
      <c r="AX125" s="43"/>
      <c r="AY125" s="94"/>
      <c r="AZ125" s="90"/>
      <c r="BA125" s="90"/>
      <c r="BB125" s="90"/>
      <c r="BC125" s="447"/>
      <c r="BD125" s="43"/>
      <c r="BE125" s="94"/>
      <c r="BF125" s="90"/>
      <c r="BG125" s="90"/>
      <c r="BH125" s="90"/>
      <c r="BI125" s="447"/>
      <c r="BJ125" s="43"/>
      <c r="BK125" s="94"/>
      <c r="BL125" s="90"/>
      <c r="BM125" s="90"/>
      <c r="BN125" s="919"/>
      <c r="BO125" s="1151"/>
      <c r="BP125" s="43"/>
      <c r="BQ125" s="94"/>
      <c r="BR125" s="90"/>
      <c r="BS125" s="90"/>
      <c r="BT125" s="90"/>
      <c r="BU125" s="1151"/>
      <c r="BV125" s="43"/>
      <c r="BW125" s="94"/>
      <c r="BX125" s="90"/>
      <c r="BY125" s="90"/>
      <c r="BZ125" s="90"/>
      <c r="CA125" s="447"/>
      <c r="CB125" s="43"/>
      <c r="CC125" s="94"/>
      <c r="CD125" s="90"/>
      <c r="CE125" s="90"/>
      <c r="CF125" s="90"/>
      <c r="CG125" s="447"/>
    </row>
    <row r="126" spans="1:86" ht="11.25" customHeight="1" x14ac:dyDescent="0.2">
      <c r="A126" s="78"/>
      <c r="B126" s="108" t="s">
        <v>304</v>
      </c>
      <c r="C126" s="143"/>
      <c r="D126" s="144"/>
      <c r="E126" s="144"/>
      <c r="F126" s="144"/>
      <c r="G126" s="448"/>
      <c r="H126" s="39"/>
      <c r="I126" s="143"/>
      <c r="J126" s="144"/>
      <c r="K126" s="144"/>
      <c r="L126" s="144"/>
      <c r="M126" s="448"/>
      <c r="N126" s="39"/>
      <c r="O126" s="143"/>
      <c r="P126" s="144"/>
      <c r="Q126" s="144"/>
      <c r="R126" s="144"/>
      <c r="S126" s="448"/>
      <c r="T126" s="39"/>
      <c r="U126" s="147"/>
      <c r="V126" s="148"/>
      <c r="W126" s="148"/>
      <c r="X126" s="148"/>
      <c r="Y126" s="448"/>
      <c r="Z126" s="39"/>
      <c r="AA126" s="269">
        <v>1095.364</v>
      </c>
      <c r="AB126" s="270">
        <v>1201.2239999999999</v>
      </c>
      <c r="AC126" s="148">
        <f>+AC8+AC67</f>
        <v>1123.021</v>
      </c>
      <c r="AD126" s="148">
        <f>+AD8+AD67</f>
        <v>1345.289</v>
      </c>
      <c r="AE126" s="448">
        <f>+SUM(AA126:AD126)</f>
        <v>4764.8979999999992</v>
      </c>
      <c r="AF126" s="39"/>
      <c r="AG126" s="147">
        <f>+AG8+AG67</f>
        <v>1155.6659999999999</v>
      </c>
      <c r="AH126" s="148">
        <f>+AH8+AH67</f>
        <v>1185.9190000000001</v>
      </c>
      <c r="AI126" s="148">
        <f>+AI8+AI67</f>
        <v>1119.43</v>
      </c>
      <c r="AJ126" s="148">
        <f>+AJ8+AJ67</f>
        <v>1313.4670000000001</v>
      </c>
      <c r="AK126" s="448">
        <f>+SUM(AG126:AJ126)</f>
        <v>4774.482</v>
      </c>
      <c r="AL126" s="39"/>
      <c r="AM126" s="147">
        <f>+AM8+AM67</f>
        <v>1190.7950000000001</v>
      </c>
      <c r="AN126" s="148">
        <f>+AN8+AN67</f>
        <v>1259.5809999999999</v>
      </c>
      <c r="AO126" s="148">
        <f>+AO8+AO67</f>
        <v>1183.201</v>
      </c>
      <c r="AP126" s="148">
        <f>+AP8+AP67</f>
        <v>1364.395</v>
      </c>
      <c r="AQ126" s="448">
        <f>+SUM(AM126:AP126)</f>
        <v>4997.9719999999998</v>
      </c>
      <c r="AR126" s="39"/>
      <c r="AS126" s="147">
        <f>+AS8+AS67</f>
        <v>1296.9279999999999</v>
      </c>
      <c r="AT126" s="148">
        <f>+AT8+AT67</f>
        <v>1368.481</v>
      </c>
      <c r="AU126" s="148">
        <f>+AU8+AU67</f>
        <v>1298.3520000000001</v>
      </c>
      <c r="AV126" s="148">
        <f>+AV8+AV67</f>
        <v>1417.454</v>
      </c>
      <c r="AW126" s="448">
        <f>+SUM(AS126:AV126)</f>
        <v>5381.2149999999992</v>
      </c>
      <c r="AX126" s="39"/>
      <c r="AY126" s="147">
        <f>+AY8+AY67</f>
        <v>1250.0729999999999</v>
      </c>
      <c r="AZ126" s="148">
        <f>+AZ8+AZ67</f>
        <v>1320.7429999999999</v>
      </c>
      <c r="BA126" s="148">
        <f>+BA8+BA67</f>
        <v>1266.3209999999999</v>
      </c>
      <c r="BB126" s="148">
        <f>+BB8+BB67</f>
        <v>1439.27</v>
      </c>
      <c r="BC126" s="448">
        <f>+SUM(AY126:BB126)</f>
        <v>5276.4069999999992</v>
      </c>
      <c r="BD126" s="39"/>
      <c r="BE126" s="147">
        <f>+BE8+BE67</f>
        <v>1301.7550000000001</v>
      </c>
      <c r="BF126" s="148">
        <f>+BF8+BF67</f>
        <v>1373.1880000000001</v>
      </c>
      <c r="BG126" s="148">
        <f>+BG8+BG67</f>
        <v>1330.5250000000001</v>
      </c>
      <c r="BH126" s="148">
        <f>+BH8+BH67</f>
        <v>1549.8309999999999</v>
      </c>
      <c r="BI126" s="448">
        <f>+SUM(BE126:BH126)</f>
        <v>5555.299</v>
      </c>
      <c r="BJ126" s="39"/>
      <c r="BK126" s="147">
        <f>+BK8+BK67</f>
        <v>1405.1579999999999</v>
      </c>
      <c r="BL126" s="148">
        <f>+BL8+BL67</f>
        <v>1488.1669999999999</v>
      </c>
      <c r="BM126" s="148">
        <f>+BM8+BM67</f>
        <v>1478.73</v>
      </c>
      <c r="BN126" s="148">
        <f>+BN8+BN67</f>
        <v>1676.7979999999998</v>
      </c>
      <c r="BO126" s="448">
        <f>+SUM(BK126:BN126)</f>
        <v>6048.8530000000001</v>
      </c>
      <c r="BP126" s="39"/>
      <c r="BQ126" s="147">
        <f>+BQ8+BQ67</f>
        <v>1456.3312780000001</v>
      </c>
      <c r="BR126" s="148">
        <f>+BR8+BR67</f>
        <v>1524.1765700000001</v>
      </c>
      <c r="BS126" s="148">
        <f>+BS8+BS67</f>
        <v>1513.8209899999999</v>
      </c>
      <c r="BT126" s="148">
        <f>+BT8+BT67</f>
        <v>1689.7219799999998</v>
      </c>
      <c r="BU126" s="448">
        <f>+SUM(BQ126:BT126)</f>
        <v>6184.0508179999997</v>
      </c>
      <c r="BV126" s="39"/>
      <c r="BW126" s="147">
        <f>+BW8+BW67</f>
        <v>1498.0924342499998</v>
      </c>
      <c r="BX126" s="148">
        <f>+BX8+BX67</f>
        <v>1568.1242986499999</v>
      </c>
      <c r="BY126" s="148">
        <f>+BY8+BY67</f>
        <v>1557.3278495499999</v>
      </c>
      <c r="BZ126" s="148">
        <f>+BZ8+BZ67</f>
        <v>1738.5562592999997</v>
      </c>
      <c r="CA126" s="448">
        <f>+SUM(BW126:BZ126)</f>
        <v>6362.1008417499988</v>
      </c>
      <c r="CB126" s="39"/>
      <c r="CC126" s="147">
        <f>+CC8+CC67</f>
        <v>1541.0849700067497</v>
      </c>
      <c r="CD126" s="148">
        <f>+CD8+CD67</f>
        <v>1613.3752365202499</v>
      </c>
      <c r="CE126" s="148">
        <f>+CE8+CE67</f>
        <v>1602.1205273067494</v>
      </c>
      <c r="CF126" s="148">
        <f>+CF8+CF67</f>
        <v>1788.8420886254994</v>
      </c>
      <c r="CG126" s="448">
        <f>+SUM(CC126:CF126)</f>
        <v>6545.422822459248</v>
      </c>
    </row>
    <row r="127" spans="1:86" ht="11.25" customHeight="1" x14ac:dyDescent="0.2">
      <c r="A127" s="78"/>
      <c r="B127" s="99" t="s">
        <v>253</v>
      </c>
      <c r="C127" s="259"/>
      <c r="D127" s="265"/>
      <c r="E127" s="265"/>
      <c r="F127" s="265"/>
      <c r="G127" s="449"/>
      <c r="H127" s="43"/>
      <c r="I127" s="259"/>
      <c r="J127" s="265"/>
      <c r="K127" s="265"/>
      <c r="L127" s="265"/>
      <c r="M127" s="449"/>
      <c r="N127" s="43"/>
      <c r="O127" s="259"/>
      <c r="P127" s="265"/>
      <c r="Q127" s="265"/>
      <c r="R127" s="265"/>
      <c r="S127" s="449"/>
      <c r="T127" s="43"/>
      <c r="U127" s="259"/>
      <c r="V127" s="260"/>
      <c r="W127" s="260"/>
      <c r="X127" s="260"/>
      <c r="Y127" s="449"/>
      <c r="Z127" s="43"/>
      <c r="AA127" s="259"/>
      <c r="AB127" s="260"/>
      <c r="AC127" s="260"/>
      <c r="AD127" s="260"/>
      <c r="AE127" s="449"/>
      <c r="AF127" s="43"/>
      <c r="AG127" s="259">
        <f>+AG126/AA126-1</f>
        <v>5.505201923744063E-2</v>
      </c>
      <c r="AH127" s="260">
        <f>+AH126/AB126-1</f>
        <v>-1.2741170672580515E-2</v>
      </c>
      <c r="AI127" s="260">
        <f>+AI126/AC126-1</f>
        <v>-3.1976249776272114E-3</v>
      </c>
      <c r="AJ127" s="260">
        <f>+AJ126/AD126-1</f>
        <v>-2.3654396936271582E-2</v>
      </c>
      <c r="AK127" s="449">
        <f>IF(ISERROR(AK126/AE126-1),"NM",AK126/AE126-1)</f>
        <v>2.0113756894692969E-3</v>
      </c>
      <c r="AL127" s="43"/>
      <c r="AM127" s="259">
        <f>+AM126/AG126-1</f>
        <v>3.0397190883871383E-2</v>
      </c>
      <c r="AN127" s="260">
        <f>+AN126/AH126-1</f>
        <v>6.2113854318886608E-2</v>
      </c>
      <c r="AO127" s="260">
        <f>+AO126/AI126-1</f>
        <v>5.6967385187104203E-2</v>
      </c>
      <c r="AP127" s="260">
        <f>+AP126/AJ126-1</f>
        <v>3.8773718715430228E-2</v>
      </c>
      <c r="AQ127" s="449">
        <f>IF(ISERROR(AQ126/AK126-1),"NM",AQ126/AK126-1)</f>
        <v>4.6809266429321594E-2</v>
      </c>
      <c r="AR127" s="43"/>
      <c r="AS127" s="259">
        <f>+AS126/AM126-1</f>
        <v>8.9127851561351612E-2</v>
      </c>
      <c r="AT127" s="260">
        <f>+AT126/AN126-1</f>
        <v>8.6457321918955721E-2</v>
      </c>
      <c r="AU127" s="260">
        <f>+AU126/AO126-1</f>
        <v>9.732158779446598E-2</v>
      </c>
      <c r="AV127" s="260">
        <f>+AV126/AP126-1</f>
        <v>3.8888298476614125E-2</v>
      </c>
      <c r="AW127" s="449">
        <f>IF(ISERROR(AW126/AQ126-1),"NM",AW126/AQ126-1)</f>
        <v>7.6679701286841873E-2</v>
      </c>
      <c r="AX127" s="43"/>
      <c r="AY127" s="259">
        <f>+AY126/AS126-1</f>
        <v>-3.6127680179624533E-2</v>
      </c>
      <c r="AZ127" s="260">
        <f>+AZ126/AT126-1</f>
        <v>-3.4883933353842767E-2</v>
      </c>
      <c r="BA127" s="260">
        <f>+BA126/AU126-1</f>
        <v>-2.467050537912685E-2</v>
      </c>
      <c r="BB127" s="260">
        <f>+BB126/AV126-1</f>
        <v>1.5390975650708905E-2</v>
      </c>
      <c r="BC127" s="449">
        <f>IF(ISERROR(BC126/AW126-1),"NM",BC126/AW126-1)</f>
        <v>-1.9476642356791141E-2</v>
      </c>
      <c r="BD127" s="43"/>
      <c r="BE127" s="259">
        <f>+BE126/AY126-1</f>
        <v>4.1343185557963569E-2</v>
      </c>
      <c r="BF127" s="260">
        <f>+BF126/AZ126-1</f>
        <v>3.9708709415836596E-2</v>
      </c>
      <c r="BG127" s="260">
        <f>+BG126/BA126-1</f>
        <v>5.0701204512915821E-2</v>
      </c>
      <c r="BH127" s="260">
        <f>+BH126/BB126-1</f>
        <v>7.6817414383680616E-2</v>
      </c>
      <c r="BI127" s="449">
        <f>IF(ISERROR(BI126/BC126-1),"NM",BI126/BC126-1)</f>
        <v>5.2856422940838588E-2</v>
      </c>
      <c r="BJ127" s="43"/>
      <c r="BK127" s="259">
        <f>+BK126/BE126-1</f>
        <v>7.9433533959923253E-2</v>
      </c>
      <c r="BL127" s="260">
        <f>+BL126/BF126-1</f>
        <v>8.3731433714829828E-2</v>
      </c>
      <c r="BM127" s="260">
        <f>+BM126/BG126-1</f>
        <v>0.11138836173690825</v>
      </c>
      <c r="BN127" s="260">
        <f>+BN126/BH126-1</f>
        <v>8.1923125811782072E-2</v>
      </c>
      <c r="BO127" s="449">
        <f>IF(ISERROR(BO126/BI126-1),"NM",BO126/BI126-1)</f>
        <v>8.8843822807737283E-2</v>
      </c>
      <c r="BP127" s="43"/>
      <c r="BQ127" s="259">
        <f>+BQ126/BK126-1</f>
        <v>3.6418166498002558E-2</v>
      </c>
      <c r="BR127" s="260">
        <f>+BR126/BL126-1</f>
        <v>2.4197264151133657E-2</v>
      </c>
      <c r="BS127" s="260">
        <f>+BS126/BM126-1</f>
        <v>2.3730491705720391E-2</v>
      </c>
      <c r="BT127" s="260">
        <f>+BT126/BN126-1</f>
        <v>7.7075354336062496E-3</v>
      </c>
      <c r="BU127" s="449">
        <f>IF(ISERROR(BU126/BO126-1),"NM",BU126/BO126-1)</f>
        <v>2.2350984227918813E-2</v>
      </c>
      <c r="BV127" s="43"/>
      <c r="BW127" s="259">
        <f>+BW126/BQ126-1</f>
        <v>2.8675588364311499E-2</v>
      </c>
      <c r="BX127" s="260">
        <f>+BX126/BR126-1</f>
        <v>2.8833751623671633E-2</v>
      </c>
      <c r="BY127" s="260">
        <f>+BY126/BS126-1</f>
        <v>2.8739765029945907E-2</v>
      </c>
      <c r="BZ127" s="260">
        <f>+BZ126/BT126-1</f>
        <v>2.8900777688883439E-2</v>
      </c>
      <c r="CA127" s="449">
        <f>IF(ISERROR(CA126/BU126-1),"NM",CA126/BU126-1)</f>
        <v>2.8791811223760622E-2</v>
      </c>
      <c r="CB127" s="43"/>
      <c r="CC127" s="259">
        <f>+CC126/BW126-1</f>
        <v>2.8698186289334959E-2</v>
      </c>
      <c r="CD127" s="260">
        <f>+CD126/BX126-1</f>
        <v>2.8856728965431344E-2</v>
      </c>
      <c r="CE127" s="260">
        <f>+CE126/BY126-1</f>
        <v>2.8762522785226396E-2</v>
      </c>
      <c r="CF127" s="260">
        <f>+CF126/BZ126-1</f>
        <v>2.8923901114219053E-2</v>
      </c>
      <c r="CG127" s="449">
        <f>IF(ISERROR(CG126/CA126-1),"NM",CG126/CA126-1)</f>
        <v>2.8814692704371536E-2</v>
      </c>
    </row>
    <row r="128" spans="1:86" ht="11.25" customHeight="1" x14ac:dyDescent="0.2">
      <c r="A128" s="78"/>
      <c r="B128" s="99" t="s">
        <v>256</v>
      </c>
      <c r="C128" s="261"/>
      <c r="D128" s="266"/>
      <c r="E128" s="266"/>
      <c r="F128" s="267"/>
      <c r="G128" s="449"/>
      <c r="H128" s="43"/>
      <c r="I128" s="261"/>
      <c r="J128" s="266"/>
      <c r="K128" s="266"/>
      <c r="L128" s="267"/>
      <c r="M128" s="449"/>
      <c r="N128" s="43"/>
      <c r="O128" s="261"/>
      <c r="P128" s="266"/>
      <c r="Q128" s="266"/>
      <c r="R128" s="267"/>
      <c r="S128" s="449"/>
      <c r="T128" s="43"/>
      <c r="U128" s="261"/>
      <c r="V128" s="258"/>
      <c r="W128" s="258"/>
      <c r="X128" s="258"/>
      <c r="Y128" s="449"/>
      <c r="Z128" s="43"/>
      <c r="AA128" s="261"/>
      <c r="AB128" s="258"/>
      <c r="AC128" s="258"/>
      <c r="AD128" s="258"/>
      <c r="AE128" s="449"/>
      <c r="AF128" s="43"/>
      <c r="AG128" s="261">
        <v>6.6000000000000003E-2</v>
      </c>
      <c r="AH128" s="258">
        <v>2.5999999999999999E-2</v>
      </c>
      <c r="AI128" s="258">
        <v>3.4000000000000002E-2</v>
      </c>
      <c r="AJ128" s="258">
        <v>-1.4999999999999999E-2</v>
      </c>
      <c r="AK128" s="449">
        <f>+SUMPRODUCT(AG128:AJ128,AA$126:AD$126)/AE$126</f>
        <v>2.5505105670677531E-2</v>
      </c>
      <c r="AL128" s="43"/>
      <c r="AM128" s="261">
        <v>2.9000000000000001E-2</v>
      </c>
      <c r="AN128" s="258">
        <v>0.06</v>
      </c>
      <c r="AO128" s="258">
        <v>5.1999999999999998E-2</v>
      </c>
      <c r="AP128" s="258">
        <v>3.1E-2</v>
      </c>
      <c r="AQ128" s="449">
        <f>+SUMPRODUCT(AM128:AP128,AG$126:AJ$126)/AK$126</f>
        <v>4.2642802088268428E-2</v>
      </c>
      <c r="AR128" s="43"/>
      <c r="AS128" s="261">
        <v>8.5999999999999993E-2</v>
      </c>
      <c r="AT128" s="258">
        <v>7.4999999999999997E-2</v>
      </c>
      <c r="AU128" s="258">
        <v>9.4E-2</v>
      </c>
      <c r="AV128" s="258">
        <v>7.4999999999999997E-2</v>
      </c>
      <c r="AW128" s="449">
        <f>+SUMPRODUCT(AS128:AV128,AM$126:AP$126)/AQ$126</f>
        <v>8.2118800185355181E-2</v>
      </c>
      <c r="AX128" s="43"/>
      <c r="AY128" s="261">
        <v>3.3000000000000002E-2</v>
      </c>
      <c r="AZ128" s="258">
        <v>4.4999999999999998E-2</v>
      </c>
      <c r="BA128" s="258">
        <v>4.5999999999999999E-2</v>
      </c>
      <c r="BB128" s="258">
        <v>7.2999999999999995E-2</v>
      </c>
      <c r="BC128" s="449">
        <f>+SUMPRODUCT(AY128:BB128,AS$126:AV$126)/AW$126</f>
        <v>4.9724570194649355E-2</v>
      </c>
      <c r="BD128" s="43"/>
      <c r="BE128" s="261">
        <v>6.0999999999999999E-2</v>
      </c>
      <c r="BF128" s="258">
        <v>4.1000000000000002E-2</v>
      </c>
      <c r="BG128" s="258">
        <v>5.6000000000000001E-2</v>
      </c>
      <c r="BH128" s="260">
        <f>+BH127-BH129</f>
        <v>8.6817414383680611E-2</v>
      </c>
      <c r="BI128" s="449">
        <f>+SUMPRODUCT(BE128:BH128,AY$126:BB$126)/BC$126</f>
        <v>6.1836130533524047E-2</v>
      </c>
      <c r="BJ128" s="43"/>
      <c r="BK128" s="261">
        <v>8.2000000000000003E-2</v>
      </c>
      <c r="BL128" s="257">
        <v>9.4E-2</v>
      </c>
      <c r="BM128" s="258">
        <v>9.0999999999999998E-2</v>
      </c>
      <c r="BN128" s="260">
        <f>((+BH8*(1+BN10)+BH67*(1+BN69))/BH126-1)</f>
        <v>5.1923851697378565E-2</v>
      </c>
      <c r="BO128" s="449">
        <f>+SUMPRODUCT(BK128:BN128,BE$126:BH$126)/BI$126</f>
        <v>7.8731055160127295E-2</v>
      </c>
      <c r="BP128" s="43"/>
      <c r="BQ128" s="259">
        <f>((+BK8*(1+BQ10)+BK67*(1+BQ69))/BK126-1)</f>
        <v>4.2339586010968322E-2</v>
      </c>
      <c r="BR128" s="260">
        <f>((+BL8*(1+BR10)+BL67*(1+BR69))/BL126-1)</f>
        <v>3.0000000000000027E-2</v>
      </c>
      <c r="BS128" s="260">
        <f>((+BM8*(1+BS10)+BM67*(1+BS69))/BM126-1)</f>
        <v>3.5332041684418281E-2</v>
      </c>
      <c r="BT128" s="260">
        <f>((+BN8*(1+BT10)+BN67*(1+BT69))/BN126-1)</f>
        <v>1.9268838584015624E-2</v>
      </c>
      <c r="BU128" s="449">
        <f>+SUMPRODUCT(BQ128:BT128,BK$126:BN$126)/BO$126</f>
        <v>3.1195222962105432E-2</v>
      </c>
      <c r="BV128" s="43"/>
      <c r="BW128" s="259">
        <f>((+BQ8*(1+BW10)+BQ67*(1+BW69))/BQ126-1)</f>
        <v>2.8675588364311499E-2</v>
      </c>
      <c r="BX128" s="260">
        <f>((+BR8*(1+BX10)+BR67*(1+BX69))/BR126-1)</f>
        <v>2.8833751623671633E-2</v>
      </c>
      <c r="BY128" s="260">
        <f>((+BS8*(1+BY10)+BS67*(1+BY69))/BS126-1)</f>
        <v>2.8739765029945907E-2</v>
      </c>
      <c r="BZ128" s="260">
        <f>((+BT8*(1+BZ10)+BT67*(1+BZ69))/BT126-1)</f>
        <v>2.8900777688883439E-2</v>
      </c>
      <c r="CA128" s="449">
        <f>+SUMPRODUCT(BW128:BZ128,BQ$126:BT$126)/BU$126</f>
        <v>2.8791811223760792E-2</v>
      </c>
      <c r="CB128" s="43"/>
      <c r="CC128" s="259">
        <f>((+BW8*(1+CC10)+BW67*(1+CC69))/BW126-1)</f>
        <v>2.8698186289334959E-2</v>
      </c>
      <c r="CD128" s="260">
        <f>((+BX8*(1+CD10)+BX67*(1+CD69))/BX126-1)</f>
        <v>2.8856728965431344E-2</v>
      </c>
      <c r="CE128" s="260">
        <f>((+BY8*(1+CE10)+BY67*(1+CE69))/BY126-1)</f>
        <v>2.8762522785226396E-2</v>
      </c>
      <c r="CF128" s="260">
        <f>((+BZ8*(1+CF10)+BZ67*(1+CF69))/BZ126-1)</f>
        <v>2.8923901114219053E-2</v>
      </c>
      <c r="CG128" s="449">
        <f>+SUMPRODUCT(CC128:CF128,BW$126:BZ$126)/CA$126</f>
        <v>2.8814692704371456E-2</v>
      </c>
    </row>
    <row r="129" spans="1:85" ht="11.25" customHeight="1" x14ac:dyDescent="0.2">
      <c r="A129" s="78"/>
      <c r="B129" s="99" t="s">
        <v>255</v>
      </c>
      <c r="C129" s="259"/>
      <c r="D129" s="265"/>
      <c r="E129" s="265"/>
      <c r="F129" s="265"/>
      <c r="G129" s="449"/>
      <c r="H129" s="43"/>
      <c r="I129" s="259"/>
      <c r="J129" s="265"/>
      <c r="K129" s="265"/>
      <c r="L129" s="265"/>
      <c r="M129" s="449"/>
      <c r="N129" s="43"/>
      <c r="O129" s="259"/>
      <c r="P129" s="265"/>
      <c r="Q129" s="265"/>
      <c r="R129" s="265"/>
      <c r="S129" s="449"/>
      <c r="T129" s="43"/>
      <c r="U129" s="259"/>
      <c r="V129" s="260"/>
      <c r="W129" s="260"/>
      <c r="X129" s="260"/>
      <c r="Y129" s="449"/>
      <c r="Z129" s="43"/>
      <c r="AA129" s="259"/>
      <c r="AB129" s="260"/>
      <c r="AC129" s="260"/>
      <c r="AD129" s="260"/>
      <c r="AE129" s="449"/>
      <c r="AF129" s="43"/>
      <c r="AG129" s="259">
        <f>AG127-AG128</f>
        <v>-1.0947980762559373E-2</v>
      </c>
      <c r="AH129" s="260">
        <f>AH127-AH128</f>
        <v>-3.8741170672580511E-2</v>
      </c>
      <c r="AI129" s="260">
        <f>AI127-AI128</f>
        <v>-3.7197624977627214E-2</v>
      </c>
      <c r="AJ129" s="260">
        <f>AJ127-AJ128</f>
        <v>-8.6543969362715828E-3</v>
      </c>
      <c r="AK129" s="449">
        <f>+SUMPRODUCT(AG129:AJ129,AA$126:AD$126)/AE$126</f>
        <v>-2.3493729981208352E-2</v>
      </c>
      <c r="AL129" s="43"/>
      <c r="AM129" s="259">
        <f>AM127-AM128</f>
        <v>1.3971908838713819E-3</v>
      </c>
      <c r="AN129" s="260">
        <f>AN127-AN128</f>
        <v>2.1138543188866099E-3</v>
      </c>
      <c r="AO129" s="260">
        <f>AO127-AO128</f>
        <v>4.9673851871042049E-3</v>
      </c>
      <c r="AP129" s="260">
        <f>AP127-AP128</f>
        <v>7.7737187154302279E-3</v>
      </c>
      <c r="AQ129" s="449">
        <f>+SUMPRODUCT(AM129:AP129,AG$126:AJ$126)/AK$126</f>
        <v>4.1664643410530928E-3</v>
      </c>
      <c r="AR129" s="43"/>
      <c r="AS129" s="259">
        <f>AS127-AS128</f>
        <v>3.1278515613516189E-3</v>
      </c>
      <c r="AT129" s="260">
        <f>AT127-AT128</f>
        <v>1.1457321918955723E-2</v>
      </c>
      <c r="AU129" s="260">
        <f>AU127-AU128</f>
        <v>3.32158779446598E-3</v>
      </c>
      <c r="AV129" s="260">
        <f>AV127-AV128</f>
        <v>-3.6111701523385872E-2</v>
      </c>
      <c r="AW129" s="449">
        <f>+SUMPRODUCT(AS129:AV129,AM$126:AP$126)/AQ$126</f>
        <v>-5.4390988985132879E-3</v>
      </c>
      <c r="AX129" s="43"/>
      <c r="AY129" s="259">
        <f>AY127-AY128</f>
        <v>-6.9127680179624534E-2</v>
      </c>
      <c r="AZ129" s="260">
        <f>AZ127-AZ128</f>
        <v>-7.9883933353842765E-2</v>
      </c>
      <c r="BA129" s="260">
        <f>BA127-BA128</f>
        <v>-7.0670505379126849E-2</v>
      </c>
      <c r="BB129" s="260">
        <f>BB127-BB128</f>
        <v>-5.7609024349291091E-2</v>
      </c>
      <c r="BC129" s="449">
        <f>+SUMPRODUCT(AY129:BB129,AS$126:AV$126)/AW$126</f>
        <v>-6.9201212551440586E-2</v>
      </c>
      <c r="BD129" s="43"/>
      <c r="BE129" s="259">
        <f>BE127-BE128</f>
        <v>-1.965681444203643E-2</v>
      </c>
      <c r="BF129" s="260">
        <f>BF127-BF128</f>
        <v>-1.2912905841634056E-3</v>
      </c>
      <c r="BG129" s="260">
        <f>BG127-BG128</f>
        <v>-5.2987954870841805E-3</v>
      </c>
      <c r="BH129" s="258">
        <v>-0.01</v>
      </c>
      <c r="BI129" s="449">
        <f>+SUMPRODUCT(BE129:BH129,AY$126:BB$126)/BC$126</f>
        <v>-8.9797075926856037E-3</v>
      </c>
      <c r="BJ129" s="43"/>
      <c r="BK129" s="259">
        <f>BK127-BK128</f>
        <v>-2.5664660400767508E-3</v>
      </c>
      <c r="BL129" s="260">
        <f>BL127-BL128</f>
        <v>-1.0268566285170172E-2</v>
      </c>
      <c r="BM129" s="260">
        <f>BM127-BM128</f>
        <v>2.038836173690825E-2</v>
      </c>
      <c r="BN129" s="260">
        <f>BN127-BN128</f>
        <v>2.9999274114403507E-2</v>
      </c>
      <c r="BO129" s="449">
        <f>+SUMPRODUCT(BK129:BN129,BE$126:BH$126)/BI$126</f>
        <v>1.0112767647609891E-2</v>
      </c>
      <c r="BP129" s="43"/>
      <c r="BQ129" s="259">
        <f>BQ127-BQ128</f>
        <v>-5.9214195129657643E-3</v>
      </c>
      <c r="BR129" s="260">
        <f>BR127-BR128</f>
        <v>-5.8027358488663694E-3</v>
      </c>
      <c r="BS129" s="260">
        <f>BS127-BS128</f>
        <v>-1.1601549978697889E-2</v>
      </c>
      <c r="BT129" s="260">
        <f>BT127-BT128</f>
        <v>-1.1561303150409374E-2</v>
      </c>
      <c r="BU129" s="449">
        <f>+SUMPRODUCT(BQ129:BT129,BK$126:BN$126)/BO$126</f>
        <v>-8.8442387341864537E-3</v>
      </c>
      <c r="BV129" s="43"/>
      <c r="BW129" s="259">
        <f>BW127-BW128</f>
        <v>0</v>
      </c>
      <c r="BX129" s="260">
        <f>BX127-BX128</f>
        <v>0</v>
      </c>
      <c r="BY129" s="260">
        <f>BY127-BY128</f>
        <v>0</v>
      </c>
      <c r="BZ129" s="260">
        <f>BZ127-BZ128</f>
        <v>0</v>
      </c>
      <c r="CA129" s="449">
        <f>+SUMPRODUCT(BW129:BZ129,BQ$126:BT$126)/BU$126</f>
        <v>0</v>
      </c>
      <c r="CB129" s="43"/>
      <c r="CC129" s="259">
        <f>CC127-CC128</f>
        <v>0</v>
      </c>
      <c r="CD129" s="260">
        <f>CD127-CD128</f>
        <v>0</v>
      </c>
      <c r="CE129" s="260">
        <f>CE127-CE128</f>
        <v>0</v>
      </c>
      <c r="CF129" s="260">
        <f>CF127-CF128</f>
        <v>0</v>
      </c>
      <c r="CG129" s="449">
        <f>+SUMPRODUCT(CC129:CF129,BW$126:BZ$126)/CA$126</f>
        <v>0</v>
      </c>
    </row>
    <row r="130" spans="1:85" ht="11.25" customHeight="1" x14ac:dyDescent="0.2">
      <c r="A130" s="78"/>
      <c r="B130" s="99" t="s">
        <v>254</v>
      </c>
      <c r="C130" s="261"/>
      <c r="D130" s="266"/>
      <c r="E130" s="266"/>
      <c r="F130" s="267"/>
      <c r="G130" s="453"/>
      <c r="H130" s="43"/>
      <c r="I130" s="261"/>
      <c r="J130" s="266"/>
      <c r="K130" s="266"/>
      <c r="L130" s="267"/>
      <c r="M130" s="453"/>
      <c r="N130" s="43"/>
      <c r="O130" s="261"/>
      <c r="P130" s="266"/>
      <c r="Q130" s="266"/>
      <c r="R130" s="267"/>
      <c r="S130" s="453"/>
      <c r="T130" s="43"/>
      <c r="U130" s="261"/>
      <c r="V130" s="258"/>
      <c r="W130" s="258"/>
      <c r="X130" s="258"/>
      <c r="Y130" s="449"/>
      <c r="Z130" s="43"/>
      <c r="AA130" s="261"/>
      <c r="AB130" s="258"/>
      <c r="AC130" s="258"/>
      <c r="AD130" s="258"/>
      <c r="AE130" s="449"/>
      <c r="AF130" s="43"/>
      <c r="AG130" s="261">
        <v>4.0000000000000001E-3</v>
      </c>
      <c r="AH130" s="258">
        <v>5.0000000000000001E-3</v>
      </c>
      <c r="AI130" s="258">
        <v>1.0999999999999999E-2</v>
      </c>
      <c r="AJ130" s="258">
        <f>-7.7%+2.6%</f>
        <v>-5.0999999999999997E-2</v>
      </c>
      <c r="AK130" s="449">
        <f>+SUMPRODUCT(AG130:AJ130,AA$126:AD$126)/AE$126</f>
        <v>-9.626424741935714E-3</v>
      </c>
      <c r="AL130" s="43"/>
      <c r="AM130" s="261">
        <v>3.2000000000000001E-2</v>
      </c>
      <c r="AN130" s="258">
        <v>0.03</v>
      </c>
      <c r="AO130" s="258">
        <v>2.1999999999999999E-2</v>
      </c>
      <c r="AP130" s="258">
        <v>5.0000000000000001E-3</v>
      </c>
      <c r="AQ130" s="449">
        <f>+SUMPRODUCT(AM130:AP130,AG$126:AJ$126)/AK$126</f>
        <v>2.1730876145307491E-2</v>
      </c>
      <c r="AR130" s="43"/>
      <c r="AS130" s="261">
        <v>5.0999999999999997E-2</v>
      </c>
      <c r="AT130" s="258">
        <v>4.9000000000000002E-2</v>
      </c>
      <c r="AU130" s="258">
        <v>4.5999999999999999E-2</v>
      </c>
      <c r="AV130" s="258">
        <v>5.1999999999999998E-2</v>
      </c>
      <c r="AW130" s="449">
        <f>+SUMPRODUCT(AS130:AV130,AM$126:AP$126)/AQ$126</f>
        <v>4.9585271786236493E-2</v>
      </c>
      <c r="AX130" s="43"/>
      <c r="AY130" s="261">
        <v>6.0000000000000001E-3</v>
      </c>
      <c r="AZ130" s="258">
        <v>4.0000000000000001E-3</v>
      </c>
      <c r="BA130" s="258">
        <v>5.0000000000000001E-3</v>
      </c>
      <c r="BB130" s="258">
        <v>7.0000000000000001E-3</v>
      </c>
      <c r="BC130" s="449">
        <f>+SUMPRODUCT(AY130:BB130,AS$126:AV$126)/AW$126</f>
        <v>5.5135187871140634E-3</v>
      </c>
      <c r="BD130" s="43"/>
      <c r="BE130" s="261">
        <v>1.2E-2</v>
      </c>
      <c r="BF130" s="258">
        <v>1.2999999999999999E-2</v>
      </c>
      <c r="BG130" s="258">
        <v>1.7000000000000001E-2</v>
      </c>
      <c r="BH130" s="258">
        <f>1.7%+5.4%</f>
        <v>7.1000000000000008E-2</v>
      </c>
      <c r="BI130" s="449">
        <f>+SUMPRODUCT(BE130:BH130,AY$126:BB$126)/BC$126</f>
        <v>2.954399878553721E-2</v>
      </c>
      <c r="BJ130" s="43"/>
      <c r="BK130" s="261">
        <v>5.2999999999999999E-2</v>
      </c>
      <c r="BL130" s="257">
        <f>6.3%-10/BF126</f>
        <v>5.5717675948231418E-2</v>
      </c>
      <c r="BM130" s="258">
        <f>7.5%-13/BG126</f>
        <v>6.5229420717385994E-2</v>
      </c>
      <c r="BN130" s="257">
        <f>6%-5.1%</f>
        <v>9.0000000000000011E-3</v>
      </c>
      <c r="BO130" s="449">
        <f>+SUMPRODUCT(BK130:BN130,BE$126:BH$126)/BI$126</f>
        <v>4.4325555294143483E-2</v>
      </c>
      <c r="BP130" s="43"/>
      <c r="BQ130" s="259">
        <f>((+BK8*(1+BQ12)+BK67*(1+BQ71))/BK126-1)</f>
        <v>1.210477398271248E-2</v>
      </c>
      <c r="BR130" s="260">
        <f>((+BL8*(1+BR12)+BL67*(1+BR71))/BL126-1)</f>
        <v>0</v>
      </c>
      <c r="BS130" s="260">
        <f>((+BM8*(1+BS12)+BM67*(1+BS71))/BM126-1)</f>
        <v>0</v>
      </c>
      <c r="BT130" s="260">
        <f>((+BN8*(1+BT12)+BN67*(1+BT71))/BN126-1)</f>
        <v>0</v>
      </c>
      <c r="BU130" s="449">
        <f>+SUMPRODUCT(BQ130:BT130,BK$126:BN$126)/BO$126</f>
        <v>2.8119579034240542E-3</v>
      </c>
      <c r="BV130" s="43"/>
      <c r="BW130" s="259">
        <f>((+BQ8*(1+BW12)+BQ67*(1+BW71))/BQ126-1)</f>
        <v>0</v>
      </c>
      <c r="BX130" s="260">
        <f>((+BR8*(1+BX12)+BR67*(1+BX71))/BR126-1)</f>
        <v>0</v>
      </c>
      <c r="BY130" s="260">
        <f>((+BS8*(1+BY12)+BS67*(1+BY71))/BS126-1)</f>
        <v>0</v>
      </c>
      <c r="BZ130" s="260">
        <f>((+BT8*(1+BZ12)+BT67*(1+BZ71))/BT126-1)</f>
        <v>0</v>
      </c>
      <c r="CA130" s="449">
        <f>+SUMPRODUCT(BW130:BZ130,BQ$126:BT$126)/BU$126</f>
        <v>0</v>
      </c>
      <c r="CB130" s="43"/>
      <c r="CC130" s="259">
        <f>((+BW8*(1+CC12)+BW67*(1+CC71))/BW126-1)</f>
        <v>0</v>
      </c>
      <c r="CD130" s="260">
        <f>((+BX8*(1+CD12)+BX67*(1+CD71))/BX126-1)</f>
        <v>0</v>
      </c>
      <c r="CE130" s="260">
        <f>((+BY8*(1+CE12)+BY67*(1+CE71))/BY126-1)</f>
        <v>0</v>
      </c>
      <c r="CF130" s="260">
        <f>((+BZ8*(1+CF12)+BZ67*(1+CF71))/BZ126-1)</f>
        <v>0</v>
      </c>
      <c r="CG130" s="449">
        <f>+SUMPRODUCT(CC130:CF130,BW$126:BZ$126)/CA$126</f>
        <v>0</v>
      </c>
    </row>
    <row r="131" spans="1:85" ht="11.25" customHeight="1" x14ac:dyDescent="0.2">
      <c r="A131" s="78"/>
      <c r="B131" s="98" t="s">
        <v>257</v>
      </c>
      <c r="C131" s="259"/>
      <c r="D131" s="260"/>
      <c r="E131" s="260"/>
      <c r="F131" s="260"/>
      <c r="G131" s="449"/>
      <c r="H131" s="264"/>
      <c r="I131" s="259"/>
      <c r="J131" s="260"/>
      <c r="K131" s="260"/>
      <c r="L131" s="260"/>
      <c r="M131" s="449"/>
      <c r="N131" s="264"/>
      <c r="O131" s="259"/>
      <c r="P131" s="260"/>
      <c r="Q131" s="260"/>
      <c r="R131" s="260"/>
      <c r="S131" s="449"/>
      <c r="T131" s="264"/>
      <c r="U131" s="259"/>
      <c r="V131" s="260"/>
      <c r="W131" s="260"/>
      <c r="X131" s="260"/>
      <c r="Y131" s="449"/>
      <c r="Z131" s="264"/>
      <c r="AA131" s="259"/>
      <c r="AB131" s="260"/>
      <c r="AC131" s="260"/>
      <c r="AD131" s="260"/>
      <c r="AE131" s="449"/>
      <c r="AF131" s="264"/>
      <c r="AG131" s="259">
        <f>+AG128-AG130</f>
        <v>6.2E-2</v>
      </c>
      <c r="AH131" s="260">
        <f>+AH128-AH130</f>
        <v>2.0999999999999998E-2</v>
      </c>
      <c r="AI131" s="260">
        <f>+AI128-AI130</f>
        <v>2.3000000000000003E-2</v>
      </c>
      <c r="AJ131" s="260">
        <f>+AJ128-AJ130</f>
        <v>3.5999999999999997E-2</v>
      </c>
      <c r="AK131" s="449">
        <f>+SUMPRODUCT(AG131:AJ131,AA$126:AD$126)/AE$126</f>
        <v>3.513153041261325E-2</v>
      </c>
      <c r="AL131" s="264"/>
      <c r="AM131" s="259">
        <f>+AM128-AM130</f>
        <v>-2.9999999999999992E-3</v>
      </c>
      <c r="AN131" s="260">
        <f>+AN128-AN130</f>
        <v>0.03</v>
      </c>
      <c r="AO131" s="260">
        <f>+AO128-AO130</f>
        <v>0.03</v>
      </c>
      <c r="AP131" s="260">
        <f>+AP128-AP130</f>
        <v>2.5999999999999999E-2</v>
      </c>
      <c r="AQ131" s="449">
        <f>+SUMPRODUCT(AM131:AP131,AG$126:AJ$126)/AK$126</f>
        <v>2.0911925942960936E-2</v>
      </c>
      <c r="AR131" s="264"/>
      <c r="AS131" s="259">
        <f>+AS128-AS130</f>
        <v>3.4999999999999996E-2</v>
      </c>
      <c r="AT131" s="260">
        <f>+AT128-AT130</f>
        <v>2.5999999999999995E-2</v>
      </c>
      <c r="AU131" s="260">
        <f>+AU128-AU130</f>
        <v>4.8000000000000001E-2</v>
      </c>
      <c r="AV131" s="260">
        <f>+AV128-AV130</f>
        <v>2.3E-2</v>
      </c>
      <c r="AW131" s="449">
        <f>+SUMPRODUCT(AS131:AV131,AM$126:AP$126)/AQ$126</f>
        <v>3.2533528399118682E-2</v>
      </c>
      <c r="AX131" s="264"/>
      <c r="AY131" s="259">
        <f>+AY128-AY130</f>
        <v>2.7000000000000003E-2</v>
      </c>
      <c r="AZ131" s="260">
        <f>+AZ128-AZ130</f>
        <v>4.0999999999999995E-2</v>
      </c>
      <c r="BA131" s="260">
        <f>+BA128-BA130</f>
        <v>4.1000000000000002E-2</v>
      </c>
      <c r="BB131" s="260">
        <f>+BB128-BB130</f>
        <v>6.5999999999999989E-2</v>
      </c>
      <c r="BC131" s="449">
        <f>+SUMPRODUCT(AY131:BB131,AS$126:AV$126)/AW$126</f>
        <v>4.4211051407535298E-2</v>
      </c>
      <c r="BD131" s="264"/>
      <c r="BE131" s="259">
        <f>+BE128-BE130</f>
        <v>4.9000000000000002E-2</v>
      </c>
      <c r="BF131" s="260">
        <f>+BF128-BF130</f>
        <v>2.8000000000000004E-2</v>
      </c>
      <c r="BG131" s="260">
        <f>+BG128-BG130</f>
        <v>3.9E-2</v>
      </c>
      <c r="BH131" s="260">
        <f>+BH128-BH130</f>
        <v>1.5817414383680603E-2</v>
      </c>
      <c r="BI131" s="449">
        <f>+SUMPRODUCT(BE131:BH131,AY$126:BB$126)/BC$126</f>
        <v>3.2292131747986841E-2</v>
      </c>
      <c r="BJ131" s="264"/>
      <c r="BK131" s="259">
        <f>+BK128-BK130</f>
        <v>2.9000000000000005E-2</v>
      </c>
      <c r="BL131" s="260">
        <f>+BL128-BL130</f>
        <v>3.8282324051768582E-2</v>
      </c>
      <c r="BM131" s="260">
        <f>+BM128-BM130</f>
        <v>2.5770579282614003E-2</v>
      </c>
      <c r="BN131" s="260">
        <f>+BN128-BN130</f>
        <v>4.2923851697378564E-2</v>
      </c>
      <c r="BO131" s="449">
        <f>+SUMPRODUCT(BK131:BN131,BE$126:BH$126)/BI$126</f>
        <v>3.4405499865983798E-2</v>
      </c>
      <c r="BP131" s="264"/>
      <c r="BQ131" s="259">
        <f>+BQ128-BQ130</f>
        <v>3.0234812028255842E-2</v>
      </c>
      <c r="BR131" s="260">
        <f>+BR128-BR130</f>
        <v>3.0000000000000027E-2</v>
      </c>
      <c r="BS131" s="260">
        <f>+BS128-BS130</f>
        <v>3.5332041684418281E-2</v>
      </c>
      <c r="BT131" s="260">
        <f>+BT128-BT130</f>
        <v>1.9268838584015624E-2</v>
      </c>
      <c r="BU131" s="449">
        <f>+SUMPRODUCT(BQ131:BT131,BK$126:BN$126)/BO$126</f>
        <v>2.838326505868138E-2</v>
      </c>
      <c r="BV131" s="264"/>
      <c r="BW131" s="259">
        <f>+BW128-BW130</f>
        <v>2.8675588364311499E-2</v>
      </c>
      <c r="BX131" s="260">
        <f>+BX128-BX130</f>
        <v>2.8833751623671633E-2</v>
      </c>
      <c r="BY131" s="260">
        <f>+BY128-BY130</f>
        <v>2.8739765029945907E-2</v>
      </c>
      <c r="BZ131" s="260">
        <f>+BZ128-BZ130</f>
        <v>2.8900777688883439E-2</v>
      </c>
      <c r="CA131" s="449">
        <f>+SUMPRODUCT(BW131:BZ131,BQ$126:BT$126)/BU$126</f>
        <v>2.8791811223760792E-2</v>
      </c>
      <c r="CB131" s="264"/>
      <c r="CC131" s="259">
        <f>+CC128-CC130</f>
        <v>2.8698186289334959E-2</v>
      </c>
      <c r="CD131" s="260">
        <f>+CD128-CD130</f>
        <v>2.8856728965431344E-2</v>
      </c>
      <c r="CE131" s="260">
        <f>+CE128-CE130</f>
        <v>2.8762522785226396E-2</v>
      </c>
      <c r="CF131" s="260">
        <f>+CF128-CF130</f>
        <v>2.8923901114219053E-2</v>
      </c>
      <c r="CG131" s="449">
        <f>+SUMPRODUCT(CC131:CF131,BW$126:BZ$126)/CA$126</f>
        <v>2.8814692704371456E-2</v>
      </c>
    </row>
    <row r="132" spans="1:85" ht="11.25" customHeight="1" outlineLevel="1" x14ac:dyDescent="0.2">
      <c r="A132" s="78"/>
      <c r="B132" s="373"/>
      <c r="C132" s="761"/>
      <c r="D132" s="762"/>
      <c r="E132" s="762"/>
      <c r="F132" s="762"/>
      <c r="G132" s="763"/>
      <c r="H132" s="764"/>
      <c r="I132" s="761"/>
      <c r="J132" s="762"/>
      <c r="K132" s="762"/>
      <c r="L132" s="762"/>
      <c r="M132" s="763"/>
      <c r="N132" s="764"/>
      <c r="O132" s="761"/>
      <c r="P132" s="762"/>
      <c r="Q132" s="762"/>
      <c r="R132" s="762"/>
      <c r="S132" s="763"/>
      <c r="T132" s="764"/>
      <c r="U132" s="761"/>
      <c r="V132" s="762"/>
      <c r="W132" s="762"/>
      <c r="X132" s="762"/>
      <c r="Y132" s="763"/>
      <c r="Z132" s="764"/>
      <c r="AA132" s="761"/>
      <c r="AB132" s="762"/>
      <c r="AC132" s="762"/>
      <c r="AD132" s="762"/>
      <c r="AE132" s="763"/>
      <c r="AF132" s="764"/>
      <c r="AG132" s="761"/>
      <c r="AH132" s="762"/>
      <c r="AI132" s="762"/>
      <c r="AJ132" s="762"/>
      <c r="AK132" s="763"/>
      <c r="AL132" s="764"/>
      <c r="AM132" s="761"/>
      <c r="AN132" s="762"/>
      <c r="AO132" s="762"/>
      <c r="AP132" s="762"/>
      <c r="AQ132" s="763"/>
      <c r="AR132" s="764"/>
      <c r="AS132" s="761"/>
      <c r="AT132" s="762"/>
      <c r="AU132" s="762"/>
      <c r="AV132" s="762"/>
      <c r="AW132" s="763"/>
      <c r="AX132" s="764"/>
      <c r="AY132" s="761"/>
      <c r="AZ132" s="762"/>
      <c r="BA132" s="762"/>
      <c r="BB132" s="762"/>
      <c r="BC132" s="763"/>
      <c r="BD132" s="764"/>
      <c r="BE132" s="761"/>
      <c r="BF132" s="762"/>
      <c r="BG132" s="762"/>
      <c r="BH132" s="762"/>
      <c r="BI132" s="763"/>
      <c r="BJ132" s="764"/>
      <c r="BK132" s="761"/>
      <c r="BL132" s="1250"/>
      <c r="BM132" s="762"/>
      <c r="BN132" s="260"/>
      <c r="BO132" s="449"/>
      <c r="BP132" s="264"/>
      <c r="BQ132" s="372"/>
      <c r="BR132" s="260"/>
      <c r="BS132" s="260"/>
      <c r="BT132" s="260"/>
      <c r="BU132" s="449"/>
      <c r="BV132" s="264"/>
      <c r="BW132" s="372"/>
      <c r="BX132" s="260"/>
      <c r="BY132" s="260"/>
      <c r="BZ132" s="260"/>
      <c r="CA132" s="449"/>
      <c r="CB132" s="264"/>
      <c r="CC132" s="372"/>
      <c r="CD132" s="260"/>
      <c r="CE132" s="260"/>
      <c r="CF132" s="260"/>
      <c r="CG132" s="449"/>
    </row>
    <row r="133" spans="1:85" ht="11.25" customHeight="1" outlineLevel="1" x14ac:dyDescent="0.2">
      <c r="A133" s="78"/>
      <c r="B133" s="1162" t="s">
        <v>601</v>
      </c>
      <c r="C133" s="1159"/>
      <c r="D133" s="1160"/>
      <c r="E133" s="1160"/>
      <c r="F133" s="1160"/>
      <c r="G133" s="1161"/>
      <c r="H133" s="264"/>
      <c r="I133" s="1159"/>
      <c r="J133" s="1160"/>
      <c r="K133" s="1160"/>
      <c r="L133" s="1160"/>
      <c r="M133" s="1161"/>
      <c r="N133" s="264"/>
      <c r="O133" s="1159"/>
      <c r="P133" s="1160"/>
      <c r="Q133" s="1160"/>
      <c r="R133" s="1160"/>
      <c r="S133" s="1161"/>
      <c r="T133" s="264"/>
      <c r="U133" s="1159"/>
      <c r="V133" s="1160"/>
      <c r="W133" s="1160"/>
      <c r="X133" s="1160"/>
      <c r="Y133" s="1161"/>
      <c r="Z133" s="264"/>
      <c r="AA133" s="1159"/>
      <c r="AB133" s="1160"/>
      <c r="AC133" s="1160"/>
      <c r="AD133" s="1160"/>
      <c r="AE133" s="1161"/>
      <c r="AF133" s="264"/>
      <c r="AG133" s="1159"/>
      <c r="AH133" s="1160"/>
      <c r="AI133" s="1160"/>
      <c r="AJ133" s="1160"/>
      <c r="AK133" s="1161"/>
      <c r="AL133" s="264"/>
      <c r="AM133" s="1159"/>
      <c r="AN133" s="1160"/>
      <c r="AO133" s="1160"/>
      <c r="AP133" s="1160"/>
      <c r="AQ133" s="1161"/>
      <c r="AR133" s="264"/>
      <c r="AS133" s="1159"/>
      <c r="AT133" s="1160"/>
      <c r="AU133" s="1160"/>
      <c r="AV133" s="1160"/>
      <c r="AW133" s="1161"/>
      <c r="AX133" s="264"/>
      <c r="AY133" s="1159"/>
      <c r="AZ133" s="1160"/>
      <c r="BA133" s="1160"/>
      <c r="BB133" s="1160"/>
      <c r="BC133" s="1161"/>
      <c r="BD133" s="264"/>
      <c r="BE133" s="1159"/>
      <c r="BF133" s="1160"/>
      <c r="BG133" s="1160"/>
      <c r="BH133" s="1160"/>
      <c r="BI133" s="1161"/>
      <c r="BJ133" s="264"/>
      <c r="BK133" s="1159"/>
      <c r="BL133" s="1160"/>
      <c r="BM133" s="1160"/>
      <c r="BN133" s="1160"/>
      <c r="BO133" s="1161"/>
      <c r="BP133" s="264"/>
      <c r="BQ133" s="1159"/>
      <c r="BR133" s="1160"/>
      <c r="BS133" s="1160"/>
      <c r="BT133" s="1160"/>
      <c r="BU133" s="1161"/>
      <c r="BV133" s="264"/>
      <c r="BW133" s="1159"/>
      <c r="BX133" s="1160"/>
      <c r="BY133" s="1160"/>
      <c r="BZ133" s="1160"/>
      <c r="CA133" s="1161"/>
      <c r="CB133" s="264"/>
      <c r="CC133" s="1159"/>
      <c r="CD133" s="1160"/>
      <c r="CE133" s="1160"/>
      <c r="CF133" s="1160"/>
      <c r="CG133" s="1161"/>
    </row>
    <row r="134" spans="1:85" ht="11.25" customHeight="1" outlineLevel="1" x14ac:dyDescent="0.2">
      <c r="A134" s="78"/>
      <c r="B134" s="108" t="s">
        <v>555</v>
      </c>
      <c r="C134" s="269"/>
      <c r="D134" s="270"/>
      <c r="E134" s="270"/>
      <c r="F134" s="270"/>
      <c r="G134" s="448"/>
      <c r="H134" s="39"/>
      <c r="I134" s="269"/>
      <c r="J134" s="270"/>
      <c r="K134" s="270"/>
      <c r="L134" s="270"/>
      <c r="M134" s="448"/>
      <c r="N134" s="39"/>
      <c r="O134" s="269"/>
      <c r="P134" s="270"/>
      <c r="Q134" s="270"/>
      <c r="R134" s="270"/>
      <c r="S134" s="448"/>
      <c r="T134" s="39"/>
      <c r="U134" s="269"/>
      <c r="V134" s="270"/>
      <c r="W134" s="270"/>
      <c r="X134" s="270"/>
      <c r="Y134" s="448"/>
      <c r="Z134" s="39"/>
      <c r="AA134" s="147"/>
      <c r="AB134" s="148"/>
      <c r="AC134" s="148"/>
      <c r="AD134" s="148"/>
      <c r="AE134" s="448"/>
      <c r="AF134" s="39"/>
      <c r="AG134" s="147">
        <f>AG126*AG$337</f>
        <v>912.94265726047024</v>
      </c>
      <c r="AH134" s="148">
        <f>AH126*AH$337</f>
        <v>918.45211345234793</v>
      </c>
      <c r="AI134" s="148">
        <f>AI126*AI$337</f>
        <v>879.12834393280161</v>
      </c>
      <c r="AJ134" s="148">
        <f>AJ126*AJ$337</f>
        <v>1018.0886759045985</v>
      </c>
      <c r="AK134" s="448">
        <f>SUM(AG134:AJ134)</f>
        <v>3728.6117905502183</v>
      </c>
      <c r="AL134" s="39"/>
      <c r="AM134" s="147">
        <f>AM126*AM$337</f>
        <v>949.51089421323763</v>
      </c>
      <c r="AN134" s="148">
        <f>AN126*AN$337</f>
        <v>975.0866029022086</v>
      </c>
      <c r="AO134" s="148">
        <f>AO126*AO$337</f>
        <v>925.24507428524362</v>
      </c>
      <c r="AP134" s="148">
        <f>AP126*AP$337</f>
        <v>1060.6520326569366</v>
      </c>
      <c r="AQ134" s="448">
        <f>SUM(AM134:AP134)</f>
        <v>3910.4946040576265</v>
      </c>
      <c r="AR134" s="39"/>
      <c r="AS134" s="147">
        <f>AS126*AS$337</f>
        <v>1024.9015211422006</v>
      </c>
      <c r="AT134" s="148">
        <f>AT126*AT$337</f>
        <v>1060.4912966464321</v>
      </c>
      <c r="AU134" s="148">
        <f>AU126*AU$337</f>
        <v>1017.1067896501681</v>
      </c>
      <c r="AV134" s="148">
        <f>AV126*AV$337</f>
        <v>1123.9098766659142</v>
      </c>
      <c r="AW134" s="448">
        <f>SUM(AS134:AV134)</f>
        <v>4226.4094841047154</v>
      </c>
      <c r="AX134" s="39"/>
      <c r="AY134" s="147">
        <f>AY126*AY$337</f>
        <v>979.70510333771961</v>
      </c>
      <c r="AZ134" s="148">
        <f>AZ126*AZ$337</f>
        <v>1022.7816684498683</v>
      </c>
      <c r="BA134" s="148">
        <f>BA126*BA$337</f>
        <v>987.16100931425456</v>
      </c>
      <c r="BB134" s="148">
        <f>BB126*BB$337</f>
        <v>1130.8917862691187</v>
      </c>
      <c r="BC134" s="448">
        <f>SUM(AY134:BB134)</f>
        <v>4120.5395673709609</v>
      </c>
      <c r="BD134" s="39"/>
      <c r="BE134" s="147">
        <f>BE126*BE$337</f>
        <v>1007.9259022651761</v>
      </c>
      <c r="BF134" s="148">
        <f>BF126*BF$337</f>
        <v>1064.3178853669001</v>
      </c>
      <c r="BG134" s="148">
        <f>BG126*BG$337</f>
        <v>1019.5648939871185</v>
      </c>
      <c r="BH134" s="148">
        <f>BH126*BH$337</f>
        <v>1213.0658048733835</v>
      </c>
      <c r="BI134" s="448">
        <f>SUM(BE134:BH134)</f>
        <v>4304.8744864925784</v>
      </c>
      <c r="BJ134" s="39"/>
      <c r="BK134" s="147">
        <f>BK126*BK$337</f>
        <v>1115.2919985667365</v>
      </c>
      <c r="BL134" s="148">
        <f>BL126*BL$337</f>
        <v>1147.6860473327299</v>
      </c>
      <c r="BM134" s="148">
        <f>BM126*BM$337</f>
        <v>1160.2395523452997</v>
      </c>
      <c r="BN134" s="148">
        <f>BN126*BN$337</f>
        <v>1307.7922901189104</v>
      </c>
      <c r="BO134" s="448">
        <f>SUM(BK134:BN134)</f>
        <v>4731.0098883636765</v>
      </c>
      <c r="BP134" s="39"/>
      <c r="BQ134" s="147">
        <f>BQ126*BQ$337</f>
        <v>1139.0394077951951</v>
      </c>
      <c r="BR134" s="148">
        <f>BR126*BR$337</f>
        <v>1192.1032006208902</v>
      </c>
      <c r="BS134" s="148">
        <f>BS126*BS$337</f>
        <v>1184.0037977660847</v>
      </c>
      <c r="BT134" s="148">
        <f>BT126*BT$337</f>
        <v>1321.5811213509651</v>
      </c>
      <c r="BU134" s="448">
        <f>SUM(BQ134:BT134)</f>
        <v>4836.7275275331349</v>
      </c>
      <c r="BV134" s="39"/>
      <c r="BW134" s="147">
        <f>BW126*BW$337</f>
        <v>1171.7020329838592</v>
      </c>
      <c r="BX134" s="148">
        <f>BX126*BX$337</f>
        <v>1226.4760082173771</v>
      </c>
      <c r="BY134" s="148">
        <f>BY126*BY$337</f>
        <v>1218.0317887084454</v>
      </c>
      <c r="BZ134" s="148">
        <f>BZ126*BZ$337</f>
        <v>1359.7758435369547</v>
      </c>
      <c r="CA134" s="448">
        <f>SUM(BW134:BZ134)</f>
        <v>4975.9856734466357</v>
      </c>
      <c r="CB134" s="39"/>
      <c r="CC134" s="147">
        <f>CC126*CC$337</f>
        <v>1205.3277562020226</v>
      </c>
      <c r="CD134" s="148">
        <f>CD126*CD$337</f>
        <v>1261.8680939691101</v>
      </c>
      <c r="CE134" s="148">
        <f>CE126*CE$337</f>
        <v>1253.0654557843022</v>
      </c>
      <c r="CF134" s="148">
        <f>CF126*CF$337</f>
        <v>1399.1058655729212</v>
      </c>
      <c r="CG134" s="448">
        <f>SUM(CC134:CF134)</f>
        <v>5119.3671715283563</v>
      </c>
    </row>
    <row r="135" spans="1:85" ht="11.25" customHeight="1" outlineLevel="1" x14ac:dyDescent="0.2">
      <c r="A135" s="78"/>
      <c r="B135" s="99" t="s">
        <v>253</v>
      </c>
      <c r="C135" s="61"/>
      <c r="D135" s="61"/>
      <c r="E135" s="61"/>
      <c r="F135" s="61"/>
      <c r="G135" s="447"/>
      <c r="H135" s="51"/>
      <c r="I135" s="625"/>
      <c r="J135" s="61"/>
      <c r="K135" s="61"/>
      <c r="L135" s="61"/>
      <c r="M135" s="447"/>
      <c r="N135" s="51"/>
      <c r="O135" s="625"/>
      <c r="P135" s="61"/>
      <c r="Q135" s="61"/>
      <c r="R135" s="61"/>
      <c r="S135" s="447"/>
      <c r="T135" s="51"/>
      <c r="U135" s="625"/>
      <c r="V135" s="61"/>
      <c r="W135" s="61"/>
      <c r="X135" s="61"/>
      <c r="Y135" s="447"/>
      <c r="Z135" s="51"/>
      <c r="AA135" s="625"/>
      <c r="AB135" s="61"/>
      <c r="AC135" s="61"/>
      <c r="AD135" s="61"/>
      <c r="AE135" s="447"/>
      <c r="AF135" s="51"/>
      <c r="AG135" s="625"/>
      <c r="AH135" s="61"/>
      <c r="AI135" s="61"/>
      <c r="AJ135" s="61"/>
      <c r="AK135" s="447"/>
      <c r="AL135" s="51"/>
      <c r="AM135" s="625">
        <f>AM134/AG134-1</f>
        <v>4.0055349218208525E-2</v>
      </c>
      <c r="AN135" s="61">
        <f>AN134/AH134-1</f>
        <v>6.166297471620874E-2</v>
      </c>
      <c r="AO135" s="61">
        <f>AO134/AI134-1</f>
        <v>5.2457335348940815E-2</v>
      </c>
      <c r="AP135" s="61">
        <f>AP134/AJ134-1</f>
        <v>4.1807121284911153E-2</v>
      </c>
      <c r="AQ135" s="447">
        <f>AQ134/AK134-1</f>
        <v>4.8780303159575711E-2</v>
      </c>
      <c r="AR135" s="51"/>
      <c r="AS135" s="625">
        <f>AS134/AM134-1</f>
        <v>7.9399433317119961E-2</v>
      </c>
      <c r="AT135" s="61">
        <f>AT134/AN134-1</f>
        <v>8.7586777923138737E-2</v>
      </c>
      <c r="AU135" s="61">
        <f>AU134/AO134-1</f>
        <v>9.9283657830751659E-2</v>
      </c>
      <c r="AV135" s="61">
        <f>AV134/AP134-1</f>
        <v>5.9640524942488948E-2</v>
      </c>
      <c r="AW135" s="447">
        <f>AW134/AQ134-1</f>
        <v>8.0786425256612837E-2</v>
      </c>
      <c r="AX135" s="51"/>
      <c r="AY135" s="625">
        <f>AY134/AS134-1</f>
        <v>-4.4098302980477455E-2</v>
      </c>
      <c r="AZ135" s="61">
        <f>AZ134/AT134-1</f>
        <v>-3.5558639958491067E-2</v>
      </c>
      <c r="BA135" s="61">
        <f>BA134/AU134-1</f>
        <v>-2.9442120179153819E-2</v>
      </c>
      <c r="BB135" s="61">
        <f>BB134/AV134-1</f>
        <v>6.2121614447561146E-3</v>
      </c>
      <c r="BC135" s="447">
        <f>BC134/AW134-1</f>
        <v>-2.5049611764294322E-2</v>
      </c>
      <c r="BD135" s="51"/>
      <c r="BE135" s="625">
        <f>BE134/AY134-1</f>
        <v>2.8805401575751954E-2</v>
      </c>
      <c r="BF135" s="61">
        <f>BF134/AZ134-1</f>
        <v>4.061102989847698E-2</v>
      </c>
      <c r="BG135" s="61">
        <f>BG134/BA134-1</f>
        <v>3.2825328763109951E-2</v>
      </c>
      <c r="BH135" s="61">
        <f>BH134/BB134-1</f>
        <v>7.2663025412327054E-2</v>
      </c>
      <c r="BI135" s="447">
        <f>BI134/BC134-1</f>
        <v>4.4735626513890958E-2</v>
      </c>
      <c r="BJ135" s="51"/>
      <c r="BK135" s="625">
        <f>BK134/BE134-1</f>
        <v>0.10652181480828093</v>
      </c>
      <c r="BL135" s="61">
        <f>BL134/BF134-1</f>
        <v>7.8330133423521797E-2</v>
      </c>
      <c r="BM135" s="61">
        <f>BM134/BG134-1</f>
        <v>0.13797518842381651</v>
      </c>
      <c r="BN135" s="61">
        <f>BN134/BH134-1</f>
        <v>7.8088496819357811E-2</v>
      </c>
      <c r="BO135" s="447">
        <f>BO134/BI134-1</f>
        <v>9.8989042121479853E-2</v>
      </c>
      <c r="BP135" s="51"/>
      <c r="BQ135" s="625">
        <f>BQ134/BK134-1</f>
        <v>2.1292548730714733E-2</v>
      </c>
      <c r="BR135" s="61">
        <f>BR134/BL134-1</f>
        <v>3.87014840786708E-2</v>
      </c>
      <c r="BS135" s="61">
        <f>BS134/BM134-1</f>
        <v>2.0482188676250734E-2</v>
      </c>
      <c r="BT135" s="61">
        <f>BT134/BN134-1</f>
        <v>1.0543594220761898E-2</v>
      </c>
      <c r="BU135" s="447">
        <f>BU134/BO134-1</f>
        <v>2.234568129512482E-2</v>
      </c>
      <c r="BV135" s="51"/>
      <c r="BW135" s="625">
        <f>BW134/BQ134-1</f>
        <v>2.8675588364311499E-2</v>
      </c>
      <c r="BX135" s="61">
        <f>BX134/BR134-1</f>
        <v>2.8833751623671633E-2</v>
      </c>
      <c r="BY135" s="61">
        <f>BY134/BS134-1</f>
        <v>2.8739765029945685E-2</v>
      </c>
      <c r="BZ135" s="61">
        <f>BZ134/BT134-1</f>
        <v>2.8900777688883439E-2</v>
      </c>
      <c r="CA135" s="447">
        <f>CA134/BU134-1</f>
        <v>2.8791811223760622E-2</v>
      </c>
      <c r="CB135" s="51"/>
      <c r="CC135" s="625">
        <f>CC134/BW134-1</f>
        <v>2.8698186289334959E-2</v>
      </c>
      <c r="CD135" s="61">
        <f>CD134/BX134-1</f>
        <v>2.8856728965431344E-2</v>
      </c>
      <c r="CE135" s="61">
        <f>CE134/BY134-1</f>
        <v>2.8762522785226396E-2</v>
      </c>
      <c r="CF135" s="61">
        <f>CF134/BZ134-1</f>
        <v>2.8923901114218831E-2</v>
      </c>
      <c r="CG135" s="447">
        <f>CG134/CA134-1</f>
        <v>2.8814692704371536E-2</v>
      </c>
    </row>
    <row r="136" spans="1:85" ht="11.25" customHeight="1" outlineLevel="1" x14ac:dyDescent="0.2">
      <c r="A136" s="78"/>
      <c r="B136" s="99" t="s">
        <v>255</v>
      </c>
      <c r="C136" s="61"/>
      <c r="D136" s="61"/>
      <c r="E136" s="61"/>
      <c r="F136" s="61"/>
      <c r="G136" s="447"/>
      <c r="H136" s="51"/>
      <c r="I136" s="625"/>
      <c r="J136" s="61"/>
      <c r="K136" s="61"/>
      <c r="L136" s="61"/>
      <c r="M136" s="447"/>
      <c r="N136" s="51"/>
      <c r="O136" s="625"/>
      <c r="P136" s="61"/>
      <c r="Q136" s="61"/>
      <c r="R136" s="61"/>
      <c r="S136" s="447"/>
      <c r="T136" s="51"/>
      <c r="U136" s="625"/>
      <c r="V136" s="61"/>
      <c r="W136" s="61"/>
      <c r="X136" s="61"/>
      <c r="Y136" s="447"/>
      <c r="Z136" s="51"/>
      <c r="AA136" s="625"/>
      <c r="AB136" s="61"/>
      <c r="AC136" s="61"/>
      <c r="AD136" s="61"/>
      <c r="AE136" s="447"/>
      <c r="AF136" s="51"/>
      <c r="AG136" s="625"/>
      <c r="AH136" s="61"/>
      <c r="AI136" s="61"/>
      <c r="AJ136" s="61"/>
      <c r="AK136" s="447"/>
      <c r="AL136" s="51"/>
      <c r="AM136" s="625">
        <f>AM129</f>
        <v>1.3971908838713819E-3</v>
      </c>
      <c r="AN136" s="61">
        <f>AN129</f>
        <v>2.1138543188866099E-3</v>
      </c>
      <c r="AO136" s="61">
        <f>AO129</f>
        <v>4.9673851871042049E-3</v>
      </c>
      <c r="AP136" s="61">
        <f>AP129</f>
        <v>7.7737187154302279E-3</v>
      </c>
      <c r="AQ136" s="447">
        <f>AQ129</f>
        <v>4.1664643410530928E-3</v>
      </c>
      <c r="AR136" s="51"/>
      <c r="AS136" s="625">
        <f>AS129</f>
        <v>3.1278515613516189E-3</v>
      </c>
      <c r="AT136" s="61">
        <f>AT129</f>
        <v>1.1457321918955723E-2</v>
      </c>
      <c r="AU136" s="61">
        <f>AU129</f>
        <v>3.32158779446598E-3</v>
      </c>
      <c r="AV136" s="61">
        <f>AV129</f>
        <v>-3.6111701523385872E-2</v>
      </c>
      <c r="AW136" s="447">
        <f>AW129</f>
        <v>-5.4390988985132879E-3</v>
      </c>
      <c r="AX136" s="51"/>
      <c r="AY136" s="625">
        <f>AY129</f>
        <v>-6.9127680179624534E-2</v>
      </c>
      <c r="AZ136" s="61">
        <f>AZ129</f>
        <v>-7.9883933353842765E-2</v>
      </c>
      <c r="BA136" s="61">
        <f>BA129</f>
        <v>-7.0670505379126849E-2</v>
      </c>
      <c r="BB136" s="61">
        <f>BB129</f>
        <v>-5.7609024349291091E-2</v>
      </c>
      <c r="BC136" s="447">
        <f>BC129</f>
        <v>-6.9201212551440586E-2</v>
      </c>
      <c r="BD136" s="51"/>
      <c r="BE136" s="625">
        <f>BE129</f>
        <v>-1.965681444203643E-2</v>
      </c>
      <c r="BF136" s="61">
        <f>BF129</f>
        <v>-1.2912905841634056E-3</v>
      </c>
      <c r="BG136" s="61">
        <f>BG129</f>
        <v>-5.2987954870841805E-3</v>
      </c>
      <c r="BH136" s="61">
        <f>BH129</f>
        <v>-0.01</v>
      </c>
      <c r="BI136" s="447">
        <f>BI129</f>
        <v>-8.9797075926856037E-3</v>
      </c>
      <c r="BJ136" s="51"/>
      <c r="BK136" s="625">
        <f>BK129</f>
        <v>-2.5664660400767508E-3</v>
      </c>
      <c r="BL136" s="61">
        <f>BL129</f>
        <v>-1.0268566285170172E-2</v>
      </c>
      <c r="BM136" s="61">
        <f>BM129</f>
        <v>2.038836173690825E-2</v>
      </c>
      <c r="BN136" s="61">
        <f>BN129</f>
        <v>2.9999274114403507E-2</v>
      </c>
      <c r="BO136" s="447">
        <f>BO129</f>
        <v>1.0112767647609891E-2</v>
      </c>
      <c r="BP136" s="51"/>
      <c r="BQ136" s="625">
        <f t="shared" ref="BQ136:BU137" si="36">BQ129</f>
        <v>-5.9214195129657643E-3</v>
      </c>
      <c r="BR136" s="61">
        <f t="shared" si="36"/>
        <v>-5.8027358488663694E-3</v>
      </c>
      <c r="BS136" s="51">
        <f t="shared" si="36"/>
        <v>-1.1601549978697889E-2</v>
      </c>
      <c r="BT136" s="51">
        <f t="shared" si="36"/>
        <v>-1.1561303150409374E-2</v>
      </c>
      <c r="BU136" s="463">
        <f t="shared" si="36"/>
        <v>-8.8442387341864537E-3</v>
      </c>
      <c r="BV136" s="51"/>
      <c r="BW136" s="625">
        <f t="shared" ref="BW136:CA137" si="37">BW129</f>
        <v>0</v>
      </c>
      <c r="BX136" s="61">
        <f t="shared" si="37"/>
        <v>0</v>
      </c>
      <c r="BY136" s="51">
        <f t="shared" si="37"/>
        <v>0</v>
      </c>
      <c r="BZ136" s="51">
        <f t="shared" si="37"/>
        <v>0</v>
      </c>
      <c r="CA136" s="463">
        <f t="shared" si="37"/>
        <v>0</v>
      </c>
      <c r="CB136" s="51"/>
      <c r="CC136" s="625">
        <f t="shared" ref="CC136:CG137" si="38">CC129</f>
        <v>0</v>
      </c>
      <c r="CD136" s="61">
        <f t="shared" si="38"/>
        <v>0</v>
      </c>
      <c r="CE136" s="51">
        <f t="shared" si="38"/>
        <v>0</v>
      </c>
      <c r="CF136" s="51">
        <f t="shared" si="38"/>
        <v>0</v>
      </c>
      <c r="CG136" s="463">
        <f t="shared" si="38"/>
        <v>0</v>
      </c>
    </row>
    <row r="137" spans="1:85" ht="11.25" customHeight="1" outlineLevel="1" x14ac:dyDescent="0.2">
      <c r="A137" s="78"/>
      <c r="B137" s="99" t="s">
        <v>254</v>
      </c>
      <c r="C137" s="61"/>
      <c r="D137" s="61"/>
      <c r="E137" s="61"/>
      <c r="F137" s="61"/>
      <c r="G137" s="447"/>
      <c r="H137" s="51"/>
      <c r="I137" s="625"/>
      <c r="J137" s="61"/>
      <c r="K137" s="61"/>
      <c r="L137" s="61"/>
      <c r="M137" s="447"/>
      <c r="N137" s="51"/>
      <c r="O137" s="625"/>
      <c r="P137" s="61"/>
      <c r="Q137" s="61"/>
      <c r="R137" s="61"/>
      <c r="S137" s="447"/>
      <c r="T137" s="51"/>
      <c r="U137" s="625"/>
      <c r="V137" s="61"/>
      <c r="W137" s="61"/>
      <c r="X137" s="61"/>
      <c r="Y137" s="447"/>
      <c r="Z137" s="51"/>
      <c r="AA137" s="625"/>
      <c r="AB137" s="61"/>
      <c r="AC137" s="61"/>
      <c r="AD137" s="61"/>
      <c r="AE137" s="447"/>
      <c r="AF137" s="51"/>
      <c r="AG137" s="625"/>
      <c r="AH137" s="61"/>
      <c r="AI137" s="61"/>
      <c r="AJ137" s="61"/>
      <c r="AK137" s="447"/>
      <c r="AL137" s="51"/>
      <c r="AM137" s="625">
        <f>AM135-AM136-AM138</f>
        <v>3.7500810103966081E-2</v>
      </c>
      <c r="AN137" s="61">
        <f>AN135-AN136-AN138</f>
        <v>3.8306731161632343E-2</v>
      </c>
      <c r="AO137" s="61">
        <f>AO135-AO136-AO138</f>
        <v>2.8673890202750289E-2</v>
      </c>
      <c r="AP137" s="61">
        <f>AP135-AP136-AP138</f>
        <v>1.8173507006482917E-3</v>
      </c>
      <c r="AQ137" s="447">
        <f>AQ135-AQ136-AQ138</f>
        <v>2.5783053824464629E-2</v>
      </c>
      <c r="AR137" s="51"/>
      <c r="AS137" s="625">
        <f>AS135-AS136-AS138</f>
        <v>4.9258791980870062E-2</v>
      </c>
      <c r="AT137" s="61">
        <f>AT135-AT136-AT138</f>
        <v>5.2688009205604749E-2</v>
      </c>
      <c r="AU137" s="61">
        <f>AU135-AU136-AU138</f>
        <v>4.8832955033847381E-2</v>
      </c>
      <c r="AV137" s="61">
        <f>AV135-AV136-AV138</f>
        <v>5.3935775218252248E-2</v>
      </c>
      <c r="AW137" s="447">
        <f>AW135-AW136-AW138</f>
        <v>5.1309268321760117E-2</v>
      </c>
      <c r="AX137" s="51"/>
      <c r="AY137" s="625">
        <f>AY135-AY136-AY138</f>
        <v>-7.5857995878449505E-3</v>
      </c>
      <c r="AZ137" s="61">
        <f>AZ135-AZ136-AZ138</f>
        <v>3.7943996525814302E-3</v>
      </c>
      <c r="BA137" s="61">
        <f>BA135-BA136-BA138</f>
        <v>6.6022899653987444E-3</v>
      </c>
      <c r="BB137" s="61">
        <f>BB135-BB136-BB138</f>
        <v>1.106050502415979E-2</v>
      </c>
      <c r="BC137" s="447">
        <f>BC135-BC136-BC138</f>
        <v>3.7317342700121173E-3</v>
      </c>
      <c r="BD137" s="51"/>
      <c r="BE137" s="625">
        <f>BE135-BE136-BE138</f>
        <v>1.3522930072087609E-2</v>
      </c>
      <c r="BF137" s="61">
        <f>BF135-BF136-BF138</f>
        <v>1.101819162486866E-2</v>
      </c>
      <c r="BG137" s="61">
        <f>BG135-BG136-BG138</f>
        <v>1.3767855184135841E-2</v>
      </c>
      <c r="BH137" s="61">
        <f>BH135-BH136-BH138</f>
        <v>6.148233242213063E-2</v>
      </c>
      <c r="BI137" s="447">
        <f>BI135-BI136-BI138</f>
        <v>2.6083984591650969E-2</v>
      </c>
      <c r="BJ137" s="51"/>
      <c r="BK137" s="625">
        <f>BK135-BK136-BK138</f>
        <v>6.1154107367172673E-2</v>
      </c>
      <c r="BL137" s="61">
        <f>BL135-BL136-BL138</f>
        <v>7.2077311522951923E-2</v>
      </c>
      <c r="BM137" s="61">
        <f>BM135-BM136-BM138</f>
        <v>8.8214536801336785E-2</v>
      </c>
      <c r="BN137" s="61">
        <f>BN135-BN136-BN138</f>
        <v>3.6636372684532723E-2</v>
      </c>
      <c r="BO137" s="447">
        <f>BO135-BO136-BO138</f>
        <v>6.3330202156250334E-2</v>
      </c>
      <c r="BP137" s="51"/>
      <c r="BQ137" s="625">
        <f t="shared" si="36"/>
        <v>1.210477398271248E-2</v>
      </c>
      <c r="BR137" s="61">
        <f t="shared" si="36"/>
        <v>0</v>
      </c>
      <c r="BS137" s="51">
        <f t="shared" si="36"/>
        <v>0</v>
      </c>
      <c r="BT137" s="51">
        <f t="shared" si="36"/>
        <v>0</v>
      </c>
      <c r="BU137" s="463">
        <f t="shared" si="36"/>
        <v>2.8119579034240542E-3</v>
      </c>
      <c r="BV137" s="51"/>
      <c r="BW137" s="625">
        <f t="shared" si="37"/>
        <v>0</v>
      </c>
      <c r="BX137" s="61">
        <f t="shared" si="37"/>
        <v>0</v>
      </c>
      <c r="BY137" s="51">
        <f t="shared" si="37"/>
        <v>0</v>
      </c>
      <c r="BZ137" s="51">
        <f t="shared" si="37"/>
        <v>0</v>
      </c>
      <c r="CA137" s="463">
        <f t="shared" si="37"/>
        <v>0</v>
      </c>
      <c r="CB137" s="51"/>
      <c r="CC137" s="625">
        <f t="shared" si="38"/>
        <v>0</v>
      </c>
      <c r="CD137" s="61">
        <f t="shared" si="38"/>
        <v>0</v>
      </c>
      <c r="CE137" s="51">
        <f t="shared" si="38"/>
        <v>0</v>
      </c>
      <c r="CF137" s="51">
        <f t="shared" si="38"/>
        <v>0</v>
      </c>
      <c r="CG137" s="463">
        <f t="shared" si="38"/>
        <v>0</v>
      </c>
    </row>
    <row r="138" spans="1:85" ht="11.25" customHeight="1" outlineLevel="1" x14ac:dyDescent="0.2">
      <c r="A138" s="78"/>
      <c r="B138" s="1033" t="s">
        <v>569</v>
      </c>
      <c r="C138" s="761"/>
      <c r="D138" s="762"/>
      <c r="E138" s="762"/>
      <c r="F138" s="762"/>
      <c r="G138" s="763"/>
      <c r="H138" s="764"/>
      <c r="I138" s="761"/>
      <c r="J138" s="762"/>
      <c r="K138" s="762"/>
      <c r="L138" s="762"/>
      <c r="M138" s="763"/>
      <c r="N138" s="764"/>
      <c r="O138" s="761"/>
      <c r="P138" s="762"/>
      <c r="Q138" s="762"/>
      <c r="R138" s="762"/>
      <c r="S138" s="763"/>
      <c r="T138" s="764"/>
      <c r="U138" s="761"/>
      <c r="V138" s="762"/>
      <c r="W138" s="762"/>
      <c r="X138" s="762"/>
      <c r="Y138" s="763"/>
      <c r="Z138" s="764"/>
      <c r="AA138" s="761"/>
      <c r="AB138" s="762"/>
      <c r="AC138" s="762"/>
      <c r="AD138" s="762"/>
      <c r="AE138" s="763"/>
      <c r="AF138" s="764"/>
      <c r="AG138" s="761">
        <f>((AG20*AA$8)+(AG79*AA$67))/AA$126</f>
        <v>8.2296001895504761E-2</v>
      </c>
      <c r="AH138" s="762">
        <f>((AH20*AB$8)+(AH79*AB$67))/AB$126</f>
        <v>2.5074689489518368E-2</v>
      </c>
      <c r="AI138" s="762">
        <f>((AI20*AC$8)+(AI79*AC$67))/AC$126</f>
        <v>2.726800834534706E-2</v>
      </c>
      <c r="AJ138" s="762">
        <f>((AJ20*AD$8)+(AJ79*AD$67))/AD$126</f>
        <v>1.4140042771478843E-2</v>
      </c>
      <c r="AK138" s="763">
        <f>SUMPRODUCT(AG138:AJ138,AA126:AD126)/AE126</f>
        <v>3.5658556936082351E-2</v>
      </c>
      <c r="AL138" s="764"/>
      <c r="AM138" s="761">
        <f>((AM20*AG$8)+(AM79*AG$67))/AG$126</f>
        <v>1.1573482303710585E-3</v>
      </c>
      <c r="AN138" s="762">
        <f>((AN20*AH$8)+(AN79*AH$67))/AH$126</f>
        <v>2.1242389235689791E-2</v>
      </c>
      <c r="AO138" s="762">
        <f>((AO20*AI$8)+(AO79*AI$67))/AI$126</f>
        <v>1.881605995908632E-2</v>
      </c>
      <c r="AP138" s="762">
        <f>((AP20*AJ$8)+(AP79*AJ$67))/AJ$126</f>
        <v>3.2216051868832633E-2</v>
      </c>
      <c r="AQ138" s="763">
        <f>SUMPRODUCT(AM138:AP138,AG126:AJ126)/AK126</f>
        <v>1.8830784994057992E-2</v>
      </c>
      <c r="AR138" s="764"/>
      <c r="AS138" s="761">
        <f>((AS20*AM$8)+(AS79*AM$67))/AM$126</f>
        <v>2.701278977489828E-2</v>
      </c>
      <c r="AT138" s="762">
        <f>((AT20*AN$8)+(AT79*AN$67))/AN$126</f>
        <v>2.344144679857826E-2</v>
      </c>
      <c r="AU138" s="762">
        <f>((AU20*AO$8)+(AU79*AO$67))/AO$126</f>
        <v>4.7129115002438299E-2</v>
      </c>
      <c r="AV138" s="762">
        <f>((AV20*AP$8)+(AV79*AP$67))/AP$126</f>
        <v>4.1816451247622573E-2</v>
      </c>
      <c r="AW138" s="763">
        <f>SUMPRODUCT(AS138:AV138,AM126:AP126)/AQ126</f>
        <v>3.4916255833366015E-2</v>
      </c>
      <c r="AX138" s="764"/>
      <c r="AY138" s="761">
        <f>((AY20*AS$8)+(AY79*AS$67))/AS$126</f>
        <v>3.261517678699203E-2</v>
      </c>
      <c r="AZ138" s="762">
        <f>((AZ20*AT$8)+(AZ79*AT$67))/AT$126</f>
        <v>4.0530893742770267E-2</v>
      </c>
      <c r="BA138" s="762">
        <f>((BA20*AU$8)+(BA79*AU$67))/AU$126</f>
        <v>3.4626095234574286E-2</v>
      </c>
      <c r="BB138" s="762">
        <f>((BB20*AV$8)+(BB79*AV$67))/AV$126</f>
        <v>5.2760680769887415E-2</v>
      </c>
      <c r="BC138" s="763">
        <f>SUMPRODUCT(AY138:BB138,AS126:AV126)/AW126</f>
        <v>4.0419866517134147E-2</v>
      </c>
      <c r="BD138" s="764"/>
      <c r="BE138" s="761">
        <f>((BE20*AY$8)+(BE79*AY$67))/AY$126</f>
        <v>3.4939285945700775E-2</v>
      </c>
      <c r="BF138" s="762">
        <f>((BF20*AZ$8)+(BF79*AZ$67))/AZ$126</f>
        <v>3.0884128857771725E-2</v>
      </c>
      <c r="BG138" s="762">
        <f>((BG20*BA$8)+(BG79*BA$67))/BA$126</f>
        <v>2.4356269066058291E-2</v>
      </c>
      <c r="BH138" s="762">
        <f>((BH20*BB$8)+(BH79*BB$67))/BB$126</f>
        <v>2.1180692990196419E-2</v>
      </c>
      <c r="BI138" s="763">
        <f>SUMPRODUCT(BE138:BH138,AY126:BB126)/BC126</f>
        <v>2.7631349514925595E-2</v>
      </c>
      <c r="BJ138" s="764"/>
      <c r="BK138" s="761">
        <f>((BK20*BE$8)+(BK79*BE$67))/BE$126</f>
        <v>4.7934173481185012E-2</v>
      </c>
      <c r="BL138" s="762">
        <f>((BL20*BF$8)+(BL79*BF$67))/BF$126</f>
        <v>1.6521388185740046E-2</v>
      </c>
      <c r="BM138" s="762">
        <f>((BM20*BG$8)+(BM79*BG$67))/BG$126</f>
        <v>2.937228988557148E-2</v>
      </c>
      <c r="BN138" s="762">
        <f>((BN20*BH$8)+(BN79*BH$67))/BH$126</f>
        <v>1.1452850020421583E-2</v>
      </c>
      <c r="BO138" s="763">
        <f>SUMPRODUCT(BK138:BN138,BE126:BH126)/BI126</f>
        <v>2.5546072317619625E-2</v>
      </c>
      <c r="BP138" s="264"/>
      <c r="BQ138" s="372">
        <f>BQ135-BQ136-BQ137</f>
        <v>1.5109194260968017E-2</v>
      </c>
      <c r="BR138" s="260">
        <f>BR135-BR136-BR137</f>
        <v>4.450421992753717E-2</v>
      </c>
      <c r="BS138" s="51">
        <f>BS135-BS136-BS137</f>
        <v>3.2083738654948624E-2</v>
      </c>
      <c r="BT138" s="51">
        <f>BT135-BT136-BT137</f>
        <v>2.2104897371171273E-2</v>
      </c>
      <c r="BU138" s="463">
        <f>BU135-BU136-BU137</f>
        <v>2.8377962125887217E-2</v>
      </c>
      <c r="BV138" s="264"/>
      <c r="BW138" s="372">
        <f>BW135-BW136-BW137</f>
        <v>2.8675588364311499E-2</v>
      </c>
      <c r="BX138" s="260">
        <f>BX135-BX136-BX137</f>
        <v>2.8833751623671633E-2</v>
      </c>
      <c r="BY138" s="51">
        <f>BY135-BY136-BY137</f>
        <v>2.8739765029945685E-2</v>
      </c>
      <c r="BZ138" s="51">
        <f>BZ135-BZ136-BZ137</f>
        <v>2.8900777688883439E-2</v>
      </c>
      <c r="CA138" s="463">
        <f>CA135-CA136-CA137</f>
        <v>2.8791811223760622E-2</v>
      </c>
      <c r="CB138" s="264"/>
      <c r="CC138" s="372">
        <f>CC135-CC136-CC137</f>
        <v>2.8698186289334959E-2</v>
      </c>
      <c r="CD138" s="260">
        <f>CD135-CD136-CD137</f>
        <v>2.8856728965431344E-2</v>
      </c>
      <c r="CE138" s="51">
        <f>CE135-CE136-CE137</f>
        <v>2.8762522785226396E-2</v>
      </c>
      <c r="CF138" s="51">
        <f>CF135-CF136-CF137</f>
        <v>2.8923901114218831E-2</v>
      </c>
      <c r="CG138" s="463">
        <f>CG135-CG136-CG137</f>
        <v>2.8814692704371536E-2</v>
      </c>
    </row>
    <row r="139" spans="1:85" ht="11.25" customHeight="1" outlineLevel="1" x14ac:dyDescent="0.2">
      <c r="A139" s="78"/>
      <c r="B139" s="373"/>
      <c r="C139" s="761"/>
      <c r="D139" s="762"/>
      <c r="E139" s="762"/>
      <c r="F139" s="762"/>
      <c r="G139" s="763"/>
      <c r="H139" s="764"/>
      <c r="I139" s="761"/>
      <c r="J139" s="762"/>
      <c r="K139" s="762"/>
      <c r="L139" s="762"/>
      <c r="M139" s="763"/>
      <c r="N139" s="764"/>
      <c r="O139" s="761"/>
      <c r="P139" s="762"/>
      <c r="Q139" s="762"/>
      <c r="R139" s="762"/>
      <c r="S139" s="763"/>
      <c r="T139" s="764"/>
      <c r="U139" s="761"/>
      <c r="V139" s="762"/>
      <c r="W139" s="762"/>
      <c r="X139" s="762"/>
      <c r="Y139" s="763"/>
      <c r="Z139" s="764"/>
      <c r="AA139" s="761"/>
      <c r="AB139" s="762"/>
      <c r="AC139" s="762"/>
      <c r="AD139" s="762"/>
      <c r="AE139" s="763"/>
      <c r="AF139" s="764"/>
      <c r="AG139" s="761"/>
      <c r="AH139" s="762"/>
      <c r="AI139" s="762"/>
      <c r="AJ139" s="762"/>
      <c r="AK139" s="763"/>
      <c r="AL139" s="764"/>
      <c r="AM139" s="761"/>
      <c r="AN139" s="762"/>
      <c r="AO139" s="762"/>
      <c r="AP139" s="762"/>
      <c r="AQ139" s="763"/>
      <c r="AR139" s="764"/>
      <c r="AS139" s="761"/>
      <c r="AT139" s="762"/>
      <c r="AU139" s="762"/>
      <c r="AV139" s="762"/>
      <c r="AW139" s="763"/>
      <c r="AX139" s="764"/>
      <c r="AY139" s="761"/>
      <c r="AZ139" s="762"/>
      <c r="BA139" s="762"/>
      <c r="BB139" s="762"/>
      <c r="BC139" s="763"/>
      <c r="BD139" s="764"/>
      <c r="BE139" s="761"/>
      <c r="BF139" s="762"/>
      <c r="BG139" s="762"/>
      <c r="BH139" s="762"/>
      <c r="BI139" s="763"/>
      <c r="BJ139" s="764"/>
      <c r="BK139" s="761"/>
      <c r="BL139" s="762"/>
      <c r="BM139" s="762"/>
      <c r="BN139" s="762"/>
      <c r="BO139" s="763"/>
      <c r="BP139" s="264"/>
      <c r="BQ139" s="372"/>
      <c r="BR139" s="260"/>
      <c r="BS139" s="260"/>
      <c r="BT139" s="260"/>
      <c r="BU139" s="449"/>
      <c r="BV139" s="264"/>
      <c r="BW139" s="372"/>
      <c r="BX139" s="260"/>
      <c r="BY139" s="260"/>
      <c r="BZ139" s="260"/>
      <c r="CA139" s="449"/>
      <c r="CB139" s="264"/>
      <c r="CC139" s="372"/>
      <c r="CD139" s="260"/>
      <c r="CE139" s="260"/>
      <c r="CF139" s="260"/>
      <c r="CG139" s="449"/>
    </row>
    <row r="140" spans="1:85" ht="11.25" customHeight="1" outlineLevel="1" x14ac:dyDescent="0.2">
      <c r="A140" s="78"/>
      <c r="B140" s="108" t="s">
        <v>556</v>
      </c>
      <c r="C140" s="269"/>
      <c r="D140" s="270"/>
      <c r="E140" s="270"/>
      <c r="F140" s="270"/>
      <c r="G140" s="448"/>
      <c r="H140" s="39"/>
      <c r="I140" s="269"/>
      <c r="J140" s="270"/>
      <c r="K140" s="270"/>
      <c r="L140" s="270"/>
      <c r="M140" s="448"/>
      <c r="N140" s="39"/>
      <c r="O140" s="269"/>
      <c r="P140" s="270"/>
      <c r="Q140" s="270"/>
      <c r="R140" s="270"/>
      <c r="S140" s="448"/>
      <c r="T140" s="39"/>
      <c r="U140" s="269"/>
      <c r="V140" s="270"/>
      <c r="W140" s="270"/>
      <c r="X140" s="270"/>
      <c r="Y140" s="448"/>
      <c r="Z140" s="39"/>
      <c r="AA140" s="147"/>
      <c r="AB140" s="148"/>
      <c r="AC140" s="148"/>
      <c r="AD140" s="148"/>
      <c r="AE140" s="448"/>
      <c r="AF140" s="39"/>
      <c r="AG140" s="147">
        <f>AG126*AG$338</f>
        <v>242.72334273952967</v>
      </c>
      <c r="AH140" s="148">
        <f>AH126*AH$338</f>
        <v>267.46688654765222</v>
      </c>
      <c r="AI140" s="148">
        <f>AI126*AI$338</f>
        <v>240.30165606719851</v>
      </c>
      <c r="AJ140" s="148">
        <f>AJ126*AJ$338</f>
        <v>295.37832409540147</v>
      </c>
      <c r="AK140" s="448">
        <f>SUM(AG140:AJ140)</f>
        <v>1045.8702094497819</v>
      </c>
      <c r="AL140" s="39"/>
      <c r="AM140" s="147">
        <f>AM126*AM$338</f>
        <v>241.28410578676235</v>
      </c>
      <c r="AN140" s="148">
        <f>AN126*AN$338</f>
        <v>284.49439709779125</v>
      </c>
      <c r="AO140" s="148">
        <f>AO126*AO$338</f>
        <v>257.9559257147564</v>
      </c>
      <c r="AP140" s="148">
        <f>AP126*AP$338</f>
        <v>303.74296734306313</v>
      </c>
      <c r="AQ140" s="448">
        <f>SUM(AM140:AP140)</f>
        <v>1087.4773959423733</v>
      </c>
      <c r="AR140" s="39"/>
      <c r="AS140" s="147">
        <f>AS126*AS$338</f>
        <v>272.02647885779936</v>
      </c>
      <c r="AT140" s="148">
        <f>AT126*AT$338</f>
        <v>307.98970335356773</v>
      </c>
      <c r="AU140" s="148">
        <f>AU126*AU$338</f>
        <v>281.24521034983189</v>
      </c>
      <c r="AV140" s="148">
        <f>AV126*AV$338</f>
        <v>293.54412333408567</v>
      </c>
      <c r="AW140" s="448">
        <f>SUM(AS140:AV140)</f>
        <v>1154.8055158952848</v>
      </c>
      <c r="AX140" s="39"/>
      <c r="AY140" s="147">
        <f>AY126*AY$338</f>
        <v>270.36789666228037</v>
      </c>
      <c r="AZ140" s="148">
        <f>AZ126*AZ$338</f>
        <v>297.96133155013166</v>
      </c>
      <c r="BA140" s="148">
        <f>BA126*BA$338</f>
        <v>279.15999068574524</v>
      </c>
      <c r="BB140" s="148">
        <f>BB126*BB$338</f>
        <v>308.37821373088138</v>
      </c>
      <c r="BC140" s="448">
        <f>SUM(AY140:BB140)</f>
        <v>1155.8674326290388</v>
      </c>
      <c r="BD140" s="39"/>
      <c r="BE140" s="147">
        <f>BE126*BE$338</f>
        <v>293.82909773482407</v>
      </c>
      <c r="BF140" s="148">
        <f>BF126*BF$338</f>
        <v>308.87011463310012</v>
      </c>
      <c r="BG140" s="148">
        <f>BG126*BG$338</f>
        <v>310.96010601288145</v>
      </c>
      <c r="BH140" s="148">
        <f>BH126*BH$338</f>
        <v>336.7651951266165</v>
      </c>
      <c r="BI140" s="448">
        <f>SUM(BE140:BH140)</f>
        <v>1250.424513507422</v>
      </c>
      <c r="BJ140" s="39"/>
      <c r="BK140" s="147">
        <f>BK126*BK$338</f>
        <v>289.86600143326331</v>
      </c>
      <c r="BL140" s="148">
        <f>BL126*BL$338</f>
        <v>340.48095266727</v>
      </c>
      <c r="BM140" s="148">
        <f>BM126*BM$338</f>
        <v>318.49044765470029</v>
      </c>
      <c r="BN140" s="148">
        <f>BN126*BN$338</f>
        <v>369.00570988108956</v>
      </c>
      <c r="BO140" s="448">
        <f>SUM(BK140:BN140)</f>
        <v>1317.8431116363233</v>
      </c>
      <c r="BP140" s="39"/>
      <c r="BQ140" s="147">
        <f>BQ126*BQ$338</f>
        <v>317.29187020480509</v>
      </c>
      <c r="BR140" s="148">
        <f>BR126*BR$338</f>
        <v>332.07336937910981</v>
      </c>
      <c r="BS140" s="148">
        <f>BS126*BS$338</f>
        <v>329.81719223391525</v>
      </c>
      <c r="BT140" s="148">
        <f>BT126*BT$338</f>
        <v>368.14085864903478</v>
      </c>
      <c r="BU140" s="448">
        <f>SUM(BQ140:BT140)</f>
        <v>1347.3232904668648</v>
      </c>
      <c r="BV140" s="39"/>
      <c r="BW140" s="147">
        <f>BW126*BW$338</f>
        <v>326.39040126614066</v>
      </c>
      <c r="BX140" s="148">
        <f>BX126*BX$338</f>
        <v>341.64829043262284</v>
      </c>
      <c r="BY140" s="148">
        <f>BY126*BY$338</f>
        <v>339.29606084155449</v>
      </c>
      <c r="BZ140" s="148">
        <f>BZ126*BZ$338</f>
        <v>378.7804157630452</v>
      </c>
      <c r="CA140" s="448">
        <f>SUM(BW140:BZ140)</f>
        <v>1386.1151683033631</v>
      </c>
      <c r="CB140" s="39"/>
      <c r="CC140" s="147">
        <f>CC126*CC$338</f>
        <v>335.75721380472714</v>
      </c>
      <c r="CD140" s="148">
        <f>CD126*CD$338</f>
        <v>351.50714255113996</v>
      </c>
      <c r="CE140" s="148">
        <f>CE126*CE$338</f>
        <v>349.05507152244724</v>
      </c>
      <c r="CF140" s="148">
        <f>CF126*CF$338</f>
        <v>389.73622305257828</v>
      </c>
      <c r="CG140" s="448">
        <f>SUM(CC140:CF140)</f>
        <v>1426.0556509308926</v>
      </c>
    </row>
    <row r="141" spans="1:85" ht="11.25" customHeight="1" outlineLevel="1" x14ac:dyDescent="0.2">
      <c r="A141" s="78"/>
      <c r="B141" s="99" t="s">
        <v>253</v>
      </c>
      <c r="C141" s="61"/>
      <c r="D141" s="61"/>
      <c r="E141" s="61"/>
      <c r="F141" s="61"/>
      <c r="G141" s="447"/>
      <c r="H141" s="51"/>
      <c r="I141" s="625"/>
      <c r="J141" s="61"/>
      <c r="K141" s="61"/>
      <c r="L141" s="61"/>
      <c r="M141" s="447"/>
      <c r="N141" s="51"/>
      <c r="O141" s="625"/>
      <c r="P141" s="61"/>
      <c r="Q141" s="61"/>
      <c r="R141" s="61"/>
      <c r="S141" s="447"/>
      <c r="T141" s="51"/>
      <c r="U141" s="625"/>
      <c r="V141" s="61"/>
      <c r="W141" s="61"/>
      <c r="X141" s="61"/>
      <c r="Y141" s="447"/>
      <c r="Z141" s="51"/>
      <c r="AA141" s="625"/>
      <c r="AB141" s="61"/>
      <c r="AC141" s="61"/>
      <c r="AD141" s="61"/>
      <c r="AE141" s="447"/>
      <c r="AF141" s="51"/>
      <c r="AG141" s="625"/>
      <c r="AH141" s="61"/>
      <c r="AI141" s="61"/>
      <c r="AJ141" s="61"/>
      <c r="AK141" s="447"/>
      <c r="AL141" s="51"/>
      <c r="AM141" s="625">
        <f>AM140/AG140-1</f>
        <v>-5.9295366342733136E-3</v>
      </c>
      <c r="AN141" s="61">
        <f>AN140/AH140-1</f>
        <v>6.3662125693100924E-2</v>
      </c>
      <c r="AO141" s="61">
        <f>AO140/AI140-1</f>
        <v>7.3467116026121104E-2</v>
      </c>
      <c r="AP141" s="61">
        <f>AP140/AJ140-1</f>
        <v>2.8318405804753866E-2</v>
      </c>
      <c r="AQ141" s="447">
        <f>AQ140/AK140-1</f>
        <v>3.978236124966239E-2</v>
      </c>
      <c r="AR141" s="51"/>
      <c r="AS141" s="625">
        <f>AS140/AM140-1</f>
        <v>0.12741151337256307</v>
      </c>
      <c r="AT141" s="61">
        <f>AT140/AN140-1</f>
        <v>8.2586182699760702E-2</v>
      </c>
      <c r="AU141" s="61">
        <f>AU140/AO140-1</f>
        <v>9.0283968358332745E-2</v>
      </c>
      <c r="AV141" s="61">
        <f>AV140/AP140-1</f>
        <v>-3.3577218587775071E-2</v>
      </c>
      <c r="AW141" s="447">
        <f>AW140/AQ140-1</f>
        <v>6.1912201765414343E-2</v>
      </c>
      <c r="AX141" s="51"/>
      <c r="AY141" s="625">
        <f>AY140/AS140-1</f>
        <v>-6.097135111563956E-3</v>
      </c>
      <c r="AZ141" s="61">
        <f>AZ140/AT140-1</f>
        <v>-3.256073723972408E-2</v>
      </c>
      <c r="BA141" s="61">
        <f>BA140/AU140-1</f>
        <v>-7.414240624730728E-3</v>
      </c>
      <c r="BB141" s="61">
        <f>BB140/AV140-1</f>
        <v>5.0534448546642796E-2</v>
      </c>
      <c r="BC141" s="447">
        <f>BC140/AW140-1</f>
        <v>9.1956326769948582E-4</v>
      </c>
      <c r="BD141" s="51"/>
      <c r="BE141" s="625">
        <f>BE140/AY140-1</f>
        <v>8.6775099270936629E-2</v>
      </c>
      <c r="BF141" s="61">
        <f>BF140/AZ140-1</f>
        <v>3.6611405333087932E-2</v>
      </c>
      <c r="BG141" s="61">
        <f>BG140/BA140-1</f>
        <v>0.11391358499841076</v>
      </c>
      <c r="BH141" s="61">
        <f>BH140/BB140-1</f>
        <v>9.2052486627697272E-2</v>
      </c>
      <c r="BI141" s="447">
        <f>BI140/BC140-1</f>
        <v>8.1806164105957757E-2</v>
      </c>
      <c r="BJ141" s="51"/>
      <c r="BK141" s="625">
        <f>BK140/BE140-1</f>
        <v>-1.3487759830843604E-2</v>
      </c>
      <c r="BL141" s="61">
        <f>BL140/BF140-1</f>
        <v>0.10234346586661425</v>
      </c>
      <c r="BM141" s="61">
        <f>BM140/BG140-1</f>
        <v>2.4216423573983681E-2</v>
      </c>
      <c r="BN141" s="61">
        <f>BN140/BH140-1</f>
        <v>9.5735887262195618E-2</v>
      </c>
      <c r="BO141" s="447">
        <f>BO140/BI140-1</f>
        <v>5.3916567854058739E-2</v>
      </c>
      <c r="BP141" s="51"/>
      <c r="BQ141" s="625">
        <f>BQ140/BK140-1</f>
        <v>9.461567978283969E-2</v>
      </c>
      <c r="BR141" s="61">
        <f>BR140/BL140-1</f>
        <v>-2.4693255884937537E-2</v>
      </c>
      <c r="BS141" s="61">
        <f>BS140/BM140-1</f>
        <v>3.5563843947668872E-2</v>
      </c>
      <c r="BT141" s="61">
        <f>BT140/BN140-1</f>
        <v>-2.3437340097893777E-3</v>
      </c>
      <c r="BU141" s="447">
        <f>BU140/BO140-1</f>
        <v>2.2370021567997611E-2</v>
      </c>
      <c r="BV141" s="51"/>
      <c r="BW141" s="625">
        <f>BW140/BQ140-1</f>
        <v>2.8675588364311499E-2</v>
      </c>
      <c r="BX141" s="61">
        <f>BX140/BR140-1</f>
        <v>2.8833751623671633E-2</v>
      </c>
      <c r="BY141" s="61">
        <f>BY140/BS140-1</f>
        <v>2.8739765029945907E-2</v>
      </c>
      <c r="BZ141" s="61">
        <f>BZ140/BT140-1</f>
        <v>2.8900777688883439E-2</v>
      </c>
      <c r="CA141" s="447">
        <f>CA140/BU140-1</f>
        <v>2.8791811223760844E-2</v>
      </c>
      <c r="CB141" s="51"/>
      <c r="CC141" s="625">
        <f>CC140/BW140-1</f>
        <v>2.8698186289334959E-2</v>
      </c>
      <c r="CD141" s="61">
        <f>CD140/BX140-1</f>
        <v>2.8856728965431122E-2</v>
      </c>
      <c r="CE141" s="61">
        <f>CE140/BY140-1</f>
        <v>2.8762522785226396E-2</v>
      </c>
      <c r="CF141" s="61">
        <f>CF140/BZ140-1</f>
        <v>2.8923901114219053E-2</v>
      </c>
      <c r="CG141" s="447">
        <f>CG140/CA140-1</f>
        <v>2.8814692704371536E-2</v>
      </c>
    </row>
    <row r="142" spans="1:85" ht="11.25" customHeight="1" outlineLevel="1" x14ac:dyDescent="0.2">
      <c r="A142" s="78"/>
      <c r="B142" s="99" t="s">
        <v>255</v>
      </c>
      <c r="C142" s="61"/>
      <c r="D142" s="61"/>
      <c r="E142" s="61"/>
      <c r="F142" s="61"/>
      <c r="G142" s="447"/>
      <c r="H142" s="51"/>
      <c r="I142" s="625"/>
      <c r="J142" s="61"/>
      <c r="K142" s="61"/>
      <c r="L142" s="61"/>
      <c r="M142" s="447"/>
      <c r="N142" s="51"/>
      <c r="O142" s="625"/>
      <c r="P142" s="61"/>
      <c r="Q142" s="61"/>
      <c r="R142" s="61"/>
      <c r="S142" s="447"/>
      <c r="T142" s="51"/>
      <c r="U142" s="625"/>
      <c r="V142" s="61"/>
      <c r="W142" s="61"/>
      <c r="X142" s="61"/>
      <c r="Y142" s="447"/>
      <c r="Z142" s="51"/>
      <c r="AA142" s="625"/>
      <c r="AB142" s="61"/>
      <c r="AC142" s="61"/>
      <c r="AD142" s="61"/>
      <c r="AE142" s="447"/>
      <c r="AF142" s="51"/>
      <c r="AG142" s="625"/>
      <c r="AH142" s="61"/>
      <c r="AI142" s="61"/>
      <c r="AJ142" s="61"/>
      <c r="AK142" s="447"/>
      <c r="AL142" s="51"/>
      <c r="AM142" s="625">
        <f>AM129</f>
        <v>1.3971908838713819E-3</v>
      </c>
      <c r="AN142" s="61">
        <f>AN129</f>
        <v>2.1138543188866099E-3</v>
      </c>
      <c r="AO142" s="61">
        <f>AO129</f>
        <v>4.9673851871042049E-3</v>
      </c>
      <c r="AP142" s="61">
        <f>AP129</f>
        <v>7.7737187154302279E-3</v>
      </c>
      <c r="AQ142" s="447">
        <f>AQ129</f>
        <v>4.1664643410530928E-3</v>
      </c>
      <c r="AR142" s="51"/>
      <c r="AS142" s="625">
        <f>AS129</f>
        <v>3.1278515613516189E-3</v>
      </c>
      <c r="AT142" s="61">
        <f>AT129</f>
        <v>1.1457321918955723E-2</v>
      </c>
      <c r="AU142" s="61">
        <f>AU129</f>
        <v>3.32158779446598E-3</v>
      </c>
      <c r="AV142" s="61">
        <f>AV129</f>
        <v>-3.6111701523385872E-2</v>
      </c>
      <c r="AW142" s="447">
        <f>AW129</f>
        <v>-5.4390988985132879E-3</v>
      </c>
      <c r="AX142" s="51"/>
      <c r="AY142" s="625">
        <f>AY129</f>
        <v>-6.9127680179624534E-2</v>
      </c>
      <c r="AZ142" s="61">
        <f>AZ129</f>
        <v>-7.9883933353842765E-2</v>
      </c>
      <c r="BA142" s="61">
        <f>BA129</f>
        <v>-7.0670505379126849E-2</v>
      </c>
      <c r="BB142" s="61">
        <f>BB129</f>
        <v>-5.7609024349291091E-2</v>
      </c>
      <c r="BC142" s="447">
        <f>BC129</f>
        <v>-6.9201212551440586E-2</v>
      </c>
      <c r="BD142" s="51"/>
      <c r="BE142" s="625">
        <f>BE129</f>
        <v>-1.965681444203643E-2</v>
      </c>
      <c r="BF142" s="61">
        <f>BF129</f>
        <v>-1.2912905841634056E-3</v>
      </c>
      <c r="BG142" s="61">
        <f>BG129</f>
        <v>-5.2987954870841805E-3</v>
      </c>
      <c r="BH142" s="61">
        <f>BH129</f>
        <v>-0.01</v>
      </c>
      <c r="BI142" s="447">
        <f>BI129</f>
        <v>-8.9797075926856037E-3</v>
      </c>
      <c r="BJ142" s="51"/>
      <c r="BK142" s="625">
        <f>BK129</f>
        <v>-2.5664660400767508E-3</v>
      </c>
      <c r="BL142" s="61">
        <f>BL129</f>
        <v>-1.0268566285170172E-2</v>
      </c>
      <c r="BM142" s="61">
        <f>BM129</f>
        <v>2.038836173690825E-2</v>
      </c>
      <c r="BN142" s="61">
        <f>BN129</f>
        <v>2.9999274114403507E-2</v>
      </c>
      <c r="BO142" s="447">
        <f>BO129</f>
        <v>1.0112767647609891E-2</v>
      </c>
      <c r="BP142" s="51"/>
      <c r="BQ142" s="625">
        <f t="shared" ref="BQ142:BU143" si="39">BQ129</f>
        <v>-5.9214195129657643E-3</v>
      </c>
      <c r="BR142" s="61">
        <f t="shared" si="39"/>
        <v>-5.8027358488663694E-3</v>
      </c>
      <c r="BS142" s="51">
        <f t="shared" si="39"/>
        <v>-1.1601549978697889E-2</v>
      </c>
      <c r="BT142" s="51">
        <f t="shared" si="39"/>
        <v>-1.1561303150409374E-2</v>
      </c>
      <c r="BU142" s="463">
        <f t="shared" si="39"/>
        <v>-8.8442387341864537E-3</v>
      </c>
      <c r="BV142" s="51"/>
      <c r="BW142" s="625">
        <f t="shared" ref="BW142:CA143" si="40">BW129</f>
        <v>0</v>
      </c>
      <c r="BX142" s="61">
        <f t="shared" si="40"/>
        <v>0</v>
      </c>
      <c r="BY142" s="51">
        <f t="shared" si="40"/>
        <v>0</v>
      </c>
      <c r="BZ142" s="51">
        <f t="shared" si="40"/>
        <v>0</v>
      </c>
      <c r="CA142" s="463">
        <f t="shared" si="40"/>
        <v>0</v>
      </c>
      <c r="CB142" s="51"/>
      <c r="CC142" s="625">
        <f t="shared" ref="CC142:CG143" si="41">CC129</f>
        <v>0</v>
      </c>
      <c r="CD142" s="61">
        <f t="shared" si="41"/>
        <v>0</v>
      </c>
      <c r="CE142" s="51">
        <f t="shared" si="41"/>
        <v>0</v>
      </c>
      <c r="CF142" s="51">
        <f t="shared" si="41"/>
        <v>0</v>
      </c>
      <c r="CG142" s="463">
        <f t="shared" si="41"/>
        <v>0</v>
      </c>
    </row>
    <row r="143" spans="1:85" ht="11.25" customHeight="1" outlineLevel="1" x14ac:dyDescent="0.2">
      <c r="A143" s="78"/>
      <c r="B143" s="99" t="s">
        <v>254</v>
      </c>
      <c r="C143" s="61"/>
      <c r="D143" s="61"/>
      <c r="E143" s="61"/>
      <c r="F143" s="61"/>
      <c r="G143" s="447"/>
      <c r="H143" s="51"/>
      <c r="I143" s="625"/>
      <c r="J143" s="61"/>
      <c r="K143" s="61"/>
      <c r="L143" s="61"/>
      <c r="M143" s="447"/>
      <c r="N143" s="51"/>
      <c r="O143" s="625"/>
      <c r="P143" s="61"/>
      <c r="Q143" s="61"/>
      <c r="R143" s="61"/>
      <c r="S143" s="447"/>
      <c r="T143" s="51"/>
      <c r="U143" s="625"/>
      <c r="V143" s="61"/>
      <c r="W143" s="61"/>
      <c r="X143" s="61"/>
      <c r="Y143" s="447"/>
      <c r="Z143" s="51"/>
      <c r="AA143" s="625"/>
      <c r="AB143" s="61"/>
      <c r="AC143" s="61"/>
      <c r="AD143" s="61"/>
      <c r="AE143" s="447"/>
      <c r="AF143" s="51"/>
      <c r="AG143" s="625"/>
      <c r="AH143" s="61"/>
      <c r="AI143" s="61"/>
      <c r="AJ143" s="61"/>
      <c r="AK143" s="447"/>
      <c r="AL143" s="51"/>
      <c r="AM143" s="625">
        <f>AM141-AM142-AM144</f>
        <v>8.4372501362987157E-3</v>
      </c>
      <c r="AN143" s="61">
        <f>AN141-AN142-AN144</f>
        <v>1.0939394208067221E-2</v>
      </c>
      <c r="AO143" s="61">
        <f>AO141-AO142-AO144</f>
        <v>2.2913330277077315E-4</v>
      </c>
      <c r="AP143" s="61">
        <f>AP141-AP142-AP144</f>
        <v>2.1791765740232956E-3</v>
      </c>
      <c r="AQ143" s="447">
        <f>AQ141-AQ142-AQ144</f>
        <v>5.8018180200513393E-3</v>
      </c>
      <c r="AR143" s="51"/>
      <c r="AS143" s="625">
        <f>AS141-AS142-AS144</f>
        <v>2.0653765817358616E-2</v>
      </c>
      <c r="AT143" s="61">
        <f>AT141-AT142-AT144</f>
        <v>2.6639903738740991E-2</v>
      </c>
      <c r="AU143" s="61">
        <f>AU141-AU142-AU144</f>
        <v>3.6071241188561982E-2</v>
      </c>
      <c r="AV143" s="61">
        <f>AV141-AV142-AV144</f>
        <v>2.0401201884302347E-2</v>
      </c>
      <c r="AW143" s="447">
        <f>AW141-AW142-AW144</f>
        <v>2.4278511940821548E-2</v>
      </c>
      <c r="AX143" s="51"/>
      <c r="AY143" s="625">
        <f>AY141-AY142-AY144</f>
        <v>1.4371137606736584E-2</v>
      </c>
      <c r="AZ143" s="61">
        <f>AZ141-AZ142-AZ144</f>
        <v>1.2050620901163593E-2</v>
      </c>
      <c r="BA143" s="61">
        <f>BA141-BA142-BA144</f>
        <v>3.379926134360875E-3</v>
      </c>
      <c r="BB143" s="61">
        <f>BB141-BB142-BB144</f>
        <v>1.0799156960460854E-2</v>
      </c>
      <c r="BC143" s="447">
        <f>BC141-BC142-BC144</f>
        <v>9.3353860883822332E-3</v>
      </c>
      <c r="BD143" s="51"/>
      <c r="BE143" s="625">
        <f>BE141-BE142-BE144</f>
        <v>5.3514368128240036E-3</v>
      </c>
      <c r="BF143" s="61">
        <f>BF141-BF142-BF144</f>
        <v>9.4692179431110218E-3</v>
      </c>
      <c r="BG143" s="61">
        <f>BG141-BG142-BG144</f>
        <v>1.7067501738321014E-2</v>
      </c>
      <c r="BH143" s="61">
        <f>BH141-BH142-BH144</f>
        <v>9.904010951985788E-2</v>
      </c>
      <c r="BI143" s="447">
        <f>BI141-BI142-BI144</f>
        <v>3.4384778871649521E-2</v>
      </c>
      <c r="BJ143" s="51"/>
      <c r="BK143" s="625">
        <f>BK141-BK142-BK144</f>
        <v>1.3231927821594918E-2</v>
      </c>
      <c r="BL143" s="61">
        <f>BL141-BL142-BL144</f>
        <v>6.0131629510631751E-3</v>
      </c>
      <c r="BM143" s="61">
        <f>BM141-BM142-BM144</f>
        <v>-1.159431504423082E-2</v>
      </c>
      <c r="BN143" s="61">
        <f>BN141-BN142-BN144</f>
        <v>-7.8420221371584525E-2</v>
      </c>
      <c r="BO143" s="447">
        <f>BO141-BO142-BO144</f>
        <v>-2.0797097062987047E-2</v>
      </c>
      <c r="BP143" s="51"/>
      <c r="BQ143" s="625">
        <f t="shared" si="39"/>
        <v>1.210477398271248E-2</v>
      </c>
      <c r="BR143" s="61">
        <f t="shared" si="39"/>
        <v>0</v>
      </c>
      <c r="BS143" s="51">
        <f t="shared" si="39"/>
        <v>0</v>
      </c>
      <c r="BT143" s="51">
        <f t="shared" si="39"/>
        <v>0</v>
      </c>
      <c r="BU143" s="463">
        <f t="shared" si="39"/>
        <v>2.8119579034240542E-3</v>
      </c>
      <c r="BV143" s="51"/>
      <c r="BW143" s="625">
        <f t="shared" si="40"/>
        <v>0</v>
      </c>
      <c r="BX143" s="61">
        <f t="shared" si="40"/>
        <v>0</v>
      </c>
      <c r="BY143" s="51">
        <f t="shared" si="40"/>
        <v>0</v>
      </c>
      <c r="BZ143" s="51">
        <f t="shared" si="40"/>
        <v>0</v>
      </c>
      <c r="CA143" s="463">
        <f t="shared" si="40"/>
        <v>0</v>
      </c>
      <c r="CB143" s="51"/>
      <c r="CC143" s="625">
        <f t="shared" si="41"/>
        <v>0</v>
      </c>
      <c r="CD143" s="61">
        <f t="shared" si="41"/>
        <v>0</v>
      </c>
      <c r="CE143" s="51">
        <f t="shared" si="41"/>
        <v>0</v>
      </c>
      <c r="CF143" s="51">
        <f t="shared" si="41"/>
        <v>0</v>
      </c>
      <c r="CG143" s="463">
        <f t="shared" si="41"/>
        <v>0</v>
      </c>
    </row>
    <row r="144" spans="1:85" ht="11.25" customHeight="1" outlineLevel="1" x14ac:dyDescent="0.2">
      <c r="A144" s="78"/>
      <c r="B144" s="1175" t="s">
        <v>570</v>
      </c>
      <c r="C144" s="1166"/>
      <c r="D144" s="1167"/>
      <c r="E144" s="1167"/>
      <c r="F144" s="1167"/>
      <c r="G144" s="1168"/>
      <c r="H144" s="764"/>
      <c r="I144" s="1166"/>
      <c r="J144" s="1167"/>
      <c r="K144" s="1167"/>
      <c r="L144" s="1167"/>
      <c r="M144" s="1168"/>
      <c r="N144" s="764"/>
      <c r="O144" s="1166"/>
      <c r="P144" s="1167"/>
      <c r="Q144" s="1167"/>
      <c r="R144" s="1167"/>
      <c r="S144" s="1168"/>
      <c r="T144" s="764"/>
      <c r="U144" s="1166"/>
      <c r="V144" s="1167"/>
      <c r="W144" s="1167"/>
      <c r="X144" s="1167"/>
      <c r="Y144" s="1168"/>
      <c r="Z144" s="764"/>
      <c r="AA144" s="1166"/>
      <c r="AB144" s="1167"/>
      <c r="AC144" s="1167"/>
      <c r="AD144" s="1167"/>
      <c r="AE144" s="1168"/>
      <c r="AF144" s="764"/>
      <c r="AG144" s="1166">
        <f>((AG26*AA$8)+(AG85*AA$67))/AA$126</f>
        <v>-1.0815992417980921E-2</v>
      </c>
      <c r="AH144" s="1167">
        <f>((AH26*AB$8)+(AH85*AB$67))/AB$126</f>
        <v>2.0682980900623683E-2</v>
      </c>
      <c r="AI144" s="1167">
        <f>((AI26*AC$8)+(AI85*AC$67))/AC$126</f>
        <v>5.1731991654652948E-2</v>
      </c>
      <c r="AJ144" s="1167">
        <f>((AJ26*AD$8)+(AJ85*AD$67))/AD$126</f>
        <v>9.6034361390006165E-2</v>
      </c>
      <c r="AK144" s="1168">
        <f>SUMPRODUCT(AG144:AJ144,AA126:AD126)/AE126</f>
        <v>4.2033959033423503E-2</v>
      </c>
      <c r="AL144" s="764"/>
      <c r="AM144" s="1166">
        <f>((AM26*AG$8)+(AM85*AG$67))/AG$126</f>
        <v>-1.5763977654443411E-2</v>
      </c>
      <c r="AN144" s="1167">
        <f>((AN26*AH$8)+(AN85*AH$67))/AH$126</f>
        <v>5.0608877166147093E-2</v>
      </c>
      <c r="AO144" s="1167">
        <f>((AO26*AI$8)+(AO85*AI$67))/AI$126</f>
        <v>6.8270597536246119E-2</v>
      </c>
      <c r="AP144" s="1167">
        <f>((AP26*AJ$8)+(AP85*AJ$67))/AJ$126</f>
        <v>1.8365510515300342E-2</v>
      </c>
      <c r="AQ144" s="1168">
        <f>SUMPRODUCT(AM144:AP144,AG126:AJ126)/AK126</f>
        <v>2.9814078888557961E-2</v>
      </c>
      <c r="AR144" s="764"/>
      <c r="AS144" s="1166">
        <f>((AS26*AM$8)+(AS85*AM$67))/AM$126</f>
        <v>0.10362989599385283</v>
      </c>
      <c r="AT144" s="1167">
        <f>((AT26*AN$8)+(AT85*AN$67))/AN$126</f>
        <v>4.4488957042063987E-2</v>
      </c>
      <c r="AU144" s="1167">
        <f>((AU26*AO$8)+(AU85*AO$67))/AO$126</f>
        <v>5.0891139375304782E-2</v>
      </c>
      <c r="AV144" s="1167">
        <f>((AV26*AP$8)+(AV85*AP$67))/AP$126</f>
        <v>-1.7866718948691546E-2</v>
      </c>
      <c r="AW144" s="1168">
        <f>SUMPRODUCT(AS144:AV144,AM126:AP126)/AQ126</f>
        <v>4.307278872310609E-2</v>
      </c>
      <c r="AX144" s="764"/>
      <c r="AY144" s="1166">
        <f>((AY26*AS$8)+(AY85*AS$67))/AS$126</f>
        <v>4.8659407461323995E-2</v>
      </c>
      <c r="AZ144" s="1167">
        <f>((AZ26*AT$8)+(AZ85*AT$67))/AT$126</f>
        <v>3.5272575212955092E-2</v>
      </c>
      <c r="BA144" s="1167">
        <f>((BA26*AU$8)+(BA85*AU$67))/AU$126</f>
        <v>5.9876338620035247E-2</v>
      </c>
      <c r="BB144" s="1167">
        <f>((BB26*AV$8)+(BB85*AV$67))/AV$126</f>
        <v>9.7344315935473033E-2</v>
      </c>
      <c r="BC144" s="1168">
        <f>SUMPRODUCT(AY144:BB144,AS126:AV126)/AW126</f>
        <v>6.0785389730757838E-2</v>
      </c>
      <c r="BD144" s="764"/>
      <c r="BE144" s="1166">
        <f>((BE26*AY$8)+(BE85*AY$67))/AY$126</f>
        <v>0.10108047690014905</v>
      </c>
      <c r="BF144" s="1167">
        <f>((BF26*AZ$8)+(BF85*AZ$67))/AZ$126</f>
        <v>2.8433477974140316E-2</v>
      </c>
      <c r="BG144" s="1167">
        <f>((BG26*BA$8)+(BG85*BA$67))/BA$126</f>
        <v>0.10214487874717391</v>
      </c>
      <c r="BH144" s="1167">
        <f>((BH26*BB$8)+(BH85*BB$67))/BB$126</f>
        <v>3.0123771078393903E-3</v>
      </c>
      <c r="BI144" s="1168">
        <f>SUMPRODUCT(BE144:BH144,AY126:BB126)/BC126</f>
        <v>5.6401092826993834E-2</v>
      </c>
      <c r="BJ144" s="764"/>
      <c r="BK144" s="1166">
        <f>((BK26*BE$8)+(BK85*BE$67))/BE$126</f>
        <v>-2.4153221612361771E-2</v>
      </c>
      <c r="BL144" s="1167">
        <f>((BL26*BF$8)+(BL85*BF$67))/BF$126</f>
        <v>0.10659886920072124</v>
      </c>
      <c r="BM144" s="1167">
        <f>((BM26*BG$8)+(BM85*BG$67))/BG$126</f>
        <v>1.542237688130625E-2</v>
      </c>
      <c r="BN144" s="1167">
        <f>((BN26*BH$8)+(BN85*BH$67))/BH$126</f>
        <v>0.14415683451937664</v>
      </c>
      <c r="BO144" s="1168">
        <f>SUMPRODUCT(BK144:BN144,BE126:BH126)/BI126</f>
        <v>6.4600897269435895E-2</v>
      </c>
      <c r="BP144" s="264"/>
      <c r="BQ144" s="769">
        <f>BQ141-BQ142-BQ143</f>
        <v>8.8432325313092974E-2</v>
      </c>
      <c r="BR144" s="770">
        <f>BR141-BR142-BR143</f>
        <v>-1.8890520036071168E-2</v>
      </c>
      <c r="BS144" s="770">
        <f>BS141-BS142-BS143</f>
        <v>4.7165393926366761E-2</v>
      </c>
      <c r="BT144" s="770">
        <f>BT141-BT142-BT143</f>
        <v>9.2175691406199967E-3</v>
      </c>
      <c r="BU144" s="771">
        <f>BU141-BU142-BU143</f>
        <v>2.8402302398760008E-2</v>
      </c>
      <c r="BV144" s="264"/>
      <c r="BW144" s="769">
        <f>BW141-BW142-BW143</f>
        <v>2.8675588364311499E-2</v>
      </c>
      <c r="BX144" s="770">
        <f>BX141-BX142-BX143</f>
        <v>2.8833751623671633E-2</v>
      </c>
      <c r="BY144" s="770">
        <f>BY141-BY142-BY143</f>
        <v>2.8739765029945907E-2</v>
      </c>
      <c r="BZ144" s="770">
        <f>BZ141-BZ142-BZ143</f>
        <v>2.8900777688883439E-2</v>
      </c>
      <c r="CA144" s="771">
        <f>CA141-CA142-CA143</f>
        <v>2.8791811223760844E-2</v>
      </c>
      <c r="CB144" s="264"/>
      <c r="CC144" s="769">
        <f>CC141-CC142-CC143</f>
        <v>2.8698186289334959E-2</v>
      </c>
      <c r="CD144" s="770">
        <f>CD141-CD142-CD143</f>
        <v>2.8856728965431122E-2</v>
      </c>
      <c r="CE144" s="770">
        <f>CE141-CE142-CE143</f>
        <v>2.8762522785226396E-2</v>
      </c>
      <c r="CF144" s="770">
        <f>CF141-CF142-CF143</f>
        <v>2.8923901114219053E-2</v>
      </c>
      <c r="CG144" s="771">
        <f>CG141-CG142-CG143</f>
        <v>2.8814692704371536E-2</v>
      </c>
    </row>
    <row r="145" spans="1:85" ht="11.25" customHeight="1" x14ac:dyDescent="0.2">
      <c r="A145" s="78"/>
      <c r="B145" s="373"/>
      <c r="C145" s="761"/>
      <c r="D145" s="762"/>
      <c r="E145" s="762"/>
      <c r="F145" s="762"/>
      <c r="G145" s="763"/>
      <c r="H145" s="764"/>
      <c r="I145" s="761"/>
      <c r="J145" s="762"/>
      <c r="K145" s="762"/>
      <c r="L145" s="762"/>
      <c r="M145" s="763"/>
      <c r="N145" s="764"/>
      <c r="O145" s="761"/>
      <c r="P145" s="762"/>
      <c r="Q145" s="762"/>
      <c r="R145" s="762"/>
      <c r="S145" s="763"/>
      <c r="T145" s="764"/>
      <c r="U145" s="761"/>
      <c r="V145" s="762"/>
      <c r="W145" s="762"/>
      <c r="X145" s="762"/>
      <c r="Y145" s="763"/>
      <c r="Z145" s="764"/>
      <c r="AA145" s="761"/>
      <c r="AB145" s="762"/>
      <c r="AC145" s="762"/>
      <c r="AD145" s="762"/>
      <c r="AE145" s="763"/>
      <c r="AF145" s="764"/>
      <c r="AG145" s="761"/>
      <c r="AH145" s="762"/>
      <c r="AI145" s="762"/>
      <c r="AJ145" s="762"/>
      <c r="AK145" s="763"/>
      <c r="AL145" s="764"/>
      <c r="AM145" s="761"/>
      <c r="AN145" s="762"/>
      <c r="AO145" s="762"/>
      <c r="AP145" s="762"/>
      <c r="AQ145" s="763"/>
      <c r="AR145" s="764"/>
      <c r="AS145" s="761"/>
      <c r="AT145" s="762"/>
      <c r="AU145" s="762"/>
      <c r="AV145" s="762"/>
      <c r="AW145" s="763"/>
      <c r="AX145" s="764"/>
      <c r="AY145" s="761"/>
      <c r="AZ145" s="762"/>
      <c r="BA145" s="762"/>
      <c r="BB145" s="762"/>
      <c r="BC145" s="763"/>
      <c r="BD145" s="764"/>
      <c r="BE145" s="761"/>
      <c r="BF145" s="762"/>
      <c r="BG145" s="762"/>
      <c r="BH145" s="762"/>
      <c r="BI145" s="763"/>
      <c r="BJ145" s="764"/>
      <c r="BK145" s="761"/>
      <c r="BL145" s="762"/>
      <c r="BM145" s="762"/>
      <c r="BN145" s="260"/>
      <c r="BO145" s="449"/>
      <c r="BP145" s="264"/>
      <c r="BQ145" s="372"/>
      <c r="BR145" s="260"/>
      <c r="BS145" s="260"/>
      <c r="BT145" s="260"/>
      <c r="BU145" s="1151"/>
      <c r="BV145" s="264"/>
      <c r="BW145" s="372"/>
      <c r="BX145" s="260"/>
      <c r="BY145" s="260"/>
      <c r="BZ145" s="260"/>
      <c r="CA145" s="449"/>
      <c r="CB145" s="264"/>
      <c r="CC145" s="372"/>
      <c r="CD145" s="260"/>
      <c r="CE145" s="260"/>
      <c r="CF145" s="260"/>
      <c r="CG145" s="449"/>
    </row>
    <row r="146" spans="1:85" ht="11.25" customHeight="1" x14ac:dyDescent="0.2">
      <c r="A146" s="78"/>
      <c r="B146" s="108" t="s">
        <v>305</v>
      </c>
      <c r="C146" s="143"/>
      <c r="D146" s="144"/>
      <c r="E146" s="144"/>
      <c r="F146" s="144"/>
      <c r="G146" s="448"/>
      <c r="H146" s="39"/>
      <c r="I146" s="143"/>
      <c r="J146" s="144"/>
      <c r="K146" s="144"/>
      <c r="L146" s="144"/>
      <c r="M146" s="448"/>
      <c r="N146" s="39"/>
      <c r="O146" s="143"/>
      <c r="P146" s="144"/>
      <c r="Q146" s="144"/>
      <c r="R146" s="144"/>
      <c r="S146" s="448"/>
      <c r="T146" s="39"/>
      <c r="U146" s="147"/>
      <c r="V146" s="148"/>
      <c r="W146" s="148"/>
      <c r="X146" s="148"/>
      <c r="Y146" s="448"/>
      <c r="Z146" s="39"/>
      <c r="AA146" s="269">
        <v>455.68200000000002</v>
      </c>
      <c r="AB146" s="270">
        <v>526.48699999999997</v>
      </c>
      <c r="AC146" s="148">
        <f>+AC28+AC87</f>
        <v>501.88400000000001</v>
      </c>
      <c r="AD146" s="148">
        <f>+AD28+AD87</f>
        <v>526.21699999999998</v>
      </c>
      <c r="AE146" s="448">
        <f>+SUM(AA146:AD146)</f>
        <v>2010.27</v>
      </c>
      <c r="AF146" s="39"/>
      <c r="AG146" s="147">
        <f>+AG28+AG87</f>
        <v>525.58999999999992</v>
      </c>
      <c r="AH146" s="148">
        <f>+AH28+AH87</f>
        <v>586.25800000000004</v>
      </c>
      <c r="AI146" s="148">
        <f>+AI28+AI87</f>
        <v>598.12400000000002</v>
      </c>
      <c r="AJ146" s="148">
        <f>+AJ28+AJ87</f>
        <v>611.17899999999997</v>
      </c>
      <c r="AK146" s="448">
        <f>+SUM(AG146:AJ146)</f>
        <v>2321.1509999999998</v>
      </c>
      <c r="AL146" s="39"/>
      <c r="AM146" s="147">
        <f>+AM28+AM87</f>
        <v>639.14200000000005</v>
      </c>
      <c r="AN146" s="148">
        <f>+AN28+AN87</f>
        <v>666.29700000000003</v>
      </c>
      <c r="AO146" s="148">
        <f>+AO28+AO87</f>
        <v>642.28899999999999</v>
      </c>
      <c r="AP146" s="148">
        <f>+AP28+AP87</f>
        <v>651.73299999999995</v>
      </c>
      <c r="AQ146" s="448">
        <f>+SUM(AM146:AP146)</f>
        <v>2599.4610000000002</v>
      </c>
      <c r="AR146" s="39"/>
      <c r="AS146" s="147">
        <f>+AS28+AS87</f>
        <v>654.48800000000006</v>
      </c>
      <c r="AT146" s="148">
        <f>+AT28+AT87</f>
        <v>754.54899999999998</v>
      </c>
      <c r="AU146" s="148">
        <f>+AU28+AU87</f>
        <v>757.952</v>
      </c>
      <c r="AV146" s="148">
        <f>+AV28+AV87</f>
        <v>731.62300000000005</v>
      </c>
      <c r="AW146" s="448">
        <f>+SUM(AS146:AV146)</f>
        <v>2898.6120000000001</v>
      </c>
      <c r="AX146" s="39"/>
      <c r="AY146" s="147">
        <f>+AY28+AY87</f>
        <v>684.32400000000007</v>
      </c>
      <c r="AZ146" s="148">
        <f>+AZ28+AZ87</f>
        <v>748.55799999999999</v>
      </c>
      <c r="BA146" s="148">
        <f>+BA28+BA87</f>
        <v>732.53300000000002</v>
      </c>
      <c r="BB146" s="148">
        <f>+BB28+BB87</f>
        <v>756.20900000000006</v>
      </c>
      <c r="BC146" s="448">
        <f>+SUM(AY146:BB146)</f>
        <v>2921.6239999999998</v>
      </c>
      <c r="BD146" s="39"/>
      <c r="BE146" s="147">
        <f>+BE28+BE87</f>
        <v>771.41300000000001</v>
      </c>
      <c r="BF146" s="148">
        <f>+BF28+BF87</f>
        <v>853.59799999999996</v>
      </c>
      <c r="BG146" s="148">
        <f>+BG28+BG87</f>
        <v>790.279</v>
      </c>
      <c r="BH146" s="148">
        <f>+BH28+BH87</f>
        <v>837.80500000000006</v>
      </c>
      <c r="BI146" s="448">
        <f>+SUM(BE146:BH146)</f>
        <v>3253.0950000000003</v>
      </c>
      <c r="BJ146" s="39"/>
      <c r="BK146" s="147">
        <f>+BK28+BK87</f>
        <v>812.93900000000008</v>
      </c>
      <c r="BL146" s="148">
        <f>+BL28+BL87</f>
        <v>891.33100000000002</v>
      </c>
      <c r="BM146" s="148">
        <f>+BM28+BM87</f>
        <v>882.57999999999993</v>
      </c>
      <c r="BN146" s="148">
        <f>+BN28+BN87</f>
        <v>889.78500000000008</v>
      </c>
      <c r="BO146" s="448">
        <f>+SUM(BK146:BN146)</f>
        <v>3476.6350000000002</v>
      </c>
      <c r="BP146" s="39"/>
      <c r="BQ146" s="147">
        <f>+BQ28+BQ87</f>
        <v>886.09297500000002</v>
      </c>
      <c r="BR146" s="148">
        <f>+BR28+BR87</f>
        <v>981.12699999999995</v>
      </c>
      <c r="BS146" s="148">
        <f>+BS28+BS87</f>
        <v>953.89499999999998</v>
      </c>
      <c r="BT146" s="148">
        <f>+BT28+BT87</f>
        <v>952.22125000000005</v>
      </c>
      <c r="BU146" s="448">
        <f>+SUM(BQ146:BT146)</f>
        <v>3773.336225</v>
      </c>
      <c r="BV146" s="39"/>
      <c r="BW146" s="147">
        <f>+BW28+BW87</f>
        <v>939.25855350000006</v>
      </c>
      <c r="BX146" s="148">
        <f>+BX28+BX87</f>
        <v>1039.9946199999999</v>
      </c>
      <c r="BY146" s="148">
        <f>+BY28+BY87</f>
        <v>1011.1287</v>
      </c>
      <c r="BZ146" s="148">
        <f>+BZ28+BZ87</f>
        <v>1009.3545250000002</v>
      </c>
      <c r="CA146" s="448">
        <f>+SUM(BW146:BZ146)</f>
        <v>3999.7363985000002</v>
      </c>
      <c r="CB146" s="39"/>
      <c r="CC146" s="147">
        <f>+CC28+CC87</f>
        <v>990.46203635000006</v>
      </c>
      <c r="CD146" s="148">
        <f>+CD28+CD87</f>
        <v>1096.62597701</v>
      </c>
      <c r="CE146" s="148">
        <f>+CE28+CE87</f>
        <v>1066.4257742719999</v>
      </c>
      <c r="CF146" s="148">
        <f>+CF28+CF87</f>
        <v>1064.73180555</v>
      </c>
      <c r="CG146" s="448">
        <f>+SUM(CC146:CF146)</f>
        <v>4218.2455931820004</v>
      </c>
    </row>
    <row r="147" spans="1:85" ht="11.25" customHeight="1" x14ac:dyDescent="0.2">
      <c r="A147" s="78"/>
      <c r="B147" s="99" t="s">
        <v>253</v>
      </c>
      <c r="C147" s="259"/>
      <c r="D147" s="265"/>
      <c r="E147" s="265"/>
      <c r="F147" s="265"/>
      <c r="G147" s="449"/>
      <c r="H147" s="43"/>
      <c r="I147" s="259"/>
      <c r="J147" s="265"/>
      <c r="K147" s="265"/>
      <c r="L147" s="265"/>
      <c r="M147" s="449"/>
      <c r="N147" s="43"/>
      <c r="O147" s="259"/>
      <c r="P147" s="265"/>
      <c r="Q147" s="265"/>
      <c r="R147" s="265"/>
      <c r="S147" s="449"/>
      <c r="T147" s="43"/>
      <c r="U147" s="259"/>
      <c r="V147" s="260"/>
      <c r="W147" s="260"/>
      <c r="X147" s="260"/>
      <c r="Y147" s="449"/>
      <c r="Z147" s="43"/>
      <c r="AA147" s="259"/>
      <c r="AB147" s="260"/>
      <c r="AC147" s="260"/>
      <c r="AD147" s="260"/>
      <c r="AE147" s="449"/>
      <c r="AF147" s="43"/>
      <c r="AG147" s="259">
        <f>+AG146/AA146-1</f>
        <v>0.15341400362533508</v>
      </c>
      <c r="AH147" s="260">
        <f>+AH146/AB146-1</f>
        <v>0.11352796935157006</v>
      </c>
      <c r="AI147" s="260">
        <f>+AI146/AC146-1</f>
        <v>0.19175745789863785</v>
      </c>
      <c r="AJ147" s="260">
        <f>+AJ146/AD146-1</f>
        <v>0.16145810568643726</v>
      </c>
      <c r="AK147" s="449">
        <f>IF(ISERROR(AK146/AE146-1),"NM",AK146/AE146-1)</f>
        <v>0.15464639078332754</v>
      </c>
      <c r="AL147" s="43"/>
      <c r="AM147" s="259">
        <f>+AM146/AG146-1</f>
        <v>0.21604672843851702</v>
      </c>
      <c r="AN147" s="260">
        <f>+AN146/AH146-1</f>
        <v>0.13652521586059385</v>
      </c>
      <c r="AO147" s="260">
        <f>+AO146/AI146-1</f>
        <v>7.3839203910894602E-2</v>
      </c>
      <c r="AP147" s="260">
        <f>+AP146/AJ146-1</f>
        <v>6.6353719614057338E-2</v>
      </c>
      <c r="AQ147" s="449">
        <f>IF(ISERROR(AQ146/AK146-1),"NM",AQ146/AK146-1)</f>
        <v>0.1199017211719533</v>
      </c>
      <c r="AR147" s="43"/>
      <c r="AS147" s="259">
        <f>+AS146/AM146-1</f>
        <v>2.4010313826974272E-2</v>
      </c>
      <c r="AT147" s="260">
        <f>+AT146/AN146-1</f>
        <v>0.13245144432587863</v>
      </c>
      <c r="AU147" s="260">
        <f>+AU146/AO146-1</f>
        <v>0.18007937236975891</v>
      </c>
      <c r="AV147" s="260">
        <f>+AV146/AP146-1</f>
        <v>0.12258087284209962</v>
      </c>
      <c r="AW147" s="449">
        <f>IF(ISERROR(AW146/AQ146-1),"NM",AW146/AQ146-1)</f>
        <v>0.1150819342933016</v>
      </c>
      <c r="AX147" s="43"/>
      <c r="AY147" s="259">
        <f>+AY146/AS146-1</f>
        <v>4.5586779283959489E-2</v>
      </c>
      <c r="AZ147" s="260">
        <f>+AZ146/AT146-1</f>
        <v>-7.9398422103799104E-3</v>
      </c>
      <c r="BA147" s="260">
        <f>+BA146/AU146-1</f>
        <v>-3.3536424470151149E-2</v>
      </c>
      <c r="BB147" s="260">
        <f>+BB146/AV146-1</f>
        <v>3.3604739052763621E-2</v>
      </c>
      <c r="BC147" s="449">
        <f>IF(ISERROR(BC146/AW146-1),"NM",BC146/AW146-1)</f>
        <v>7.9389721701281779E-3</v>
      </c>
      <c r="BD147" s="43"/>
      <c r="BE147" s="259">
        <f>+BE146/AY146-1</f>
        <v>0.12726281702819131</v>
      </c>
      <c r="BF147" s="260">
        <f>+BF146/AZ146-1</f>
        <v>0.14032312793397428</v>
      </c>
      <c r="BG147" s="260">
        <f>+BG146/BA146-1</f>
        <v>7.8830578281114949E-2</v>
      </c>
      <c r="BH147" s="260">
        <f>+BH146/BB146-1</f>
        <v>0.10790138705040531</v>
      </c>
      <c r="BI147" s="449">
        <f>IF(ISERROR(BI146/BC146-1),"NM",BI146/BC146-1)</f>
        <v>0.11345436647563156</v>
      </c>
      <c r="BJ147" s="43"/>
      <c r="BK147" s="259">
        <f>+BK146/BE146-1</f>
        <v>5.383108659045166E-2</v>
      </c>
      <c r="BL147" s="260">
        <f>+BL146/BF146-1</f>
        <v>4.4204649026825305E-2</v>
      </c>
      <c r="BM147" s="260">
        <f>+BM146/BG146-1</f>
        <v>0.1167954608435755</v>
      </c>
      <c r="BN147" s="260">
        <f>+BN146/BH146-1</f>
        <v>6.2043076849624956E-2</v>
      </c>
      <c r="BO147" s="449">
        <f>IF(ISERROR(BO146/BI146-1),"NM",BO146/BI146-1)</f>
        <v>6.8716099591312307E-2</v>
      </c>
      <c r="BP147" s="43"/>
      <c r="BQ147" s="259">
        <f>+BQ146/BK146-1</f>
        <v>8.9987040848083177E-2</v>
      </c>
      <c r="BR147" s="260">
        <f>+BR146/BL146-1</f>
        <v>0.10074371922439584</v>
      </c>
      <c r="BS147" s="260">
        <f>+BS146/BM146-1</f>
        <v>8.0802873393913455E-2</v>
      </c>
      <c r="BT147" s="260">
        <f>+BT146/BN146-1</f>
        <v>7.0170041077338929E-2</v>
      </c>
      <c r="BU147" s="449">
        <f>IF(ISERROR(BU146/BO146-1),"NM",BU146/BO146-1)</f>
        <v>8.5341494002102447E-2</v>
      </c>
      <c r="BV147" s="43"/>
      <c r="BW147" s="259">
        <f>+BW146/BQ146-1</f>
        <v>6.0000000000000053E-2</v>
      </c>
      <c r="BX147" s="260">
        <f>+BX146/BR146-1</f>
        <v>6.0000000000000053E-2</v>
      </c>
      <c r="BY147" s="260">
        <f>+BY146/BS146-1</f>
        <v>6.0000000000000053E-2</v>
      </c>
      <c r="BZ147" s="260">
        <f>+BZ146/BT146-1</f>
        <v>6.0000000000000053E-2</v>
      </c>
      <c r="CA147" s="449">
        <f>IF(ISERROR(CA146/BU146-1),"NM",CA146/BU146-1)</f>
        <v>6.0000000000000053E-2</v>
      </c>
      <c r="CB147" s="43"/>
      <c r="CC147" s="259">
        <f>+CC146/BW146-1</f>
        <v>5.4514790053493023E-2</v>
      </c>
      <c r="CD147" s="260">
        <f>+CD146/BX146-1</f>
        <v>5.4453509586424698E-2</v>
      </c>
      <c r="CE147" s="260">
        <f>+CE146/BY146-1</f>
        <v>5.468846277630135E-2</v>
      </c>
      <c r="CF147" s="260">
        <f>+CF146/BZ146-1</f>
        <v>5.4864053390952794E-2</v>
      </c>
      <c r="CG147" s="449">
        <f>IF(ISERROR(CG146/CA146-1),"NM",CG146/CA146-1)</f>
        <v>5.4630898867221944E-2</v>
      </c>
    </row>
    <row r="148" spans="1:85" ht="11.25" customHeight="1" x14ac:dyDescent="0.2">
      <c r="A148" s="78"/>
      <c r="B148" s="99" t="s">
        <v>256</v>
      </c>
      <c r="C148" s="261"/>
      <c r="D148" s="266"/>
      <c r="E148" s="266"/>
      <c r="F148" s="267"/>
      <c r="G148" s="449"/>
      <c r="H148" s="43"/>
      <c r="I148" s="261"/>
      <c r="J148" s="266"/>
      <c r="K148" s="266"/>
      <c r="L148" s="267"/>
      <c r="M148" s="449"/>
      <c r="N148" s="43"/>
      <c r="O148" s="261"/>
      <c r="P148" s="266"/>
      <c r="Q148" s="266"/>
      <c r="R148" s="267"/>
      <c r="S148" s="449"/>
      <c r="T148" s="43"/>
      <c r="U148" s="261"/>
      <c r="V148" s="258"/>
      <c r="W148" s="258"/>
      <c r="X148" s="258"/>
      <c r="Y148" s="449"/>
      <c r="Z148" s="43"/>
      <c r="AA148" s="261"/>
      <c r="AB148" s="258"/>
      <c r="AC148" s="258"/>
      <c r="AD148" s="258"/>
      <c r="AE148" s="449"/>
      <c r="AF148" s="43"/>
      <c r="AG148" s="261">
        <v>0.154</v>
      </c>
      <c r="AH148" s="258">
        <v>0.14899999999999999</v>
      </c>
      <c r="AI148" s="258">
        <v>0.23899999999999999</v>
      </c>
      <c r="AJ148" s="258">
        <v>0.16400000000000001</v>
      </c>
      <c r="AK148" s="449">
        <f>+SUMPRODUCT(AG148:AJ148,AA$146:AD$146)/AE$146</f>
        <v>0.17652924980226536</v>
      </c>
      <c r="AL148" s="43"/>
      <c r="AM148" s="261">
        <v>0.217</v>
      </c>
      <c r="AN148" s="258">
        <v>0.14099999999999999</v>
      </c>
      <c r="AO148" s="258">
        <v>0.08</v>
      </c>
      <c r="AP148" s="258">
        <v>6.6000000000000003E-2</v>
      </c>
      <c r="AQ148" s="449">
        <f>+SUMPRODUCT(AM148:AP148,AG$146:AJ$146)/AK$146</f>
        <v>0.12274218351154231</v>
      </c>
      <c r="AR148" s="43"/>
      <c r="AS148" s="261">
        <v>0.02</v>
      </c>
      <c r="AT148" s="258">
        <v>0.107</v>
      </c>
      <c r="AU148" s="258">
        <v>0.159</v>
      </c>
      <c r="AV148" s="258">
        <v>0.159</v>
      </c>
      <c r="AW148" s="449">
        <f>+SUMPRODUCT(AS148:AV148,AM$146:AP$146)/AQ$146</f>
        <v>0.1114946971699133</v>
      </c>
      <c r="AX148" s="43"/>
      <c r="AY148" s="261">
        <v>0.124</v>
      </c>
      <c r="AZ148" s="258">
        <v>7.9000000000000001E-2</v>
      </c>
      <c r="BA148" s="258">
        <v>4.4999999999999998E-2</v>
      </c>
      <c r="BB148" s="258">
        <v>9.5000000000000001E-2</v>
      </c>
      <c r="BC148" s="449">
        <f>+SUMPRODUCT(AY148:BB148,AS$146:AV$146)/AW$146</f>
        <v>8.4308595976281056E-2</v>
      </c>
      <c r="BD148" s="43"/>
      <c r="BE148" s="261">
        <v>0.156</v>
      </c>
      <c r="BF148" s="258">
        <v>0.152</v>
      </c>
      <c r="BG148" s="258">
        <v>0.106</v>
      </c>
      <c r="BH148" s="260">
        <f>+BH147-BH149</f>
        <v>0.14190138705040531</v>
      </c>
      <c r="BI148" s="449">
        <f>+SUMPRODUCT(BE148:BH148,AY$146:BB$146)/BC$146</f>
        <v>0.13878957867268343</v>
      </c>
      <c r="BJ148" s="43"/>
      <c r="BK148" s="259">
        <f>((+BE28*(1+BK30)+BE87*(1+BK89))/BE146-1)</f>
        <v>8.0670141675081908E-2</v>
      </c>
      <c r="BL148" s="260">
        <f>((+BF28*(1+BL30)+BF87*(1+BL89))/BF146-1)</f>
        <v>6.7208824294340053E-2</v>
      </c>
      <c r="BM148" s="260">
        <f>((+BG28*(1+BM30)+BG87*(1+BM89))/BG146-1)</f>
        <v>9.9243905000639066E-2</v>
      </c>
      <c r="BN148" s="260">
        <f>((+BH28*(1+BN30)+BH87*(1+BN89))/BH146-1)</f>
        <v>2.9896918734072742E-2</v>
      </c>
      <c r="BO148" s="449">
        <f>+SUMPRODUCT(BK148:BN148,BE$146:BH$146)/BI$146</f>
        <v>6.8573919913190326E-2</v>
      </c>
      <c r="BP148" s="43"/>
      <c r="BQ148" s="259">
        <f>((+BK28*(1+BQ30)+BK87*(1+BQ89))/BK146-1)</f>
        <v>9.7188595946313239E-2</v>
      </c>
      <c r="BR148" s="260">
        <f>((+BL28*(1+BR30)+BL87*(1+BR89))/BL146-1)</f>
        <v>0.10778033076376792</v>
      </c>
      <c r="BS148" s="260">
        <f>((+BM28*(1+BS30)+BM87*(1+BS89))/BM146-1)</f>
        <v>9.5562011375739386E-2</v>
      </c>
      <c r="BT148" s="260">
        <f>((+BN28*(1+BT30)+BN87*(1+BT89))/BN146-1)</f>
        <v>8.5042510269334848E-2</v>
      </c>
      <c r="BU148" s="449">
        <f>+SUMPRODUCT(BQ148:BT148,BK$146:BN$146)/BO$146</f>
        <v>9.6382571078068344E-2</v>
      </c>
      <c r="BV148" s="43"/>
      <c r="BW148" s="259">
        <f>((+BQ28*(1+BW30)+BQ87*(1+BW89))/BQ146-1)</f>
        <v>6.0000000000000053E-2</v>
      </c>
      <c r="BX148" s="260">
        <f>((+BR28*(1+BX30)+BR87*(1+BX89))/BR146-1)</f>
        <v>6.0000000000000053E-2</v>
      </c>
      <c r="BY148" s="260">
        <f>((+BS28*(1+BY30)+BS87*(1+BY89))/BS146-1)</f>
        <v>6.0000000000000053E-2</v>
      </c>
      <c r="BZ148" s="260">
        <f>((+BT28*(1+BZ30)+BT87*(1+BZ89))/BT146-1)</f>
        <v>6.0000000000000053E-2</v>
      </c>
      <c r="CA148" s="449">
        <f>+SUMPRODUCT(BW148:BZ148,BQ$146:BT$146)/BU$146</f>
        <v>6.000000000000006E-2</v>
      </c>
      <c r="CB148" s="43"/>
      <c r="CC148" s="259">
        <f>((+BW28*(1+CC30)+BW87*(1+CC89))/BW146-1)</f>
        <v>5.4514790053493023E-2</v>
      </c>
      <c r="CD148" s="260">
        <f>((+BX28*(1+CD30)+BX87*(1+CD89))/BX146-1)</f>
        <v>5.4453509586424698E-2</v>
      </c>
      <c r="CE148" s="260">
        <f>((+BY28*(1+CE30)+BY87*(1+CE89))/BY146-1)</f>
        <v>5.468846277630135E-2</v>
      </c>
      <c r="CF148" s="260">
        <f>((+BZ28*(1+CF30)+BZ87*(1+CF89))/BZ146-1)</f>
        <v>5.4864053390952794E-2</v>
      </c>
      <c r="CG148" s="449">
        <f>+SUMPRODUCT(CC148:CF148,BW$146:BZ$146)/CA$146</f>
        <v>5.4630898867221916E-2</v>
      </c>
    </row>
    <row r="149" spans="1:85" ht="11.25" customHeight="1" x14ac:dyDescent="0.2">
      <c r="A149" s="78"/>
      <c r="B149" s="99" t="s">
        <v>255</v>
      </c>
      <c r="C149" s="259"/>
      <c r="D149" s="265"/>
      <c r="E149" s="265"/>
      <c r="F149" s="265"/>
      <c r="G149" s="449"/>
      <c r="H149" s="43"/>
      <c r="I149" s="259"/>
      <c r="J149" s="265"/>
      <c r="K149" s="265"/>
      <c r="L149" s="265"/>
      <c r="M149" s="449"/>
      <c r="N149" s="43"/>
      <c r="O149" s="259"/>
      <c r="P149" s="265"/>
      <c r="Q149" s="265"/>
      <c r="R149" s="265"/>
      <c r="S149" s="449"/>
      <c r="T149" s="43"/>
      <c r="U149" s="259"/>
      <c r="V149" s="260"/>
      <c r="W149" s="260"/>
      <c r="X149" s="260"/>
      <c r="Y149" s="449"/>
      <c r="Z149" s="43"/>
      <c r="AA149" s="259"/>
      <c r="AB149" s="260"/>
      <c r="AC149" s="260"/>
      <c r="AD149" s="260"/>
      <c r="AE149" s="449"/>
      <c r="AF149" s="43"/>
      <c r="AG149" s="259">
        <f>AG147-AG148</f>
        <v>-5.859963746649155E-4</v>
      </c>
      <c r="AH149" s="260">
        <f>AH147-AH148</f>
        <v>-3.5472030648429936E-2</v>
      </c>
      <c r="AI149" s="260">
        <f>AI147-AI148</f>
        <v>-4.7242542101362139E-2</v>
      </c>
      <c r="AJ149" s="260">
        <f>AJ147-AJ148</f>
        <v>-2.5418943135627481E-3</v>
      </c>
      <c r="AK149" s="449">
        <f>+SUMPRODUCT(AG149:AJ149,AA$146:AD$146)/AE$146</f>
        <v>-2.188285901893779E-2</v>
      </c>
      <c r="AL149" s="43"/>
      <c r="AM149" s="259">
        <f>AM147-AM148</f>
        <v>-9.5327156148297676E-4</v>
      </c>
      <c r="AN149" s="260">
        <f>AN147-AN148</f>
        <v>-4.474784139406135E-3</v>
      </c>
      <c r="AO149" s="260">
        <f>AO147-AO148</f>
        <v>-6.1607960891053998E-3</v>
      </c>
      <c r="AP149" s="260">
        <f>AP147-AP148</f>
        <v>3.537196140573351E-4</v>
      </c>
      <c r="AQ149" s="449">
        <f>+SUMPRODUCT(AM149:AP149,AG$146:AJ$146)/AK$146</f>
        <v>-2.8404623395892514E-3</v>
      </c>
      <c r="AR149" s="43"/>
      <c r="AS149" s="259">
        <f>AS147-AS148</f>
        <v>4.0103138269742718E-3</v>
      </c>
      <c r="AT149" s="260">
        <f>AT147-AT148</f>
        <v>2.5451444325878633E-2</v>
      </c>
      <c r="AU149" s="260">
        <f>AU147-AU148</f>
        <v>2.1079372369758903E-2</v>
      </c>
      <c r="AV149" s="260">
        <f>AV147-AV148</f>
        <v>-3.6419127157900383E-2</v>
      </c>
      <c r="AW149" s="449">
        <f>+SUMPRODUCT(AS149:AV149,AM$146:AP$146)/AQ$146</f>
        <v>3.5872371233883218E-3</v>
      </c>
      <c r="AX149" s="43"/>
      <c r="AY149" s="259">
        <f>AY147-AY148</f>
        <v>-7.841322071604051E-2</v>
      </c>
      <c r="AZ149" s="260">
        <f>AZ147-AZ148</f>
        <v>-8.6939842210379911E-2</v>
      </c>
      <c r="BA149" s="260">
        <f>BA147-BA148</f>
        <v>-7.8536424470151148E-2</v>
      </c>
      <c r="BB149" s="260">
        <f>BB147-BB148</f>
        <v>-6.139526094723638E-2</v>
      </c>
      <c r="BC149" s="449">
        <f>+SUMPRODUCT(AY149:BB149,AS$146:AV$146)/AW$146</f>
        <v>-7.636962380615267E-2</v>
      </c>
      <c r="BD149" s="43"/>
      <c r="BE149" s="259">
        <f>BE147-BE148</f>
        <v>-2.8737182971808689E-2</v>
      </c>
      <c r="BF149" s="260">
        <f>BF147-BF148</f>
        <v>-1.1676872066025717E-2</v>
      </c>
      <c r="BG149" s="260">
        <f>BG147-BG148</f>
        <v>-2.7169421718885048E-2</v>
      </c>
      <c r="BH149" s="258">
        <v>-3.4000000000000002E-2</v>
      </c>
      <c r="BI149" s="449">
        <f>+SUMPRODUCT(BE149:BH149,AY$146:BB$146)/BC$146</f>
        <v>-2.5335212197052093E-2</v>
      </c>
      <c r="BJ149" s="43"/>
      <c r="BK149" s="259">
        <f>BK147-BK148</f>
        <v>-2.6839055084630248E-2</v>
      </c>
      <c r="BL149" s="260">
        <f>BL147-BL148</f>
        <v>-2.3004175267514748E-2</v>
      </c>
      <c r="BM149" s="260">
        <f>BM147-BM148</f>
        <v>1.7551555842936439E-2</v>
      </c>
      <c r="BN149" s="260">
        <f>BN147-BN148</f>
        <v>3.2146158115552215E-2</v>
      </c>
      <c r="BO149" s="449">
        <f>+SUMPRODUCT(BK149:BN149,BE$146:BH$146)/BI$146</f>
        <v>1.4217967812199409E-4</v>
      </c>
      <c r="BP149" s="43"/>
      <c r="BQ149" s="259">
        <f>BQ147-BQ148</f>
        <v>-7.2015550982300613E-3</v>
      </c>
      <c r="BR149" s="260">
        <f>BR147-BR148</f>
        <v>-7.036611539372073E-3</v>
      </c>
      <c r="BS149" s="260">
        <f>BS147-BS148</f>
        <v>-1.4759137981825932E-2</v>
      </c>
      <c r="BT149" s="260">
        <f>BT147-BT148</f>
        <v>-1.4872469191995918E-2</v>
      </c>
      <c r="BU149" s="449">
        <f>+SUMPRODUCT(BQ149:BT149,BK$146:BN$146)/BO$146</f>
        <v>-1.1041077075965728E-2</v>
      </c>
      <c r="BV149" s="43"/>
      <c r="BW149" s="259">
        <f>BW147-BW148</f>
        <v>0</v>
      </c>
      <c r="BX149" s="260">
        <f>BX147-BX148</f>
        <v>0</v>
      </c>
      <c r="BY149" s="260">
        <f>BY147-BY148</f>
        <v>0</v>
      </c>
      <c r="BZ149" s="260">
        <f>BZ147-BZ148</f>
        <v>0</v>
      </c>
      <c r="CA149" s="449">
        <f>+SUMPRODUCT(BW149:BZ149,BQ$146:BT$146)/BU$146</f>
        <v>0</v>
      </c>
      <c r="CB149" s="43"/>
      <c r="CC149" s="259">
        <f>CC147-CC148</f>
        <v>0</v>
      </c>
      <c r="CD149" s="260">
        <f>CD147-CD148</f>
        <v>0</v>
      </c>
      <c r="CE149" s="260">
        <f>CE147-CE148</f>
        <v>0</v>
      </c>
      <c r="CF149" s="260">
        <f>CF147-CF148</f>
        <v>0</v>
      </c>
      <c r="CG149" s="449">
        <f>+SUMPRODUCT(CC149:CF149,BW$146:BZ$146)/CA$146</f>
        <v>0</v>
      </c>
    </row>
    <row r="150" spans="1:85" ht="11.25" customHeight="1" x14ac:dyDescent="0.2">
      <c r="A150" s="78"/>
      <c r="B150" s="99" t="s">
        <v>254</v>
      </c>
      <c r="C150" s="261"/>
      <c r="D150" s="266"/>
      <c r="E150" s="266"/>
      <c r="F150" s="267"/>
      <c r="G150" s="453"/>
      <c r="H150" s="43"/>
      <c r="I150" s="261"/>
      <c r="J150" s="266"/>
      <c r="K150" s="266"/>
      <c r="L150" s="267"/>
      <c r="M150" s="453"/>
      <c r="N150" s="43"/>
      <c r="O150" s="261"/>
      <c r="P150" s="266"/>
      <c r="Q150" s="266"/>
      <c r="R150" s="267"/>
      <c r="S150" s="453"/>
      <c r="T150" s="43"/>
      <c r="U150" s="261"/>
      <c r="V150" s="258"/>
      <c r="W150" s="258"/>
      <c r="X150" s="258"/>
      <c r="Y150" s="449"/>
      <c r="Z150" s="43"/>
      <c r="AA150" s="261"/>
      <c r="AB150" s="258"/>
      <c r="AC150" s="258"/>
      <c r="AD150" s="258"/>
      <c r="AE150" s="449"/>
      <c r="AF150" s="43"/>
      <c r="AG150" s="261">
        <v>6.0000000000000001E-3</v>
      </c>
      <c r="AH150" s="258">
        <v>6.2E-2</v>
      </c>
      <c r="AI150" s="258">
        <v>0.14799999999999999</v>
      </c>
      <c r="AJ150" s="258">
        <f>-7.9%+13.7%</f>
        <v>5.7999999999999982E-2</v>
      </c>
      <c r="AK150" s="449">
        <f>+SUMPRODUCT(AG150:AJ150,AA$146:AD$146)/AE$146</f>
        <v>6.9729789530759534E-2</v>
      </c>
      <c r="AL150" s="43"/>
      <c r="AM150" s="261">
        <v>0.14899999999999999</v>
      </c>
      <c r="AN150" s="258">
        <v>9.9000000000000005E-2</v>
      </c>
      <c r="AO150" s="258">
        <v>2.1000000000000001E-2</v>
      </c>
      <c r="AP150" s="258">
        <v>1.7999999999999999E-2</v>
      </c>
      <c r="AQ150" s="449">
        <f>+SUMPRODUCT(AM150:AP150,AG$146:AJ$146)/AK$146</f>
        <v>6.8894388172074994E-2</v>
      </c>
      <c r="AR150" s="43"/>
      <c r="AS150" s="261">
        <v>0</v>
      </c>
      <c r="AT150" s="258">
        <v>3.4000000000000002E-2</v>
      </c>
      <c r="AU150" s="258">
        <v>7.8E-2</v>
      </c>
      <c r="AV150" s="258">
        <v>8.1000000000000003E-2</v>
      </c>
      <c r="AW150" s="449">
        <f>+SUMPRODUCT(AS150:AV150,AM$146:AP$146)/AQ$146</f>
        <v>4.8295786318779156E-2</v>
      </c>
      <c r="AX150" s="43"/>
      <c r="AY150" s="261">
        <v>7.9000000000000001E-2</v>
      </c>
      <c r="AZ150" s="258">
        <v>7.2999999999999995E-2</v>
      </c>
      <c r="BA150" s="258">
        <v>0.04</v>
      </c>
      <c r="BB150" s="258">
        <v>7.1999999999999995E-2</v>
      </c>
      <c r="BC150" s="449">
        <f>+SUMPRODUCT(AY150:BB150,AS$146:AV$146)/AW$146</f>
        <v>6.5473255820371959E-2</v>
      </c>
      <c r="BD150" s="43"/>
      <c r="BE150" s="261">
        <v>5.8000000000000003E-2</v>
      </c>
      <c r="BF150" s="258">
        <v>3.4000000000000002E-2</v>
      </c>
      <c r="BG150" s="258">
        <v>0.02</v>
      </c>
      <c r="BH150" s="258">
        <f>0.4%+5.6%</f>
        <v>0.06</v>
      </c>
      <c r="BI150" s="449">
        <f>+SUMPRODUCT(BE150:BH150,AY$146:BB$146)/BC$146</f>
        <v>4.2840887123052118E-2</v>
      </c>
      <c r="BJ150" s="43"/>
      <c r="BK150" s="261">
        <v>0.01</v>
      </c>
      <c r="BL150" s="260">
        <f>((+BF28*(1+BL32)+BF87*(1+BL91))/BF146-1)</f>
        <v>9.1640280319307266E-3</v>
      </c>
      <c r="BM150" s="257">
        <v>1.9E-2</v>
      </c>
      <c r="BN150" s="260">
        <f>((+BH28*(1+BN32)+BH87*(1+BN91))/BH146-1)</f>
        <v>-1.4889231981188966E-2</v>
      </c>
      <c r="BO150" s="449">
        <f>+SUMPRODUCT(BK150:BN150,BE$146:BH$146)/BI$146</f>
        <v>5.5570323030836718E-3</v>
      </c>
      <c r="BP150" s="43"/>
      <c r="BQ150" s="259">
        <f>((+BK28*(1+BQ32)+BK87*(1+BQ91))/BK146-1)</f>
        <v>3.7383241547028545E-2</v>
      </c>
      <c r="BR150" s="260">
        <f>((+BL28*(1+BR32)+BL87*(1+BR91))/BL146-1)</f>
        <v>3.3657530143123005E-2</v>
      </c>
      <c r="BS150" s="260">
        <f>((+BM28*(1+BS32)+BM87*(1+BS91))/BM146-1)</f>
        <v>3.3991252917582537E-2</v>
      </c>
      <c r="BT150" s="260">
        <f>((+BN28*(1+BT32)+BN87*(1+BT91))/BN146-1)</f>
        <v>0</v>
      </c>
      <c r="BU150" s="449">
        <f>+SUMPRODUCT(BQ150:BT150,BK$146:BN$146)/BO$146</f>
        <v>2.5999362889690694E-2</v>
      </c>
      <c r="BV150" s="43"/>
      <c r="BW150" s="259">
        <f>((+BQ28*(1+BW32)+BQ87*(1+BW91))/BQ146-1)</f>
        <v>0</v>
      </c>
      <c r="BX150" s="260">
        <f>((+BR28*(1+BX32)+BR87*(1+BX91))/BR146-1)</f>
        <v>0</v>
      </c>
      <c r="BY150" s="260">
        <f>((+BS28*(1+BY32)+BS87*(1+BY91))/BS146-1)</f>
        <v>0</v>
      </c>
      <c r="BZ150" s="260">
        <f>((+BT28*(1+BZ32)+BT87*(1+BZ91))/BT146-1)</f>
        <v>0</v>
      </c>
      <c r="CA150" s="449">
        <f>+SUMPRODUCT(BW150:BZ150,BQ$146:BT$146)/BU$146</f>
        <v>0</v>
      </c>
      <c r="CB150" s="43"/>
      <c r="CC150" s="259">
        <f>((+BW28*(1+CC32)+BW87*(1+CC91))/BW146-1)</f>
        <v>0</v>
      </c>
      <c r="CD150" s="260">
        <f>((+BX28*(1+CD32)+BX87*(1+CD91))/BX146-1)</f>
        <v>0</v>
      </c>
      <c r="CE150" s="260">
        <f>((+BY28*(1+CE32)+BY87*(1+CE91))/BY146-1)</f>
        <v>0</v>
      </c>
      <c r="CF150" s="260">
        <f>((+BZ28*(1+CF32)+BZ87*(1+CF91))/BZ146-1)</f>
        <v>0</v>
      </c>
      <c r="CG150" s="449">
        <f>+SUMPRODUCT(CC150:CF150,BW$146:BZ$146)/CA$146</f>
        <v>0</v>
      </c>
    </row>
    <row r="151" spans="1:85" ht="11.25" customHeight="1" x14ac:dyDescent="0.2">
      <c r="A151" s="78"/>
      <c r="B151" s="98" t="s">
        <v>257</v>
      </c>
      <c r="C151" s="259"/>
      <c r="D151" s="260"/>
      <c r="E151" s="260"/>
      <c r="F151" s="260"/>
      <c r="G151" s="449"/>
      <c r="H151" s="264"/>
      <c r="I151" s="259"/>
      <c r="J151" s="260"/>
      <c r="K151" s="260"/>
      <c r="L151" s="260"/>
      <c r="M151" s="449"/>
      <c r="N151" s="264"/>
      <c r="O151" s="259"/>
      <c r="P151" s="260"/>
      <c r="Q151" s="260"/>
      <c r="R151" s="260"/>
      <c r="S151" s="449"/>
      <c r="T151" s="264"/>
      <c r="U151" s="259"/>
      <c r="V151" s="260"/>
      <c r="W151" s="260"/>
      <c r="X151" s="260"/>
      <c r="Y151" s="449"/>
      <c r="Z151" s="264"/>
      <c r="AA151" s="259"/>
      <c r="AB151" s="260"/>
      <c r="AC151" s="260"/>
      <c r="AD151" s="260"/>
      <c r="AE151" s="449"/>
      <c r="AF151" s="264"/>
      <c r="AG151" s="259">
        <f>+AG148-AG150</f>
        <v>0.14799999999999999</v>
      </c>
      <c r="AH151" s="260">
        <f>+AH148-AH150</f>
        <v>8.6999999999999994E-2</v>
      </c>
      <c r="AI151" s="260">
        <f>+AI148-AI150</f>
        <v>9.0999999999999998E-2</v>
      </c>
      <c r="AJ151" s="260">
        <f>+AJ148-AJ150</f>
        <v>0.10600000000000002</v>
      </c>
      <c r="AK151" s="449">
        <f>+SUMPRODUCT(AG151:AJ151,AA$146:AD$146)/AE$146</f>
        <v>0.10679946027150582</v>
      </c>
      <c r="AL151" s="264"/>
      <c r="AM151" s="259">
        <f>+AM148-AM150</f>
        <v>6.8000000000000005E-2</v>
      </c>
      <c r="AN151" s="260">
        <f>+AN148-AN150</f>
        <v>4.1999999999999982E-2</v>
      </c>
      <c r="AO151" s="260">
        <f>+AO148-AO150</f>
        <v>5.8999999999999997E-2</v>
      </c>
      <c r="AP151" s="260">
        <f>+AP148-AP150</f>
        <v>4.8000000000000001E-2</v>
      </c>
      <c r="AQ151" s="449">
        <f>+SUMPRODUCT(AM151:AP151,AG$146:AJ$146)/AK$146</f>
        <v>5.3847795339467354E-2</v>
      </c>
      <c r="AR151" s="264"/>
      <c r="AS151" s="259">
        <f>+AS148-AS150</f>
        <v>0.02</v>
      </c>
      <c r="AT151" s="260">
        <f>+AT148-AT150</f>
        <v>7.2999999999999995E-2</v>
      </c>
      <c r="AU151" s="260">
        <f>+AU148-AU150</f>
        <v>8.1000000000000003E-2</v>
      </c>
      <c r="AV151" s="260">
        <f>+AV148-AV150</f>
        <v>7.8E-2</v>
      </c>
      <c r="AW151" s="449">
        <f>+SUMPRODUCT(AS151:AV151,AM$146:AP$146)/AQ$146</f>
        <v>6.3198910851134132E-2</v>
      </c>
      <c r="AX151" s="264"/>
      <c r="AY151" s="259">
        <f>+AY148-AY150</f>
        <v>4.4999999999999998E-2</v>
      </c>
      <c r="AZ151" s="260">
        <f>+AZ148-AZ150</f>
        <v>6.0000000000000053E-3</v>
      </c>
      <c r="BA151" s="260">
        <f>+BA148-BA150</f>
        <v>4.9999999999999975E-3</v>
      </c>
      <c r="BB151" s="260">
        <f>+BB148-BB150</f>
        <v>2.3000000000000007E-2</v>
      </c>
      <c r="BC151" s="449">
        <f>+SUMPRODUCT(AY151:BB151,AS$146:AV$146)/AW$146</f>
        <v>1.8835340155909108E-2</v>
      </c>
      <c r="BD151" s="264"/>
      <c r="BE151" s="259">
        <f>+BE148-BE150</f>
        <v>9.8000000000000004E-2</v>
      </c>
      <c r="BF151" s="260">
        <f>+BF148-BF150</f>
        <v>0.11799999999999999</v>
      </c>
      <c r="BG151" s="260">
        <f>+BG148-BG150</f>
        <v>8.5999999999999993E-2</v>
      </c>
      <c r="BH151" s="260">
        <f>+BH148-BH150</f>
        <v>8.1901387050405311E-2</v>
      </c>
      <c r="BI151" s="449">
        <f>+SUMPRODUCT(BE151:BH151,AY$146:BB$146)/BC$146</f>
        <v>9.5948691549631301E-2</v>
      </c>
      <c r="BJ151" s="264"/>
      <c r="BK151" s="259">
        <f>+BK148-BK150</f>
        <v>7.0670141675081913E-2</v>
      </c>
      <c r="BL151" s="260">
        <f>+BL148-BL150</f>
        <v>5.8044796262409326E-2</v>
      </c>
      <c r="BM151" s="260">
        <f>+BM148-BM150</f>
        <v>8.0243905000639063E-2</v>
      </c>
      <c r="BN151" s="260">
        <f>+BN148-BN150</f>
        <v>4.4786150715261708E-2</v>
      </c>
      <c r="BO151" s="449">
        <f>+SUMPRODUCT(BK151:BN151,BE$146:BH$146)/BI$146</f>
        <v>6.3016887610106653E-2</v>
      </c>
      <c r="BP151" s="264"/>
      <c r="BQ151" s="259">
        <f>+BQ148-BQ150</f>
        <v>5.9805354399284694E-2</v>
      </c>
      <c r="BR151" s="260">
        <f>+BR148-BR150</f>
        <v>7.4122800620644913E-2</v>
      </c>
      <c r="BS151" s="260">
        <f>+BS148-BS150</f>
        <v>6.1570758458156849E-2</v>
      </c>
      <c r="BT151" s="260">
        <f>+BT148-BT150</f>
        <v>8.5042510269334848E-2</v>
      </c>
      <c r="BU151" s="449">
        <f>+SUMPRODUCT(BQ151:BT151,BK$146:BN$146)/BO$146</f>
        <v>7.0383208188377649E-2</v>
      </c>
      <c r="BV151" s="264"/>
      <c r="BW151" s="259">
        <f>+BW148-BW150</f>
        <v>6.0000000000000053E-2</v>
      </c>
      <c r="BX151" s="260">
        <f>+BX148-BX150</f>
        <v>6.0000000000000053E-2</v>
      </c>
      <c r="BY151" s="260">
        <f>+BY148-BY150</f>
        <v>6.0000000000000053E-2</v>
      </c>
      <c r="BZ151" s="260">
        <f>+BZ148-BZ150</f>
        <v>6.0000000000000053E-2</v>
      </c>
      <c r="CA151" s="449">
        <f>+SUMPRODUCT(BW151:BZ151,BQ$146:BT$146)/BU$146</f>
        <v>6.000000000000006E-2</v>
      </c>
      <c r="CB151" s="264"/>
      <c r="CC151" s="259">
        <f>+CC148-CC150</f>
        <v>5.4514790053493023E-2</v>
      </c>
      <c r="CD151" s="260">
        <f>+CD148-CD150</f>
        <v>5.4453509586424698E-2</v>
      </c>
      <c r="CE151" s="260">
        <f>+CE148-CE150</f>
        <v>5.468846277630135E-2</v>
      </c>
      <c r="CF151" s="260">
        <f>+CF148-CF150</f>
        <v>5.4864053390952794E-2</v>
      </c>
      <c r="CG151" s="449">
        <f>+SUMPRODUCT(CC151:CF151,BW$146:BZ$146)/CA$146</f>
        <v>5.4630898867221916E-2</v>
      </c>
    </row>
    <row r="152" spans="1:85" ht="11.25" customHeight="1" x14ac:dyDescent="0.2">
      <c r="A152" s="78"/>
      <c r="B152" s="98"/>
      <c r="C152" s="93"/>
      <c r="D152" s="61"/>
      <c r="E152" s="61"/>
      <c r="F152" s="61"/>
      <c r="G152" s="447"/>
      <c r="H152" s="109"/>
      <c r="I152" s="93"/>
      <c r="J152" s="61"/>
      <c r="K152" s="61"/>
      <c r="L152" s="61"/>
      <c r="M152" s="447"/>
      <c r="N152" s="109"/>
      <c r="O152" s="93"/>
      <c r="P152" s="61"/>
      <c r="Q152" s="61"/>
      <c r="R152" s="61"/>
      <c r="S152" s="447"/>
      <c r="T152" s="109"/>
      <c r="U152" s="93"/>
      <c r="V152" s="61"/>
      <c r="W152" s="61"/>
      <c r="X152" s="61"/>
      <c r="Y152" s="447"/>
      <c r="Z152" s="109"/>
      <c r="AA152" s="93"/>
      <c r="AB152" s="61"/>
      <c r="AC152" s="61"/>
      <c r="AD152" s="61"/>
      <c r="AE152" s="447"/>
      <c r="AF152" s="109"/>
      <c r="AG152" s="93"/>
      <c r="AH152" s="61"/>
      <c r="AI152" s="61"/>
      <c r="AJ152" s="61"/>
      <c r="AK152" s="447"/>
      <c r="AL152" s="109"/>
      <c r="AM152" s="93"/>
      <c r="AN152" s="61"/>
      <c r="AO152" s="61"/>
      <c r="AP152" s="61"/>
      <c r="AQ152" s="447"/>
      <c r="AR152" s="109"/>
      <c r="AS152" s="93"/>
      <c r="AT152" s="61"/>
      <c r="AU152" s="61"/>
      <c r="AV152" s="61"/>
      <c r="AW152" s="447"/>
      <c r="AX152" s="109"/>
      <c r="AY152" s="93"/>
      <c r="AZ152" s="61"/>
      <c r="BA152" s="61"/>
      <c r="BB152" s="61"/>
      <c r="BC152" s="447"/>
      <c r="BD152" s="109"/>
      <c r="BE152" s="93"/>
      <c r="BF152" s="61"/>
      <c r="BG152" s="61"/>
      <c r="BH152" s="61"/>
      <c r="BI152" s="447"/>
      <c r="BJ152" s="109"/>
      <c r="BK152" s="93"/>
      <c r="BL152" s="61"/>
      <c r="BM152" s="61"/>
      <c r="BN152" s="61"/>
      <c r="BO152" s="447"/>
      <c r="BP152" s="109"/>
      <c r="BQ152" s="93"/>
      <c r="BR152" s="61"/>
      <c r="BS152" s="61"/>
      <c r="BT152" s="61"/>
      <c r="BU152" s="1151"/>
      <c r="BV152" s="109"/>
      <c r="BW152" s="93"/>
      <c r="BX152" s="61"/>
      <c r="BY152" s="61"/>
      <c r="BZ152" s="61"/>
      <c r="CA152" s="1151"/>
      <c r="CB152" s="109"/>
      <c r="CC152" s="93"/>
      <c r="CD152" s="61"/>
      <c r="CE152" s="61"/>
      <c r="CF152" s="61"/>
      <c r="CG152" s="1151"/>
    </row>
    <row r="153" spans="1:85" ht="11.25" customHeight="1" x14ac:dyDescent="0.2">
      <c r="A153" s="78"/>
      <c r="B153" s="108" t="s">
        <v>306</v>
      </c>
      <c r="C153" s="143"/>
      <c r="D153" s="144"/>
      <c r="E153" s="144"/>
      <c r="F153" s="144"/>
      <c r="G153" s="448"/>
      <c r="H153" s="39"/>
      <c r="I153" s="143"/>
      <c r="J153" s="144"/>
      <c r="K153" s="144"/>
      <c r="L153" s="144"/>
      <c r="M153" s="448"/>
      <c r="N153" s="39"/>
      <c r="O153" s="143"/>
      <c r="P153" s="144"/>
      <c r="Q153" s="144"/>
      <c r="R153" s="144"/>
      <c r="S153" s="448"/>
      <c r="T153" s="39"/>
      <c r="U153" s="147"/>
      <c r="V153" s="148"/>
      <c r="W153" s="148"/>
      <c r="X153" s="148"/>
      <c r="Y153" s="448"/>
      <c r="Z153" s="39"/>
      <c r="AA153" s="269">
        <v>341.06900000000002</v>
      </c>
      <c r="AB153" s="270">
        <v>340.87200000000001</v>
      </c>
      <c r="AC153" s="148">
        <f>+AC35+AC94</f>
        <v>424.596</v>
      </c>
      <c r="AD153" s="148">
        <f>+AD35+AD94</f>
        <v>397.91700000000003</v>
      </c>
      <c r="AE153" s="448">
        <f>+SUM(AA153:AD153)</f>
        <v>1504.4540000000002</v>
      </c>
      <c r="AF153" s="39"/>
      <c r="AG153" s="147">
        <f>+AG35+AG94</f>
        <v>354.82599999999996</v>
      </c>
      <c r="AH153" s="148">
        <f>+AH35+AH94</f>
        <v>361.12200000000001</v>
      </c>
      <c r="AI153" s="148">
        <f>+AI35+AI94</f>
        <v>442.53800000000001</v>
      </c>
      <c r="AJ153" s="148">
        <f>+AJ35+AJ94</f>
        <v>402.435</v>
      </c>
      <c r="AK153" s="448">
        <f>+SUM(AG153:AJ153)</f>
        <v>1560.9209999999998</v>
      </c>
      <c r="AL153" s="39"/>
      <c r="AM153" s="147">
        <f>+AM35+AM94</f>
        <v>388.86200000000002</v>
      </c>
      <c r="AN153" s="148">
        <f>+AN35+AN94</f>
        <v>387.887</v>
      </c>
      <c r="AO153" s="148">
        <f>+AO35+AO94</f>
        <v>444.53299999999996</v>
      </c>
      <c r="AP153" s="148">
        <f>+AP35+AP94</f>
        <v>421.88499999999999</v>
      </c>
      <c r="AQ153" s="448">
        <f>+SUM(AM153:AP153)</f>
        <v>1643.1669999999999</v>
      </c>
      <c r="AR153" s="39"/>
      <c r="AS153" s="147">
        <f>+AS35+AS94</f>
        <v>397.41399999999999</v>
      </c>
      <c r="AT153" s="148">
        <f>+AT35+AT94</f>
        <v>403.25700000000001</v>
      </c>
      <c r="AU153" s="148">
        <f>+AU35+AU94</f>
        <v>480.30199999999996</v>
      </c>
      <c r="AV153" s="148">
        <f>+AV35+AV94</f>
        <v>461.71199999999999</v>
      </c>
      <c r="AW153" s="448">
        <f>+SUM(AS153:AV153)</f>
        <v>1742.6849999999999</v>
      </c>
      <c r="AX153" s="39"/>
      <c r="AY153" s="147">
        <f>+AY35+AY94</f>
        <v>443.53300000000002</v>
      </c>
      <c r="AZ153" s="148">
        <f>+AZ35+AZ94</f>
        <v>470.51900000000001</v>
      </c>
      <c r="BA153" s="148">
        <f>+BA35+BA94</f>
        <v>597.24300000000005</v>
      </c>
      <c r="BB153" s="148">
        <f>+BB35+BB94</f>
        <v>561.62</v>
      </c>
      <c r="BC153" s="448">
        <f>+SUM(AY153:BB153)</f>
        <v>2072.915</v>
      </c>
      <c r="BD153" s="39"/>
      <c r="BE153" s="147">
        <f>+BE35+BE94</f>
        <v>538.11700000000008</v>
      </c>
      <c r="BF153" s="148">
        <f>+BF35+BF94</f>
        <v>538.82500000000005</v>
      </c>
      <c r="BG153" s="148">
        <f>+BG35+BG94</f>
        <v>639.64800000000002</v>
      </c>
      <c r="BH153" s="148">
        <f>+BH35+BH94</f>
        <v>621.07099999999991</v>
      </c>
      <c r="BI153" s="448">
        <f>+SUM(BE153:BH153)</f>
        <v>2337.6610000000001</v>
      </c>
      <c r="BJ153" s="39"/>
      <c r="BK153" s="147">
        <f>+BK35+BK94</f>
        <v>598.88600000000008</v>
      </c>
      <c r="BL153" s="148">
        <f>+BL35+BL94</f>
        <v>571.42700000000002</v>
      </c>
      <c r="BM153" s="148">
        <f>+BM35+BM94</f>
        <v>690.76099999999997</v>
      </c>
      <c r="BN153" s="148">
        <f>+BN35+BN94</f>
        <v>636.91999999999996</v>
      </c>
      <c r="BO153" s="448">
        <f>+SUM(BK153:BN153)</f>
        <v>2497.9940000000001</v>
      </c>
      <c r="BP153" s="39"/>
      <c r="BQ153" s="147">
        <f>+BQ35+BQ94</f>
        <v>615.62739500000009</v>
      </c>
      <c r="BR153" s="148">
        <f>+BR35+BR94</f>
        <v>621.88231500000018</v>
      </c>
      <c r="BS153" s="148">
        <f>+BS35+BS94</f>
        <v>730.92313999999999</v>
      </c>
      <c r="BT153" s="148">
        <f>+BT35+BT94</f>
        <v>674.17404999999997</v>
      </c>
      <c r="BU153" s="448">
        <f>+SUM(BQ153:BT153)</f>
        <v>2642.6069000000002</v>
      </c>
      <c r="BV153" s="39"/>
      <c r="BW153" s="147">
        <f>+BW35+BW94</f>
        <v>645.86308620000011</v>
      </c>
      <c r="BX153" s="148">
        <f>+BX35+BX94</f>
        <v>652.42706310000005</v>
      </c>
      <c r="BY153" s="148">
        <f>+BY35+BY94</f>
        <v>766.92471780000005</v>
      </c>
      <c r="BZ153" s="148">
        <f>+BZ35+BZ94</f>
        <v>707.30029560000003</v>
      </c>
      <c r="CA153" s="448">
        <f>+SUM(BW153:BZ153)</f>
        <v>2772.5151627000005</v>
      </c>
      <c r="CB153" s="39"/>
      <c r="CC153" s="147">
        <f>+CC35+CC94</f>
        <v>671.32654823400014</v>
      </c>
      <c r="CD153" s="148">
        <f>+CD35+CD94</f>
        <v>678.15057562200013</v>
      </c>
      <c r="CE153" s="148">
        <f>+CE35+CE94</f>
        <v>797.23139265600003</v>
      </c>
      <c r="CF153" s="148">
        <f>+CF35+CF94</f>
        <v>735.19623673199999</v>
      </c>
      <c r="CG153" s="448">
        <f>+SUM(CC153:CF153)</f>
        <v>2881.9047532439999</v>
      </c>
    </row>
    <row r="154" spans="1:85" ht="11.25" customHeight="1" x14ac:dyDescent="0.2">
      <c r="A154" s="78"/>
      <c r="B154" s="99" t="s">
        <v>253</v>
      </c>
      <c r="C154" s="259"/>
      <c r="D154" s="265"/>
      <c r="E154" s="265"/>
      <c r="F154" s="265"/>
      <c r="G154" s="449"/>
      <c r="H154" s="43"/>
      <c r="I154" s="259"/>
      <c r="J154" s="265"/>
      <c r="K154" s="265"/>
      <c r="L154" s="265"/>
      <c r="M154" s="449"/>
      <c r="N154" s="43"/>
      <c r="O154" s="259"/>
      <c r="P154" s="265"/>
      <c r="Q154" s="265"/>
      <c r="R154" s="265"/>
      <c r="S154" s="449"/>
      <c r="T154" s="43"/>
      <c r="U154" s="259"/>
      <c r="V154" s="260"/>
      <c r="W154" s="260"/>
      <c r="X154" s="260"/>
      <c r="Y154" s="449"/>
      <c r="Z154" s="43"/>
      <c r="AA154" s="259"/>
      <c r="AB154" s="260"/>
      <c r="AC154" s="260"/>
      <c r="AD154" s="260"/>
      <c r="AE154" s="449"/>
      <c r="AF154" s="43"/>
      <c r="AG154" s="259">
        <f>+AG153/AA153-1</f>
        <v>4.033494688757977E-2</v>
      </c>
      <c r="AH154" s="260">
        <f>+AH153/AB153-1</f>
        <v>5.9406463423220535E-2</v>
      </c>
      <c r="AI154" s="260">
        <f>+AI153/AC153-1</f>
        <v>4.2256639252371775E-2</v>
      </c>
      <c r="AJ154" s="260">
        <f>+AJ153/AD153-1</f>
        <v>1.1354126614344207E-2</v>
      </c>
      <c r="AK154" s="449">
        <f>IF(ISERROR(AK153/AE153-1),"NM",AK153/AE153-1)</f>
        <v>3.7533218031258864E-2</v>
      </c>
      <c r="AL154" s="43"/>
      <c r="AM154" s="259">
        <f>+AM153/AG153-1</f>
        <v>9.5923072153675459E-2</v>
      </c>
      <c r="AN154" s="260">
        <f>+AN153/AH153-1</f>
        <v>7.4116226649165506E-2</v>
      </c>
      <c r="AO154" s="260">
        <f>+AO153/AI153-1</f>
        <v>4.5080874410783345E-3</v>
      </c>
      <c r="AP154" s="260">
        <f>+AP153/AJ153-1</f>
        <v>4.8330786338166343E-2</v>
      </c>
      <c r="AQ154" s="449">
        <f>IF(ISERROR(AQ153/AK153-1),"NM",AQ153/AK153-1)</f>
        <v>5.2690687100756639E-2</v>
      </c>
      <c r="AR154" s="43"/>
      <c r="AS154" s="259">
        <f>+AS153/AM153-1</f>
        <v>2.1992377758690562E-2</v>
      </c>
      <c r="AT154" s="260">
        <f>+AT153/AN153-1</f>
        <v>3.9624942315674483E-2</v>
      </c>
      <c r="AU154" s="260">
        <f>+AU153/AO153-1</f>
        <v>8.046421750466215E-2</v>
      </c>
      <c r="AV154" s="260">
        <f>+AV153/AP153-1</f>
        <v>9.4402503051779441E-2</v>
      </c>
      <c r="AW154" s="449">
        <f>IF(ISERROR(AW153/AQ153-1),"NM",AW153/AQ153-1)</f>
        <v>6.0564750874378515E-2</v>
      </c>
      <c r="AX154" s="43"/>
      <c r="AY154" s="259">
        <f>+AY153/AS153-1</f>
        <v>0.11604774869531531</v>
      </c>
      <c r="AZ154" s="260">
        <f>+AZ153/AT153-1</f>
        <v>0.16679685659517385</v>
      </c>
      <c r="BA154" s="260">
        <f>+BA153/AU153-1</f>
        <v>0.24347389767271443</v>
      </c>
      <c r="BB154" s="260">
        <f>+BB153/AV153-1</f>
        <v>0.21638597220778322</v>
      </c>
      <c r="BC154" s="449">
        <f>IF(ISERROR(BC153/AW153-1),"NM",BC153/AW153-1)</f>
        <v>0.18949494601720906</v>
      </c>
      <c r="BD154" s="43"/>
      <c r="BE154" s="259">
        <f>+BE153/AY153-1</f>
        <v>0.21325132515506184</v>
      </c>
      <c r="BF154" s="260">
        <f>+BF153/AZ153-1</f>
        <v>0.14517160837288201</v>
      </c>
      <c r="BG154" s="260">
        <f>+BG153/BA153-1</f>
        <v>7.1001250747183331E-2</v>
      </c>
      <c r="BH154" s="260">
        <f>+BH153/BB153-1</f>
        <v>0.10585627292475319</v>
      </c>
      <c r="BI154" s="449">
        <f>IF(ISERROR(BI153/BC153-1),"NM",BI153/BC153-1)</f>
        <v>0.12771676600342996</v>
      </c>
      <c r="BJ154" s="43"/>
      <c r="BK154" s="259">
        <f>+BK153/BE153-1</f>
        <v>0.11292897269552893</v>
      </c>
      <c r="BL154" s="260">
        <f>+BL153/BF153-1</f>
        <v>6.0505730060780305E-2</v>
      </c>
      <c r="BM154" s="260">
        <f>+BM153/BG153-1</f>
        <v>7.9908011906548504E-2</v>
      </c>
      <c r="BN154" s="260">
        <f>+BN153/BH153-1</f>
        <v>2.5518821519600943E-2</v>
      </c>
      <c r="BO154" s="449">
        <f>IF(ISERROR(BO153/BI153-1),"NM",BO153/BI153-1)</f>
        <v>6.8586933691412E-2</v>
      </c>
      <c r="BP154" s="43"/>
      <c r="BQ154" s="259">
        <f>+BQ153/BK153-1</f>
        <v>2.7954226680870775E-2</v>
      </c>
      <c r="BR154" s="260">
        <f>+BR153/BL153-1</f>
        <v>8.8297044066871555E-2</v>
      </c>
      <c r="BS154" s="260">
        <f>+BS153/BM153-1</f>
        <v>5.8141875409874144E-2</v>
      </c>
      <c r="BT154" s="260">
        <f>+BT153/BN153-1</f>
        <v>5.8490940777491618E-2</v>
      </c>
      <c r="BU154" s="449">
        <f>IF(ISERROR(BU153/BO153-1),"NM",BU153/BO153-1)</f>
        <v>5.7891612229653111E-2</v>
      </c>
      <c r="BV154" s="43"/>
      <c r="BW154" s="259">
        <f>+BW153/BQ153-1</f>
        <v>4.9113622047310068E-2</v>
      </c>
      <c r="BX154" s="260">
        <f>+BX153/BR153-1</f>
        <v>4.9116605124877699E-2</v>
      </c>
      <c r="BY154" s="260">
        <f>+BY153/BS153-1</f>
        <v>4.9254943276252128E-2</v>
      </c>
      <c r="BZ154" s="260">
        <f>+BZ153/BT153-1</f>
        <v>4.9136043726393908E-2</v>
      </c>
      <c r="CA154" s="449">
        <f>IF(ISERROR(CA153/BU153-1),"NM",CA153/BU153-1)</f>
        <v>4.9159132483912016E-2</v>
      </c>
      <c r="CB154" s="43"/>
      <c r="CC154" s="259">
        <f>+CC153/BW153-1</f>
        <v>3.9425479761998616E-2</v>
      </c>
      <c r="CD154" s="260">
        <f>+CD153/BX153-1</f>
        <v>3.9427414920182979E-2</v>
      </c>
      <c r="CE154" s="260">
        <f>+CE153/BY153-1</f>
        <v>3.951714445054999E-2</v>
      </c>
      <c r="CF154" s="260">
        <f>+CF153/BZ153-1</f>
        <v>3.9440024704550547E-2</v>
      </c>
      <c r="CG154" s="449">
        <f>IF(ISERROR(CG153/CA153-1),"NM",CG153/CA153-1)</f>
        <v>3.9455001731161232E-2</v>
      </c>
    </row>
    <row r="155" spans="1:85" ht="11.25" customHeight="1" x14ac:dyDescent="0.2">
      <c r="A155" s="78"/>
      <c r="B155" s="99" t="s">
        <v>256</v>
      </c>
      <c r="C155" s="261"/>
      <c r="D155" s="266"/>
      <c r="E155" s="266"/>
      <c r="F155" s="267"/>
      <c r="G155" s="449"/>
      <c r="H155" s="43"/>
      <c r="I155" s="261"/>
      <c r="J155" s="266"/>
      <c r="K155" s="266"/>
      <c r="L155" s="267"/>
      <c r="M155" s="449"/>
      <c r="N155" s="43"/>
      <c r="O155" s="261"/>
      <c r="P155" s="266"/>
      <c r="Q155" s="266"/>
      <c r="R155" s="267"/>
      <c r="S155" s="449"/>
      <c r="T155" s="43"/>
      <c r="U155" s="261"/>
      <c r="V155" s="258"/>
      <c r="W155" s="258"/>
      <c r="X155" s="258"/>
      <c r="Y155" s="449"/>
      <c r="Z155" s="43"/>
      <c r="AA155" s="261"/>
      <c r="AB155" s="258"/>
      <c r="AC155" s="258"/>
      <c r="AD155" s="258"/>
      <c r="AE155" s="449"/>
      <c r="AF155" s="43"/>
      <c r="AG155" s="261">
        <v>4.2000000000000003E-2</v>
      </c>
      <c r="AH155" s="258">
        <v>6.6000000000000003E-2</v>
      </c>
      <c r="AI155" s="258">
        <v>4.8000000000000001E-2</v>
      </c>
      <c r="AJ155" s="258">
        <v>1.4E-2</v>
      </c>
      <c r="AK155" s="449">
        <f>+SUMPRODUCT(AG155:AJ155,AA$153:AD$153)/AE$153</f>
        <v>4.1725367475509388E-2</v>
      </c>
      <c r="AL155" s="43"/>
      <c r="AM155" s="261">
        <v>9.5000000000000001E-2</v>
      </c>
      <c r="AN155" s="258">
        <v>7.3999999999999996E-2</v>
      </c>
      <c r="AO155" s="258">
        <v>3.0000000000000001E-3</v>
      </c>
      <c r="AP155" s="258">
        <v>4.5999999999999999E-2</v>
      </c>
      <c r="AQ155" s="449">
        <f>+SUMPRODUCT(AM155:AP155,AG$153:AJ$153)/AK$153</f>
        <v>5.1425486619758466E-2</v>
      </c>
      <c r="AR155" s="43"/>
      <c r="AS155" s="261">
        <v>0.02</v>
      </c>
      <c r="AT155" s="258">
        <v>3.6999999999999998E-2</v>
      </c>
      <c r="AU155" s="258">
        <v>0.08</v>
      </c>
      <c r="AV155" s="258">
        <v>9.9000000000000005E-2</v>
      </c>
      <c r="AW155" s="449">
        <f>+SUMPRODUCT(AS155:AV155,AM$153:AP$153)/AQ$153</f>
        <v>6.0528427116659476E-2</v>
      </c>
      <c r="AX155" s="43"/>
      <c r="AY155" s="261">
        <v>0.125</v>
      </c>
      <c r="AZ155" s="258">
        <v>0.17699999999999999</v>
      </c>
      <c r="BA155" s="258">
        <v>0.25</v>
      </c>
      <c r="BB155" s="258">
        <v>0.222</v>
      </c>
      <c r="BC155" s="449">
        <f>+SUMPRODUCT(AY155:BB155,AS$153:AV$153)/AW$153</f>
        <v>0.1971835432106204</v>
      </c>
      <c r="BD155" s="43"/>
      <c r="BE155" s="261">
        <v>0.215</v>
      </c>
      <c r="BF155" s="258">
        <v>0.14499999999999999</v>
      </c>
      <c r="BG155" s="258">
        <v>7.0999999999999994E-2</v>
      </c>
      <c r="BH155" s="260">
        <f>+BH154-BH156</f>
        <v>0.10685627292475319</v>
      </c>
      <c r="BI155" s="449">
        <f>+SUMPRODUCT(BE155:BH155,AY$153:BB$153)/BC$153</f>
        <v>0.12832254241008431</v>
      </c>
      <c r="BJ155" s="43"/>
      <c r="BK155" s="259">
        <f>((+BE35*(1+BK37)+BE94*(1+BK96))/BE153-1)</f>
        <v>0.11484821516510335</v>
      </c>
      <c r="BL155" s="260">
        <f>((+BF35*(1+BL37)+BF94*(1+BL96))/BF153-1)</f>
        <v>6.1631852642323404E-2</v>
      </c>
      <c r="BM155" s="260">
        <f>((+BG35*(1+BM37)+BG94*(1+BM96))/BG153-1)</f>
        <v>7.9083753877132512E-2</v>
      </c>
      <c r="BN155" s="260">
        <f>((+BH35*(1+BN37)+BH94*(1+BN96))/BH153-1)</f>
        <v>2.3078739789814895E-2</v>
      </c>
      <c r="BO155" s="449">
        <f>+SUMPRODUCT(BK155:BN155,BE$153:BH$153)/BI$153</f>
        <v>6.8414479687174498E-2</v>
      </c>
      <c r="BP155" s="43"/>
      <c r="BQ155" s="259">
        <f>((+BK35*(1+BQ37)+BK94*(1+BQ96))/BK153-1)</f>
        <v>2.8426328216054397E-2</v>
      </c>
      <c r="BR155" s="260">
        <f>((+BL35*(1+BR37)+BL94*(1+BR96))/BL153-1)</f>
        <v>8.8761486594088224E-2</v>
      </c>
      <c r="BS155" s="260">
        <f>((+BM35*(1+BS37)+BM94*(1+BS96))/BM153-1)</f>
        <v>5.8938214519927978E-2</v>
      </c>
      <c r="BT155" s="260">
        <f>((+BN35*(1+BT37)+BN94*(1+BT96))/BN153-1)</f>
        <v>5.9396376310996812E-2</v>
      </c>
      <c r="BU155" s="449">
        <f>+SUMPRODUCT(BQ155:BT155,BK$153:BN$153)/BO$153</f>
        <v>5.8562110237254397E-2</v>
      </c>
      <c r="BV155" s="43"/>
      <c r="BW155" s="259">
        <f>((+BQ35*(1+BW37)+BQ94*(1+BW96))/BQ153-1)</f>
        <v>4.9113622047310068E-2</v>
      </c>
      <c r="BX155" s="260">
        <f>((+BR35*(1+BX37)+BR94*(1+BX96))/BR153-1)</f>
        <v>4.9116605124877699E-2</v>
      </c>
      <c r="BY155" s="260">
        <f>((+BS35*(1+BY37)+BS94*(1+BY96))/BS153-1)</f>
        <v>4.9254943276252128E-2</v>
      </c>
      <c r="BZ155" s="260">
        <f>((+BT35*(1+BZ37)+BT94*(1+BZ96))/BT153-1)</f>
        <v>4.9136043726393908E-2</v>
      </c>
      <c r="CA155" s="449">
        <f>+SUMPRODUCT(BW155:BZ155,BQ$153:BT$153)/BU$153</f>
        <v>4.9159132483912016E-2</v>
      </c>
      <c r="CB155" s="43"/>
      <c r="CC155" s="259">
        <f>((+BW35*(1+CC37)+BW94*(1+CC96))/BW153-1)</f>
        <v>3.9425479761998616E-2</v>
      </c>
      <c r="CD155" s="260">
        <f>((+BX35*(1+CD37)+BX94*(1+CD96))/BX153-1)</f>
        <v>3.9427414920182979E-2</v>
      </c>
      <c r="CE155" s="260">
        <f>((+BY35*(1+CE37)+BY94*(1+CE96))/BY153-1)</f>
        <v>3.951714445054999E-2</v>
      </c>
      <c r="CF155" s="260">
        <f>((+BZ35*(1+CF37)+BZ94*(1+CF96))/BZ153-1)</f>
        <v>3.9440024704550547E-2</v>
      </c>
      <c r="CG155" s="449">
        <f>+SUMPRODUCT(CC155:CF155,BW$153:BZ$153)/CA$153</f>
        <v>3.9455001731161482E-2</v>
      </c>
    </row>
    <row r="156" spans="1:85" ht="11.25" customHeight="1" x14ac:dyDescent="0.2">
      <c r="A156" s="78"/>
      <c r="B156" s="99" t="s">
        <v>255</v>
      </c>
      <c r="C156" s="259"/>
      <c r="D156" s="265"/>
      <c r="E156" s="265"/>
      <c r="F156" s="265"/>
      <c r="G156" s="449"/>
      <c r="H156" s="43"/>
      <c r="I156" s="259"/>
      <c r="J156" s="265"/>
      <c r="K156" s="265"/>
      <c r="L156" s="265"/>
      <c r="M156" s="449"/>
      <c r="N156" s="43"/>
      <c r="O156" s="259"/>
      <c r="P156" s="265"/>
      <c r="Q156" s="265"/>
      <c r="R156" s="265"/>
      <c r="S156" s="449"/>
      <c r="T156" s="43"/>
      <c r="U156" s="259"/>
      <c r="V156" s="260"/>
      <c r="W156" s="260"/>
      <c r="X156" s="260"/>
      <c r="Y156" s="449"/>
      <c r="Z156" s="43"/>
      <c r="AA156" s="259"/>
      <c r="AB156" s="260"/>
      <c r="AC156" s="260"/>
      <c r="AD156" s="260"/>
      <c r="AE156" s="449"/>
      <c r="AF156" s="43"/>
      <c r="AG156" s="259">
        <f>AG154-AG155</f>
        <v>-1.6650531124202325E-3</v>
      </c>
      <c r="AH156" s="260">
        <f>AH154-AH155</f>
        <v>-6.5935365767794685E-3</v>
      </c>
      <c r="AI156" s="260">
        <f>AI154-AI155</f>
        <v>-5.7433607476282261E-3</v>
      </c>
      <c r="AJ156" s="260">
        <f>AJ154-AJ155</f>
        <v>-2.6458733856557937E-3</v>
      </c>
      <c r="AK156" s="449">
        <f>+SUMPRODUCT(AG156:AJ156,AA$153:AD$153)/AE$153</f>
        <v>-4.1921494442501914E-3</v>
      </c>
      <c r="AL156" s="43"/>
      <c r="AM156" s="259">
        <f>AM154-AM155</f>
        <v>9.2307215367545825E-4</v>
      </c>
      <c r="AN156" s="260">
        <f>AN154-AN155</f>
        <v>1.1622664916551007E-4</v>
      </c>
      <c r="AO156" s="260">
        <f>AO154-AO155</f>
        <v>1.5080874410783344E-3</v>
      </c>
      <c r="AP156" s="260">
        <f>AP154-AP155</f>
        <v>2.3307863381663435E-3</v>
      </c>
      <c r="AQ156" s="449">
        <f>+SUMPRODUCT(AM156:AP156,AG$153:AJ$153)/AK$153</f>
        <v>1.2652004809980083E-3</v>
      </c>
      <c r="AR156" s="43"/>
      <c r="AS156" s="259">
        <f>AS154-AS155</f>
        <v>1.9923777586905618E-3</v>
      </c>
      <c r="AT156" s="260">
        <f>AT154-AT155</f>
        <v>2.6249423156744847E-3</v>
      </c>
      <c r="AU156" s="260">
        <f>AU154-AU155</f>
        <v>4.6421750466214828E-4</v>
      </c>
      <c r="AV156" s="260">
        <f>AV154-AV155</f>
        <v>-4.5974969482205641E-3</v>
      </c>
      <c r="AW156" s="449">
        <f>+SUMPRODUCT(AS156:AV156,AM$153:AP$153)/AQ$153</f>
        <v>3.6323757719029296E-5</v>
      </c>
      <c r="AX156" s="43"/>
      <c r="AY156" s="259">
        <f>AY154-AY155</f>
        <v>-8.9522513046846885E-3</v>
      </c>
      <c r="AZ156" s="260">
        <f>AZ154-AZ155</f>
        <v>-1.0203143404826143E-2</v>
      </c>
      <c r="BA156" s="260">
        <f>BA154-BA155</f>
        <v>-6.5261023272855656E-3</v>
      </c>
      <c r="BB156" s="260">
        <f>BB154-BB155</f>
        <v>-5.6140277922167858E-3</v>
      </c>
      <c r="BC156" s="449">
        <f>+SUMPRODUCT(AY156:BB156,AS$153:AV$153)/AW$153</f>
        <v>-7.6885971934112281E-3</v>
      </c>
      <c r="BD156" s="43"/>
      <c r="BE156" s="259">
        <f>BE154-BE155</f>
        <v>-1.7486748449381528E-3</v>
      </c>
      <c r="BF156" s="260">
        <f>BF154-BF155</f>
        <v>1.7160837288202058E-4</v>
      </c>
      <c r="BG156" s="260">
        <f>BG154-BG155</f>
        <v>1.2507471833372863E-6</v>
      </c>
      <c r="BH156" s="258">
        <v>-1E-3</v>
      </c>
      <c r="BI156" s="449">
        <f>+SUMPRODUCT(BE156:BH156,AY$153:BB$153)/BC$153</f>
        <v>-6.0577640665432993E-4</v>
      </c>
      <c r="BJ156" s="43"/>
      <c r="BK156" s="259">
        <f>BK154-BK155</f>
        <v>-1.9192424695744226E-3</v>
      </c>
      <c r="BL156" s="260">
        <f>BL154-BL155</f>
        <v>-1.1261225815430986E-3</v>
      </c>
      <c r="BM156" s="260">
        <f>BM154-BM155</f>
        <v>8.242580294159918E-4</v>
      </c>
      <c r="BN156" s="260">
        <f>BN154-BN155</f>
        <v>2.4400817297860478E-3</v>
      </c>
      <c r="BO156" s="449">
        <f>+SUMPRODUCT(BK156:BN156,BE$153:BH$153)/BI$153</f>
        <v>1.7245400423752222E-4</v>
      </c>
      <c r="BP156" s="43"/>
      <c r="BQ156" s="259">
        <f>BQ154-BQ155</f>
        <v>-4.7210153518362219E-4</v>
      </c>
      <c r="BR156" s="260">
        <f>BR154-BR155</f>
        <v>-4.6444252721666857E-4</v>
      </c>
      <c r="BS156" s="260">
        <f>BS154-BS155</f>
        <v>-7.9633911005383418E-4</v>
      </c>
      <c r="BT156" s="260">
        <f>BT154-BT155</f>
        <v>-9.0543553350519446E-4</v>
      </c>
      <c r="BU156" s="449">
        <f>+SUMPRODUCT(BQ156:BT156,BK$153:BN$153)/BO$153</f>
        <v>-6.7049800760123654E-4</v>
      </c>
      <c r="BV156" s="43"/>
      <c r="BW156" s="259">
        <f>BW154-BW155</f>
        <v>0</v>
      </c>
      <c r="BX156" s="260">
        <f>BX154-BX155</f>
        <v>0</v>
      </c>
      <c r="BY156" s="260">
        <f>BY154-BY155</f>
        <v>0</v>
      </c>
      <c r="BZ156" s="260">
        <f>BZ154-BZ155</f>
        <v>0</v>
      </c>
      <c r="CA156" s="449">
        <f>+SUMPRODUCT(BW156:BZ156,BQ$153:BT$153)/BU$153</f>
        <v>0</v>
      </c>
      <c r="CB156" s="43"/>
      <c r="CC156" s="259">
        <f>CC154-CC155</f>
        <v>0</v>
      </c>
      <c r="CD156" s="260">
        <f>CD154-CD155</f>
        <v>0</v>
      </c>
      <c r="CE156" s="260">
        <f>CE154-CE155</f>
        <v>0</v>
      </c>
      <c r="CF156" s="260">
        <f>CF154-CF155</f>
        <v>0</v>
      </c>
      <c r="CG156" s="449">
        <f>+SUMPRODUCT(CC156:CF156,BW$153:BZ$153)/CA$153</f>
        <v>0</v>
      </c>
    </row>
    <row r="157" spans="1:85" ht="11.25" customHeight="1" x14ac:dyDescent="0.2">
      <c r="A157" s="78"/>
      <c r="B157" s="99" t="s">
        <v>254</v>
      </c>
      <c r="C157" s="261"/>
      <c r="D157" s="266"/>
      <c r="E157" s="266"/>
      <c r="F157" s="267"/>
      <c r="G157" s="453"/>
      <c r="H157" s="43"/>
      <c r="I157" s="261"/>
      <c r="J157" s="266"/>
      <c r="K157" s="266"/>
      <c r="L157" s="267"/>
      <c r="M157" s="453"/>
      <c r="N157" s="43"/>
      <c r="O157" s="261"/>
      <c r="P157" s="266"/>
      <c r="Q157" s="266"/>
      <c r="R157" s="267"/>
      <c r="S157" s="453"/>
      <c r="T157" s="43"/>
      <c r="U157" s="261"/>
      <c r="V157" s="258"/>
      <c r="W157" s="258"/>
      <c r="X157" s="258"/>
      <c r="Y157" s="449"/>
      <c r="Z157" s="43"/>
      <c r="AA157" s="261"/>
      <c r="AB157" s="258"/>
      <c r="AC157" s="258"/>
      <c r="AD157" s="258"/>
      <c r="AE157" s="449"/>
      <c r="AF157" s="43"/>
      <c r="AG157" s="261">
        <v>6.0000000000000001E-3</v>
      </c>
      <c r="AH157" s="258">
        <v>0</v>
      </c>
      <c r="AI157" s="258">
        <v>1.2999999999999999E-2</v>
      </c>
      <c r="AJ157" s="258">
        <f>-6.9%+1.4%</f>
        <v>-5.5000000000000007E-2</v>
      </c>
      <c r="AK157" s="449">
        <f>+SUMPRODUCT(AG157:AJ157,AA$153:AD$153)/AE$153</f>
        <v>-9.5179201225162099E-3</v>
      </c>
      <c r="AL157" s="43"/>
      <c r="AM157" s="261">
        <v>1.2E-2</v>
      </c>
      <c r="AN157" s="258">
        <v>1.2E-2</v>
      </c>
      <c r="AO157" s="258">
        <v>0</v>
      </c>
      <c r="AP157" s="258">
        <v>0</v>
      </c>
      <c r="AQ157" s="449">
        <f>+SUMPRODUCT(AM157:AP157,AG$153:AJ$153)/AK$153</f>
        <v>5.5040428054975244E-3</v>
      </c>
      <c r="AR157" s="43"/>
      <c r="AS157" s="261">
        <v>0</v>
      </c>
      <c r="AT157" s="258">
        <v>0</v>
      </c>
      <c r="AU157" s="258">
        <v>0</v>
      </c>
      <c r="AV157" s="258">
        <v>5.0000000000000001E-3</v>
      </c>
      <c r="AW157" s="449">
        <f>+SUMPRODUCT(AS157:AV157,AM$153:AP$153)/AQ$153</f>
        <v>1.2837556985991077E-3</v>
      </c>
      <c r="AX157" s="43"/>
      <c r="AY157" s="261">
        <v>8.9999999999999993E-3</v>
      </c>
      <c r="AZ157" s="258">
        <v>7.8E-2</v>
      </c>
      <c r="BA157" s="258">
        <v>0.114</v>
      </c>
      <c r="BB157" s="258">
        <v>8.7999999999999995E-2</v>
      </c>
      <c r="BC157" s="449">
        <f>+SUMPRODUCT(AY157:BB157,AS$153:AV$153)/AW$153</f>
        <v>7.4836161440535717E-2</v>
      </c>
      <c r="BD157" s="43"/>
      <c r="BE157" s="261">
        <v>0</v>
      </c>
      <c r="BF157" s="258">
        <v>0</v>
      </c>
      <c r="BG157" s="258">
        <v>0</v>
      </c>
      <c r="BH157" s="258">
        <v>6.3E-2</v>
      </c>
      <c r="BI157" s="449">
        <f>+SUMPRODUCT(BE157:BH157,AY$153:BB$153)/BC$153</f>
        <v>1.7068746185926582E-2</v>
      </c>
      <c r="BJ157" s="43"/>
      <c r="BK157" s="261">
        <v>0</v>
      </c>
      <c r="BL157" s="260">
        <f>((+BF35*(1+BL39)+BF94*(1+BL98))/BF153-1)</f>
        <v>9.6567902380173543E-4</v>
      </c>
      <c r="BM157" s="260">
        <f>((+BG35*(1+BM39)+BG94*(1+BM98))/BG153-1)</f>
        <v>-1.4607323090198854E-3</v>
      </c>
      <c r="BN157" s="260">
        <f>((+BH35*(1+BN39)+BH94*(1+BN98))/BH153-1)</f>
        <v>-6.0354247743011569E-2</v>
      </c>
      <c r="BO157" s="449">
        <f>+SUMPRODUCT(BK157:BN157,BE$153:BH$153)/BI$153</f>
        <v>-1.6212057907455321E-2</v>
      </c>
      <c r="BP157" s="43"/>
      <c r="BQ157" s="259">
        <f>((+BK35*(1+BQ39)+BK94*(1+BQ98))/BK153-1)</f>
        <v>0</v>
      </c>
      <c r="BR157" s="260">
        <f>((+BL35*(1+BR39)+BL94*(1+BR98))/BL153-1)</f>
        <v>0</v>
      </c>
      <c r="BS157" s="260">
        <f>((+BM35*(1+BS39)+BM94*(1+BS98))/BM153-1)</f>
        <v>0</v>
      </c>
      <c r="BT157" s="260">
        <f>((+BN35*(1+BT39)+BN94*(1+BT98))/BN153-1)</f>
        <v>0</v>
      </c>
      <c r="BU157" s="449">
        <f>+SUMPRODUCT(BQ157:BT157,BK$153:BN$153)/BO$153</f>
        <v>0</v>
      </c>
      <c r="BV157" s="43"/>
      <c r="BW157" s="259">
        <f>((+BQ35*(1+BW39)+BQ94*(1+BW98))/BQ153-1)</f>
        <v>0</v>
      </c>
      <c r="BX157" s="260">
        <f>((+BR35*(1+BX39)+BR94*(1+BX98))/BR153-1)</f>
        <v>0</v>
      </c>
      <c r="BY157" s="260">
        <f>((+BS35*(1+BY39)+BS94*(1+BY98))/BS153-1)</f>
        <v>0</v>
      </c>
      <c r="BZ157" s="260">
        <f>((+BT35*(1+BZ39)+BT94*(1+BZ98))/BT153-1)</f>
        <v>0</v>
      </c>
      <c r="CA157" s="449">
        <f>+SUMPRODUCT(BW157:BZ157,BQ$153:BT$153)/BU$153</f>
        <v>0</v>
      </c>
      <c r="CB157" s="43"/>
      <c r="CC157" s="259">
        <f>((+BW35*(1+CC39)+BW94*(1+CC98))/BW153-1)</f>
        <v>0</v>
      </c>
      <c r="CD157" s="260">
        <f>((+BX35*(1+CD39)+BX94*(1+CD98))/BX153-1)</f>
        <v>0</v>
      </c>
      <c r="CE157" s="260">
        <f>((+BY35*(1+CE39)+BY94*(1+CE98))/BY153-1)</f>
        <v>0</v>
      </c>
      <c r="CF157" s="260">
        <f>((+BZ35*(1+CF39)+BZ94*(1+CF98))/BZ153-1)</f>
        <v>0</v>
      </c>
      <c r="CG157" s="449">
        <f>+SUMPRODUCT(CC157:CF157,BW$153:BZ$153)/CA$153</f>
        <v>0</v>
      </c>
    </row>
    <row r="158" spans="1:85" ht="11.25" customHeight="1" x14ac:dyDescent="0.2">
      <c r="A158" s="78"/>
      <c r="B158" s="98" t="s">
        <v>257</v>
      </c>
      <c r="C158" s="259"/>
      <c r="D158" s="260"/>
      <c r="E158" s="260"/>
      <c r="F158" s="260"/>
      <c r="G158" s="449"/>
      <c r="H158" s="264"/>
      <c r="I158" s="259"/>
      <c r="J158" s="260"/>
      <c r="K158" s="260"/>
      <c r="L158" s="260"/>
      <c r="M158" s="449"/>
      <c r="N158" s="264"/>
      <c r="O158" s="259"/>
      <c r="P158" s="260"/>
      <c r="Q158" s="260"/>
      <c r="R158" s="260"/>
      <c r="S158" s="449"/>
      <c r="T158" s="264"/>
      <c r="U158" s="259"/>
      <c r="V158" s="260"/>
      <c r="W158" s="260"/>
      <c r="X158" s="260"/>
      <c r="Y158" s="449"/>
      <c r="Z158" s="264"/>
      <c r="AA158" s="259"/>
      <c r="AB158" s="260"/>
      <c r="AC158" s="260"/>
      <c r="AD158" s="260"/>
      <c r="AE158" s="449"/>
      <c r="AF158" s="264"/>
      <c r="AG158" s="259">
        <f>+AG155-AG157</f>
        <v>3.6000000000000004E-2</v>
      </c>
      <c r="AH158" s="260">
        <f>+AH155-AH157</f>
        <v>6.6000000000000003E-2</v>
      </c>
      <c r="AI158" s="260">
        <f>+AI155-AI157</f>
        <v>3.5000000000000003E-2</v>
      </c>
      <c r="AJ158" s="260">
        <f>+AJ155-AJ157</f>
        <v>6.9000000000000006E-2</v>
      </c>
      <c r="AK158" s="449">
        <f>+SUMPRODUCT(AG158:AJ158,AA$153:AD$153)/AE$153</f>
        <v>5.12432875980256E-2</v>
      </c>
      <c r="AL158" s="264"/>
      <c r="AM158" s="259">
        <f>+AM155-AM157</f>
        <v>8.3000000000000004E-2</v>
      </c>
      <c r="AN158" s="260">
        <f>+AN155-AN157</f>
        <v>6.2E-2</v>
      </c>
      <c r="AO158" s="260">
        <f>+AO155-AO157</f>
        <v>3.0000000000000001E-3</v>
      </c>
      <c r="AP158" s="260">
        <f>+AP155-AP157</f>
        <v>4.5999999999999999E-2</v>
      </c>
      <c r="AQ158" s="449">
        <f>+SUMPRODUCT(AM158:AP158,AG$153:AJ$153)/AK$153</f>
        <v>4.5921443814260943E-2</v>
      </c>
      <c r="AR158" s="264"/>
      <c r="AS158" s="259">
        <f>+AS155-AS157</f>
        <v>0.02</v>
      </c>
      <c r="AT158" s="260">
        <f>+AT155-AT157</f>
        <v>3.6999999999999998E-2</v>
      </c>
      <c r="AU158" s="260">
        <f>+AU155-AU157</f>
        <v>0.08</v>
      </c>
      <c r="AV158" s="260">
        <f>+AV155-AV157</f>
        <v>9.4E-2</v>
      </c>
      <c r="AW158" s="449">
        <f>+SUMPRODUCT(AS158:AV158,AM$153:AP$153)/AQ$153</f>
        <v>5.9244671418060363E-2</v>
      </c>
      <c r="AX158" s="264"/>
      <c r="AY158" s="259">
        <f>+AY155-AY157</f>
        <v>0.11600000000000001</v>
      </c>
      <c r="AZ158" s="260">
        <f>+AZ155-AZ157</f>
        <v>9.8999999999999991E-2</v>
      </c>
      <c r="BA158" s="260">
        <f>+BA155-BA157</f>
        <v>0.13600000000000001</v>
      </c>
      <c r="BB158" s="260">
        <f>+BB155-BB157</f>
        <v>0.13400000000000001</v>
      </c>
      <c r="BC158" s="449">
        <f>+SUMPRODUCT(AY158:BB158,AS$153:AV$153)/AW$153</f>
        <v>0.12234738177008467</v>
      </c>
      <c r="BD158" s="264"/>
      <c r="BE158" s="259">
        <f>+BE155-BE157</f>
        <v>0.215</v>
      </c>
      <c r="BF158" s="260">
        <f>+BF155-BF157</f>
        <v>0.14499999999999999</v>
      </c>
      <c r="BG158" s="260">
        <f>+BG155-BG157</f>
        <v>7.0999999999999994E-2</v>
      </c>
      <c r="BH158" s="260">
        <f>+BH155-BH157</f>
        <v>4.3856272924753192E-2</v>
      </c>
      <c r="BI158" s="449">
        <f>+SUMPRODUCT(BE158:BH158,AY$153:BB$153)/BC$153</f>
        <v>0.11125379622415772</v>
      </c>
      <c r="BJ158" s="264"/>
      <c r="BK158" s="259">
        <f>+BK155-BK157</f>
        <v>0.11484821516510335</v>
      </c>
      <c r="BL158" s="260">
        <f>+BL155-BL157</f>
        <v>6.0666173618521668E-2</v>
      </c>
      <c r="BM158" s="260">
        <f>+BM155-BM157</f>
        <v>8.0544486186152398E-2</v>
      </c>
      <c r="BN158" s="260">
        <f>+BN155-BN157</f>
        <v>8.3432987532826464E-2</v>
      </c>
      <c r="BO158" s="449">
        <f>+SUMPRODUCT(BK158:BN158,BE$153:BH$153)/BI$153</f>
        <v>8.4626537594629819E-2</v>
      </c>
      <c r="BP158" s="264"/>
      <c r="BQ158" s="259">
        <f>+BQ155-BQ157</f>
        <v>2.8426328216054397E-2</v>
      </c>
      <c r="BR158" s="260">
        <f>+BR155-BR157</f>
        <v>8.8761486594088224E-2</v>
      </c>
      <c r="BS158" s="260">
        <f>+BS155-BS157</f>
        <v>5.8938214519927978E-2</v>
      </c>
      <c r="BT158" s="260">
        <f>+BT155-BT157</f>
        <v>5.9396376310996812E-2</v>
      </c>
      <c r="BU158" s="449">
        <f>+SUMPRODUCT(BQ158:BT158,BK$153:BN$153)/BO$153</f>
        <v>5.8562110237254397E-2</v>
      </c>
      <c r="BV158" s="264"/>
      <c r="BW158" s="259">
        <f>+BW155-BW157</f>
        <v>4.9113622047310068E-2</v>
      </c>
      <c r="BX158" s="260">
        <f>+BX155-BX157</f>
        <v>4.9116605124877699E-2</v>
      </c>
      <c r="BY158" s="260">
        <f>+BY155-BY157</f>
        <v>4.9254943276252128E-2</v>
      </c>
      <c r="BZ158" s="260">
        <f>+BZ155-BZ157</f>
        <v>4.9136043726393908E-2</v>
      </c>
      <c r="CA158" s="449">
        <f>+SUMPRODUCT(BW158:BZ158,BQ$153:BT$153)/BU$153</f>
        <v>4.9159132483912016E-2</v>
      </c>
      <c r="CB158" s="264"/>
      <c r="CC158" s="259">
        <f>+CC155-CC157</f>
        <v>3.9425479761998616E-2</v>
      </c>
      <c r="CD158" s="260">
        <f>+CD155-CD157</f>
        <v>3.9427414920182979E-2</v>
      </c>
      <c r="CE158" s="260">
        <f>+CE155-CE157</f>
        <v>3.951714445054999E-2</v>
      </c>
      <c r="CF158" s="260">
        <f>+CF155-CF157</f>
        <v>3.9440024704550547E-2</v>
      </c>
      <c r="CG158" s="449">
        <f>+SUMPRODUCT(CC158:CF158,BW$153:BZ$153)/CA$153</f>
        <v>3.9455001731161482E-2</v>
      </c>
    </row>
    <row r="159" spans="1:85" ht="11.25" customHeight="1" x14ac:dyDescent="0.2">
      <c r="A159" s="78"/>
      <c r="B159" s="98"/>
      <c r="C159" s="93"/>
      <c r="D159" s="61"/>
      <c r="E159" s="61"/>
      <c r="F159" s="61"/>
      <c r="G159" s="447"/>
      <c r="H159" s="109"/>
      <c r="I159" s="93"/>
      <c r="J159" s="61"/>
      <c r="K159" s="61"/>
      <c r="L159" s="61"/>
      <c r="M159" s="447"/>
      <c r="N159" s="109"/>
      <c r="O159" s="93"/>
      <c r="P159" s="61"/>
      <c r="Q159" s="61"/>
      <c r="R159" s="61"/>
      <c r="S159" s="447"/>
      <c r="T159" s="109"/>
      <c r="U159" s="93"/>
      <c r="V159" s="61"/>
      <c r="W159" s="61"/>
      <c r="X159" s="61"/>
      <c r="Y159" s="447"/>
      <c r="Z159" s="109"/>
      <c r="AA159" s="93"/>
      <c r="AB159" s="61"/>
      <c r="AC159" s="61"/>
      <c r="AD159" s="61"/>
      <c r="AE159" s="447"/>
      <c r="AF159" s="109"/>
      <c r="AG159" s="93"/>
      <c r="AH159" s="61"/>
      <c r="AI159" s="61"/>
      <c r="AJ159" s="61"/>
      <c r="AK159" s="447"/>
      <c r="AL159" s="109"/>
      <c r="AM159" s="93"/>
      <c r="AN159" s="61"/>
      <c r="AO159" s="61"/>
      <c r="AP159" s="61"/>
      <c r="AQ159" s="447"/>
      <c r="AR159" s="109"/>
      <c r="AS159" s="93"/>
      <c r="AT159" s="61"/>
      <c r="AU159" s="61"/>
      <c r="AV159" s="61"/>
      <c r="AW159" s="447"/>
      <c r="AX159" s="109"/>
      <c r="AY159" s="93"/>
      <c r="AZ159" s="61"/>
      <c r="BA159" s="61"/>
      <c r="BB159" s="61"/>
      <c r="BC159" s="447"/>
      <c r="BD159" s="109"/>
      <c r="BE159" s="93"/>
      <c r="BF159" s="61"/>
      <c r="BG159" s="61"/>
      <c r="BH159" s="61"/>
      <c r="BI159" s="447"/>
      <c r="BJ159" s="109"/>
      <c r="BK159" s="93"/>
      <c r="BL159" s="61"/>
      <c r="BM159" s="61"/>
      <c r="BN159" s="61"/>
      <c r="BO159" s="447"/>
      <c r="BP159" s="109"/>
      <c r="BQ159" s="93"/>
      <c r="BR159" s="61"/>
      <c r="BS159" s="61"/>
      <c r="BT159" s="61"/>
      <c r="BU159" s="447"/>
      <c r="BV159" s="109"/>
      <c r="BW159" s="93"/>
      <c r="BX159" s="61"/>
      <c r="BY159" s="61"/>
      <c r="BZ159" s="61"/>
      <c r="CA159" s="447"/>
      <c r="CB159" s="109"/>
      <c r="CC159" s="93"/>
      <c r="CD159" s="61"/>
      <c r="CE159" s="61"/>
      <c r="CF159" s="61"/>
      <c r="CG159" s="447"/>
    </row>
    <row r="160" spans="1:85" ht="11.25" customHeight="1" x14ac:dyDescent="0.2">
      <c r="A160" s="78"/>
      <c r="B160" s="108" t="s">
        <v>307</v>
      </c>
      <c r="C160" s="147">
        <f>+C42+C101</f>
        <v>1281.713</v>
      </c>
      <c r="D160" s="148">
        <f>+D42+D101</f>
        <v>1355.1419999999998</v>
      </c>
      <c r="E160" s="148">
        <f>+E42+E101</f>
        <v>1473.7339999999999</v>
      </c>
      <c r="F160" s="148">
        <f>+F42+F101</f>
        <v>1661.9340000000004</v>
      </c>
      <c r="G160" s="448">
        <f>+SUM(C160:F160)</f>
        <v>5772.5230000000001</v>
      </c>
      <c r="H160" s="39"/>
      <c r="I160" s="147">
        <f>+I42+I101</f>
        <v>1482.982</v>
      </c>
      <c r="J160" s="148">
        <f>+J42+J101</f>
        <v>1599.7329999999999</v>
      </c>
      <c r="K160" s="148">
        <f>+K42+K101</f>
        <v>1603.1950000000002</v>
      </c>
      <c r="L160" s="148">
        <f>+L42+L101</f>
        <v>1531.2140000000004</v>
      </c>
      <c r="M160" s="448">
        <f>+SUM(I160:L160)</f>
        <v>6217.1239999999998</v>
      </c>
      <c r="N160" s="39"/>
      <c r="O160" s="147">
        <f>+O42+O101</f>
        <v>1445.0630000000001</v>
      </c>
      <c r="P160" s="148">
        <f>+P42+P101</f>
        <v>1564.8830000000003</v>
      </c>
      <c r="Q160" s="148">
        <f>+Q42+Q101</f>
        <v>1616.222</v>
      </c>
      <c r="R160" s="148">
        <f>+R42+R101</f>
        <v>1738.9599999999998</v>
      </c>
      <c r="S160" s="448">
        <f>+SUM(O160:R160)</f>
        <v>6365.1280000000006</v>
      </c>
      <c r="T160" s="39"/>
      <c r="U160" s="147">
        <f>+U42+U101</f>
        <v>1715.337</v>
      </c>
      <c r="V160" s="148">
        <f>+V42+V101</f>
        <v>1801.02</v>
      </c>
      <c r="W160" s="148">
        <f>+W42+W101</f>
        <v>1844.366</v>
      </c>
      <c r="X160" s="148">
        <f>+X42+X101</f>
        <v>1966.115</v>
      </c>
      <c r="Y160" s="448">
        <f>+SUM(U160:X160)</f>
        <v>7326.8379999999997</v>
      </c>
      <c r="Z160" s="39"/>
      <c r="AA160" s="147">
        <f>+AA126+AA146+AA153</f>
        <v>1892.115</v>
      </c>
      <c r="AB160" s="148">
        <f>+AB126+AB146+AB153</f>
        <v>2068.5829999999996</v>
      </c>
      <c r="AC160" s="148">
        <f>+AC126+AC146+AC153</f>
        <v>2049.5010000000002</v>
      </c>
      <c r="AD160" s="148">
        <f>+AD126+AD146+AD153</f>
        <v>2269.4229999999998</v>
      </c>
      <c r="AE160" s="448">
        <f>+SUM(AA160:AD160)</f>
        <v>8279.6219999999994</v>
      </c>
      <c r="AF160" s="39"/>
      <c r="AG160" s="147">
        <f>+AG126+AG146+AG153</f>
        <v>2036.0819999999999</v>
      </c>
      <c r="AH160" s="148">
        <f>+AH126+AH146+AH153</f>
        <v>2133.299</v>
      </c>
      <c r="AI160" s="148">
        <f>+AI126+AI146+AI153</f>
        <v>2160.0920000000001</v>
      </c>
      <c r="AJ160" s="148">
        <f>+AJ126+AJ146+AJ153</f>
        <v>2327.0810000000001</v>
      </c>
      <c r="AK160" s="448">
        <f>+SUM(AG160:AJ160)</f>
        <v>8656.5540000000001</v>
      </c>
      <c r="AL160" s="39"/>
      <c r="AM160" s="147">
        <f>+AM126+AM146+AM153</f>
        <v>2218.799</v>
      </c>
      <c r="AN160" s="148">
        <f>+AN126+AN146+AN153</f>
        <v>2313.7649999999999</v>
      </c>
      <c r="AO160" s="148">
        <f>+AO126+AO146+AO153</f>
        <v>2270.0230000000001</v>
      </c>
      <c r="AP160" s="148">
        <f>+AP126+AP146+AP153</f>
        <v>2438.0129999999999</v>
      </c>
      <c r="AQ160" s="448">
        <f>+SUM(AM160:AP160)</f>
        <v>9240.6</v>
      </c>
      <c r="AR160" s="39"/>
      <c r="AS160" s="147">
        <f>+AS126+AS146+AS153</f>
        <v>2348.83</v>
      </c>
      <c r="AT160" s="148">
        <f>+AT126+AT146+AT153</f>
        <v>2526.2869999999998</v>
      </c>
      <c r="AU160" s="148">
        <f>+AU126+AU146+AU153</f>
        <v>2536.6060000000002</v>
      </c>
      <c r="AV160" s="148">
        <f>+AV126+AV146+AV153</f>
        <v>2610.7890000000002</v>
      </c>
      <c r="AW160" s="448">
        <f>+SUM(AS160:AV160)</f>
        <v>10022.512000000001</v>
      </c>
      <c r="AX160" s="39"/>
      <c r="AY160" s="147">
        <f>+AY126+AY146+AY153</f>
        <v>2377.9299999999998</v>
      </c>
      <c r="AZ160" s="148">
        <f>+AZ126+AZ146+AZ153</f>
        <v>2539.8199999999997</v>
      </c>
      <c r="BA160" s="148">
        <f>+BA126+BA146+BA153</f>
        <v>2596.0969999999998</v>
      </c>
      <c r="BB160" s="148">
        <f>+BB126+BB146+BB153</f>
        <v>2757.0990000000002</v>
      </c>
      <c r="BC160" s="448">
        <f>+SUM(AY160:BB160)</f>
        <v>10270.946</v>
      </c>
      <c r="BD160" s="39"/>
      <c r="BE160" s="147">
        <f>+BE126+BE146+BE153</f>
        <v>2611.2850000000003</v>
      </c>
      <c r="BF160" s="148">
        <f>+BF126+BF146+BF153</f>
        <v>2765.6109999999999</v>
      </c>
      <c r="BG160" s="148">
        <f>+BG126+BG146+BG153</f>
        <v>2760.4520000000002</v>
      </c>
      <c r="BH160" s="148">
        <f>+BH126+BH146+BH153</f>
        <v>3008.7069999999999</v>
      </c>
      <c r="BI160" s="448">
        <f>+SUM(BE160:BH160)</f>
        <v>11146.055</v>
      </c>
      <c r="BJ160" s="39"/>
      <c r="BK160" s="147">
        <f>+BK126+BK146+BK153</f>
        <v>2816.9829999999997</v>
      </c>
      <c r="BL160" s="148">
        <f>+BL126+BL146+BL153</f>
        <v>2950.9250000000002</v>
      </c>
      <c r="BM160" s="148">
        <f>+BM126+BM146+BM153</f>
        <v>3052.0709999999999</v>
      </c>
      <c r="BN160" s="148">
        <f>+BN126+BN146+BN153</f>
        <v>3203.5029999999997</v>
      </c>
      <c r="BO160" s="448">
        <f>+SUM(BK160:BN160)</f>
        <v>12023.482</v>
      </c>
      <c r="BP160" s="39"/>
      <c r="BQ160" s="147">
        <f>+BQ126+BQ146+BQ153</f>
        <v>2958.0516480000001</v>
      </c>
      <c r="BR160" s="148">
        <f>+BR126+BR146+BR153</f>
        <v>3127.1858850000003</v>
      </c>
      <c r="BS160" s="148">
        <f>+BS126+BS146+BS153</f>
        <v>3198.6391299999996</v>
      </c>
      <c r="BT160" s="148">
        <f>+BT126+BT146+BT153</f>
        <v>3316.1172799999999</v>
      </c>
      <c r="BU160" s="448">
        <f>+SUM(BQ160:BT160)</f>
        <v>12599.993942999999</v>
      </c>
      <c r="BV160" s="39"/>
      <c r="BW160" s="147">
        <f>+BW126+BW146+BW153</f>
        <v>3083.2140739500001</v>
      </c>
      <c r="BX160" s="148">
        <f>+BX126+BX146+BX153</f>
        <v>3260.5459817499996</v>
      </c>
      <c r="BY160" s="148">
        <f>+BY126+BY146+BY153</f>
        <v>3335.3812673500001</v>
      </c>
      <c r="BZ160" s="148">
        <f>+BZ126+BZ146+BZ153</f>
        <v>3455.2110799000002</v>
      </c>
      <c r="CA160" s="448">
        <f>+SUM(BW160:BZ160)</f>
        <v>13134.35240295</v>
      </c>
      <c r="CB160" s="39"/>
      <c r="CC160" s="147">
        <f>+CC126+CC146+CC153</f>
        <v>3202.8735545907502</v>
      </c>
      <c r="CD160" s="148">
        <f>+CD126+CD146+CD153</f>
        <v>3388.1517891522499</v>
      </c>
      <c r="CE160" s="148">
        <f>+CE126+CE146+CE153</f>
        <v>3465.7776942347491</v>
      </c>
      <c r="CF160" s="148">
        <f>+CF126+CF146+CF153</f>
        <v>3588.7701309074992</v>
      </c>
      <c r="CG160" s="448">
        <f>+SUM(CC160:CF160)</f>
        <v>13645.573168885247</v>
      </c>
    </row>
    <row r="161" spans="1:85" ht="11.25" customHeight="1" x14ac:dyDescent="0.2">
      <c r="A161" s="78"/>
      <c r="B161" s="99" t="s">
        <v>253</v>
      </c>
      <c r="C161" s="259"/>
      <c r="D161" s="260"/>
      <c r="E161" s="260"/>
      <c r="F161" s="260"/>
      <c r="G161" s="449"/>
      <c r="H161" s="43"/>
      <c r="I161" s="259">
        <f>+I160/C160-1</f>
        <v>0.15703125426675091</v>
      </c>
      <c r="J161" s="260">
        <f>+J160/D160-1</f>
        <v>0.18049104817059769</v>
      </c>
      <c r="K161" s="260">
        <f>+K160/E160-1</f>
        <v>8.7845567789031298E-2</v>
      </c>
      <c r="L161" s="260">
        <f>+L160/F160-1</f>
        <v>-7.8655349731096447E-2</v>
      </c>
      <c r="M161" s="449">
        <f>IF(ISERROR(M160/G160-1),"NM",M160/G160-1)</f>
        <v>7.7020221487207552E-2</v>
      </c>
      <c r="N161" s="43"/>
      <c r="O161" s="259">
        <f>+O160/I160-1</f>
        <v>-2.5569427005857071E-2</v>
      </c>
      <c r="P161" s="260">
        <f>+P160/J160-1</f>
        <v>-2.1784885352743033E-2</v>
      </c>
      <c r="Q161" s="260">
        <f>+Q160/K160-1</f>
        <v>8.1256490944643378E-3</v>
      </c>
      <c r="R161" s="260">
        <f>+R160/L160-1</f>
        <v>0.13567404686738715</v>
      </c>
      <c r="S161" s="449">
        <f>IF(ISERROR(S160/M160-1),"NM",S160/M160-1)</f>
        <v>2.3805862646458564E-2</v>
      </c>
      <c r="T161" s="43"/>
      <c r="U161" s="259">
        <f>+U160/O160-1</f>
        <v>0.18703267608401841</v>
      </c>
      <c r="V161" s="260">
        <f>+V160/P160-1</f>
        <v>0.15089754313900761</v>
      </c>
      <c r="W161" s="260">
        <f>+W160/Q160-1</f>
        <v>0.14115882595336537</v>
      </c>
      <c r="X161" s="260">
        <f>+X160/R160-1</f>
        <v>0.13062692643879115</v>
      </c>
      <c r="Y161" s="449">
        <f>IF(ISERROR(Y160/S160-1),"NM",Y160/S160-1)</f>
        <v>0.15109044154335916</v>
      </c>
      <c r="Z161" s="43"/>
      <c r="AA161" s="259">
        <f>+AA160/U160-1</f>
        <v>0.10305730011070713</v>
      </c>
      <c r="AB161" s="260">
        <f>+AB160/V160-1</f>
        <v>0.14856192601969975</v>
      </c>
      <c r="AC161" s="260">
        <f>+AC160/W160-1</f>
        <v>0.11122250139072198</v>
      </c>
      <c r="AD161" s="260">
        <f>+AD160/X160-1</f>
        <v>0.1542676801713021</v>
      </c>
      <c r="AE161" s="449">
        <f>IF(ISERROR(AE160/Y160-1),"NM",AE160/Y160-1)</f>
        <v>0.13004027112377803</v>
      </c>
      <c r="AF161" s="43"/>
      <c r="AG161" s="259">
        <f>+AG160/AA160-1</f>
        <v>7.6087869923339602E-2</v>
      </c>
      <c r="AH161" s="260">
        <f>+AH160/AB160-1</f>
        <v>3.1285184109122177E-2</v>
      </c>
      <c r="AI161" s="260">
        <f>+AI160/AC160-1</f>
        <v>5.3959963913167153E-2</v>
      </c>
      <c r="AJ161" s="260">
        <f>+AJ160/AD160-1</f>
        <v>2.5406457941071547E-2</v>
      </c>
      <c r="AK161" s="449">
        <f>IF(ISERROR(AK160/AE160-1),"NM",AK160/AE160-1)</f>
        <v>4.5525266733191572E-2</v>
      </c>
      <c r="AL161" s="43"/>
      <c r="AM161" s="259">
        <f>+AM160/AG160-1</f>
        <v>8.9739509508949045E-2</v>
      </c>
      <c r="AN161" s="260">
        <f>+AN160/AH160-1</f>
        <v>8.4594798947545513E-2</v>
      </c>
      <c r="AO161" s="260">
        <f>+AO160/AI160-1</f>
        <v>5.0891813867187219E-2</v>
      </c>
      <c r="AP161" s="260">
        <f>+AP160/AJ160-1</f>
        <v>4.7670020940396851E-2</v>
      </c>
      <c r="AQ161" s="449">
        <f>IF(ISERROR(AQ160/AK160-1),"NM",AQ160/AK160-1)</f>
        <v>6.7468648610058857E-2</v>
      </c>
      <c r="AR161" s="43"/>
      <c r="AS161" s="259">
        <f>+AS160/AM160-1</f>
        <v>5.8604226881299182E-2</v>
      </c>
      <c r="AT161" s="260">
        <f>+AT160/AN160-1</f>
        <v>9.1851160338236593E-2</v>
      </c>
      <c r="AU161" s="260">
        <f>+AU160/AO160-1</f>
        <v>0.11743625505116029</v>
      </c>
      <c r="AV161" s="260">
        <f>+AV160/AP160-1</f>
        <v>7.0867546645567714E-2</v>
      </c>
      <c r="AW161" s="449">
        <f>IF(ISERROR(AW160/AQ160-1),"NM",AW160/AQ160-1)</f>
        <v>8.4617016211068652E-2</v>
      </c>
      <c r="AX161" s="43"/>
      <c r="AY161" s="259">
        <f>+AY160/AS160-1</f>
        <v>1.2389146936985673E-2</v>
      </c>
      <c r="AZ161" s="260">
        <f>+AZ160/AT160-1</f>
        <v>5.3568735460380879E-3</v>
      </c>
      <c r="BA161" s="260">
        <f>+BA160/AU160-1</f>
        <v>2.345299191123873E-2</v>
      </c>
      <c r="BB161" s="260">
        <f>+BB160/AV160-1</f>
        <v>5.6040530276479705E-2</v>
      </c>
      <c r="BC161" s="449">
        <f>IF(ISERROR(BC160/AW160-1),"NM",BC160/AW160-1)</f>
        <v>2.4787598159024427E-2</v>
      </c>
      <c r="BD161" s="43"/>
      <c r="BE161" s="259">
        <f>+BE160/AY160-1</f>
        <v>9.8133670881817681E-2</v>
      </c>
      <c r="BF161" s="260">
        <f>+BF160/AZ160-1</f>
        <v>8.8900394516146841E-2</v>
      </c>
      <c r="BG161" s="260">
        <f>+BG160/BA160-1</f>
        <v>6.3308497332726921E-2</v>
      </c>
      <c r="BH161" s="260">
        <f>+BH160/BB160-1</f>
        <v>9.1258239185462608E-2</v>
      </c>
      <c r="BI161" s="449">
        <f>IF(ISERROR(BI160/BC160-1),"NM",BI160/BC160-1)</f>
        <v>8.5202375711059153E-2</v>
      </c>
      <c r="BJ161" s="43"/>
      <c r="BK161" s="259">
        <f>+BK160/BE160-1</f>
        <v>7.877271151942411E-2</v>
      </c>
      <c r="BL161" s="260">
        <f>+BL160/BF160-1</f>
        <v>6.7006531287299831E-2</v>
      </c>
      <c r="BM161" s="260">
        <f>+BM160/BG160-1</f>
        <v>0.10564175721946967</v>
      </c>
      <c r="BN161" s="260">
        <f>+BN160/BH160-1</f>
        <v>6.4744091066361698E-2</v>
      </c>
      <c r="BO161" s="449">
        <f>IF(ISERROR(BO160/BI160-1),"NM",BO160/BI160-1)</f>
        <v>7.8720856841276943E-2</v>
      </c>
      <c r="BP161" s="43"/>
      <c r="BQ161" s="259">
        <f>+BQ160/BK160-1</f>
        <v>5.0077919533060955E-2</v>
      </c>
      <c r="BR161" s="260">
        <f>+BR160/BL160-1</f>
        <v>5.9730723417233733E-2</v>
      </c>
      <c r="BS161" s="260">
        <f>+BS160/BM160-1</f>
        <v>4.8022516514196312E-2</v>
      </c>
      <c r="BT161" s="260">
        <f>+BT160/BN160-1</f>
        <v>3.5153480424398031E-2</v>
      </c>
      <c r="BU161" s="449">
        <f>IF(ISERROR(BU160/BO160-1),"NM",BU160/BO160-1)</f>
        <v>4.7948834039922783E-2</v>
      </c>
      <c r="BV161" s="43"/>
      <c r="BW161" s="259">
        <f>+BW160/BQ160-1</f>
        <v>4.2312454562659418E-2</v>
      </c>
      <c r="BX161" s="260">
        <f>+BX160/BR160-1</f>
        <v>4.2645401218290191E-2</v>
      </c>
      <c r="BY161" s="260">
        <f>+BY160/BS160-1</f>
        <v>4.2750098336351128E-2</v>
      </c>
      <c r="BZ161" s="260">
        <f>+BZ160/BT160-1</f>
        <v>4.1944777025497704E-2</v>
      </c>
      <c r="CA161" s="449">
        <f>IF(ISERROR(CA160/BU160-1),"NM",CA160/BU160-1)</f>
        <v>4.2409421970148298E-2</v>
      </c>
      <c r="CB161" s="43"/>
      <c r="CC161" s="259">
        <f>+CC160/BW160-1</f>
        <v>3.8809981328169929E-2</v>
      </c>
      <c r="CD161" s="260">
        <f>+CD160/BX160-1</f>
        <v>3.9136331190079421E-2</v>
      </c>
      <c r="CE161" s="260">
        <f>+CE160/BY160-1</f>
        <v>3.9094908927263416E-2</v>
      </c>
      <c r="CF161" s="260">
        <f>+CF160/BZ160-1</f>
        <v>3.8654382588795277E-2</v>
      </c>
      <c r="CG161" s="449">
        <f>IF(ISERROR(CG160/CA160-1),"NM",CG160/CA160-1)</f>
        <v>3.8922418879245635E-2</v>
      </c>
    </row>
    <row r="162" spans="1:85" ht="11.25" customHeight="1" x14ac:dyDescent="0.2">
      <c r="A162" s="78"/>
      <c r="B162" s="99" t="s">
        <v>256</v>
      </c>
      <c r="C162" s="259"/>
      <c r="D162" s="260"/>
      <c r="E162" s="260"/>
      <c r="F162" s="260"/>
      <c r="G162" s="449"/>
      <c r="H162" s="43"/>
      <c r="I162" s="259">
        <f>((C42*(1+I44)+C101*(1+I103))/C160-1)</f>
        <v>0.12541561800496681</v>
      </c>
      <c r="J162" s="260">
        <f>((D42*(1+J44)+D101*(1+J103))/D160-1)</f>
        <v>0.13238443203738059</v>
      </c>
      <c r="K162" s="260">
        <f>((E42*(1+K44)+E101*(1+K103))/E160-1)</f>
        <v>7.5054156313147491E-2</v>
      </c>
      <c r="L162" s="260">
        <f>((F42*(1+L44)+F101*(1+L103))/F160-1)</f>
        <v>-2.0330187600711036E-2</v>
      </c>
      <c r="M162" s="449">
        <f>+SUMPRODUCT(I162:L162,C$160:F$160)/G$160</f>
        <v>7.2233400196066777E-2</v>
      </c>
      <c r="N162" s="43"/>
      <c r="O162" s="259">
        <f>((I42*(1+O44)+I101*(1+O103))/I160-1)</f>
        <v>5.4627198442057878E-2</v>
      </c>
      <c r="P162" s="260">
        <f>((J42*(1+P44)+J101*(1+P103))/J160-1)</f>
        <v>5.2943797496207257E-2</v>
      </c>
      <c r="Q162" s="260">
        <f>((K42*(1+Q44)+K101*(1+Q103))/K160-1)</f>
        <v>3.8520876749241095E-2</v>
      </c>
      <c r="R162" s="260">
        <f>((L42*(1+R44)+L101*(1+R103))/L160-1)</f>
        <v>7.9946764462707209E-2</v>
      </c>
      <c r="S162" s="449">
        <f>+SUMPRODUCT(O162:R162,I$160:L$160)/M$160</f>
        <v>5.6276692245481895E-2</v>
      </c>
      <c r="T162" s="43"/>
      <c r="U162" s="259">
        <f>((O42*(1+U44)+O101*(1+U103))/O160-1)</f>
        <v>0.14792956224053877</v>
      </c>
      <c r="V162" s="260">
        <f>((P42*(1+V44)+P101*(1+V103))/P160-1)</f>
        <v>0.15627900041089315</v>
      </c>
      <c r="W162" s="260">
        <f>((Q42*(1+W44)+Q101*(1+W103))/Q160-1)</f>
        <v>0.16497147483452146</v>
      </c>
      <c r="X162" s="260">
        <f>((R42*(1+X44)+R101*(1+X103))/R160-1)</f>
        <v>0.14828453443437462</v>
      </c>
      <c r="Y162" s="449">
        <f>+SUMPRODUCT(U162:X162,O$160:R$160)/S$160</f>
        <v>0.15440652395364232</v>
      </c>
      <c r="Z162" s="43"/>
      <c r="AA162" s="259">
        <f>((U42*(1+AA44)+U101*(1+AA103))/U160-1)</f>
        <v>9.5165611188938293E-2</v>
      </c>
      <c r="AB162" s="260">
        <f>((V42*(1+AB44)+V101*(1+AB103))/V160-1)</f>
        <v>0.1037667721624409</v>
      </c>
      <c r="AC162" s="260">
        <f>((W42*(1+AC44)+W101*(1+AC103))/W160-1)</f>
        <v>6.9764219249324855E-2</v>
      </c>
      <c r="AD162" s="260">
        <f>((X42*(1+AD44)+X101*(1+AD103))/X160-1)</f>
        <v>0.15526614262136262</v>
      </c>
      <c r="AE162" s="449">
        <f>+SUMPRODUCT(AA162:AD162,U$160:X$160)/Y$160</f>
        <v>0.10701328076313409</v>
      </c>
      <c r="AF162" s="43"/>
      <c r="AG162" s="259">
        <f>((AA126*(1+AG128)+AA146*(1+AG148)+AA153*(1+AG155))/AA160-1)</f>
        <v>8.2867029752419885E-2</v>
      </c>
      <c r="AH162" s="260">
        <f>((AB126*(1+AH128)+AB146*(1+AH148)+AB153*(1+AH155))/AB160-1)</f>
        <v>6.3896850646070424E-2</v>
      </c>
      <c r="AI162" s="260">
        <f>((AC126*(1+AI128)+AC146*(1+AI148)+AC153*(1+AI155))/AC160-1)</f>
        <v>8.7101005561841305E-2</v>
      </c>
      <c r="AJ162" s="260">
        <f>((AD126*(1+AJ128)+AD146*(1+AJ148)+AD153*(1+AJ155))/AD160-1)</f>
        <v>3.1590008121006985E-2</v>
      </c>
      <c r="AK162" s="449">
        <f>+SUMPRODUCT(AG162:AJ162,AA$160:AD$160)/AE$160</f>
        <v>6.5120675557410662E-2</v>
      </c>
      <c r="AL162" s="43"/>
      <c r="AM162" s="259">
        <f>((AG126*(1+AM128)+AG146*(1+AM148)+AG153*(1+AM155))/AG160-1)</f>
        <v>8.9031686346620731E-2</v>
      </c>
      <c r="AN162" s="260">
        <f>((AH126*(1+AN128)+AH146*(1+AN148)+AH153*(1+AN155))/AH160-1)</f>
        <v>8.4629742947425646E-2</v>
      </c>
      <c r="AO162" s="260">
        <f>((AI126*(1+AO128)+AI146*(1+AO148)+AI153*(1+AO155))/AI160-1)</f>
        <v>4.9714500123142935E-2</v>
      </c>
      <c r="AP162" s="260">
        <f>((AJ126*(1+AP128)+AJ146*(1+AP148)+AJ153*(1+AP155))/AJ160-1)</f>
        <v>4.2786349508246335E-2</v>
      </c>
      <c r="AQ162" s="449">
        <f>+SUMPRODUCT(AM162:AP162,AG$160:AJ$160)/AK$160</f>
        <v>6.5704153754484726E-2</v>
      </c>
      <c r="AR162" s="43"/>
      <c r="AS162" s="261">
        <v>5.5E-2</v>
      </c>
      <c r="AT162" s="258">
        <v>7.8E-2</v>
      </c>
      <c r="AU162" s="258">
        <v>0.11</v>
      </c>
      <c r="AV162" s="258">
        <v>0.10100000000000001</v>
      </c>
      <c r="AW162" s="449">
        <f>+SUMPRODUCT(AS162:AV162,AM$160:AP$160)/AQ$160</f>
        <v>8.6406668181719798E-2</v>
      </c>
      <c r="AX162" s="43"/>
      <c r="AY162" s="261">
        <v>7.3999999999999996E-2</v>
      </c>
      <c r="AZ162" s="258">
        <v>7.5999999999999998E-2</v>
      </c>
      <c r="BA162" s="258">
        <v>8.4000000000000005E-2</v>
      </c>
      <c r="BB162" s="258">
        <v>0.105</v>
      </c>
      <c r="BC162" s="449">
        <f>+SUMPRODUCT(AY162:BB162,AS$160:AV$160)/AW$160</f>
        <v>8.5110297797598031E-2</v>
      </c>
      <c r="BD162" s="43"/>
      <c r="BE162" s="261">
        <v>0.11700000000000001</v>
      </c>
      <c r="BF162" s="258">
        <v>9.2999999999999999E-2</v>
      </c>
      <c r="BG162" s="258">
        <v>7.3999999999999996E-2</v>
      </c>
      <c r="BH162" s="260">
        <f>+BH161-BH163</f>
        <v>0.10600759203786292</v>
      </c>
      <c r="BI162" s="449">
        <f>+SUMPRODUCT(BE162:BH162,AY$160:BB$160)/BC$160</f>
        <v>9.7245733158367292E-2</v>
      </c>
      <c r="BJ162" s="43"/>
      <c r="BK162" s="261">
        <v>8.7999999999999995E-2</v>
      </c>
      <c r="BL162" s="260">
        <f>((BF126*(1+BL128)+BF146*(1+BL148)+BF153*(1+BL155))/BF160-1)</f>
        <v>7.9424681562229704E-2</v>
      </c>
      <c r="BM162" s="257">
        <v>0.09</v>
      </c>
      <c r="BN162" s="260">
        <f>((BH126*(1+BN128)+BH146*(1+BN148)+BH153*(1+BN155))/BH160-1)</f>
        <v>3.9835889303943439E-2</v>
      </c>
      <c r="BO162" s="449">
        <f>+SUMPRODUCT(BK162:BN162,BE$160:BH$160)/BI$160</f>
        <v>7.336641098577025E-2</v>
      </c>
      <c r="BP162" s="43"/>
      <c r="BQ162" s="259">
        <f>((BK126*(1+BQ128)+BK146*(1+BQ148)+BK153*(1+BQ155))/BK160-1)</f>
        <v>5.5210250825084906E-2</v>
      </c>
      <c r="BR162" s="260">
        <f>((BL126*(1+BR128)+BL146*(1+BR148)+BL153*(1+BR155))/BL160-1)</f>
        <v>6.4872428136940163E-2</v>
      </c>
      <c r="BS162" s="260">
        <f>((BM126*(1+BS128)+BM146*(1+BS148)+BM153*(1+BS155))/BM160-1)</f>
        <v>5.8091666281682164E-2</v>
      </c>
      <c r="BT162" s="260">
        <f>((BN126*(1+BT128)+BN146*(1+BT148)+BN153*(1+BT155))/BN160-1)</f>
        <v>4.5515874341307105E-2</v>
      </c>
      <c r="BU162" s="449">
        <f>+SUMPRODUCT(BQ162:BT162,BK$160:BN$160)/BO$160</f>
        <v>5.5730123603129331E-2</v>
      </c>
      <c r="BV162" s="43"/>
      <c r="BW162" s="259">
        <f>((BQ126*(1+BW128)+BQ146*(1+BW148)+BQ153*(1+BW155))/BQ160-1)</f>
        <v>4.2312454562659418E-2</v>
      </c>
      <c r="BX162" s="260">
        <f>((BR126*(1+BX128)+BR146*(1+BX148)+BR153*(1+BX155))/BR160-1)</f>
        <v>4.2645401218290191E-2</v>
      </c>
      <c r="BY162" s="260">
        <f>((BS126*(1+BY128)+BS146*(1+BY148)+BS153*(1+BY155))/BS160-1)</f>
        <v>4.2750098336351128E-2</v>
      </c>
      <c r="BZ162" s="260">
        <f>((BT126*(1+BZ128)+BT146*(1+BZ148)+BT153*(1+BZ155))/BT160-1)</f>
        <v>4.1944777025497704E-2</v>
      </c>
      <c r="CA162" s="449">
        <f>+SUMPRODUCT(BW162:BZ162,BQ$160:BT$160)/BU$160</f>
        <v>4.2409421970148263E-2</v>
      </c>
      <c r="CB162" s="43"/>
      <c r="CC162" s="259">
        <f>((BW126*(1+CC128)+BW146*(1+CC148)+BW153*(1+CC155))/BW160-1)</f>
        <v>3.8809981328169707E-2</v>
      </c>
      <c r="CD162" s="260">
        <f>((BX126*(1+CD128)+BX146*(1+CD148)+BX153*(1+CD155))/BX160-1)</f>
        <v>3.9136331190079643E-2</v>
      </c>
      <c r="CE162" s="260">
        <f>((BY126*(1+CE128)+BY146*(1+CE148)+BY153*(1+CE155))/BY160-1)</f>
        <v>3.9094908927263416E-2</v>
      </c>
      <c r="CF162" s="260">
        <f>((BZ126*(1+CF128)+BZ146*(1+CF148)+BZ153*(1+CF155))/BZ160-1)</f>
        <v>3.8654382588795277E-2</v>
      </c>
      <c r="CG162" s="449">
        <f>+SUMPRODUCT(CC162:CF162,BW$160:BZ$160)/CA$160</f>
        <v>3.8922418879245808E-2</v>
      </c>
    </row>
    <row r="163" spans="1:85" ht="11.25" customHeight="1" x14ac:dyDescent="0.2">
      <c r="A163" s="78"/>
      <c r="B163" s="99" t="s">
        <v>255</v>
      </c>
      <c r="C163" s="259"/>
      <c r="D163" s="260"/>
      <c r="E163" s="260"/>
      <c r="F163" s="260"/>
      <c r="G163" s="449"/>
      <c r="H163" s="43"/>
      <c r="I163" s="259">
        <f>I161-I162</f>
        <v>3.1615636261784097E-2</v>
      </c>
      <c r="J163" s="260">
        <f>J161-J162</f>
        <v>4.8106616133217095E-2</v>
      </c>
      <c r="K163" s="260">
        <f>K161-K162</f>
        <v>1.2791411475883807E-2</v>
      </c>
      <c r="L163" s="260">
        <f>L161-L162</f>
        <v>-5.8325162130385411E-2</v>
      </c>
      <c r="M163" s="449">
        <f>+SUMPRODUCT(I163:L163,C$160:F$160)/G$160</f>
        <v>4.7868212911408624E-3</v>
      </c>
      <c r="N163" s="43"/>
      <c r="O163" s="259">
        <f>O161-O162</f>
        <v>-8.0196625447914949E-2</v>
      </c>
      <c r="P163" s="260">
        <f>P161-P162</f>
        <v>-7.472868284895029E-2</v>
      </c>
      <c r="Q163" s="260">
        <f>Q161-Q162</f>
        <v>-3.0395227654776757E-2</v>
      </c>
      <c r="R163" s="260">
        <f>R161-R162</f>
        <v>5.5727282404679945E-2</v>
      </c>
      <c r="S163" s="449">
        <f>+SUMPRODUCT(O163:R163,I$160:L$160)/M$160</f>
        <v>-3.2470829599023567E-2</v>
      </c>
      <c r="T163" s="43"/>
      <c r="U163" s="259">
        <f>U161-U162</f>
        <v>3.9103113843479642E-2</v>
      </c>
      <c r="V163" s="260">
        <f>V161-V162</f>
        <v>-5.381457271885548E-3</v>
      </c>
      <c r="W163" s="260">
        <f>W161-W162</f>
        <v>-2.3812648881156084E-2</v>
      </c>
      <c r="X163" s="260">
        <f>X161-X162</f>
        <v>-1.7657607995583469E-2</v>
      </c>
      <c r="Y163" s="449">
        <f>+SUMPRODUCT(U163:X163,O$160:R$160)/S$160</f>
        <v>-3.3160824102829536E-3</v>
      </c>
      <c r="Z163" s="43"/>
      <c r="AA163" s="259">
        <f>AA161-AA162</f>
        <v>7.8916889217688357E-3</v>
      </c>
      <c r="AB163" s="260">
        <f>AB161-AB162</f>
        <v>4.4795153857258851E-2</v>
      </c>
      <c r="AC163" s="260">
        <f>AC161-AC162</f>
        <v>4.1458282141397129E-2</v>
      </c>
      <c r="AD163" s="260">
        <f>AD161-AD162</f>
        <v>-9.9846245006052214E-4</v>
      </c>
      <c r="AE163" s="449">
        <f>+SUMPRODUCT(AA163:AD163,U$160:X$160)/Y$160</f>
        <v>2.3026990360643953E-2</v>
      </c>
      <c r="AF163" s="43"/>
      <c r="AG163" s="259">
        <f>AG161-AG162</f>
        <v>-6.7791598290802835E-3</v>
      </c>
      <c r="AH163" s="260">
        <f>AH161-AH162</f>
        <v>-3.2611666536948247E-2</v>
      </c>
      <c r="AI163" s="260">
        <f>AI161-AI162</f>
        <v>-3.3141041648674152E-2</v>
      </c>
      <c r="AJ163" s="260">
        <f>AJ161-AJ162</f>
        <v>-6.1835501799354375E-3</v>
      </c>
      <c r="AK163" s="449">
        <f>+SUMPRODUCT(AG163:AJ163,AA$160:AD$160)/AE$160</f>
        <v>-1.9595408824219174E-2</v>
      </c>
      <c r="AL163" s="43"/>
      <c r="AM163" s="259">
        <f>AM161-AM162</f>
        <v>7.0782316232831377E-4</v>
      </c>
      <c r="AN163" s="260">
        <f>AN161-AN162</f>
        <v>-3.4943999880132637E-5</v>
      </c>
      <c r="AO163" s="260">
        <f>AO161-AO162</f>
        <v>1.1773137440442838E-3</v>
      </c>
      <c r="AP163" s="260">
        <f>AP161-AP162</f>
        <v>4.8836714321505159E-3</v>
      </c>
      <c r="AQ163" s="449">
        <f>+SUMPRODUCT(AM163:AP163,AG$160:AJ$160)/AK$160</f>
        <v>1.7644948555741501E-3</v>
      </c>
      <c r="AR163" s="43"/>
      <c r="AS163" s="259">
        <f>AS161-AS162</f>
        <v>3.6042268812991815E-3</v>
      </c>
      <c r="AT163" s="260">
        <f>AT161-AT162</f>
        <v>1.3851160338236593E-2</v>
      </c>
      <c r="AU163" s="260">
        <f>AU161-AU162</f>
        <v>7.4362550511602871E-3</v>
      </c>
      <c r="AV163" s="260">
        <f>AV161-AV162</f>
        <v>-3.0132453354432293E-2</v>
      </c>
      <c r="AW163" s="449">
        <f>+SUMPRODUCT(AS163:AV163,AM$160:AP$160)/AQ$160</f>
        <v>-1.7896519706512319E-3</v>
      </c>
      <c r="AX163" s="43"/>
      <c r="AY163" s="259">
        <f>AY161-AY162</f>
        <v>-6.1610853063014323E-2</v>
      </c>
      <c r="AZ163" s="260">
        <f>AZ161-AZ162</f>
        <v>-7.064312645396191E-2</v>
      </c>
      <c r="BA163" s="260">
        <f>BA161-BA162</f>
        <v>-6.0547008088761275E-2</v>
      </c>
      <c r="BB163" s="260">
        <f>BB161-BB162</f>
        <v>-4.8959469723520291E-2</v>
      </c>
      <c r="BC163" s="449">
        <f>+SUMPRODUCT(AY163:BB163,AS$160:AV$160)/AW$160</f>
        <v>-6.032269963857366E-2</v>
      </c>
      <c r="BD163" s="43"/>
      <c r="BE163" s="259">
        <f>BE161-BE162</f>
        <v>-1.8866329118182326E-2</v>
      </c>
      <c r="BF163" s="260">
        <f>BF161-BF162</f>
        <v>-4.0996054838531581E-3</v>
      </c>
      <c r="BG163" s="260">
        <f>BG161-BG162</f>
        <v>-1.0691502667273076E-2</v>
      </c>
      <c r="BH163" s="260">
        <f>((BB126*(1+BH129)+BB146*(1+BH149)+BB153*(1+BH156))/BB160-1)</f>
        <v>-1.474935285240031E-2</v>
      </c>
      <c r="BI163" s="449">
        <f>+SUMPRODUCT(BE163:BH163,AY$160:BB$160)/BC$160</f>
        <v>-1.2043357447308056E-2</v>
      </c>
      <c r="BJ163" s="43"/>
      <c r="BK163" s="259">
        <f>BK161-BK162</f>
        <v>-9.2272884805758848E-3</v>
      </c>
      <c r="BL163" s="260">
        <f>BL161-BL162</f>
        <v>-1.2418150274929873E-2</v>
      </c>
      <c r="BM163" s="260">
        <f>BM161-BM162</f>
        <v>1.5641757219469671E-2</v>
      </c>
      <c r="BN163" s="260">
        <f>BN161-BN162</f>
        <v>2.4908201762418258E-2</v>
      </c>
      <c r="BO163" s="449">
        <f>+SUMPRODUCT(BK163:BN163,BE$160:BH$160)/BI$160</f>
        <v>5.3544458555067212E-3</v>
      </c>
      <c r="BP163" s="43"/>
      <c r="BQ163" s="259">
        <f>BQ161-BQ162</f>
        <v>-5.1323312920239506E-3</v>
      </c>
      <c r="BR163" s="260">
        <f>BR161-BR162</f>
        <v>-5.1417047197064303E-3</v>
      </c>
      <c r="BS163" s="260">
        <f>BS161-BS162</f>
        <v>-1.0069149767485852E-2</v>
      </c>
      <c r="BT163" s="260">
        <f>BT161-BT162</f>
        <v>-1.0362393916909074E-2</v>
      </c>
      <c r="BU163" s="449">
        <f>+SUMPRODUCT(BQ163:BT163,BK$160:BN$160)/BO$160</f>
        <v>-7.7812895632063551E-3</v>
      </c>
      <c r="BV163" s="43"/>
      <c r="BW163" s="259">
        <f>BW161-BW162</f>
        <v>0</v>
      </c>
      <c r="BX163" s="260">
        <f>BX161-BX162</f>
        <v>0</v>
      </c>
      <c r="BY163" s="260">
        <f>BY161-BY162</f>
        <v>0</v>
      </c>
      <c r="BZ163" s="260">
        <f>BZ161-BZ162</f>
        <v>0</v>
      </c>
      <c r="CA163" s="449">
        <f>+SUMPRODUCT(BW163:BZ163,BQ$160:BT$160)/BU$160</f>
        <v>0</v>
      </c>
      <c r="CB163" s="43"/>
      <c r="CC163" s="259">
        <f>CC161-CC162</f>
        <v>2.2204460492503131E-16</v>
      </c>
      <c r="CD163" s="260">
        <f>CD161-CD162</f>
        <v>-2.2204460492503131E-16</v>
      </c>
      <c r="CE163" s="260">
        <f>CE161-CE162</f>
        <v>0</v>
      </c>
      <c r="CF163" s="260">
        <f>CF161-CF162</f>
        <v>0</v>
      </c>
      <c r="CG163" s="449">
        <f>+SUMPRODUCT(CC163:CF163,BW$160:BZ$160)/CA$160</f>
        <v>-2.9979090099036124E-18</v>
      </c>
    </row>
    <row r="164" spans="1:85" ht="11.25" customHeight="1" x14ac:dyDescent="0.2">
      <c r="A164" s="78"/>
      <c r="B164" s="99" t="s">
        <v>254</v>
      </c>
      <c r="C164" s="259"/>
      <c r="D164" s="260"/>
      <c r="E164" s="260"/>
      <c r="F164" s="260"/>
      <c r="G164" s="449"/>
      <c r="H164" s="43"/>
      <c r="I164" s="259">
        <f>((C42*(1+I46)+C101*(1+I105))/C160-1)</f>
        <v>8.3719405982462414E-2</v>
      </c>
      <c r="J164" s="260">
        <f>((D42*(1+J46)+D101*(1+J105))/D160-1)</f>
        <v>9.2221106717967682E-2</v>
      </c>
      <c r="K164" s="260">
        <f>((E42*(1+K46)+E101*(1+K105))/E160-1)</f>
        <v>5.4786365789212921E-2</v>
      </c>
      <c r="L164" s="260">
        <f>((F42*(1+L46)+F101*(1+L105))/F160-1)</f>
        <v>1.2078578331028655E-2</v>
      </c>
      <c r="M164" s="449">
        <f>+SUMPRODUCT(I164:L164,C$160:F$160)/G$160</f>
        <v>5.7702892825199609E-2</v>
      </c>
      <c r="N164" s="43"/>
      <c r="O164" s="259">
        <f>((I42*(1+O46)+I101*(1+O105))/I160-1)</f>
        <v>5.1258694980788722E-2</v>
      </c>
      <c r="P164" s="260">
        <f>((J42*(1+P46)+J101*(1+P105))/J160-1)</f>
        <v>4.8303021816765712E-2</v>
      </c>
      <c r="Q164" s="260">
        <f>((K42*(1+Q46)+K101*(1+Q105))/K160-1)</f>
        <v>4.5734536347730614E-2</v>
      </c>
      <c r="R164" s="260">
        <f>((L42*(1+R46)+L101*(1+R105))/L160-1)</f>
        <v>5.0827280184219781E-2</v>
      </c>
      <c r="S164" s="449">
        <f>+SUMPRODUCT(O164:R164,I$160:L$160)/M$160</f>
        <v>4.8967413710905551E-2</v>
      </c>
      <c r="T164" s="43"/>
      <c r="U164" s="259">
        <f>((O42*(1+U46)+O101*(1+U105))/O160-1)</f>
        <v>0.11587346780036567</v>
      </c>
      <c r="V164" s="260">
        <f>((P42*(1+V46)+P101*(1+V105))/P160-1)</f>
        <v>0.13735385265224287</v>
      </c>
      <c r="W164" s="260">
        <f>((Q42*(1+W46)+Q101*(1+W105))/Q160-1)</f>
        <v>0.12956900660924053</v>
      </c>
      <c r="X164" s="260">
        <f>((R42*(1+X46)+R101*(1+X105))/R160-1)</f>
        <v>0.11919117863550643</v>
      </c>
      <c r="Y164" s="449">
        <f>+SUMPRODUCT(U164:X164,O$160:R$160)/S$160</f>
        <v>0.12553842452186348</v>
      </c>
      <c r="Z164" s="43"/>
      <c r="AA164" s="259">
        <f>((U42*(1+AA46)+U101*(1+AA105))/U160-1)</f>
        <v>5.9669304049291494E-2</v>
      </c>
      <c r="AB164" s="260">
        <f>((V42*(1+AB46)+V101*(1+AB105))/V160-1)</f>
        <v>5.801789985674799E-2</v>
      </c>
      <c r="AC164" s="260">
        <f>((W42*(1+AC46)+W101*(1+AC105))/W160-1)</f>
        <v>3.8527394779561019E-2</v>
      </c>
      <c r="AD164" s="260">
        <f>((X42*(1+AD46)+X101*(1+AD105))/X160-1)</f>
        <v>0.10176046467271749</v>
      </c>
      <c r="AE164" s="449">
        <f>+SUMPRODUCT(AA164:AD164,U$160:X$160)/Y$160</f>
        <v>6.5236293746360932E-2</v>
      </c>
      <c r="AF164" s="43"/>
      <c r="AG164" s="259">
        <f>((AA126*(1+AG130)+AA146*(1+AG150)+AA153*(1+AG157))/AA160-1)</f>
        <v>4.8421803114504502E-3</v>
      </c>
      <c r="AH164" s="260">
        <f>((AB126*(1+AH130)+AB146*(1+AH150)+AB153*(1+AH157))/AB160-1)</f>
        <v>1.8683472696043646E-2</v>
      </c>
      <c r="AI164" s="260">
        <f>((AC126*(1+AI130)+AC146*(1+AI150)+AC153*(1+AI157))/AC160-1)</f>
        <v>4.4963047590608429E-2</v>
      </c>
      <c r="AJ164" s="260">
        <f>((AD126*(1+AJ130)+AD146*(1+AJ150)+AD153*(1+AJ157))/AD160-1)</f>
        <v>-2.6427240756791481E-2</v>
      </c>
      <c r="AK164" s="449">
        <f>+SUMPRODUCT(AG164:AJ164,AA$160:AD$160)/AE$160</f>
        <v>9.6607670011988108E-3</v>
      </c>
      <c r="AL164" s="43"/>
      <c r="AM164" s="259">
        <f>((AG126*(1+AM130)+AG146*(1+AM150)+AG153*(1+AM157))/AG160-1)</f>
        <v>5.8716757969472733E-2</v>
      </c>
      <c r="AN164" s="260">
        <f>((AH126*(1+AN130)+AH146*(1+AN150)+AH153*(1+AN157))/AH160-1)</f>
        <v>4.5915071445681077E-2</v>
      </c>
      <c r="AO164" s="260">
        <f>((AI126*(1+AO130)+AI146*(1+AO150)+AI153*(1+AO157))/AI160-1)</f>
        <v>1.7215963023797132E-2</v>
      </c>
      <c r="AP164" s="260">
        <f>((AJ126*(1+AP130)+AJ146*(1+AP150)+AJ153*(1+AP157))/AJ160-1)</f>
        <v>7.5496112941493276E-3</v>
      </c>
      <c r="AQ164" s="449">
        <f>+SUMPRODUCT(AM164:AP164,AG$160:AJ$160)/AK$160</f>
        <v>3.1451236947173243E-2</v>
      </c>
      <c r="AR164" s="43"/>
      <c r="AS164" s="261">
        <v>2.7E-2</v>
      </c>
      <c r="AT164" s="258">
        <v>3.5999999999999997E-2</v>
      </c>
      <c r="AU164" s="258">
        <v>4.5999999999999999E-2</v>
      </c>
      <c r="AV164" s="258">
        <v>5.0999999999999997E-2</v>
      </c>
      <c r="AW164" s="449">
        <f>+SUMPRODUCT(AS164:AV164,AM$160:AP$160)/AQ$160</f>
        <v>4.0253104127437607E-2</v>
      </c>
      <c r="AX164" s="43"/>
      <c r="AY164" s="261">
        <v>2.7E-2</v>
      </c>
      <c r="AZ164" s="258">
        <v>3.5999999999999997E-2</v>
      </c>
      <c r="BA164" s="258">
        <v>3.5999999999999997E-2</v>
      </c>
      <c r="BB164" s="258">
        <v>3.9E-2</v>
      </c>
      <c r="BC164" s="449">
        <f>+SUMPRODUCT(AY164:BB164,AS$160:AV$160)/AW$160</f>
        <v>3.4672278666266501E-2</v>
      </c>
      <c r="BD164" s="43"/>
      <c r="BE164" s="261">
        <v>2.3E-2</v>
      </c>
      <c r="BF164" s="258">
        <v>1.7000000000000001E-2</v>
      </c>
      <c r="BG164" s="258">
        <v>1.4E-2</v>
      </c>
      <c r="BH164" s="260">
        <f>((BB126*(1+BH130)+BB146*(1+BH150)+BB153*(1+BH157))/BB160-1)</f>
        <v>6.635335546529153E-2</v>
      </c>
      <c r="BI164" s="449">
        <f>+SUMPRODUCT(BE164:BH164,AY$160:BB$160)/BC$160</f>
        <v>3.0879089228976551E-2</v>
      </c>
      <c r="BJ164" s="43"/>
      <c r="BK164" s="261">
        <v>2.9000000000000001E-2</v>
      </c>
      <c r="BL164" s="260">
        <f>((BF126*(1+BL130)+BF146*(1+BL150)+BF153*(1+BL157))/BF160-1)</f>
        <v>3.0681672874457E-2</v>
      </c>
      <c r="BM164" s="257">
        <v>4.1000000000000002E-2</v>
      </c>
      <c r="BN164" s="260">
        <f>((BH126*(1+BN130)+BH146*(1+BN150)+BH153*(1+BN157))/BH160-1)</f>
        <v>-1.1968618745527571E-2</v>
      </c>
      <c r="BO164" s="449">
        <f>+SUMPRODUCT(BK164:BN164,BE$160:BH$160)/BI$160</f>
        <v>2.1330354282299874E-2</v>
      </c>
      <c r="BP164" s="43"/>
      <c r="BQ164" s="259">
        <f>((BK126*(1+BQ130)+BK146*(1+BQ150)+BK153*(1+BQ157))/BK160-1)</f>
        <v>1.6826304951077287E-2</v>
      </c>
      <c r="BR164" s="260">
        <f>((BL126*(1+BR130)+BL146*(1+BR150)+BL153*(1+BR157))/BL160-1)</f>
        <v>1.0166303786101061E-2</v>
      </c>
      <c r="BS164" s="260">
        <f>((BM126*(1+BS130)+BM146*(1+BS150)+BM153*(1+BS157))/BM160-1)</f>
        <v>9.8293912559701546E-3</v>
      </c>
      <c r="BT164" s="260">
        <f>((BN126*(1+BT130)+BN146*(1+BT150)+BN153*(1+BT157))/BN160-1)</f>
        <v>0</v>
      </c>
      <c r="BU164" s="449">
        <f>+SUMPRODUCT(BQ164:BT164,BK$160:BN$160)/BO$160</f>
        <v>8.932471891254205E-3</v>
      </c>
      <c r="BV164" s="43"/>
      <c r="BW164" s="259">
        <f>((BQ126*(1+BW130)+BQ146*(1+BW150)+BQ153*(1+BW157))/BQ160-1)</f>
        <v>0</v>
      </c>
      <c r="BX164" s="260">
        <f>((BR126*(1+BX130)+BR146*(1+BX150)+BR153*(1+BX157))/BR160-1)</f>
        <v>0</v>
      </c>
      <c r="BY164" s="260">
        <f>((BS126*(1+BY130)+BS146*(1+BY150)+BS153*(1+BY157))/BS160-1)</f>
        <v>0</v>
      </c>
      <c r="BZ164" s="260">
        <f>((BT126*(1+BZ130)+BT146*(1+BZ150)+BT153*(1+BZ157))/BT160-1)</f>
        <v>0</v>
      </c>
      <c r="CA164" s="449">
        <f>+SUMPRODUCT(BW164:BZ164,BQ$160:BT$160)/BU$160</f>
        <v>0</v>
      </c>
      <c r="CB164" s="43"/>
      <c r="CC164" s="259">
        <f>((BW126*(1+CC130)+BW146*(1+CC150)+BW153*(1+CC157))/BW160-1)</f>
        <v>0</v>
      </c>
      <c r="CD164" s="260">
        <f>((BX126*(1+CD130)+BX146*(1+CD150)+BX153*(1+CD157))/BX160-1)</f>
        <v>0</v>
      </c>
      <c r="CE164" s="260">
        <f>((BY126*(1+CE130)+BY146*(1+CE150)+BY153*(1+CE157))/BY160-1)</f>
        <v>0</v>
      </c>
      <c r="CF164" s="260">
        <f>((BZ126*(1+CF130)+BZ146*(1+CF150)+BZ153*(1+CF157))/BZ160-1)</f>
        <v>0</v>
      </c>
      <c r="CG164" s="449">
        <f>+SUMPRODUCT(CC164:CF164,BW$160:BZ$160)/CA$160</f>
        <v>0</v>
      </c>
    </row>
    <row r="165" spans="1:85" ht="11.25" customHeight="1" x14ac:dyDescent="0.2">
      <c r="A165" s="78"/>
      <c r="B165" s="98" t="s">
        <v>257</v>
      </c>
      <c r="C165" s="259"/>
      <c r="D165" s="260"/>
      <c r="E165" s="260"/>
      <c r="F165" s="260"/>
      <c r="G165" s="449"/>
      <c r="H165" s="264"/>
      <c r="I165" s="259">
        <f>+I162-I164</f>
        <v>4.1696212022504398E-2</v>
      </c>
      <c r="J165" s="260">
        <f>+J162-J164</f>
        <v>4.0163325319412913E-2</v>
      </c>
      <c r="K165" s="260">
        <f>+K162-K164</f>
        <v>2.026779052393457E-2</v>
      </c>
      <c r="L165" s="260">
        <f>+L162-L164</f>
        <v>-3.2408765931739691E-2</v>
      </c>
      <c r="M165" s="449">
        <f>+SUMPRODUCT(I165:L165,C$160:F$160)/G$160</f>
        <v>1.4530507370867179E-2</v>
      </c>
      <c r="N165" s="264"/>
      <c r="O165" s="259">
        <f>+O162-O164</f>
        <v>3.3685034612691567E-3</v>
      </c>
      <c r="P165" s="260">
        <f>+P162-P164</f>
        <v>4.6407756794415445E-3</v>
      </c>
      <c r="Q165" s="260">
        <f>+Q162-Q164</f>
        <v>-7.2136595984895191E-3</v>
      </c>
      <c r="R165" s="260">
        <f>+R162-R164</f>
        <v>2.9119484278487429E-2</v>
      </c>
      <c r="S165" s="449">
        <f>+SUMPRODUCT(O165:R165,I$160:L$160)/M$160</f>
        <v>7.309278534576337E-3</v>
      </c>
      <c r="T165" s="264"/>
      <c r="U165" s="259">
        <f>+U162-U164</f>
        <v>3.20560944401731E-2</v>
      </c>
      <c r="V165" s="260">
        <f>+V162-V164</f>
        <v>1.8925147758650285E-2</v>
      </c>
      <c r="W165" s="260">
        <f>+W162-W164</f>
        <v>3.5402468225280925E-2</v>
      </c>
      <c r="X165" s="260">
        <f>+X162-X164</f>
        <v>2.9093355798868181E-2</v>
      </c>
      <c r="Y165" s="449">
        <f>+SUMPRODUCT(U165:X165,O$160:R$160)/S$160</f>
        <v>2.886809943177884E-2</v>
      </c>
      <c r="Z165" s="264"/>
      <c r="AA165" s="259">
        <f>+AA162-AA164</f>
        <v>3.5496307139646799E-2</v>
      </c>
      <c r="AB165" s="260">
        <f>+AB162-AB164</f>
        <v>4.5748872305692911E-2</v>
      </c>
      <c r="AC165" s="260">
        <f>+AC162-AC164</f>
        <v>3.1236824469763835E-2</v>
      </c>
      <c r="AD165" s="260">
        <f>+AD162-AD164</f>
        <v>5.3505677948645136E-2</v>
      </c>
      <c r="AE165" s="449">
        <f>+SUMPRODUCT(AA165:AD165,U$160:X$160)/Y$160</f>
        <v>4.1776987016773161E-2</v>
      </c>
      <c r="AF165" s="264"/>
      <c r="AG165" s="259">
        <f>+AG162-AG164</f>
        <v>7.8024849440969435E-2</v>
      </c>
      <c r="AH165" s="260">
        <f>+AH162-AH164</f>
        <v>4.5213377950026779E-2</v>
      </c>
      <c r="AI165" s="260">
        <f>+AI162-AI164</f>
        <v>4.2137957971232876E-2</v>
      </c>
      <c r="AJ165" s="260">
        <f>+AJ162-AJ164</f>
        <v>5.8017248877798466E-2</v>
      </c>
      <c r="AK165" s="449">
        <f>+SUMPRODUCT(AG165:AJ165,AA$160:AD$160)/AE$160</f>
        <v>5.5459908556211857E-2</v>
      </c>
      <c r="AL165" s="264"/>
      <c r="AM165" s="259">
        <f>+AM162-AM164</f>
        <v>3.0314928377147998E-2</v>
      </c>
      <c r="AN165" s="260">
        <f>+AN162-AN164</f>
        <v>3.8714671501744569E-2</v>
      </c>
      <c r="AO165" s="260">
        <f>+AO162-AO164</f>
        <v>3.2498537099345803E-2</v>
      </c>
      <c r="AP165" s="260">
        <f>+AP162-AP164</f>
        <v>3.5236738214097008E-2</v>
      </c>
      <c r="AQ165" s="449">
        <f>+SUMPRODUCT(AM165:AP165,AG$160:AJ$160)/AK$160</f>
        <v>3.4252916807311504E-2</v>
      </c>
      <c r="AR165" s="264"/>
      <c r="AS165" s="259">
        <f>+AS162-AS164</f>
        <v>2.8000000000000001E-2</v>
      </c>
      <c r="AT165" s="260">
        <f>+AT162-AT164</f>
        <v>4.2000000000000003E-2</v>
      </c>
      <c r="AU165" s="260">
        <f>+AU162-AU164</f>
        <v>6.4000000000000001E-2</v>
      </c>
      <c r="AV165" s="260">
        <f>+AV162-AV164</f>
        <v>5.000000000000001E-2</v>
      </c>
      <c r="AW165" s="449">
        <f>+SUMPRODUCT(AS165:AV165,AM$160:AP$160)/AQ$160</f>
        <v>4.6153564054282191E-2</v>
      </c>
      <c r="AX165" s="264"/>
      <c r="AY165" s="259">
        <f>+AY162-AY164</f>
        <v>4.7E-2</v>
      </c>
      <c r="AZ165" s="260">
        <f>+AZ162-AZ164</f>
        <v>0.04</v>
      </c>
      <c r="BA165" s="260">
        <f>+BA162-BA164</f>
        <v>4.8000000000000008E-2</v>
      </c>
      <c r="BB165" s="260">
        <f>+BB162-BB164</f>
        <v>6.6000000000000003E-2</v>
      </c>
      <c r="BC165" s="449">
        <f>+SUMPRODUCT(AY165:BB165,AS$160:AV$160)/AW$160</f>
        <v>5.043801913133155E-2</v>
      </c>
      <c r="BD165" s="264"/>
      <c r="BE165" s="259">
        <f>+BE162-BE164</f>
        <v>9.4E-2</v>
      </c>
      <c r="BF165" s="260">
        <f>+BF162-BF164</f>
        <v>7.5999999999999998E-2</v>
      </c>
      <c r="BG165" s="260">
        <f>+BG162-BG164</f>
        <v>0.06</v>
      </c>
      <c r="BH165" s="260">
        <f>+BH162-BH164</f>
        <v>3.9654236572571389E-2</v>
      </c>
      <c r="BI165" s="449">
        <f>+SUMPRODUCT(BE165:BH165,AY$160:BB$160)/BC$160</f>
        <v>6.636664392939072E-2</v>
      </c>
      <c r="BJ165" s="264"/>
      <c r="BK165" s="259">
        <f>+BK162-BK164</f>
        <v>5.8999999999999997E-2</v>
      </c>
      <c r="BL165" s="260">
        <f>+BL162-BL164</f>
        <v>4.8743008687772704E-2</v>
      </c>
      <c r="BM165" s="260">
        <f>+BM162-BM164</f>
        <v>4.8999999999999995E-2</v>
      </c>
      <c r="BN165" s="260">
        <f>+BN162-BN164</f>
        <v>5.180450804947101E-2</v>
      </c>
      <c r="BO165" s="449">
        <f>+SUMPRODUCT(BK165:BN165,BE$160:BH$160)/BI$160</f>
        <v>5.2036056703470383E-2</v>
      </c>
      <c r="BP165" s="264"/>
      <c r="BQ165" s="259">
        <f>+BQ162-BQ164</f>
        <v>3.8383945874007619E-2</v>
      </c>
      <c r="BR165" s="260">
        <f>+BR162-BR164</f>
        <v>5.4706124350839103E-2</v>
      </c>
      <c r="BS165" s="260">
        <f>+BS162-BS164</f>
        <v>4.8262275025712009E-2</v>
      </c>
      <c r="BT165" s="260">
        <f>+BT162-BT164</f>
        <v>4.5515874341307105E-2</v>
      </c>
      <c r="BU165" s="449">
        <f>+SUMPRODUCT(BQ165:BT165,BK$160:BN$160)/BO$160</f>
        <v>4.6797651711875124E-2</v>
      </c>
      <c r="BV165" s="264"/>
      <c r="BW165" s="259">
        <f>+BW162-BW164</f>
        <v>4.2312454562659418E-2</v>
      </c>
      <c r="BX165" s="260">
        <f>+BX162-BX164</f>
        <v>4.2645401218290191E-2</v>
      </c>
      <c r="BY165" s="260">
        <f>+BY162-BY164</f>
        <v>4.2750098336351128E-2</v>
      </c>
      <c r="BZ165" s="260">
        <f>+BZ162-BZ164</f>
        <v>4.1944777025497704E-2</v>
      </c>
      <c r="CA165" s="449">
        <f>+SUMPRODUCT(BW165:BZ165,BQ$160:BT$160)/BU$160</f>
        <v>4.2409421970148263E-2</v>
      </c>
      <c r="CB165" s="264"/>
      <c r="CC165" s="259">
        <f>+CC162-CC164</f>
        <v>3.8809981328169707E-2</v>
      </c>
      <c r="CD165" s="260">
        <f>+CD162-CD164</f>
        <v>3.9136331190079643E-2</v>
      </c>
      <c r="CE165" s="260">
        <f>+CE162-CE164</f>
        <v>3.9094908927263416E-2</v>
      </c>
      <c r="CF165" s="260">
        <f>+CF162-CF164</f>
        <v>3.8654382588795277E-2</v>
      </c>
      <c r="CG165" s="449">
        <f>+SUMPRODUCT(CC165:CF165,BW$160:BZ$160)/CA$160</f>
        <v>3.8922418879245808E-2</v>
      </c>
    </row>
    <row r="166" spans="1:85" ht="11.25" customHeight="1" x14ac:dyDescent="0.2">
      <c r="A166" s="78"/>
      <c r="B166" s="98"/>
      <c r="C166" s="93"/>
      <c r="D166" s="61"/>
      <c r="E166" s="61"/>
      <c r="F166" s="61"/>
      <c r="G166" s="447"/>
      <c r="H166" s="109"/>
      <c r="I166" s="93"/>
      <c r="J166" s="61"/>
      <c r="K166" s="61"/>
      <c r="L166" s="61"/>
      <c r="M166" s="447"/>
      <c r="N166" s="109"/>
      <c r="O166" s="93"/>
      <c r="P166" s="61"/>
      <c r="Q166" s="61"/>
      <c r="R166" s="61"/>
      <c r="S166" s="447"/>
      <c r="T166" s="109"/>
      <c r="U166" s="93"/>
      <c r="V166" s="61"/>
      <c r="W166" s="61"/>
      <c r="X166" s="61"/>
      <c r="Y166" s="447"/>
      <c r="Z166" s="109"/>
      <c r="AA166" s="93"/>
      <c r="AB166" s="61"/>
      <c r="AC166" s="61"/>
      <c r="AD166" s="61"/>
      <c r="AE166" s="447"/>
      <c r="AF166" s="109"/>
      <c r="AG166" s="93"/>
      <c r="AH166" s="61"/>
      <c r="AI166" s="61"/>
      <c r="AJ166" s="61"/>
      <c r="AK166" s="447"/>
      <c r="AL166" s="109"/>
      <c r="AM166" s="93"/>
      <c r="AN166" s="61"/>
      <c r="AO166" s="61"/>
      <c r="AP166" s="61"/>
      <c r="AQ166" s="447"/>
      <c r="AR166" s="109"/>
      <c r="AS166" s="93"/>
      <c r="AT166" s="61"/>
      <c r="AU166" s="61"/>
      <c r="AV166" s="61"/>
      <c r="AW166" s="447"/>
      <c r="AX166" s="109"/>
      <c r="AY166" s="93"/>
      <c r="AZ166" s="61"/>
      <c r="BA166" s="61"/>
      <c r="BB166" s="61"/>
      <c r="BC166" s="447"/>
      <c r="BD166" s="109"/>
      <c r="BE166" s="93"/>
      <c r="BF166" s="61"/>
      <c r="BG166" s="61"/>
      <c r="BH166" s="61"/>
      <c r="BI166" s="447"/>
      <c r="BJ166" s="109"/>
      <c r="BK166" s="93"/>
      <c r="BL166" s="61"/>
      <c r="BM166" s="61"/>
      <c r="BN166" s="61"/>
      <c r="BO166" s="775">
        <f>65%*BO167</f>
        <v>284.76564999999999</v>
      </c>
      <c r="BP166" s="109"/>
      <c r="BQ166" s="93"/>
      <c r="BR166" s="61"/>
      <c r="BS166" s="61"/>
      <c r="BT166" s="61"/>
      <c r="BU166" s="447"/>
      <c r="BV166" s="109"/>
      <c r="BW166" s="93"/>
      <c r="BX166" s="61"/>
      <c r="BY166" s="61"/>
      <c r="BZ166" s="61"/>
      <c r="CA166" s="447"/>
      <c r="CB166" s="109"/>
      <c r="CC166" s="93"/>
      <c r="CD166" s="61"/>
      <c r="CE166" s="61"/>
      <c r="CF166" s="61"/>
      <c r="CG166" s="447"/>
    </row>
    <row r="167" spans="1:85" ht="11.25" customHeight="1" x14ac:dyDescent="0.2">
      <c r="A167" s="78"/>
      <c r="B167" s="108" t="s">
        <v>594</v>
      </c>
      <c r="C167" s="269">
        <v>28.414999999999999</v>
      </c>
      <c r="D167" s="270">
        <v>31.875</v>
      </c>
      <c r="E167" s="270">
        <v>31.841000000000001</v>
      </c>
      <c r="F167" s="270">
        <f>131.893-E167-D167-C167</f>
        <v>39.761999999999993</v>
      </c>
      <c r="G167" s="448">
        <f>+SUM(C167:F167)</f>
        <v>131.893</v>
      </c>
      <c r="H167" s="39"/>
      <c r="I167" s="269">
        <v>38.795000000000002</v>
      </c>
      <c r="J167" s="270">
        <v>41.118000000000002</v>
      </c>
      <c r="K167" s="270">
        <v>41.014000000000003</v>
      </c>
      <c r="L167" s="270">
        <f>163.289-K167-J167-I167</f>
        <v>42.361999999999981</v>
      </c>
      <c r="M167" s="448">
        <f>+SUM(I167:L167)</f>
        <v>163.28899999999999</v>
      </c>
      <c r="N167" s="39"/>
      <c r="O167" s="269">
        <v>40.325000000000003</v>
      </c>
      <c r="P167" s="270">
        <v>42.551000000000002</v>
      </c>
      <c r="Q167" s="270">
        <v>43.210999999999999</v>
      </c>
      <c r="R167" s="270">
        <f>173.208-Q167-P167-O167</f>
        <v>47.121000000000009</v>
      </c>
      <c r="S167" s="448">
        <f>+SUM(O167:R167)</f>
        <v>173.20800000000003</v>
      </c>
      <c r="T167" s="39"/>
      <c r="U167" s="269">
        <v>44.972999999999999</v>
      </c>
      <c r="V167" s="270">
        <v>48.381</v>
      </c>
      <c r="W167" s="270">
        <v>49.145000000000003</v>
      </c>
      <c r="X167" s="270">
        <f>199.952-W167-V167-U167</f>
        <v>57.452999999999989</v>
      </c>
      <c r="Y167" s="448">
        <f>+SUM(U167:X167)</f>
        <v>199.952</v>
      </c>
      <c r="Z167" s="39"/>
      <c r="AA167" s="269">
        <v>55.646000000000001</v>
      </c>
      <c r="AB167" s="270">
        <v>62.057000000000002</v>
      </c>
      <c r="AC167" s="148">
        <f>+AC49+AC108</f>
        <v>62.192</v>
      </c>
      <c r="AD167" s="148">
        <f>+AD49+AD108</f>
        <v>70.724999999999994</v>
      </c>
      <c r="AE167" s="448">
        <f>+SUM(AA167:AD167)</f>
        <v>250.62</v>
      </c>
      <c r="AF167" s="39"/>
      <c r="AG167" s="147">
        <f>+AG49+AG108</f>
        <v>62.936999999999998</v>
      </c>
      <c r="AH167" s="148">
        <f>+AH49+AH108</f>
        <v>68.153000000000006</v>
      </c>
      <c r="AI167" s="148">
        <f>+AI49+AI108</f>
        <v>70.965999999999994</v>
      </c>
      <c r="AJ167" s="148">
        <f>+AJ49+AJ108</f>
        <v>81.356999999999999</v>
      </c>
      <c r="AK167" s="448">
        <f>+SUM(AG167:AJ167)</f>
        <v>283.41300000000001</v>
      </c>
      <c r="AL167" s="39"/>
      <c r="AM167" s="147">
        <f>+AM49+AM108</f>
        <v>74.712000000000003</v>
      </c>
      <c r="AN167" s="148">
        <f>+AN49+AN108</f>
        <v>78.045000000000002</v>
      </c>
      <c r="AO167" s="148">
        <f>+AO49+AO108</f>
        <v>78.933000000000007</v>
      </c>
      <c r="AP167" s="148">
        <f>+AP49+AP108</f>
        <v>88.356999999999999</v>
      </c>
      <c r="AQ167" s="448">
        <f>+SUM(AM167:AP167)</f>
        <v>320.04700000000003</v>
      </c>
      <c r="AR167" s="39"/>
      <c r="AS167" s="147">
        <f>+AS49+AS108</f>
        <v>81.329000000000008</v>
      </c>
      <c r="AT167" s="148">
        <f>+AT49+AT108</f>
        <v>89.119</v>
      </c>
      <c r="AU167" s="148">
        <f>+AU49+AU108</f>
        <v>87.123000000000005</v>
      </c>
      <c r="AV167" s="148">
        <f>+AV49+AV108</f>
        <v>91.307000000000002</v>
      </c>
      <c r="AW167" s="448">
        <f>+SUM(AS167:AV167)</f>
        <v>348.87800000000004</v>
      </c>
      <c r="AX167" s="39"/>
      <c r="AY167" s="147">
        <f>+AY49+AY108</f>
        <v>85.716000000000008</v>
      </c>
      <c r="AZ167" s="148">
        <f>+AZ49+AZ108</f>
        <v>89.5</v>
      </c>
      <c r="BA167" s="148">
        <f>+BA49+BA108</f>
        <v>89.738</v>
      </c>
      <c r="BB167" s="148">
        <f>+BB49+BB108</f>
        <v>93.819000000000003</v>
      </c>
      <c r="BC167" s="448">
        <f>+SUM(AY167:BB167)</f>
        <v>358.77300000000002</v>
      </c>
      <c r="BD167" s="39"/>
      <c r="BE167" s="147">
        <f>+BE49+BE108</f>
        <v>101.654</v>
      </c>
      <c r="BF167" s="148">
        <f>+BF49+BF108</f>
        <v>107.01900000000001</v>
      </c>
      <c r="BG167" s="148">
        <f>+BG49+BG108</f>
        <v>104.696</v>
      </c>
      <c r="BH167" s="148">
        <f>+BH49+BH108</f>
        <v>112.227</v>
      </c>
      <c r="BI167" s="448">
        <f>+SUM(BE167:BH167)</f>
        <v>425.596</v>
      </c>
      <c r="BJ167" s="39"/>
      <c r="BK167" s="147">
        <f>+BK49+BK108</f>
        <v>105.965</v>
      </c>
      <c r="BL167" s="148">
        <f>+BL49+BL108</f>
        <v>108.533</v>
      </c>
      <c r="BM167" s="148">
        <f>+BM49+BM108</f>
        <v>109.012</v>
      </c>
      <c r="BN167" s="148">
        <f>+BN49+BN108</f>
        <v>114.59100000000001</v>
      </c>
      <c r="BO167" s="448">
        <f>+SUM(BK167:BN167)</f>
        <v>438.101</v>
      </c>
      <c r="BP167" s="39"/>
      <c r="BQ167" s="147">
        <f>+BQ49+BQ108</f>
        <v>114.10976599999999</v>
      </c>
      <c r="BR167" s="148">
        <f>+BR49+BR108</f>
        <v>142.634255</v>
      </c>
      <c r="BS167" s="148">
        <f>+BS49+BS108</f>
        <v>141.58203</v>
      </c>
      <c r="BT167" s="148">
        <f>+BT49+BT108</f>
        <v>147.28926000000001</v>
      </c>
      <c r="BU167" s="448">
        <f>+SUM(BQ167:BT167)</f>
        <v>545.61531100000002</v>
      </c>
      <c r="BV167" s="39"/>
      <c r="BW167" s="147">
        <f>+BW49+BW108</f>
        <v>146.23701674</v>
      </c>
      <c r="BX167" s="148">
        <f>+BX49+BX108</f>
        <v>150.49651980000002</v>
      </c>
      <c r="BY167" s="148">
        <f>+BY49+BY108</f>
        <v>149.43019770000001</v>
      </c>
      <c r="BZ167" s="148">
        <f>+BZ49+BZ108</f>
        <v>155.45646480000002</v>
      </c>
      <c r="CA167" s="448">
        <f>+SUM(BW167:BZ167)</f>
        <v>601.6201990400001</v>
      </c>
      <c r="CB167" s="39"/>
      <c r="CC167" s="147">
        <f>+CC49+CC108</f>
        <v>154.3055544282</v>
      </c>
      <c r="CD167" s="148">
        <f>+CD49+CD108</f>
        <v>158.81034200400003</v>
      </c>
      <c r="CE167" s="148">
        <f>+CE49+CE108</f>
        <v>157.73229908100001</v>
      </c>
      <c r="CF167" s="148">
        <f>+CF49+CF108</f>
        <v>164.09624918400004</v>
      </c>
      <c r="CG167" s="448">
        <f>+SUM(CC167:CF167)</f>
        <v>634.94444469720008</v>
      </c>
    </row>
    <row r="168" spans="1:85" ht="11.25" customHeight="1" x14ac:dyDescent="0.2">
      <c r="A168" s="78"/>
      <c r="B168" s="99" t="s">
        <v>253</v>
      </c>
      <c r="C168" s="261">
        <v>0.246</v>
      </c>
      <c r="D168" s="258">
        <v>0.36499999999999999</v>
      </c>
      <c r="E168" s="258">
        <v>0.29499999999999998</v>
      </c>
      <c r="F168" s="258">
        <v>0.44800000000000001</v>
      </c>
      <c r="G168" s="453">
        <v>0.34300000000000003</v>
      </c>
      <c r="H168" s="43"/>
      <c r="I168" s="259">
        <f>+I167/C167-1</f>
        <v>0.36530001759634012</v>
      </c>
      <c r="J168" s="260">
        <f>+J167/D167-1</f>
        <v>0.28997647058823528</v>
      </c>
      <c r="K168" s="260">
        <f>+K167/E167-1</f>
        <v>0.28808768568826371</v>
      </c>
      <c r="L168" s="260">
        <f>+L167/F167-1</f>
        <v>6.5389064936371089E-2</v>
      </c>
      <c r="M168" s="449">
        <f>IF(ISERROR(M167/G167-1),"NM",M167/G167-1)</f>
        <v>0.23804144268460026</v>
      </c>
      <c r="N168" s="43"/>
      <c r="O168" s="259">
        <f>+O167/I167-1</f>
        <v>3.9438071916484185E-2</v>
      </c>
      <c r="P168" s="260">
        <f>+P167/J167-1</f>
        <v>3.4850916873388815E-2</v>
      </c>
      <c r="Q168" s="260">
        <f>+Q167/K167-1</f>
        <v>5.3567074657433933E-2</v>
      </c>
      <c r="R168" s="260">
        <f>+R167/L167-1</f>
        <v>0.11234124923280375</v>
      </c>
      <c r="S168" s="449">
        <f>IF(ISERROR(S167/M167-1),"NM",S167/M167-1)</f>
        <v>6.0745059373258803E-2</v>
      </c>
      <c r="T168" s="43"/>
      <c r="U168" s="259">
        <f>+U167/O167-1</f>
        <v>0.11526348419094834</v>
      </c>
      <c r="V168" s="260">
        <f>+V167/P167-1</f>
        <v>0.13701205612089007</v>
      </c>
      <c r="W168" s="260">
        <f>+W167/Q167-1</f>
        <v>0.13732614380597541</v>
      </c>
      <c r="X168" s="260">
        <f>+X167/R167-1</f>
        <v>0.21926529572801878</v>
      </c>
      <c r="Y168" s="449">
        <f>IF(ISERROR(Y167/S167-1),"NM",Y167/S167-1)</f>
        <v>0.15440395362800774</v>
      </c>
      <c r="Z168" s="43"/>
      <c r="AA168" s="259">
        <f>+AA167/U167-1</f>
        <v>0.23732016987970561</v>
      </c>
      <c r="AB168" s="260">
        <f>+AB167/V167-1</f>
        <v>0.28267295012504912</v>
      </c>
      <c r="AC168" s="260">
        <f>+AC167/W167-1</f>
        <v>0.26547970291993073</v>
      </c>
      <c r="AD168" s="260">
        <f>+AD167/X167-1</f>
        <v>0.23100621377473773</v>
      </c>
      <c r="AE168" s="449">
        <f>IF(ISERROR(AE167/Y167-1),"NM",AE167/Y167-1)</f>
        <v>0.25340081619588695</v>
      </c>
      <c r="AF168" s="43"/>
      <c r="AG168" s="259">
        <f>+AG167/AA167-1</f>
        <v>0.13102469180174681</v>
      </c>
      <c r="AH168" s="260">
        <f>+AH167/AB167-1</f>
        <v>9.8232270332114124E-2</v>
      </c>
      <c r="AI168" s="260">
        <f>+AI167/AC167-1</f>
        <v>0.14107923848726522</v>
      </c>
      <c r="AJ168" s="260">
        <f>+AJ167/AD167-1</f>
        <v>0.15032873806998959</v>
      </c>
      <c r="AK168" s="449">
        <f>IF(ISERROR(AK167/AE167-1),"NM",AK167/AE167-1)</f>
        <v>0.13084749820445296</v>
      </c>
      <c r="AL168" s="43"/>
      <c r="AM168" s="259">
        <f>+AM167/AG167-1</f>
        <v>0.18709185375852044</v>
      </c>
      <c r="AN168" s="260">
        <f>+AN167/AH167-1</f>
        <v>0.14514401420333645</v>
      </c>
      <c r="AO168" s="260">
        <f>+AO167/AI167-1</f>
        <v>0.11226502832342278</v>
      </c>
      <c r="AP168" s="260">
        <f>+AP167/AJ167-1</f>
        <v>8.6040537384613591E-2</v>
      </c>
      <c r="AQ168" s="449">
        <f>IF(ISERROR(AQ167/AK167-1),"NM",AQ167/AK167-1)</f>
        <v>0.12926012568230827</v>
      </c>
      <c r="AR168" s="43"/>
      <c r="AS168" s="259">
        <f>+AS167/AM167-1</f>
        <v>8.8566763036727725E-2</v>
      </c>
      <c r="AT168" s="260">
        <f>+AT167/AN167-1</f>
        <v>0.14189249791786795</v>
      </c>
      <c r="AU168" s="260">
        <f>+AU167/AO167-1</f>
        <v>0.10375888411690926</v>
      </c>
      <c r="AV168" s="260">
        <f>+AV167/AP167-1</f>
        <v>3.3387281143542724E-2</v>
      </c>
      <c r="AW168" s="449">
        <f>IF(ISERROR(AW167/AQ167-1),"NM",AW167/AQ167-1)</f>
        <v>9.0083643964792737E-2</v>
      </c>
      <c r="AX168" s="43"/>
      <c r="AY168" s="259">
        <f>+AY167/AS167-1</f>
        <v>5.3941398517134198E-2</v>
      </c>
      <c r="AZ168" s="260">
        <f>+AZ167/AT167-1</f>
        <v>4.2751826209899146E-3</v>
      </c>
      <c r="BA168" s="260">
        <f>+BA167/AU167-1</f>
        <v>3.0015036213169921E-2</v>
      </c>
      <c r="BB168" s="260">
        <f>+BB167/AV167-1</f>
        <v>2.7511581806433316E-2</v>
      </c>
      <c r="BC168" s="449">
        <f>IF(ISERROR(BC167/AW167-1),"NM",BC167/AW167-1)</f>
        <v>2.8362350162520977E-2</v>
      </c>
      <c r="BD168" s="43"/>
      <c r="BE168" s="259">
        <f>+BE167/AY167-1</f>
        <v>0.18593961454104235</v>
      </c>
      <c r="BF168" s="260">
        <f>+BF167/AZ167-1</f>
        <v>0.19574301675977668</v>
      </c>
      <c r="BG168" s="260">
        <f>+BG167/BA167-1</f>
        <v>0.16668523925204481</v>
      </c>
      <c r="BH168" s="260">
        <f>+BH167/BB167-1</f>
        <v>0.19620759121286735</v>
      </c>
      <c r="BI168" s="449">
        <f>IF(ISERROR(BI167/BC167-1),"NM",BI167/BC167-1)</f>
        <v>0.18625426105085929</v>
      </c>
      <c r="BJ168" s="43"/>
      <c r="BK168" s="259">
        <f>+BK167/BE167-1</f>
        <v>4.2408562378263515E-2</v>
      </c>
      <c r="BL168" s="260">
        <f>+BL167/BF167-1</f>
        <v>1.4147020622506279E-2</v>
      </c>
      <c r="BM168" s="260">
        <f>+BM167/BG167-1</f>
        <v>4.1224115534499894E-2</v>
      </c>
      <c r="BN168" s="260">
        <f>+BN167/BH167-1</f>
        <v>2.1064449731348134E-2</v>
      </c>
      <c r="BO168" s="449">
        <f>IF(ISERROR(BO167/BI167-1),"NM",BO167/BI167-1)</f>
        <v>2.9382325021851674E-2</v>
      </c>
      <c r="BP168" s="43"/>
      <c r="BQ168" s="259">
        <f>+BQ167/BK167-1</f>
        <v>7.686279431887888E-2</v>
      </c>
      <c r="BR168" s="260">
        <f>+BR167/BL167-1</f>
        <v>0.31420171744999204</v>
      </c>
      <c r="BS168" s="260">
        <f>+BS167/BM167-1</f>
        <v>0.29877472204894873</v>
      </c>
      <c r="BT168" s="260">
        <f>+BT167/BN167-1</f>
        <v>0.28534754038275256</v>
      </c>
      <c r="BU168" s="449">
        <f>IF(ISERROR(BU167/BO167-1),"NM",BU167/BO167-1)</f>
        <v>0.24540987352231558</v>
      </c>
      <c r="BV168" s="43"/>
      <c r="BW168" s="259">
        <f>+BW167/BQ167-1</f>
        <v>0.28154689879917916</v>
      </c>
      <c r="BX168" s="260">
        <f>+BX167/BR167-1</f>
        <v>5.5121855545850584E-2</v>
      </c>
      <c r="BY168" s="260">
        <f>+BY167/BS167-1</f>
        <v>5.5431947825582029E-2</v>
      </c>
      <c r="BZ168" s="260">
        <f>+BZ167/BT167-1</f>
        <v>5.5450104101276709E-2</v>
      </c>
      <c r="CA168" s="449">
        <f>IF(ISERROR(CA167/BU167-1),"NM",CA167/BU167-1)</f>
        <v>0.10264537470063795</v>
      </c>
      <c r="CB168" s="43"/>
      <c r="CC168" s="259">
        <f>+CC167/BW167-1</f>
        <v>5.5174386540894238E-2</v>
      </c>
      <c r="CD168" s="260">
        <f>+CD167/BX167-1</f>
        <v>5.5242620992489E-2</v>
      </c>
      <c r="CE168" s="260">
        <f>+CE167/BY167-1</f>
        <v>5.5558391200602575E-2</v>
      </c>
      <c r="CF168" s="260">
        <f>+CF167/BZ167-1</f>
        <v>5.5576874175772506E-2</v>
      </c>
      <c r="CG168" s="449">
        <f>IF(ISERROR(CG167/CA167-1),"NM",CG167/CA167-1)</f>
        <v>5.5390835797028082E-2</v>
      </c>
    </row>
    <row r="169" spans="1:85" ht="11.25" customHeight="1" x14ac:dyDescent="0.2">
      <c r="B169" s="99" t="s">
        <v>256</v>
      </c>
      <c r="C169" s="261">
        <v>0.247</v>
      </c>
      <c r="D169" s="258">
        <v>0.36399999999999999</v>
      </c>
      <c r="E169" s="258">
        <v>0.28999999999999998</v>
      </c>
      <c r="F169" s="258">
        <v>0.44</v>
      </c>
      <c r="G169" s="453">
        <v>0.34</v>
      </c>
      <c r="H169" s="43"/>
      <c r="I169" s="261">
        <v>0.35899999999999999</v>
      </c>
      <c r="J169" s="258">
        <v>0.28599999999999998</v>
      </c>
      <c r="K169" s="258">
        <v>0.28799999999999998</v>
      </c>
      <c r="L169" s="258">
        <v>0.109</v>
      </c>
      <c r="M169" s="449">
        <f>+SUMPRODUCT(I169:L169,C$167:F$167)/G$167</f>
        <v>0.24884945372385189</v>
      </c>
      <c r="N169" s="43"/>
      <c r="O169" s="261">
        <v>8.7999999999999995E-2</v>
      </c>
      <c r="P169" s="258">
        <v>7.2999999999999995E-2</v>
      </c>
      <c r="Q169" s="258">
        <v>7.2999999999999995E-2</v>
      </c>
      <c r="R169" s="258">
        <v>9.8000000000000004E-2</v>
      </c>
      <c r="S169" s="449">
        <f>+SUMPRODUCT(O169:R169,I$167:L$167)/M$167</f>
        <v>8.3049513439362121E-2</v>
      </c>
      <c r="T169" s="43"/>
      <c r="U169" s="261">
        <v>9.4E-2</v>
      </c>
      <c r="V169" s="258">
        <v>0.13200000000000001</v>
      </c>
      <c r="W169" s="258">
        <v>0.14099999999999999</v>
      </c>
      <c r="X169" s="258">
        <v>0.219</v>
      </c>
      <c r="Y169" s="449">
        <f>+SUMPRODUCT(U169:X169,O$167:R$167)/S$167</f>
        <v>0.14906662509814789</v>
      </c>
      <c r="Z169" s="43"/>
      <c r="AA169" s="261">
        <v>0.22900000000000001</v>
      </c>
      <c r="AB169" s="258">
        <v>0.26300000000000001</v>
      </c>
      <c r="AC169" s="258">
        <v>0.252</v>
      </c>
      <c r="AD169" s="258">
        <v>0.23100000000000001</v>
      </c>
      <c r="AE169" s="449">
        <f>+SUMPRODUCT(AA169:AD169,U$167:X$167)/Y$167</f>
        <v>0.24345444406657599</v>
      </c>
      <c r="AF169" s="43"/>
      <c r="AG169" s="261">
        <v>0.13200000000000001</v>
      </c>
      <c r="AH169" s="258">
        <v>0.106</v>
      </c>
      <c r="AI169" s="258">
        <v>0.14699999999999999</v>
      </c>
      <c r="AJ169" s="258">
        <v>0.14799999999999999</v>
      </c>
      <c r="AK169" s="449">
        <f>+SUMPRODUCT(AG169:AJ169,AA$167:AD$167)/AE$167</f>
        <v>0.13379952916766419</v>
      </c>
      <c r="AL169" s="43"/>
      <c r="AM169" s="261">
        <v>0.189</v>
      </c>
      <c r="AN169" s="258">
        <v>0.14899999999999999</v>
      </c>
      <c r="AO169" s="258">
        <v>0.11799999999999999</v>
      </c>
      <c r="AP169" s="258">
        <v>8.8999999999999996E-2</v>
      </c>
      <c r="AQ169" s="449">
        <f>+SUMPRODUCT(AM169:AP169,AG$167:AJ$167)/AK$167</f>
        <v>0.13289669492930808</v>
      </c>
      <c r="AR169" s="43"/>
      <c r="AS169" s="261">
        <v>8.5999999999999993E-2</v>
      </c>
      <c r="AT169" s="258">
        <v>0.13200000000000001</v>
      </c>
      <c r="AU169" s="258">
        <v>9.5000000000000001E-2</v>
      </c>
      <c r="AV169" s="258">
        <v>4.3999999999999997E-2</v>
      </c>
      <c r="AW169" s="449">
        <f>+SUMPRODUCT(AS169:AV169,AM$167:AP$167)/AQ$167</f>
        <v>8.7841832605836015E-2</v>
      </c>
      <c r="AX169" s="43"/>
      <c r="AY169" s="261">
        <v>0.08</v>
      </c>
      <c r="AZ169" s="258">
        <v>3.3000000000000002E-2</v>
      </c>
      <c r="BA169" s="258">
        <v>5.8000000000000003E-2</v>
      </c>
      <c r="BB169" s="258">
        <v>4.4999999999999998E-2</v>
      </c>
      <c r="BC169" s="449">
        <f>+SUMPRODUCT(AY169:BB169,AS$167:AV$167)/AW$167</f>
        <v>5.3340124628093483E-2</v>
      </c>
      <c r="BD169" s="43"/>
      <c r="BE169" s="261">
        <v>0.19900000000000001</v>
      </c>
      <c r="BF169" s="258">
        <v>0.20399999999999999</v>
      </c>
      <c r="BG169" s="258">
        <v>0.183</v>
      </c>
      <c r="BH169" s="260">
        <f>+BH168-BH170</f>
        <v>0.21520759121286734</v>
      </c>
      <c r="BI169" s="449">
        <f>+SUMPRODUCT(BE169:BH169,AY$167:BB$167)/BC$167</f>
        <v>0.20048358990225015</v>
      </c>
      <c r="BJ169" s="43"/>
      <c r="BK169" s="259">
        <f>((+BE49*(1+BK51)+BE108*(1+BK110))/BE167-1)</f>
        <v>5.5226592165581234E-2</v>
      </c>
      <c r="BL169" s="257">
        <v>2.8000000000000001E-2</v>
      </c>
      <c r="BM169" s="258">
        <v>3.6999999999999998E-2</v>
      </c>
      <c r="BN169" s="260">
        <v>0.01</v>
      </c>
      <c r="BO169" s="449">
        <f>+SUMPRODUCT(BK169:BN169,BE$167:BH$167)/BI$167</f>
        <v>3.1970596528162844E-2</v>
      </c>
      <c r="BP169" s="43"/>
      <c r="BQ169" s="259">
        <f>((+BK49*(1+BQ51)+BK108*(1+BQ110))/BK167-1)</f>
        <v>7.9256792337092374E-2</v>
      </c>
      <c r="BR169" s="260">
        <f>((+BL49*(1+BR51)+BL108*(1+BR110))/BL167-1)</f>
        <v>0.31672274791998745</v>
      </c>
      <c r="BS169" s="260">
        <f>((+BM49*(1+BS51)+BM108*(1+BS110))/BM167-1)</f>
        <v>0.30403955527831794</v>
      </c>
      <c r="BT169" s="260">
        <f>((+BN49*(1+BT51)+BN108*(1+BT110))/BN167-1)</f>
        <v>0.2906950807655051</v>
      </c>
      <c r="BU169" s="449">
        <f>+SUMPRODUCT(BQ169:BT169,BK$167:BN$167)/BO$167</f>
        <v>0.24932222478378269</v>
      </c>
      <c r="BV169" s="43"/>
      <c r="BW169" s="259">
        <f>((+BQ49*(1+BW51)+BQ108*(1+BW110))/BQ167-1)</f>
        <v>0.28154689879917916</v>
      </c>
      <c r="BX169" s="260">
        <f>((+BR49*(1+BX51)+BR108*(1+BX110))/BR167-1)</f>
        <v>5.5121855545850584E-2</v>
      </c>
      <c r="BY169" s="260">
        <f>((+BS49*(1+BY51)+BS108*(1+BY110))/BS167-1)</f>
        <v>5.5431947825582029E-2</v>
      </c>
      <c r="BZ169" s="260">
        <f>((+BT49*(1+BZ51)+BT108*(1+BZ110))/BT167-1)</f>
        <v>5.5450104101276709E-2</v>
      </c>
      <c r="CA169" s="449">
        <f>+SUMPRODUCT(BW169:BZ169,BQ$167:BT$167)/BU$167</f>
        <v>0.10264537470063781</v>
      </c>
      <c r="CB169" s="43"/>
      <c r="CC169" s="259">
        <f>((+BW49*(1+CC51)+BW108*(1+CC110))/BW167-1)</f>
        <v>5.5174386540894238E-2</v>
      </c>
      <c r="CD169" s="260">
        <f>((+BX49*(1+CD51)+BX108*(1+CD110))/BX167-1)</f>
        <v>5.5242620992489E-2</v>
      </c>
      <c r="CE169" s="260">
        <f>((+BY49*(1+CE51)+BY108*(1+CE110))/BY167-1)</f>
        <v>5.5558391200602575E-2</v>
      </c>
      <c r="CF169" s="260">
        <f>((+BZ49*(1+CF51)+BZ108*(1+CF110))/BZ167-1)</f>
        <v>5.5576874175772506E-2</v>
      </c>
      <c r="CG169" s="449">
        <f>+SUMPRODUCT(CC169:CF169,BW$167:BZ$167)/CA$167</f>
        <v>5.5390835797028082E-2</v>
      </c>
    </row>
    <row r="170" spans="1:85" ht="11.25" customHeight="1" x14ac:dyDescent="0.2">
      <c r="B170" s="99" t="s">
        <v>255</v>
      </c>
      <c r="C170" s="259">
        <f>C168-C169</f>
        <v>-1.0000000000000009E-3</v>
      </c>
      <c r="D170" s="260">
        <f>D168-D169</f>
        <v>1.0000000000000009E-3</v>
      </c>
      <c r="E170" s="260">
        <f>E168-E169</f>
        <v>5.0000000000000044E-3</v>
      </c>
      <c r="F170" s="260">
        <f>F168-F169</f>
        <v>8.0000000000000071E-3</v>
      </c>
      <c r="G170" s="449">
        <f>G168-G169</f>
        <v>3.0000000000000027E-3</v>
      </c>
      <c r="H170" s="43"/>
      <c r="I170" s="259">
        <f>I168-I169</f>
        <v>6.300017596340135E-3</v>
      </c>
      <c r="J170" s="260">
        <f>J168-J169</f>
        <v>3.9764705882353035E-3</v>
      </c>
      <c r="K170" s="260">
        <f>K168-K169</f>
        <v>8.7685688263727801E-5</v>
      </c>
      <c r="L170" s="260">
        <f>L168-L169</f>
        <v>-4.3610935063628911E-2</v>
      </c>
      <c r="M170" s="449">
        <f>+SUMPRODUCT(I170:L170,C$167:F$167)/G$167</f>
        <v>-1.0808011039251528E-2</v>
      </c>
      <c r="N170" s="43"/>
      <c r="O170" s="259">
        <f>O168-O169</f>
        <v>-4.856192808351581E-2</v>
      </c>
      <c r="P170" s="260">
        <f>P168-P169</f>
        <v>-3.814908312661118E-2</v>
      </c>
      <c r="Q170" s="260">
        <f>Q168-Q169</f>
        <v>-1.9432925342566063E-2</v>
      </c>
      <c r="R170" s="260">
        <f>R168-R169</f>
        <v>1.4341249232803749E-2</v>
      </c>
      <c r="S170" s="449">
        <f>+SUMPRODUCT(O170:R170,I$167:L$167)/M$167</f>
        <v>-2.2304454066103454E-2</v>
      </c>
      <c r="T170" s="43"/>
      <c r="U170" s="259">
        <f>U168-U169</f>
        <v>2.126348419094834E-2</v>
      </c>
      <c r="V170" s="260">
        <f>V168-V169</f>
        <v>5.0120561208900627E-3</v>
      </c>
      <c r="W170" s="260">
        <f>W168-W169</f>
        <v>-3.6738561940245773E-3</v>
      </c>
      <c r="X170" s="260">
        <f>X168-X169</f>
        <v>2.6529572801878287E-4</v>
      </c>
      <c r="Y170" s="449">
        <f>+SUMPRODUCT(U170:X170,O$167:R$167)/S$167</f>
        <v>5.3373285298598328E-3</v>
      </c>
      <c r="Z170" s="43"/>
      <c r="AA170" s="259">
        <f>AA168-AA169</f>
        <v>8.3201698797056023E-3</v>
      </c>
      <c r="AB170" s="260">
        <f>AB168-AB169</f>
        <v>1.9672950125049105E-2</v>
      </c>
      <c r="AC170" s="260">
        <f>AC168-AC169</f>
        <v>1.3479702919930725E-2</v>
      </c>
      <c r="AD170" s="260">
        <f>AD168-AD169</f>
        <v>6.2137747377233321E-6</v>
      </c>
      <c r="AE170" s="449">
        <f>+SUMPRODUCT(AA170:AD170,U$167:X$167)/Y$167</f>
        <v>9.9463721293110482E-3</v>
      </c>
      <c r="AF170" s="43"/>
      <c r="AG170" s="259">
        <f>AG168-AG169</f>
        <v>-9.753081982531997E-4</v>
      </c>
      <c r="AH170" s="260">
        <f>AH168-AH169</f>
        <v>-7.7677296678858726E-3</v>
      </c>
      <c r="AI170" s="260">
        <f>AI168-AI169</f>
        <v>-5.9207615127347679E-3</v>
      </c>
      <c r="AJ170" s="260">
        <f>AJ168-AJ169</f>
        <v>2.3287380699895943E-3</v>
      </c>
      <c r="AK170" s="449">
        <f>+SUMPRODUCT(AG170:AJ170,AA$167:AD$167)/AE$167</f>
        <v>-2.9520309632111476E-3</v>
      </c>
      <c r="AL170" s="43"/>
      <c r="AM170" s="259">
        <f>AM168-AM169</f>
        <v>-1.908146241479558E-3</v>
      </c>
      <c r="AN170" s="260">
        <f>AN168-AN169</f>
        <v>-3.8559857966635469E-3</v>
      </c>
      <c r="AO170" s="260">
        <f>AO168-AO169</f>
        <v>-5.7349716765772163E-3</v>
      </c>
      <c r="AP170" s="260">
        <f>AP168-AP169</f>
        <v>-2.9594626153864045E-3</v>
      </c>
      <c r="AQ170" s="449">
        <f>+SUMPRODUCT(AM170:AP170,AG$167:AJ$167)/AK$167</f>
        <v>-3.6365692469998907E-3</v>
      </c>
      <c r="AR170" s="43"/>
      <c r="AS170" s="259">
        <f>AS168-AS169</f>
        <v>2.5667630367277317E-3</v>
      </c>
      <c r="AT170" s="260">
        <f>AT168-AT169</f>
        <v>9.8924979178679484E-3</v>
      </c>
      <c r="AU170" s="260">
        <f>AU168-AU169</f>
        <v>8.7588841169092546E-3</v>
      </c>
      <c r="AV170" s="260">
        <f>AV168-AV169</f>
        <v>-1.0612718856457273E-2</v>
      </c>
      <c r="AW170" s="449">
        <f>+SUMPRODUCT(AS170:AV170,AM$167:AP$167)/AQ$167</f>
        <v>2.2418113589566819E-3</v>
      </c>
      <c r="AX170" s="43"/>
      <c r="AY170" s="259">
        <f>AY168-AY169</f>
        <v>-2.6058601482865804E-2</v>
      </c>
      <c r="AZ170" s="260">
        <f>AZ168-AZ169</f>
        <v>-2.8724817379010087E-2</v>
      </c>
      <c r="BA170" s="260">
        <f>BA168-BA169</f>
        <v>-2.7984963786830082E-2</v>
      </c>
      <c r="BB170" s="260">
        <f>BB168-BB169</f>
        <v>-1.7488418193566682E-2</v>
      </c>
      <c r="BC170" s="449">
        <f>+SUMPRODUCT(AY170:BB170,AS$167:AV$167)/AW$167</f>
        <v>-2.4977774465572443E-2</v>
      </c>
      <c r="BD170" s="43"/>
      <c r="BE170" s="259">
        <f>BE168-BE169</f>
        <v>-1.3060385458957657E-2</v>
      </c>
      <c r="BF170" s="260">
        <f>BF168-BF169</f>
        <v>-8.256983240223309E-3</v>
      </c>
      <c r="BG170" s="260">
        <f>BG168-BG169</f>
        <v>-1.6314760747955181E-2</v>
      </c>
      <c r="BH170" s="258">
        <v>-1.9E-2</v>
      </c>
      <c r="BI170" s="449">
        <f>+SUMPRODUCT(BE170:BH170,AY$167:BB$167)/BC$167</f>
        <v>-1.4229328851390719E-2</v>
      </c>
      <c r="BJ170" s="43"/>
      <c r="BK170" s="259">
        <f>BK168-BK169</f>
        <v>-1.281802978731772E-2</v>
      </c>
      <c r="BL170" s="260">
        <f>BL168-BL169</f>
        <v>-1.3852979377493722E-2</v>
      </c>
      <c r="BM170" s="260">
        <f>BM168-BM169</f>
        <v>4.2241155344998962E-3</v>
      </c>
      <c r="BN170" s="260">
        <f>BN168-BN169</f>
        <v>1.1064449731348134E-2</v>
      </c>
      <c r="BO170" s="449">
        <f>+SUMPRODUCT(BK170:BN170,BE$167:BH$167)/BI$167</f>
        <v>-2.5882715063111207E-3</v>
      </c>
      <c r="BP170" s="43"/>
      <c r="BQ170" s="259">
        <f>BQ168-BQ169</f>
        <v>-2.3939980182134946E-3</v>
      </c>
      <c r="BR170" s="260">
        <f>BR168-BR169</f>
        <v>-2.5210304699954111E-3</v>
      </c>
      <c r="BS170" s="260">
        <f>BS168-BS169</f>
        <v>-5.2648332293692146E-3</v>
      </c>
      <c r="BT170" s="260">
        <f>BT168-BT169</f>
        <v>-5.3475403827525358E-3</v>
      </c>
      <c r="BU170" s="449">
        <f>+SUMPRODUCT(BQ170:BT170,BK$167:BN$167)/BO$167</f>
        <v>-3.9123512614670994E-3</v>
      </c>
      <c r="BV170" s="43"/>
      <c r="BW170" s="259">
        <f>BW168-BW169</f>
        <v>0</v>
      </c>
      <c r="BX170" s="260">
        <f>BX168-BX169</f>
        <v>0</v>
      </c>
      <c r="BY170" s="260">
        <f>BY168-BY169</f>
        <v>0</v>
      </c>
      <c r="BZ170" s="260">
        <f>BZ168-BZ169</f>
        <v>0</v>
      </c>
      <c r="CA170" s="449">
        <f>+SUMPRODUCT(BW170:BZ170,BQ$167:BT$167)/BU$167</f>
        <v>0</v>
      </c>
      <c r="CB170" s="43"/>
      <c r="CC170" s="259">
        <f>CC168-CC169</f>
        <v>0</v>
      </c>
      <c r="CD170" s="260">
        <f>CD168-CD169</f>
        <v>0</v>
      </c>
      <c r="CE170" s="260">
        <f>CE168-CE169</f>
        <v>0</v>
      </c>
      <c r="CF170" s="260">
        <f>CF168-CF169</f>
        <v>0</v>
      </c>
      <c r="CG170" s="449">
        <f>+SUMPRODUCT(CC170:CF170,BW$167:BZ$167)/CA$167</f>
        <v>0</v>
      </c>
    </row>
    <row r="171" spans="1:85" ht="11.25" customHeight="1" x14ac:dyDescent="0.2">
      <c r="B171" s="99" t="s">
        <v>254</v>
      </c>
      <c r="C171" s="261">
        <v>7.0000000000000007E-2</v>
      </c>
      <c r="D171" s="258">
        <v>0.109</v>
      </c>
      <c r="E171" s="258">
        <v>0.13500000000000001</v>
      </c>
      <c r="F171" s="258">
        <v>0.28499999999999998</v>
      </c>
      <c r="G171" s="453">
        <v>0.156</v>
      </c>
      <c r="H171" s="43"/>
      <c r="I171" s="261">
        <v>0.25700000000000001</v>
      </c>
      <c r="J171" s="258">
        <v>0.26800000000000002</v>
      </c>
      <c r="K171" s="258">
        <v>0.17499999999999999</v>
      </c>
      <c r="L171" s="258">
        <v>0</v>
      </c>
      <c r="M171" s="449">
        <f>+SUMPRODUCT(I171:L171,C$167:F$167)/G$167</f>
        <v>0.16238412955956721</v>
      </c>
      <c r="N171" s="43"/>
      <c r="O171" s="261">
        <v>0</v>
      </c>
      <c r="P171" s="258">
        <v>0</v>
      </c>
      <c r="Q171" s="258">
        <v>2.7E-2</v>
      </c>
      <c r="R171" s="258">
        <v>3.4000000000000002E-2</v>
      </c>
      <c r="S171" s="449">
        <f>+SUMPRODUCT(O171:R171,I$167:L$167)/M$167</f>
        <v>1.5602312464403603E-2</v>
      </c>
      <c r="T171" s="43"/>
      <c r="U171" s="261">
        <v>4.8000000000000001E-2</v>
      </c>
      <c r="V171" s="258">
        <v>5.1999999999999998E-2</v>
      </c>
      <c r="W171" s="258">
        <v>3.4000000000000002E-2</v>
      </c>
      <c r="X171" s="258">
        <v>4.3999999999999997E-2</v>
      </c>
      <c r="Y171" s="449">
        <f>+SUMPRODUCT(U171:X171,O$167:R$167)/S$167</f>
        <v>4.4401817468015331E-2</v>
      </c>
      <c r="Z171" s="43"/>
      <c r="AA171" s="261">
        <v>9.0999999999999998E-2</v>
      </c>
      <c r="AB171" s="258">
        <v>0.13700000000000001</v>
      </c>
      <c r="AC171" s="258">
        <v>0.13900000000000001</v>
      </c>
      <c r="AD171" s="258">
        <f>6.5%+14.2%</f>
        <v>0.20699999999999999</v>
      </c>
      <c r="AE171" s="449">
        <f>+SUMPRODUCT(AA171:AD171,U$167:X$167)/Y$167</f>
        <v>0.1472586720812995</v>
      </c>
      <c r="AF171" s="43"/>
      <c r="AG171" s="261">
        <v>4.2000000000000003E-2</v>
      </c>
      <c r="AH171" s="258">
        <v>0.02</v>
      </c>
      <c r="AI171" s="258">
        <v>3.5000000000000003E-2</v>
      </c>
      <c r="AJ171" s="258">
        <f>-5.2%+6.5%</f>
        <v>1.2999999999999998E-2</v>
      </c>
      <c r="AK171" s="449">
        <f>+SUMPRODUCT(AG171:AJ171,AA$167:AD$167)/AE$167</f>
        <v>2.6631621578485355E-2</v>
      </c>
      <c r="AL171" s="43"/>
      <c r="AM171" s="261">
        <v>7.1999999999999995E-2</v>
      </c>
      <c r="AN171" s="258">
        <v>5.2999999999999999E-2</v>
      </c>
      <c r="AO171" s="258">
        <v>3.3000000000000002E-2</v>
      </c>
      <c r="AP171" s="258">
        <v>3.0000000000000001E-3</v>
      </c>
      <c r="AQ171" s="449">
        <f>+SUMPRODUCT(AM171:AP171,AG$167:AJ$167)/AK$167</f>
        <v>3.7858256325574338E-2</v>
      </c>
      <c r="AR171" s="43"/>
      <c r="AS171" s="261">
        <v>2.4E-2</v>
      </c>
      <c r="AT171" s="258">
        <v>3.9E-2</v>
      </c>
      <c r="AU171" s="258">
        <v>0.03</v>
      </c>
      <c r="AV171" s="258">
        <v>2.9000000000000001E-2</v>
      </c>
      <c r="AW171" s="449">
        <f>+SUMPRODUCT(AS171:AV171,AM$167:AP$167)/AQ$167</f>
        <v>3.051797392258012E-2</v>
      </c>
      <c r="AX171" s="43"/>
      <c r="AY171" s="261">
        <v>1E-3</v>
      </c>
      <c r="AZ171" s="258">
        <v>4.0000000000000001E-3</v>
      </c>
      <c r="BA171" s="258">
        <v>6.0000000000000001E-3</v>
      </c>
      <c r="BB171" s="258">
        <v>5.0000000000000001E-3</v>
      </c>
      <c r="BC171" s="449">
        <f>+SUMPRODUCT(AY171:BB171,AS$167:AV$167)/AW$167</f>
        <v>4.0618153050636608E-3</v>
      </c>
      <c r="BD171" s="43"/>
      <c r="BE171" s="261">
        <v>0.124</v>
      </c>
      <c r="BF171" s="258">
        <v>0.123</v>
      </c>
      <c r="BG171" s="258">
        <v>0.107</v>
      </c>
      <c r="BH171" s="260">
        <f>((+BB49*(1+BH53)+BB108*(1+BH112))/BB167-1)</f>
        <v>0.13020602436606654</v>
      </c>
      <c r="BI171" s="449">
        <f>+SUMPRODUCT(BE171:BH171,AY$167:BB$167)/BC$167</f>
        <v>0.12112129117854463</v>
      </c>
      <c r="BJ171" s="43"/>
      <c r="BK171" s="259">
        <f>((+BE49*(1+BK53)+BE108*(1+BK112))/BE167-1)</f>
        <v>0</v>
      </c>
      <c r="BL171" s="257">
        <v>6.0000000000000001E-3</v>
      </c>
      <c r="BM171" s="258">
        <v>7.0000000000000001E-3</v>
      </c>
      <c r="BN171" s="260">
        <f>((+BH49*(1+BN53)+BH108*(1+BN112))/BH167-1)</f>
        <v>-2.2436989316296341E-2</v>
      </c>
      <c r="BO171" s="449">
        <f>+SUMPRODUCT(BK171:BN171,BE$167:BH$167)/BI$167</f>
        <v>-2.6857630240885479E-3</v>
      </c>
      <c r="BP171" s="43"/>
      <c r="BQ171" s="259">
        <f>((+BK49*(1+BQ53)+BK108*(1+BQ112))/BK167-1)</f>
        <v>1.8180342565941476E-2</v>
      </c>
      <c r="BR171" s="260">
        <f>((+BL49*(1+BR53)+BL108*(1+BR112))/BL167-1)</f>
        <v>0.2234343471570861</v>
      </c>
      <c r="BS171" s="260">
        <f>((+BM49*(1+BS53)+BM108*(1+BS112))/BM167-1)</f>
        <v>0.22245257402854723</v>
      </c>
      <c r="BT171" s="260">
        <f>((+BN49*(1+BT53)+BN108*(1+BT112))/BN167-1)</f>
        <v>0.21162220418706523</v>
      </c>
      <c r="BU171" s="449">
        <f>+SUMPRODUCT(BQ171:BT171,BK$167:BN$167)/BO$167</f>
        <v>0.1704549407556705</v>
      </c>
      <c r="BV171" s="43"/>
      <c r="BW171" s="259">
        <f>((+BQ49*(1+BW53)+BQ108*(1+BW112))/BQ167-1)</f>
        <v>0.21815831749229941</v>
      </c>
      <c r="BX171" s="260">
        <f>((+BR49*(1+BX53)+BR108*(1+BX112))/BR167-1)</f>
        <v>0</v>
      </c>
      <c r="BY171" s="260">
        <f>((+BS49*(1+BY53)+BS108*(1+BY112))/BS167-1)</f>
        <v>0</v>
      </c>
      <c r="BZ171" s="260">
        <f>((+BT49*(1+BZ53)+BT108*(1+BZ112))/BT167-1)</f>
        <v>0</v>
      </c>
      <c r="CA171" s="449">
        <f>+SUMPRODUCT(BW171:BZ171,BQ$167:BT$167)/BU$167</f>
        <v>4.5625542498751455E-2</v>
      </c>
      <c r="CB171" s="43"/>
      <c r="CC171" s="259">
        <f>((+BW49*(1+CC53)+BW108*(1+CC112))/BW167-1)</f>
        <v>0</v>
      </c>
      <c r="CD171" s="260">
        <f>((+BX49*(1+CD53)+BX108*(1+CD112))/BX167-1)</f>
        <v>0</v>
      </c>
      <c r="CE171" s="260">
        <f>((+BY49*(1+CE53)+BY108*(1+CE112))/BY167-1)</f>
        <v>0</v>
      </c>
      <c r="CF171" s="260">
        <f>((+BZ49*(1+CF53)+BZ108*(1+CF112))/BZ167-1)</f>
        <v>0</v>
      </c>
      <c r="CG171" s="449">
        <f>+SUMPRODUCT(CC171:CF171,BW$167:BZ$167)/CA$167</f>
        <v>0</v>
      </c>
    </row>
    <row r="172" spans="1:85" ht="11.25" customHeight="1" x14ac:dyDescent="0.2">
      <c r="B172" s="98" t="s">
        <v>257</v>
      </c>
      <c r="C172" s="259">
        <f>+C169-C171</f>
        <v>0.17699999999999999</v>
      </c>
      <c r="D172" s="260">
        <f>+D169-D171</f>
        <v>0.255</v>
      </c>
      <c r="E172" s="260">
        <f>+E169-E171</f>
        <v>0.15499999999999997</v>
      </c>
      <c r="F172" s="260">
        <f>+F169-F171</f>
        <v>0.15500000000000003</v>
      </c>
      <c r="G172" s="449">
        <f>+G169-G171</f>
        <v>0.18400000000000002</v>
      </c>
      <c r="H172" s="264"/>
      <c r="I172" s="259">
        <f>+I169-I171</f>
        <v>0.10199999999999998</v>
      </c>
      <c r="J172" s="260">
        <f>+J169-J171</f>
        <v>1.799999999999996E-2</v>
      </c>
      <c r="K172" s="260">
        <f>+K169-K171</f>
        <v>0.11299999999999999</v>
      </c>
      <c r="L172" s="260">
        <f>+L169-L171</f>
        <v>0.109</v>
      </c>
      <c r="M172" s="449">
        <f>+SUMPRODUCT(I172:L172,C$167:F$167)/G$167</f>
        <v>8.6465324164284652E-2</v>
      </c>
      <c r="N172" s="264"/>
      <c r="O172" s="259">
        <f>+O169-O171</f>
        <v>8.7999999999999995E-2</v>
      </c>
      <c r="P172" s="260">
        <f>+P169-P171</f>
        <v>7.2999999999999995E-2</v>
      </c>
      <c r="Q172" s="260">
        <f>+Q169-Q171</f>
        <v>4.5999999999999999E-2</v>
      </c>
      <c r="R172" s="260">
        <f>+R169-R171</f>
        <v>6.4000000000000001E-2</v>
      </c>
      <c r="S172" s="449">
        <f>+SUMPRODUCT(O172:R172,I$167:L$167)/M$167</f>
        <v>6.7447200974958502E-2</v>
      </c>
      <c r="T172" s="264"/>
      <c r="U172" s="259">
        <f>+U169-U171</f>
        <v>4.5999999999999999E-2</v>
      </c>
      <c r="V172" s="260">
        <f>+V169-V171</f>
        <v>8.0000000000000016E-2</v>
      </c>
      <c r="W172" s="260">
        <f>+W169-W171</f>
        <v>0.10699999999999998</v>
      </c>
      <c r="X172" s="260">
        <f>+X169-X171</f>
        <v>0.17499999999999999</v>
      </c>
      <c r="Y172" s="449">
        <f>+SUMPRODUCT(U172:X172,O$167:R$167)/S$167</f>
        <v>0.10466480763013254</v>
      </c>
      <c r="Z172" s="264"/>
      <c r="AA172" s="259">
        <f>+AA169-AA171</f>
        <v>0.13800000000000001</v>
      </c>
      <c r="AB172" s="260">
        <f>+AB169-AB171</f>
        <v>0.126</v>
      </c>
      <c r="AC172" s="260">
        <f>+AC169-AC171</f>
        <v>0.11299999999999999</v>
      </c>
      <c r="AD172" s="260">
        <f>+AD169-AD171</f>
        <v>2.4000000000000021E-2</v>
      </c>
      <c r="AE172" s="449">
        <f>+SUMPRODUCT(AA172:AD172,U$167:X$167)/Y$167</f>
        <v>9.6195771985276471E-2</v>
      </c>
      <c r="AF172" s="264"/>
      <c r="AG172" s="259">
        <f>+AG169-AG171</f>
        <v>0.09</v>
      </c>
      <c r="AH172" s="260">
        <f>+AH169-AH171</f>
        <v>8.5999999999999993E-2</v>
      </c>
      <c r="AI172" s="260">
        <f>+AI169-AI171</f>
        <v>0.11199999999999999</v>
      </c>
      <c r="AJ172" s="260">
        <f>+AJ169-AJ171</f>
        <v>0.13500000000000001</v>
      </c>
      <c r="AK172" s="449">
        <f>+SUMPRODUCT(AG172:AJ172,AA$167:AD$167)/AE$167</f>
        <v>0.10716790758917884</v>
      </c>
      <c r="AL172" s="264"/>
      <c r="AM172" s="259">
        <f>+AM169-AM171</f>
        <v>0.11700000000000001</v>
      </c>
      <c r="AN172" s="260">
        <f>+AN169-AN171</f>
        <v>9.6000000000000002E-2</v>
      </c>
      <c r="AO172" s="260">
        <f>+AO169-AO171</f>
        <v>8.4999999999999992E-2</v>
      </c>
      <c r="AP172" s="260">
        <f>+AP169-AP171</f>
        <v>8.5999999999999993E-2</v>
      </c>
      <c r="AQ172" s="449">
        <f>+SUMPRODUCT(AM172:AP172,AG$167:AJ$167)/AK$167</f>
        <v>9.5038438603733774E-2</v>
      </c>
      <c r="AR172" s="264"/>
      <c r="AS172" s="259">
        <f>+AS169-AS171</f>
        <v>6.1999999999999993E-2</v>
      </c>
      <c r="AT172" s="260">
        <f>+AT169-AT171</f>
        <v>9.2999999999999999E-2</v>
      </c>
      <c r="AU172" s="260">
        <f>+AU169-AU171</f>
        <v>6.5000000000000002E-2</v>
      </c>
      <c r="AV172" s="260">
        <f>+AV169-AV171</f>
        <v>1.4999999999999996E-2</v>
      </c>
      <c r="AW172" s="449">
        <f>+SUMPRODUCT(AS172:AV172,AM$167:AP$167)/AQ$167</f>
        <v>5.7323858683255881E-2</v>
      </c>
      <c r="AX172" s="264"/>
      <c r="AY172" s="259">
        <f>+AY169-AY171</f>
        <v>7.9000000000000001E-2</v>
      </c>
      <c r="AZ172" s="260">
        <f>+AZ169-AZ171</f>
        <v>2.9000000000000001E-2</v>
      </c>
      <c r="BA172" s="260">
        <f>+BA169-BA171</f>
        <v>5.2000000000000005E-2</v>
      </c>
      <c r="BB172" s="260">
        <f>+BB169-BB171</f>
        <v>0.04</v>
      </c>
      <c r="BC172" s="449">
        <f>+SUMPRODUCT(AY172:BB172,AS$167:AV$167)/AW$167</f>
        <v>4.9278309323029824E-2</v>
      </c>
      <c r="BD172" s="264"/>
      <c r="BE172" s="259">
        <f>+BE169-BE171</f>
        <v>7.5000000000000011E-2</v>
      </c>
      <c r="BF172" s="260">
        <f>+BF169-BF171</f>
        <v>8.0999999999999989E-2</v>
      </c>
      <c r="BG172" s="260">
        <f>+BG169-BG171</f>
        <v>7.5999999999999998E-2</v>
      </c>
      <c r="BH172" s="260">
        <f>+BH169-BH171</f>
        <v>8.5001566846800797E-2</v>
      </c>
      <c r="BI172" s="449">
        <f>+SUMPRODUCT(BE172:BH172,AY$167:BB$167)/BC$167</f>
        <v>7.9362298723705538E-2</v>
      </c>
      <c r="BJ172" s="264"/>
      <c r="BK172" s="259">
        <f>+BK169-BK171</f>
        <v>5.5226592165581234E-2</v>
      </c>
      <c r="BL172" s="260">
        <f>+BL169-BL171</f>
        <v>2.1999999999999999E-2</v>
      </c>
      <c r="BM172" s="260">
        <f>+BM169-BM171</f>
        <v>0.03</v>
      </c>
      <c r="BN172" s="260">
        <f>+BN169-BN171</f>
        <v>3.2436989316296343E-2</v>
      </c>
      <c r="BO172" s="449">
        <f>+SUMPRODUCT(BK172:BN172,BE$167:BH$167)/BI$167</f>
        <v>3.4656359552251395E-2</v>
      </c>
      <c r="BP172" s="264"/>
      <c r="BQ172" s="259">
        <f>+BQ169-BQ171</f>
        <v>6.1076449771150898E-2</v>
      </c>
      <c r="BR172" s="260">
        <f>+BR169-BR171</f>
        <v>9.3288400762901347E-2</v>
      </c>
      <c r="BS172" s="260">
        <f>+BS169-BS171</f>
        <v>8.1586981249770707E-2</v>
      </c>
      <c r="BT172" s="260">
        <f>+BT169-BT171</f>
        <v>7.9072876578439866E-2</v>
      </c>
      <c r="BU172" s="449">
        <f>+SUMPRODUCT(BQ172:BT172,BK$167:BN$167)/BO$167</f>
        <v>7.8867284028112217E-2</v>
      </c>
      <c r="BV172" s="264"/>
      <c r="BW172" s="259">
        <f>+BW169-BW171</f>
        <v>6.3388581306879743E-2</v>
      </c>
      <c r="BX172" s="260">
        <f>+BX169-BX171</f>
        <v>5.5121855545850584E-2</v>
      </c>
      <c r="BY172" s="260">
        <f>+BY169-BY171</f>
        <v>5.5431947825582029E-2</v>
      </c>
      <c r="BZ172" s="260">
        <f>+BZ169-BZ171</f>
        <v>5.5450104101276709E-2</v>
      </c>
      <c r="CA172" s="449">
        <f>+SUMPRODUCT(BW172:BZ172,BQ$167:BT$167)/BU$167</f>
        <v>5.7019832201886347E-2</v>
      </c>
      <c r="CB172" s="264"/>
      <c r="CC172" s="259">
        <f>+CC169-CC171</f>
        <v>5.5174386540894238E-2</v>
      </c>
      <c r="CD172" s="260">
        <f>+CD169-CD171</f>
        <v>5.5242620992489E-2</v>
      </c>
      <c r="CE172" s="260">
        <f>+CE169-CE171</f>
        <v>5.5558391200602575E-2</v>
      </c>
      <c r="CF172" s="260">
        <f>+CF169-CF171</f>
        <v>5.5576874175772506E-2</v>
      </c>
      <c r="CG172" s="449">
        <f>+SUMPRODUCT(CC172:CF172,BW$167:BZ$167)/CA$167</f>
        <v>5.5390835797028082E-2</v>
      </c>
    </row>
    <row r="173" spans="1:85" ht="11.25" customHeight="1" x14ac:dyDescent="0.2">
      <c r="B173" s="98"/>
      <c r="C173" s="93"/>
      <c r="D173" s="61"/>
      <c r="E173" s="61"/>
      <c r="F173" s="61"/>
      <c r="G173" s="447"/>
      <c r="H173" s="109"/>
      <c r="I173" s="93"/>
      <c r="J173" s="61"/>
      <c r="K173" s="61"/>
      <c r="L173" s="61"/>
      <c r="M173" s="447"/>
      <c r="N173" s="109"/>
      <c r="O173" s="93"/>
      <c r="P173" s="61"/>
      <c r="Q173" s="61"/>
      <c r="R173" s="61"/>
      <c r="S173" s="447"/>
      <c r="T173" s="109"/>
      <c r="U173" s="93"/>
      <c r="V173" s="61"/>
      <c r="W173" s="61"/>
      <c r="X173" s="61"/>
      <c r="Y173" s="447"/>
      <c r="Z173" s="109"/>
      <c r="AA173" s="93"/>
      <c r="AB173" s="61"/>
      <c r="AC173" s="61"/>
      <c r="AD173" s="61"/>
      <c r="AE173" s="447"/>
      <c r="AF173" s="109"/>
      <c r="AG173" s="93"/>
      <c r="AH173" s="61"/>
      <c r="AI173" s="61"/>
      <c r="AJ173" s="61"/>
      <c r="AK173" s="447"/>
      <c r="AL173" s="109"/>
      <c r="AM173" s="93"/>
      <c r="AN173" s="61"/>
      <c r="AO173" s="61"/>
      <c r="AP173" s="61"/>
      <c r="AQ173" s="447"/>
      <c r="AR173" s="109"/>
      <c r="AS173" s="93"/>
      <c r="AT173" s="61"/>
      <c r="AU173" s="61"/>
      <c r="AV173" s="61"/>
      <c r="AW173" s="447"/>
      <c r="AX173" s="109"/>
      <c r="AY173" s="93"/>
      <c r="AZ173" s="61"/>
      <c r="BA173" s="61"/>
      <c r="BB173" s="61"/>
      <c r="BC173" s="447"/>
      <c r="BD173" s="109"/>
      <c r="BE173" s="93"/>
      <c r="BF173" s="61"/>
      <c r="BG173" s="61"/>
      <c r="BH173" s="61"/>
      <c r="BI173" s="447"/>
      <c r="BJ173" s="109"/>
      <c r="BK173" s="93"/>
      <c r="BL173" s="61"/>
      <c r="BM173" s="61"/>
      <c r="BN173" s="61"/>
      <c r="BO173" s="447"/>
      <c r="BP173" s="109"/>
      <c r="BQ173" s="93"/>
      <c r="BR173" s="61"/>
      <c r="BS173" s="61"/>
      <c r="BT173" s="61"/>
      <c r="BU173" s="447"/>
      <c r="BV173" s="109"/>
      <c r="BW173" s="93"/>
      <c r="BX173" s="61"/>
      <c r="BY173" s="61"/>
      <c r="BZ173" s="61"/>
      <c r="CA173" s="447"/>
      <c r="CB173" s="109"/>
      <c r="CC173" s="93"/>
      <c r="CD173" s="61"/>
      <c r="CE173" s="61"/>
      <c r="CF173" s="61"/>
      <c r="CG173" s="447"/>
    </row>
    <row r="174" spans="1:85" ht="11.25" customHeight="1" x14ac:dyDescent="0.2">
      <c r="B174" s="110" t="s">
        <v>309</v>
      </c>
      <c r="C174" s="151">
        <f>+C160+C167</f>
        <v>1310.1279999999999</v>
      </c>
      <c r="D174" s="152">
        <f>+D160+D167</f>
        <v>1387.0169999999998</v>
      </c>
      <c r="E174" s="152">
        <f>+E160+E167</f>
        <v>1505.5749999999998</v>
      </c>
      <c r="F174" s="152">
        <f>+F160+F167</f>
        <v>1701.6960000000004</v>
      </c>
      <c r="G174" s="450">
        <f>+SUM(C174:F174)</f>
        <v>5904.4159999999993</v>
      </c>
      <c r="H174" s="239"/>
      <c r="I174" s="151">
        <f>+I160+I167</f>
        <v>1521.777</v>
      </c>
      <c r="J174" s="152">
        <f>+J160+J167</f>
        <v>1640.8509999999999</v>
      </c>
      <c r="K174" s="152">
        <f>+K160+K167</f>
        <v>1644.2090000000001</v>
      </c>
      <c r="L174" s="152">
        <f>+L160+L167</f>
        <v>1573.5760000000005</v>
      </c>
      <c r="M174" s="450">
        <f>+SUM(I174:L174)</f>
        <v>6380.4130000000005</v>
      </c>
      <c r="N174" s="239"/>
      <c r="O174" s="151">
        <f>+O160+O167</f>
        <v>1485.3880000000001</v>
      </c>
      <c r="P174" s="152">
        <f>+P160+P167</f>
        <v>1607.4340000000002</v>
      </c>
      <c r="Q174" s="152">
        <f>+Q160+Q167</f>
        <v>1659.433</v>
      </c>
      <c r="R174" s="152">
        <f>+R160+R167</f>
        <v>1786.0809999999999</v>
      </c>
      <c r="S174" s="450">
        <f>+SUM(O174:R174)</f>
        <v>6538.3360000000002</v>
      </c>
      <c r="T174" s="239"/>
      <c r="U174" s="151">
        <f>+U160+U167</f>
        <v>1760.31</v>
      </c>
      <c r="V174" s="152">
        <f>+V160+V167</f>
        <v>1849.4010000000001</v>
      </c>
      <c r="W174" s="152">
        <f>+W160+W167</f>
        <v>1893.511</v>
      </c>
      <c r="X174" s="152">
        <f>+X160+X167</f>
        <v>2023.568</v>
      </c>
      <c r="Y174" s="450">
        <f>+SUM(U174:X174)</f>
        <v>7526.79</v>
      </c>
      <c r="Z174" s="239"/>
      <c r="AA174" s="151">
        <f>+AA160+AA167</f>
        <v>1947.761</v>
      </c>
      <c r="AB174" s="152">
        <f>+AB160+AB167</f>
        <v>2130.6399999999994</v>
      </c>
      <c r="AC174" s="152">
        <f>+AC160+AC167</f>
        <v>2111.6930000000002</v>
      </c>
      <c r="AD174" s="152">
        <f>+AD160+AD167</f>
        <v>2340.1479999999997</v>
      </c>
      <c r="AE174" s="450">
        <f>+SUM(AA174:AD174)</f>
        <v>8530.2419999999984</v>
      </c>
      <c r="AF174" s="239"/>
      <c r="AG174" s="151">
        <f>+AG160+AG167</f>
        <v>2099.0189999999998</v>
      </c>
      <c r="AH174" s="152">
        <f>+AH160+AH167</f>
        <v>2201.4519999999998</v>
      </c>
      <c r="AI174" s="152">
        <f>+AI160+AI167</f>
        <v>2231.058</v>
      </c>
      <c r="AJ174" s="152">
        <f>+AJ160+AJ167</f>
        <v>2408.4380000000001</v>
      </c>
      <c r="AK174" s="450">
        <f>+SUM(AG174:AJ174)</f>
        <v>8939.9670000000006</v>
      </c>
      <c r="AL174" s="239"/>
      <c r="AM174" s="151">
        <f>+AM160+AM167</f>
        <v>2293.511</v>
      </c>
      <c r="AN174" s="152">
        <f>+AN160+AN167</f>
        <v>2391.81</v>
      </c>
      <c r="AO174" s="152">
        <f>+AO160+AO167</f>
        <v>2348.9560000000001</v>
      </c>
      <c r="AP174" s="152">
        <f>+AP160+AP167</f>
        <v>2526.37</v>
      </c>
      <c r="AQ174" s="450">
        <f>+SUM(AM174:AP174)</f>
        <v>9560.6470000000008</v>
      </c>
      <c r="AR174" s="239"/>
      <c r="AS174" s="151">
        <f>+AS160+AS167</f>
        <v>2430.1590000000001</v>
      </c>
      <c r="AT174" s="152">
        <f>+AT160+AT167</f>
        <v>2615.4059999999999</v>
      </c>
      <c r="AU174" s="152">
        <f>+AU160+AU167</f>
        <v>2623.7290000000003</v>
      </c>
      <c r="AV174" s="152">
        <f>+AV160+AV167</f>
        <v>2702.096</v>
      </c>
      <c r="AW174" s="450">
        <f>+SUM(AS174:AV174)</f>
        <v>10371.390000000001</v>
      </c>
      <c r="AX174" s="239"/>
      <c r="AY174" s="151">
        <f>+AY160+AY167</f>
        <v>2463.6459999999997</v>
      </c>
      <c r="AZ174" s="152">
        <f>+AZ160+AZ167</f>
        <v>2629.3199999999997</v>
      </c>
      <c r="BA174" s="152">
        <f>+BA160+BA167</f>
        <v>2685.8349999999996</v>
      </c>
      <c r="BB174" s="152">
        <f>+BB160+BB167</f>
        <v>2850.9180000000001</v>
      </c>
      <c r="BC174" s="450">
        <f>+SUM(AY174:BB174)</f>
        <v>10629.718999999999</v>
      </c>
      <c r="BD174" s="239"/>
      <c r="BE174" s="151">
        <f>+BE160+BE167</f>
        <v>2712.9390000000003</v>
      </c>
      <c r="BF174" s="152">
        <f>+BF160+BF167</f>
        <v>2872.63</v>
      </c>
      <c r="BG174" s="152">
        <f>+BG160+BG167</f>
        <v>2865.1480000000001</v>
      </c>
      <c r="BH174" s="152">
        <f>+BH160+BH167</f>
        <v>3120.9339999999997</v>
      </c>
      <c r="BI174" s="450">
        <f>+SUM(BE174:BH174)</f>
        <v>11571.651</v>
      </c>
      <c r="BJ174" s="239"/>
      <c r="BK174" s="151">
        <f>+BK160+BK167</f>
        <v>2922.9479999999999</v>
      </c>
      <c r="BL174" s="152">
        <f>+BL160+BL167</f>
        <v>3059.4580000000001</v>
      </c>
      <c r="BM174" s="152">
        <f>+BM160+BM167</f>
        <v>3161.0830000000001</v>
      </c>
      <c r="BN174" s="152">
        <f>+BN160+BN167</f>
        <v>3318.0939999999996</v>
      </c>
      <c r="BO174" s="450">
        <f>+SUM(BK174:BN174)</f>
        <v>12461.582999999999</v>
      </c>
      <c r="BP174" s="239"/>
      <c r="BQ174" s="151">
        <f>+BQ160+BQ167</f>
        <v>3072.1614140000001</v>
      </c>
      <c r="BR174" s="152">
        <f>+BR160+BR167</f>
        <v>3269.8201400000003</v>
      </c>
      <c r="BS174" s="152">
        <f>+BS160+BS167</f>
        <v>3340.2211599999996</v>
      </c>
      <c r="BT174" s="152">
        <f>+BT160+BT167</f>
        <v>3463.4065399999999</v>
      </c>
      <c r="BU174" s="450">
        <f>+SUM(BQ174:BT174)</f>
        <v>13145.609253999999</v>
      </c>
      <c r="BV174" s="239"/>
      <c r="BW174" s="151">
        <f>+BW160+BW167</f>
        <v>3229.45109069</v>
      </c>
      <c r="BX174" s="152">
        <f>+BX160+BX167</f>
        <v>3411.0425015499995</v>
      </c>
      <c r="BY174" s="152">
        <f>+BY160+BY167</f>
        <v>3484.8114650500002</v>
      </c>
      <c r="BZ174" s="152">
        <f>+BZ160+BZ167</f>
        <v>3610.6675447000002</v>
      </c>
      <c r="CA174" s="450">
        <f>+SUM(BW174:BZ174)</f>
        <v>13735.972601989999</v>
      </c>
      <c r="CB174" s="239"/>
      <c r="CC174" s="151">
        <f>+CC160+CC167</f>
        <v>3357.1791090189504</v>
      </c>
      <c r="CD174" s="152">
        <f>+CD160+CD167</f>
        <v>3546.9621311562501</v>
      </c>
      <c r="CE174" s="152">
        <f>+CE160+CE167</f>
        <v>3623.5099933157489</v>
      </c>
      <c r="CF174" s="152">
        <f>+CF160+CF167</f>
        <v>3752.8663800914992</v>
      </c>
      <c r="CG174" s="450">
        <f>+SUM(CC174:CF174)</f>
        <v>14280.517613582448</v>
      </c>
    </row>
    <row r="175" spans="1:85" ht="11.25" customHeight="1" x14ac:dyDescent="0.2">
      <c r="A175" s="78"/>
      <c r="B175" s="99" t="s">
        <v>253</v>
      </c>
      <c r="C175" s="261">
        <v>0.14799999999999999</v>
      </c>
      <c r="D175" s="258">
        <v>0.16300000000000001</v>
      </c>
      <c r="E175" s="258">
        <v>0.20799999999999999</v>
      </c>
      <c r="F175" s="258">
        <v>0.16400000000000001</v>
      </c>
      <c r="G175" s="453">
        <v>0.17299999999999999</v>
      </c>
      <c r="H175" s="43"/>
      <c r="I175" s="259">
        <f>+I174/C174-1</f>
        <v>0.16154833726170281</v>
      </c>
      <c r="J175" s="260">
        <f>+J174/D174-1</f>
        <v>0.18300712968910982</v>
      </c>
      <c r="K175" s="260">
        <f>+K174/E174-1</f>
        <v>9.2080434385533927E-2</v>
      </c>
      <c r="L175" s="260">
        <f>+L174/F174-1</f>
        <v>-7.5289593440896585E-2</v>
      </c>
      <c r="M175" s="449">
        <f>IF(ISERROR(M174/G174-1),"NM",M174/G174-1)</f>
        <v>8.061711776406022E-2</v>
      </c>
      <c r="N175" s="43"/>
      <c r="O175" s="259">
        <f>+O174/I174-1</f>
        <v>-2.3912176356982617E-2</v>
      </c>
      <c r="P175" s="260">
        <f>+P174/J174-1</f>
        <v>-2.0365651725842038E-2</v>
      </c>
      <c r="Q175" s="260">
        <f>+Q174/K174-1</f>
        <v>9.2591635248315818E-3</v>
      </c>
      <c r="R175" s="260">
        <f>+R174/L174-1</f>
        <v>0.13504590817348472</v>
      </c>
      <c r="S175" s="449">
        <f>IF(ISERROR(S174/M174-1),"NM",S174/M174-1)</f>
        <v>2.4751219082526532E-2</v>
      </c>
      <c r="T175" s="43"/>
      <c r="U175" s="259">
        <f>+U174/O174-1</f>
        <v>0.18508430120614938</v>
      </c>
      <c r="V175" s="260">
        <f>+V174/P174-1</f>
        <v>0.15052997510317678</v>
      </c>
      <c r="W175" s="260">
        <f>+W174/Q174-1</f>
        <v>0.14105902437760376</v>
      </c>
      <c r="X175" s="260">
        <f>+X174/R174-1</f>
        <v>0.13296541422253538</v>
      </c>
      <c r="Y175" s="449">
        <f>IF(ISERROR(Y174/S174-1),"NM",Y174/S174-1)</f>
        <v>0.15117822026888783</v>
      </c>
      <c r="Z175" s="43"/>
      <c r="AA175" s="259">
        <f>+AA174/U174-1</f>
        <v>0.10648749368009036</v>
      </c>
      <c r="AB175" s="260">
        <f>+AB174/V174-1</f>
        <v>0.15207031898436263</v>
      </c>
      <c r="AC175" s="260">
        <f>+AC174/W174-1</f>
        <v>0.1152261592354098</v>
      </c>
      <c r="AD175" s="260">
        <f>+AD174/X174-1</f>
        <v>0.15644643520751456</v>
      </c>
      <c r="AE175" s="449">
        <f>IF(ISERROR(AE174/Y174-1),"NM",AE174/Y174-1)</f>
        <v>0.1333173902819127</v>
      </c>
      <c r="AF175" s="43"/>
      <c r="AG175" s="259">
        <f>+AG174/AA174-1</f>
        <v>7.7657371720657675E-2</v>
      </c>
      <c r="AH175" s="260">
        <f>+AH174/AB174-1</f>
        <v>3.3235084293921302E-2</v>
      </c>
      <c r="AI175" s="260">
        <f>+AI174/AC174-1</f>
        <v>5.6525735511743225E-2</v>
      </c>
      <c r="AJ175" s="260">
        <f>+AJ174/AD174-1</f>
        <v>2.9181914989992341E-2</v>
      </c>
      <c r="AK175" s="449">
        <f>IF(ISERROR(AK174/AE174-1),"NM",AK174/AE174-1)</f>
        <v>4.8032048797677973E-2</v>
      </c>
      <c r="AL175" s="43"/>
      <c r="AM175" s="259">
        <f>+AM174/AG174-1</f>
        <v>9.2658522862346659E-2</v>
      </c>
      <c r="AN175" s="260">
        <f>+AN174/AH174-1</f>
        <v>8.6469293902388111E-2</v>
      </c>
      <c r="AO175" s="260">
        <f>+AO174/AI174-1</f>
        <v>5.2843987023197148E-2</v>
      </c>
      <c r="AP175" s="260">
        <f>+AP174/AJ174-1</f>
        <v>4.8966176418076657E-2</v>
      </c>
      <c r="AQ175" s="449">
        <f>IF(ISERROR(AQ174/AK174-1),"NM",AQ174/AK174-1)</f>
        <v>6.9427549341065875E-2</v>
      </c>
      <c r="AR175" s="43"/>
      <c r="AS175" s="259">
        <f>+AS174/AM174-1</f>
        <v>5.9580267982146218E-2</v>
      </c>
      <c r="AT175" s="260">
        <f>+AT174/AN174-1</f>
        <v>9.3484014198452314E-2</v>
      </c>
      <c r="AU175" s="260">
        <f>+AU174/AO174-1</f>
        <v>0.11697664834930932</v>
      </c>
      <c r="AV175" s="260">
        <f>+AV174/AP174-1</f>
        <v>6.9556715762141064E-2</v>
      </c>
      <c r="AW175" s="449">
        <f>IF(ISERROR(AW174/AQ174-1),"NM",AW174/AQ174-1)</f>
        <v>8.4800014057626161E-2</v>
      </c>
      <c r="AX175" s="43"/>
      <c r="AY175" s="259">
        <f>+AY174/AS174-1</f>
        <v>1.3779756797806186E-2</v>
      </c>
      <c r="AZ175" s="260">
        <f>+AZ174/AT174-1</f>
        <v>5.3200153245804849E-3</v>
      </c>
      <c r="BA175" s="260">
        <f>+BA174/AU174-1</f>
        <v>2.3670889790827987E-2</v>
      </c>
      <c r="BB175" s="260">
        <f>+BB174/AV174-1</f>
        <v>5.5076503573522118E-2</v>
      </c>
      <c r="BC175" s="449">
        <f>IF(ISERROR(BC174/AW174-1),"NM",BC174/AW174-1)</f>
        <v>2.4907847453427001E-2</v>
      </c>
      <c r="BD175" s="43"/>
      <c r="BE175" s="259">
        <f>+BE174/AY174-1</f>
        <v>0.10118864479718304</v>
      </c>
      <c r="BF175" s="260">
        <f>+BF174/AZ174-1</f>
        <v>9.2537233961632825E-2</v>
      </c>
      <c r="BG175" s="260">
        <f>+BG174/BA174-1</f>
        <v>6.676247796309176E-2</v>
      </c>
      <c r="BH175" s="260">
        <f>+BH174/BB174-1</f>
        <v>9.4711948923118738E-2</v>
      </c>
      <c r="BI175" s="449">
        <f>IF(ISERROR(BI174/BC174-1),"NM",BI174/BC174-1)</f>
        <v>8.8613066817664787E-2</v>
      </c>
      <c r="BJ175" s="43"/>
      <c r="BK175" s="259">
        <f>+BK174/BE174-1</f>
        <v>7.7410144496429689E-2</v>
      </c>
      <c r="BL175" s="260">
        <f>+BL174/BF174-1</f>
        <v>6.5037265502344566E-2</v>
      </c>
      <c r="BM175" s="260">
        <f>+BM174/BG174-1</f>
        <v>0.10328785807923357</v>
      </c>
      <c r="BN175" s="260">
        <f>+BN174/BH174-1</f>
        <v>6.3173396169223572E-2</v>
      </c>
      <c r="BO175" s="449">
        <f>IF(ISERROR(BO174/BI174-1),"NM",BO174/BI174-1)</f>
        <v>7.6906225395148686E-2</v>
      </c>
      <c r="BP175" s="43"/>
      <c r="BQ175" s="259">
        <f>+BQ174/BK174-1</f>
        <v>5.1048945790346023E-2</v>
      </c>
      <c r="BR175" s="260">
        <f>+BR174/BL174-1</f>
        <v>6.8757976085960459E-2</v>
      </c>
      <c r="BS175" s="260">
        <f>+BS174/BM174-1</f>
        <v>5.6669869155602459E-2</v>
      </c>
      <c r="BT175" s="260">
        <f>+BT174/BN174-1</f>
        <v>4.3793979314630693E-2</v>
      </c>
      <c r="BU175" s="449">
        <f>IF(ISERROR(BU174/BO174-1),"NM",BU174/BO174-1)</f>
        <v>5.4890799507574695E-2</v>
      </c>
      <c r="BV175" s="43"/>
      <c r="BW175" s="259">
        <f>+BW174/BQ174-1</f>
        <v>5.1198376482831431E-2</v>
      </c>
      <c r="BX175" s="260">
        <f>+BX174/BR174-1</f>
        <v>4.3189642091445268E-2</v>
      </c>
      <c r="BY175" s="260">
        <f>+BY174/BS174-1</f>
        <v>4.3287644178028106E-2</v>
      </c>
      <c r="BZ175" s="260">
        <f>+BZ174/BT174-1</f>
        <v>4.2519121852787167E-2</v>
      </c>
      <c r="CA175" s="449">
        <f>IF(ISERROR(CA174/BU174-1),"NM",CA174/BU174-1)</f>
        <v>4.4909546342278617E-2</v>
      </c>
      <c r="CB175" s="43"/>
      <c r="CC175" s="259">
        <f>+CC174/BW174-1</f>
        <v>3.9550999455347124E-2</v>
      </c>
      <c r="CD175" s="260">
        <f>+CD174/BX174-1</f>
        <v>3.9846946950818696E-2</v>
      </c>
      <c r="CE175" s="260">
        <f>+CE174/BY174-1</f>
        <v>3.980087004900823E-2</v>
      </c>
      <c r="CF175" s="260">
        <f>+CF174/BZ174-1</f>
        <v>3.9382976591192609E-2</v>
      </c>
      <c r="CG175" s="449">
        <f>IF(ISERROR(CG174/CA174-1),"NM",CG174/CA174-1)</f>
        <v>3.9643717075670271E-2</v>
      </c>
    </row>
    <row r="176" spans="1:85" ht="11.25" customHeight="1" x14ac:dyDescent="0.2">
      <c r="B176" s="624" t="s">
        <v>256</v>
      </c>
      <c r="C176" s="258">
        <v>0.124</v>
      </c>
      <c r="D176" s="258">
        <v>0.13900000000000001</v>
      </c>
      <c r="E176" s="258">
        <v>0.183</v>
      </c>
      <c r="F176" s="258">
        <v>0.123</v>
      </c>
      <c r="G176" s="453">
        <v>0.14299999999999999</v>
      </c>
      <c r="H176" s="43"/>
      <c r="I176" s="261">
        <v>0.12</v>
      </c>
      <c r="J176" s="258">
        <v>0.13600000000000001</v>
      </c>
      <c r="K176" s="258">
        <v>0.08</v>
      </c>
      <c r="L176" s="258">
        <v>-1.7999999999999999E-2</v>
      </c>
      <c r="M176" s="449">
        <f>+SUMPRODUCT(I176:L176,C$174:F$174)/G$174</f>
        <v>7.3786322643932936E-2</v>
      </c>
      <c r="N176" s="43"/>
      <c r="O176" s="261">
        <v>5.5E-2</v>
      </c>
      <c r="P176" s="258">
        <v>5.2999999999999999E-2</v>
      </c>
      <c r="Q176" s="258">
        <v>0.04</v>
      </c>
      <c r="R176" s="258">
        <v>0.08</v>
      </c>
      <c r="S176" s="449">
        <f>+SUMPRODUCT(O176:R176,I$174:L$174)/M$174</f>
        <v>5.6785866056006093E-2</v>
      </c>
      <c r="T176" s="43"/>
      <c r="U176" s="261">
        <v>0.14599999999999999</v>
      </c>
      <c r="V176" s="258">
        <v>0.156</v>
      </c>
      <c r="W176" s="258">
        <v>0.16400000000000001</v>
      </c>
      <c r="X176" s="258">
        <v>0.15</v>
      </c>
      <c r="Y176" s="449">
        <f>+SUMPRODUCT(U176:X176,O$174:R$174)/S$174</f>
        <v>0.15411956711921809</v>
      </c>
      <c r="Z176" s="43"/>
      <c r="AA176" s="261">
        <v>9.9000000000000005E-2</v>
      </c>
      <c r="AB176" s="258">
        <v>0.10100000000000001</v>
      </c>
      <c r="AC176" s="258">
        <v>7.3999999999999996E-2</v>
      </c>
      <c r="AD176" s="258">
        <v>0.157</v>
      </c>
      <c r="AE176" s="449">
        <f>+SUMPRODUCT(AA176:AD176,U$174:X$174)/Y$174</f>
        <v>0.10879540693974457</v>
      </c>
      <c r="AF176" s="43"/>
      <c r="AG176" s="261">
        <v>8.4000000000000005E-2</v>
      </c>
      <c r="AH176" s="258">
        <v>6.5000000000000002E-2</v>
      </c>
      <c r="AI176" s="258">
        <v>8.8999999999999996E-2</v>
      </c>
      <c r="AJ176" s="258">
        <v>3.5000000000000003E-2</v>
      </c>
      <c r="AK176" s="449">
        <f>+SUMPRODUCT(AG176:AJ176,AA$174:AD$174)/AE$174</f>
        <v>6.7049607854032758E-2</v>
      </c>
      <c r="AL176" s="43"/>
      <c r="AM176" s="261">
        <v>9.1999999999999998E-2</v>
      </c>
      <c r="AN176" s="258">
        <v>8.6999999999999994E-2</v>
      </c>
      <c r="AO176" s="258">
        <v>5.1999999999999998E-2</v>
      </c>
      <c r="AP176" s="258">
        <v>4.3999999999999997E-2</v>
      </c>
      <c r="AQ176" s="449">
        <f>+SUMPRODUCT(AM176:AP176,AG$174:AJ$174)/AK$174</f>
        <v>6.78551005837046E-2</v>
      </c>
      <c r="AR176" s="43"/>
      <c r="AS176" s="261">
        <v>5.6000000000000001E-2</v>
      </c>
      <c r="AT176" s="258">
        <v>7.9000000000000001E-2</v>
      </c>
      <c r="AU176" s="258">
        <v>0.109</v>
      </c>
      <c r="AV176" s="258">
        <v>9.9000000000000005E-2</v>
      </c>
      <c r="AW176" s="449">
        <f>+SUMPRODUCT(AS176:AV176,AM$174:AP$174)/AQ$174</f>
        <v>8.6138149436957551E-2</v>
      </c>
      <c r="AX176" s="43"/>
      <c r="AY176" s="261">
        <v>7.3999999999999996E-2</v>
      </c>
      <c r="AZ176" s="258">
        <v>7.4999999999999997E-2</v>
      </c>
      <c r="BA176" s="258">
        <v>8.3000000000000004E-2</v>
      </c>
      <c r="BB176" s="258">
        <v>0.10299999999999999</v>
      </c>
      <c r="BC176" s="449">
        <f>+SUMPRODUCT(AY176:BB176,AS$174:AV$174)/AW$174</f>
        <v>8.4084448757591787E-2</v>
      </c>
      <c r="BD176" s="43"/>
      <c r="BE176" s="261">
        <v>0.12</v>
      </c>
      <c r="BF176" s="258">
        <v>9.7000000000000003E-2</v>
      </c>
      <c r="BG176" s="258">
        <v>7.6999999999999999E-2</v>
      </c>
      <c r="BH176" s="258">
        <v>0.11</v>
      </c>
      <c r="BI176" s="449">
        <f>+SUMPRODUCT(BE176:BH176,AY$174:BB$174)/BC$174</f>
        <v>0.10076388990151101</v>
      </c>
      <c r="BJ176" s="43"/>
      <c r="BK176" s="261">
        <v>8.6999999999999994E-2</v>
      </c>
      <c r="BL176" s="257">
        <v>7.6999999999999999E-2</v>
      </c>
      <c r="BM176" s="257">
        <v>8.7999999999999995E-2</v>
      </c>
      <c r="BN176" s="260">
        <f>((+BH160*(1+BN162)+BH167*(1+BN169))/BH174-1)</f>
        <v>3.8763007804714755E-2</v>
      </c>
      <c r="BO176" s="449">
        <f>+SUMPRODUCT(BK176:BN176,BE$174:BH$174)/BI$174</f>
        <v>7.1755362825926886E-2</v>
      </c>
      <c r="BP176" s="43"/>
      <c r="BQ176" s="259">
        <f>((+BK160*(1+BQ162)+BK167*(1+BQ169))/BK174-1)</f>
        <v>5.6082004880004588E-2</v>
      </c>
      <c r="BR176" s="260">
        <f>((+BL160*(1+BR162)+BL167*(1+BR169))/BL174-1)</f>
        <v>7.3806713476700869E-2</v>
      </c>
      <c r="BS176" s="260">
        <f>((+BM160*(1+BS162)+BM167*(1+BS169))/BM174-1)</f>
        <v>6.6573338947442995E-2</v>
      </c>
      <c r="BT176" s="260">
        <f>((+BN160*(1+BT162)+BN167*(1+BT169))/BN174-1)</f>
        <v>5.398318432208371E-2</v>
      </c>
      <c r="BU176" s="449">
        <f>+SUMPRODUCT(BQ176:BT176,BK$174:BN$174)/BO$174</f>
        <v>6.2536072182803742E-2</v>
      </c>
      <c r="BV176" s="43"/>
      <c r="BW176" s="259">
        <f>((+BQ160*(1+BW162)+BQ167*(1+BW169))/BQ174-1)</f>
        <v>5.1198376482831431E-2</v>
      </c>
      <c r="BX176" s="260">
        <f>((+BR160*(1+BX162)+BR167*(1+BX169))/BR174-1)</f>
        <v>4.3189642091445046E-2</v>
      </c>
      <c r="BY176" s="260">
        <f>((+BS160*(1+BY162)+BS167*(1+BY169))/BS174-1)</f>
        <v>4.3287644178028106E-2</v>
      </c>
      <c r="BZ176" s="260">
        <f>((+BT160*(1+BZ162)+BT167*(1+BZ169))/BT174-1)</f>
        <v>4.2519121852787167E-2</v>
      </c>
      <c r="CA176" s="449">
        <f>+SUMPRODUCT(BW176:BZ176,BQ$174:BT$174)/BU$174</f>
        <v>4.4909546342278561E-2</v>
      </c>
      <c r="CB176" s="43"/>
      <c r="CC176" s="259">
        <f>((+BW160*(1+CC162)+BW167*(1+CC169))/BW174-1)</f>
        <v>3.9550999455346902E-2</v>
      </c>
      <c r="CD176" s="260">
        <f>((+BX160*(1+CD162)+BX167*(1+CD169))/BX174-1)</f>
        <v>3.9846946950818918E-2</v>
      </c>
      <c r="CE176" s="260">
        <f>((+BY160*(1+CE162)+BY167*(1+CE169))/BY174-1)</f>
        <v>3.9800870049008008E-2</v>
      </c>
      <c r="CF176" s="260">
        <f>((+BZ160*(1+CF162)+BZ167*(1+CF169))/BZ174-1)</f>
        <v>3.9382976591192609E-2</v>
      </c>
      <c r="CG176" s="449">
        <f>+SUMPRODUCT(CC176:CF176,BW$174:BZ$174)/CA$174</f>
        <v>3.964371707567016E-2</v>
      </c>
    </row>
    <row r="177" spans="1:85" ht="11.25" customHeight="1" x14ac:dyDescent="0.2">
      <c r="B177" s="624" t="s">
        <v>255</v>
      </c>
      <c r="C177" s="260">
        <f>C175-C176</f>
        <v>2.3999999999999994E-2</v>
      </c>
      <c r="D177" s="260">
        <f>D175-D176</f>
        <v>2.3999999999999994E-2</v>
      </c>
      <c r="E177" s="260">
        <f>E175-E176</f>
        <v>2.4999999999999994E-2</v>
      </c>
      <c r="F177" s="260">
        <f>F175-F176</f>
        <v>4.1000000000000009E-2</v>
      </c>
      <c r="G177" s="449">
        <f>G175-G176</f>
        <v>0.03</v>
      </c>
      <c r="H177" s="43"/>
      <c r="I177" s="259">
        <f>I175-I176</f>
        <v>4.1548337261702817E-2</v>
      </c>
      <c r="J177" s="260">
        <f>J175-J176</f>
        <v>4.7007129689109806E-2</v>
      </c>
      <c r="K177" s="260">
        <f>K175-K176</f>
        <v>1.2080434385533925E-2</v>
      </c>
      <c r="L177" s="260">
        <f>L175-L176</f>
        <v>-5.7289593440896583E-2</v>
      </c>
      <c r="M177" s="449">
        <f>+SUMPRODUCT(I177:L177,C$174:F$174)/G$174</f>
        <v>6.8307951201271129E-3</v>
      </c>
      <c r="N177" s="43"/>
      <c r="O177" s="259">
        <f>O175-O176</f>
        <v>-7.8912176356982611E-2</v>
      </c>
      <c r="P177" s="260">
        <f>P175-P176</f>
        <v>-7.3365651725842029E-2</v>
      </c>
      <c r="Q177" s="260">
        <f>Q175-Q176</f>
        <v>-3.0740836475168419E-2</v>
      </c>
      <c r="R177" s="260">
        <f>R175-R176</f>
        <v>5.5045908173484717E-2</v>
      </c>
      <c r="S177" s="449">
        <f>+SUMPRODUCT(O177:R177,I$174:L$174)/M$174</f>
        <v>-3.2034646973479665E-2</v>
      </c>
      <c r="T177" s="43"/>
      <c r="U177" s="259">
        <f>U175-U176</f>
        <v>3.9084301206149391E-2</v>
      </c>
      <c r="V177" s="260">
        <f>V175-V176</f>
        <v>-5.4700248968232168E-3</v>
      </c>
      <c r="W177" s="260">
        <f>W175-W176</f>
        <v>-2.2940975622396248E-2</v>
      </c>
      <c r="X177" s="260">
        <f>X175-X176</f>
        <v>-1.7034585777464611E-2</v>
      </c>
      <c r="Y177" s="449">
        <f>+SUMPRODUCT(U177:X177,O$174:R$174)/S$174</f>
        <v>-2.9413468503301054E-3</v>
      </c>
      <c r="Z177" s="43"/>
      <c r="AA177" s="259">
        <f>AA175-AA176</f>
        <v>7.4874936800903569E-3</v>
      </c>
      <c r="AB177" s="260">
        <f>AB175-AB176</f>
        <v>5.1070318984362623E-2</v>
      </c>
      <c r="AC177" s="260">
        <f>AC175-AC176</f>
        <v>4.1226159235409801E-2</v>
      </c>
      <c r="AD177" s="260">
        <f>AD175-AD176</f>
        <v>-5.5356479248544477E-4</v>
      </c>
      <c r="AE177" s="449">
        <f>+SUMPRODUCT(AA177:AD177,U$174:X$174)/Y$174</f>
        <v>2.4521983342168298E-2</v>
      </c>
      <c r="AF177" s="43"/>
      <c r="AG177" s="259">
        <f>AG175-AG176</f>
        <v>-6.34262827934233E-3</v>
      </c>
      <c r="AH177" s="260">
        <f>AH175-AH176</f>
        <v>-3.17649157060787E-2</v>
      </c>
      <c r="AI177" s="260">
        <f>AI175-AI176</f>
        <v>-3.2474264488256771E-2</v>
      </c>
      <c r="AJ177" s="260">
        <f>AJ175-AJ176</f>
        <v>-5.818085010007662E-3</v>
      </c>
      <c r="AK177" s="449">
        <f>+SUMPRODUCT(AG177:AJ177,AA$174:AD$174)/AE$174</f>
        <v>-1.9017559056354962E-2</v>
      </c>
      <c r="AL177" s="43"/>
      <c r="AM177" s="259">
        <f>AM175-AM176</f>
        <v>6.5852286234666102E-4</v>
      </c>
      <c r="AN177" s="260">
        <f>AN175-AN176</f>
        <v>-5.307060976118827E-4</v>
      </c>
      <c r="AO177" s="260">
        <f>AO175-AO176</f>
        <v>8.4398702319714997E-4</v>
      </c>
      <c r="AP177" s="260">
        <f>AP175-AP176</f>
        <v>4.9661764180766593E-3</v>
      </c>
      <c r="AQ177" s="449">
        <f>+SUMPRODUCT(AM177:AP177,AG$174:AJ$174)/AK$174</f>
        <v>1.5724487573611906E-3</v>
      </c>
      <c r="AR177" s="43"/>
      <c r="AS177" s="259">
        <f>AS175-AS176</f>
        <v>3.5802679821462166E-3</v>
      </c>
      <c r="AT177" s="260">
        <f>AT175-AT176</f>
        <v>1.4484014198452314E-2</v>
      </c>
      <c r="AU177" s="260">
        <f>AU175-AU176</f>
        <v>7.9766483493093204E-3</v>
      </c>
      <c r="AV177" s="260">
        <f>AV175-AV176</f>
        <v>-2.9443284237858941E-2</v>
      </c>
      <c r="AW177" s="449">
        <f>+SUMPRODUCT(AS177:AV177,AM$174:AP$174)/AQ$174</f>
        <v>-1.3381353793314496E-3</v>
      </c>
      <c r="AX177" s="43"/>
      <c r="AY177" s="259">
        <f>AY175-AY176</f>
        <v>-6.022024320219381E-2</v>
      </c>
      <c r="AZ177" s="260">
        <f>AZ175-AZ176</f>
        <v>-6.9679984675419512E-2</v>
      </c>
      <c r="BA177" s="260">
        <f>BA175-BA176</f>
        <v>-5.9329110209172017E-2</v>
      </c>
      <c r="BB177" s="260">
        <f>BB175-BB176</f>
        <v>-4.7923496426477877E-2</v>
      </c>
      <c r="BC177" s="449">
        <f>+SUMPRODUCT(AY177:BB177,AS$174:AV$174)/AW$174</f>
        <v>-5.9176601304164744E-2</v>
      </c>
      <c r="BD177" s="43"/>
      <c r="BE177" s="259">
        <f>BE175-BE176</f>
        <v>-1.8811355202816959E-2</v>
      </c>
      <c r="BF177" s="260">
        <f>BF175-BF176</f>
        <v>-4.4627660383671774E-3</v>
      </c>
      <c r="BG177" s="260">
        <f>BG175-BG176</f>
        <v>-1.0237522036908239E-2</v>
      </c>
      <c r="BH177" s="260">
        <f>BH175-BH176</f>
        <v>-1.5288051076881262E-2</v>
      </c>
      <c r="BI177" s="449">
        <f>+SUMPRODUCT(BE177:BH177,AY$174:BB$174)/BC$174</f>
        <v>-1.2150823083846187E-2</v>
      </c>
      <c r="BJ177" s="43"/>
      <c r="BK177" s="259">
        <f>BK175-BK176</f>
        <v>-9.5898555035703048E-3</v>
      </c>
      <c r="BL177" s="260">
        <f>BL175-BL176</f>
        <v>-1.1962734497655433E-2</v>
      </c>
      <c r="BM177" s="260">
        <f>BM175-BM176</f>
        <v>1.5287858079233579E-2</v>
      </c>
      <c r="BN177" s="260">
        <f>BN175-BN176</f>
        <v>2.4410388364508817E-2</v>
      </c>
      <c r="BO177" s="449">
        <f>+SUMPRODUCT(BK177:BN177,BE$174:BH$174)/BI$174</f>
        <v>5.150862569221923E-3</v>
      </c>
      <c r="BP177" s="43"/>
      <c r="BQ177" s="259">
        <f>BQ175-BQ176</f>
        <v>-5.0330590896585647E-3</v>
      </c>
      <c r="BR177" s="260">
        <f>BR175-BR176</f>
        <v>-5.0487373907404098E-3</v>
      </c>
      <c r="BS177" s="260">
        <f>BS175-BS176</f>
        <v>-9.9034697918405357E-3</v>
      </c>
      <c r="BT177" s="260">
        <f>BT175-BT176</f>
        <v>-1.0189205007453017E-2</v>
      </c>
      <c r="BU177" s="449">
        <f>+SUMPRODUCT(BQ177:BT177,BK$174:BN$174)/BO$174</f>
        <v>-7.6452726752291155E-3</v>
      </c>
      <c r="BV177" s="43"/>
      <c r="BW177" s="259">
        <f>BW175-BW176</f>
        <v>0</v>
      </c>
      <c r="BX177" s="260">
        <f>BX175-BX176</f>
        <v>2.2204460492503131E-16</v>
      </c>
      <c r="BY177" s="260">
        <f>BY175-BY176</f>
        <v>0</v>
      </c>
      <c r="BZ177" s="260">
        <f>BZ175-BZ176</f>
        <v>0</v>
      </c>
      <c r="CA177" s="449">
        <f>+SUMPRODUCT(BW177:BZ177,BQ$174:BT$174)/BU$174</f>
        <v>5.5231059065694233E-17</v>
      </c>
      <c r="CB177" s="43"/>
      <c r="CC177" s="259">
        <f>CC175-CC176</f>
        <v>2.2204460492503131E-16</v>
      </c>
      <c r="CD177" s="260">
        <f>CD175-CD176</f>
        <v>-2.2204460492503131E-16</v>
      </c>
      <c r="CE177" s="260">
        <f>CE175-CE176</f>
        <v>2.2204460492503131E-16</v>
      </c>
      <c r="CF177" s="260">
        <f>CF175-CF176</f>
        <v>0</v>
      </c>
      <c r="CG177" s="449">
        <f>+SUMPRODUCT(CC177:CF177,BW$174:BZ$174)/CA$174</f>
        <v>5.339717930179905E-17</v>
      </c>
    </row>
    <row r="178" spans="1:85" ht="11.25" customHeight="1" x14ac:dyDescent="0.2">
      <c r="B178" s="624" t="s">
        <v>254</v>
      </c>
      <c r="C178" s="258">
        <v>8.2000000000000003E-2</v>
      </c>
      <c r="D178" s="258">
        <v>5.6000000000000001E-2</v>
      </c>
      <c r="E178" s="258">
        <v>5.2999999999999999E-2</v>
      </c>
      <c r="F178" s="258">
        <v>8.5000000000000006E-2</v>
      </c>
      <c r="G178" s="453">
        <v>7.0000000000000007E-2</v>
      </c>
      <c r="H178" s="43"/>
      <c r="I178" s="261">
        <v>0.09</v>
      </c>
      <c r="J178" s="258">
        <v>9.6000000000000002E-2</v>
      </c>
      <c r="K178" s="258">
        <v>5.8000000000000003E-2</v>
      </c>
      <c r="L178" s="258">
        <v>1.2E-2</v>
      </c>
      <c r="M178" s="449">
        <f>+SUMPRODUCT(I178:L178,C$174:F$174)/G$174</f>
        <v>6.0769575517714197E-2</v>
      </c>
      <c r="N178" s="43"/>
      <c r="O178" s="261">
        <v>0.05</v>
      </c>
      <c r="P178" s="258">
        <v>4.5999999999999999E-2</v>
      </c>
      <c r="Q178" s="258">
        <v>4.5999999999999999E-2</v>
      </c>
      <c r="R178" s="258">
        <v>0.05</v>
      </c>
      <c r="S178" s="449">
        <f>+SUMPRODUCT(O178:R178,I$174:L$174)/M$174</f>
        <v>4.7940534570411038E-2</v>
      </c>
      <c r="T178" s="43"/>
      <c r="U178" s="261">
        <v>0.114</v>
      </c>
      <c r="V178" s="258">
        <v>0.13500000000000001</v>
      </c>
      <c r="W178" s="258">
        <v>0.127</v>
      </c>
      <c r="X178" s="258">
        <v>0.11700000000000001</v>
      </c>
      <c r="Y178" s="449">
        <f>+SUMPRODUCT(U178:X178,O$174:R$174)/S$174</f>
        <v>0.12328171724426523</v>
      </c>
      <c r="Z178" s="43"/>
      <c r="AA178" s="261">
        <v>6.0999999999999999E-2</v>
      </c>
      <c r="AB178" s="258">
        <v>4.4999999999999998E-2</v>
      </c>
      <c r="AC178" s="258">
        <v>4.1000000000000002E-2</v>
      </c>
      <c r="AD178" s="258">
        <f>5.7%+4.7%</f>
        <v>0.10400000000000001</v>
      </c>
      <c r="AE178" s="449">
        <f>+SUMPRODUCT(AA178:AD178,U$174:X$174)/Y$174</f>
        <v>6.3597759204122875E-2</v>
      </c>
      <c r="AF178" s="43"/>
      <c r="AG178" s="261">
        <v>6.0000000000000001E-3</v>
      </c>
      <c r="AH178" s="258">
        <v>1.9E-2</v>
      </c>
      <c r="AI178" s="258">
        <v>4.4999999999999998E-2</v>
      </c>
      <c r="AJ178" s="258">
        <f>-7.5%+5%</f>
        <v>-2.4999999999999994E-2</v>
      </c>
      <c r="AK178" s="449">
        <f>+SUMPRODUCT(AG178:AJ178,AA$174:AD$174)/AE$174</f>
        <v>1.0397267861802751E-2</v>
      </c>
      <c r="AL178" s="43"/>
      <c r="AM178" s="261">
        <v>5.8999999999999997E-2</v>
      </c>
      <c r="AN178" s="258">
        <v>4.7E-2</v>
      </c>
      <c r="AO178" s="258">
        <v>1.7999999999999999E-2</v>
      </c>
      <c r="AP178" s="258">
        <v>7.0000000000000001E-3</v>
      </c>
      <c r="AQ178" s="449">
        <f>+SUMPRODUCT(AM178:AP178,AG$174:AJ$174)/AK$174</f>
        <v>3.1804197375672624E-2</v>
      </c>
      <c r="AR178" s="43"/>
      <c r="AS178" s="261">
        <v>2.7E-2</v>
      </c>
      <c r="AT178" s="258">
        <v>3.5999999999999997E-2</v>
      </c>
      <c r="AU178" s="258">
        <v>4.4999999999999998E-2</v>
      </c>
      <c r="AV178" s="258">
        <v>0.05</v>
      </c>
      <c r="AW178" s="449">
        <f>+SUMPRODUCT(AS178:AV178,AM$174:AP$174)/AQ$174</f>
        <v>3.9751648293258807E-2</v>
      </c>
      <c r="AX178" s="43"/>
      <c r="AY178" s="261">
        <v>2.5999999999999999E-2</v>
      </c>
      <c r="AZ178" s="258">
        <v>3.5999999999999997E-2</v>
      </c>
      <c r="BA178" s="258">
        <v>3.5000000000000003E-2</v>
      </c>
      <c r="BB178" s="258">
        <v>3.7999999999999999E-2</v>
      </c>
      <c r="BC178" s="449">
        <f>+SUMPRODUCT(AY178:BB178,AS$174:AV$174)/AW$174</f>
        <v>3.3924952489492732E-2</v>
      </c>
      <c r="BD178" s="43"/>
      <c r="BE178" s="261">
        <v>2.7E-2</v>
      </c>
      <c r="BF178" s="258">
        <v>2.1000000000000001E-2</v>
      </c>
      <c r="BG178" s="258">
        <v>1.7000000000000001E-2</v>
      </c>
      <c r="BH178" s="258">
        <f>5.5%+1.3%</f>
        <v>6.8000000000000005E-2</v>
      </c>
      <c r="BI178" s="449">
        <f>+SUMPRODUCT(BE178:BH178,AY$174:BB$174)/BC$174</f>
        <v>3.3985449756479928E-2</v>
      </c>
      <c r="BJ178" s="43"/>
      <c r="BK178" s="259">
        <f>((+BE160*(1+BK164)+BE167*(1+BK171))/BE174-1)</f>
        <v>2.7913368122173043E-2</v>
      </c>
      <c r="BL178" s="260">
        <f>((+BF160*(1+BL164)+BF167*(1+BL171))/BF174-1)</f>
        <v>2.9762164288474224E-2</v>
      </c>
      <c r="BM178" s="257">
        <f>4%-0.3%-0.3%</f>
        <v>3.3999999999999996E-2</v>
      </c>
      <c r="BN178" s="260">
        <f>((+BH160*(1+BN164)+BH167*(1+BN171))/BH174-1)</f>
        <v>-1.2345055358428003E-2</v>
      </c>
      <c r="BO178" s="449">
        <f>+SUMPRODUCT(BK178:BN178,BE$174:BH$174)/BI$174</f>
        <v>1.9021475846445732E-2</v>
      </c>
      <c r="BP178" s="43"/>
      <c r="BQ178" s="259">
        <f>((+BK160*(1+BQ164)+BK167*(1+BQ171))/BK174-1)</f>
        <v>1.6875392583104443E-2</v>
      </c>
      <c r="BR178" s="260">
        <f>((+BL160*(1+BR164)+BL167*(1+BR171))/BL174-1)</f>
        <v>1.773189891804372E-2</v>
      </c>
      <c r="BS178" s="260">
        <f>((+BM160*(1+BS164)+BM167*(1+BS171))/BM174-1)</f>
        <v>1.7161839787186883E-2</v>
      </c>
      <c r="BT178" s="260">
        <f>((+BN160*(1+BT164)+BN167*(1+BT171))/BN174-1)</f>
        <v>7.3084126007278982E-3</v>
      </c>
      <c r="BU178" s="449">
        <f>+SUMPRODUCT(BQ178:BT178,BK$174:BN$174)/BO$174</f>
        <v>1.461097639039919E-2</v>
      </c>
      <c r="BV178" s="43"/>
      <c r="BW178" s="259">
        <f>((+BQ160*(1+BW164)+BQ167*(1+BW171))/BQ174-1)</f>
        <v>8.1030880885870626E-3</v>
      </c>
      <c r="BX178" s="260">
        <f>((+BR160*(1+BX164)+BR167*(1+BX171))/BR174-1)</f>
        <v>0</v>
      </c>
      <c r="BY178" s="260">
        <f>((+BS160*(1+BY164)+BS167*(1+BY171))/BS174-1)</f>
        <v>0</v>
      </c>
      <c r="BZ178" s="260">
        <f>((+BT160*(1+BZ164)+BT167*(1+BZ171))/BT174-1)</f>
        <v>0</v>
      </c>
      <c r="CA178" s="449">
        <f>+SUMPRODUCT(BW178:BZ178,BQ$174:BT$174)/BU$174</f>
        <v>1.8937117389538521E-3</v>
      </c>
      <c r="CB178" s="43"/>
      <c r="CC178" s="259">
        <f>((+BW160*(1+CC164)+BW167*(1+CC171))/BW174-1)</f>
        <v>0</v>
      </c>
      <c r="CD178" s="260">
        <f>((+BX160*(1+CD164)+BX167*(1+CD171))/BX174-1)</f>
        <v>0</v>
      </c>
      <c r="CE178" s="260">
        <f>((+BY160*(1+CE164)+BY167*(1+CE171))/BY174-1)</f>
        <v>0</v>
      </c>
      <c r="CF178" s="260">
        <f>((+BZ160*(1+CF164)+BZ167*(1+CF171))/BZ174-1)</f>
        <v>0</v>
      </c>
      <c r="CG178" s="449">
        <f>+SUMPRODUCT(CC178:CF178,BW$174:BZ$174)/CA$174</f>
        <v>0</v>
      </c>
    </row>
    <row r="179" spans="1:85" ht="11.25" customHeight="1" x14ac:dyDescent="0.2">
      <c r="B179" s="773" t="s">
        <v>257</v>
      </c>
      <c r="C179" s="260">
        <f>+C176-C178</f>
        <v>4.1999999999999996E-2</v>
      </c>
      <c r="D179" s="260">
        <f>+D176-D178</f>
        <v>8.3000000000000018E-2</v>
      </c>
      <c r="E179" s="260">
        <f>+E176-E178</f>
        <v>0.13</v>
      </c>
      <c r="F179" s="260">
        <f>+F176-F178</f>
        <v>3.7999999999999992E-2</v>
      </c>
      <c r="G179" s="449">
        <f>+G176-G178</f>
        <v>7.2999999999999982E-2</v>
      </c>
      <c r="H179" s="264"/>
      <c r="I179" s="259">
        <f>+I176-I178</f>
        <v>0.03</v>
      </c>
      <c r="J179" s="260">
        <f>+J176-J178</f>
        <v>4.0000000000000008E-2</v>
      </c>
      <c r="K179" s="260">
        <f>+K176-K178</f>
        <v>2.1999999999999999E-2</v>
      </c>
      <c r="L179" s="260">
        <f>+L176-L178</f>
        <v>-0.03</v>
      </c>
      <c r="M179" s="449">
        <f>+SUMPRODUCT(I179:L179,C$174:F$174)/G$174</f>
        <v>1.3016747126218748E-2</v>
      </c>
      <c r="N179" s="264"/>
      <c r="O179" s="259">
        <f>+O176-O178</f>
        <v>4.9999999999999975E-3</v>
      </c>
      <c r="P179" s="260">
        <f>+P176-P178</f>
        <v>6.9999999999999993E-3</v>
      </c>
      <c r="Q179" s="260">
        <f>+Q176-Q178</f>
        <v>-5.9999999999999984E-3</v>
      </c>
      <c r="R179" s="260">
        <f>+R176-R178</f>
        <v>0.03</v>
      </c>
      <c r="S179" s="449">
        <f>+SUMPRODUCT(O179:R179,I$174:L$174)/M$174</f>
        <v>8.8453314855950552E-3</v>
      </c>
      <c r="T179" s="264"/>
      <c r="U179" s="259">
        <f>+U176-U178</f>
        <v>3.1999999999999987E-2</v>
      </c>
      <c r="V179" s="260">
        <f>+V176-V178</f>
        <v>2.0999999999999991E-2</v>
      </c>
      <c r="W179" s="260">
        <f>+W176-W178</f>
        <v>3.7000000000000005E-2</v>
      </c>
      <c r="X179" s="260">
        <f>+X176-X178</f>
        <v>3.2999999999999988E-2</v>
      </c>
      <c r="Y179" s="449">
        <f>+SUMPRODUCT(U179:X179,O$174:R$174)/S$174</f>
        <v>3.0837849874952885E-2</v>
      </c>
      <c r="Z179" s="264"/>
      <c r="AA179" s="259">
        <f>+AA176-AA178</f>
        <v>3.8000000000000006E-2</v>
      </c>
      <c r="AB179" s="260">
        <f>+AB176-AB178</f>
        <v>5.6000000000000008E-2</v>
      </c>
      <c r="AC179" s="260">
        <f>+AC176-AC178</f>
        <v>3.2999999999999995E-2</v>
      </c>
      <c r="AD179" s="260">
        <f>+AD176-AD178</f>
        <v>5.2999999999999992E-2</v>
      </c>
      <c r="AE179" s="449">
        <f>+SUMPRODUCT(AA179:AD179,U$174:X$174)/Y$174</f>
        <v>4.5197647735621696E-2</v>
      </c>
      <c r="AF179" s="264"/>
      <c r="AG179" s="259">
        <f>+AG176-AG178</f>
        <v>7.8E-2</v>
      </c>
      <c r="AH179" s="260">
        <f>+AH176-AH178</f>
        <v>4.5999999999999999E-2</v>
      </c>
      <c r="AI179" s="260">
        <f>+AI176-AI178</f>
        <v>4.3999999999999997E-2</v>
      </c>
      <c r="AJ179" s="260">
        <f>+AJ176-AJ178</f>
        <v>0.06</v>
      </c>
      <c r="AK179" s="449">
        <f>+SUMPRODUCT(AG179:AJ179,AA$174:AD$174)/AE$174</f>
        <v>5.6652339992230002E-2</v>
      </c>
      <c r="AL179" s="264"/>
      <c r="AM179" s="259">
        <f>+AM176-AM178</f>
        <v>3.3000000000000002E-2</v>
      </c>
      <c r="AN179" s="260">
        <f>+AN176-AN178</f>
        <v>3.9999999999999994E-2</v>
      </c>
      <c r="AO179" s="260">
        <f>+AO176-AO178</f>
        <v>3.4000000000000002E-2</v>
      </c>
      <c r="AP179" s="260">
        <f>+AP176-AP178</f>
        <v>3.6999999999999998E-2</v>
      </c>
      <c r="AQ179" s="449">
        <f>+SUMPRODUCT(AM179:AP179,AG$174:AJ$174)/AK$174</f>
        <v>3.6050903208031976E-2</v>
      </c>
      <c r="AR179" s="264"/>
      <c r="AS179" s="259">
        <f>+AS176-AS178</f>
        <v>2.9000000000000001E-2</v>
      </c>
      <c r="AT179" s="260">
        <f>+AT176-AT178</f>
        <v>4.3000000000000003E-2</v>
      </c>
      <c r="AU179" s="260">
        <f>+AU176-AU178</f>
        <v>6.4000000000000001E-2</v>
      </c>
      <c r="AV179" s="260">
        <f>+AV176-AV178</f>
        <v>4.9000000000000002E-2</v>
      </c>
      <c r="AW179" s="449">
        <f>+SUMPRODUCT(AS179:AV179,AM$174:AP$174)/AQ$174</f>
        <v>4.6386501143698744E-2</v>
      </c>
      <c r="AX179" s="264"/>
      <c r="AY179" s="259">
        <f>+AY176-AY178</f>
        <v>4.8000000000000001E-2</v>
      </c>
      <c r="AZ179" s="260">
        <f>+AZ176-AZ178</f>
        <v>3.9E-2</v>
      </c>
      <c r="BA179" s="260">
        <f>+BA176-BA178</f>
        <v>4.8000000000000001E-2</v>
      </c>
      <c r="BB179" s="260">
        <f>+BB176-BB178</f>
        <v>6.5000000000000002E-2</v>
      </c>
      <c r="BC179" s="449">
        <f>+SUMPRODUCT(AY179:BB179,AS$174:AV$174)/AW$174</f>
        <v>5.0159496268099062E-2</v>
      </c>
      <c r="BD179" s="264"/>
      <c r="BE179" s="259">
        <f>+BE176-BE178</f>
        <v>9.2999999999999999E-2</v>
      </c>
      <c r="BF179" s="260">
        <f>+BF176-BF178</f>
        <v>7.5999999999999998E-2</v>
      </c>
      <c r="BG179" s="260">
        <f>+BG176-BG178</f>
        <v>0.06</v>
      </c>
      <c r="BH179" s="260">
        <f>+BH176-BH178</f>
        <v>4.1999999999999996E-2</v>
      </c>
      <c r="BI179" s="449">
        <f>+SUMPRODUCT(BE179:BH179,AY$174:BB$174)/BC$174</f>
        <v>6.6778440145031107E-2</v>
      </c>
      <c r="BJ179" s="264"/>
      <c r="BK179" s="259">
        <f>+BK176-BK178</f>
        <v>5.9086631877826951E-2</v>
      </c>
      <c r="BL179" s="260">
        <f>+BL176-BL178</f>
        <v>4.7237835711525775E-2</v>
      </c>
      <c r="BM179" s="260">
        <f>+BM176-BM178</f>
        <v>5.3999999999999999E-2</v>
      </c>
      <c r="BN179" s="260">
        <f>+BN176-BN178</f>
        <v>5.1108063163142758E-2</v>
      </c>
      <c r="BO179" s="449">
        <f>+SUMPRODUCT(BK179:BN179,BE$174:BH$174)/BI$174</f>
        <v>5.2733886979481143E-2</v>
      </c>
      <c r="BP179" s="264"/>
      <c r="BQ179" s="259">
        <f>+BQ176-BQ178</f>
        <v>3.9206612296900145E-2</v>
      </c>
      <c r="BR179" s="260">
        <f>+BR176-BR178</f>
        <v>5.6074814558657149E-2</v>
      </c>
      <c r="BS179" s="260">
        <f>+BS176-BS178</f>
        <v>4.9411499160256112E-2</v>
      </c>
      <c r="BT179" s="260">
        <f>+BT176-BT178</f>
        <v>4.6674771721355812E-2</v>
      </c>
      <c r="BU179" s="449">
        <f>+SUMPRODUCT(BQ179:BT179,BK$174:BN$174)/BO$174</f>
        <v>4.7925095792404553E-2</v>
      </c>
      <c r="BV179" s="264"/>
      <c r="BW179" s="259">
        <f>+BW176-BW178</f>
        <v>4.3095288394244369E-2</v>
      </c>
      <c r="BX179" s="260">
        <f>+BX176-BX178</f>
        <v>4.3189642091445046E-2</v>
      </c>
      <c r="BY179" s="260">
        <f>+BY176-BY178</f>
        <v>4.3287644178028106E-2</v>
      </c>
      <c r="BZ179" s="260">
        <f>+BZ176-BZ178</f>
        <v>4.2519121852787167E-2</v>
      </c>
      <c r="CA179" s="449">
        <f>+SUMPRODUCT(BW179:BZ179,BQ$174:BT$174)/BU$174</f>
        <v>4.3015834603324705E-2</v>
      </c>
      <c r="CB179" s="264"/>
      <c r="CC179" s="259">
        <f>+CC176-CC178</f>
        <v>3.9550999455346902E-2</v>
      </c>
      <c r="CD179" s="260">
        <f>+CD176-CD178</f>
        <v>3.9846946950818918E-2</v>
      </c>
      <c r="CE179" s="260">
        <f>+CE176-CE178</f>
        <v>3.9800870049008008E-2</v>
      </c>
      <c r="CF179" s="260">
        <f>+CF176-CF178</f>
        <v>3.9382976591192609E-2</v>
      </c>
      <c r="CG179" s="449">
        <f>+SUMPRODUCT(CC179:CF179,BW$174:BZ$174)/CA$174</f>
        <v>3.964371707567016E-2</v>
      </c>
    </row>
    <row r="180" spans="1:85" ht="11.25" customHeight="1" outlineLevel="1" x14ac:dyDescent="0.2">
      <c r="B180" s="1148" t="s">
        <v>44</v>
      </c>
      <c r="C180" s="112">
        <f>+'P&amp;L'!C8-RevBuild!C174</f>
        <v>0</v>
      </c>
      <c r="D180" s="112">
        <f>+'P&amp;L'!D8-RevBuild!D174</f>
        <v>0</v>
      </c>
      <c r="E180" s="112">
        <f>+'P&amp;L'!E8-RevBuild!E174</f>
        <v>0</v>
      </c>
      <c r="F180" s="112">
        <f>+'P&amp;L'!F8-RevBuild!F174</f>
        <v>0</v>
      </c>
      <c r="G180" s="451">
        <f>+'P&amp;L'!G8-RevBuild!G174</f>
        <v>0</v>
      </c>
      <c r="H180" s="109"/>
      <c r="I180" s="111">
        <f>+'P&amp;L'!I8-RevBuild!I174</f>
        <v>0</v>
      </c>
      <c r="J180" s="112">
        <f>+'P&amp;L'!J8-RevBuild!J174</f>
        <v>0</v>
      </c>
      <c r="K180" s="112">
        <f>+'P&amp;L'!K8-RevBuild!K174</f>
        <v>0</v>
      </c>
      <c r="L180" s="112">
        <f>+'P&amp;L'!L8-RevBuild!L174</f>
        <v>0</v>
      </c>
      <c r="M180" s="451">
        <f>+'P&amp;L'!M8-RevBuild!M174</f>
        <v>0</v>
      </c>
      <c r="N180" s="109"/>
      <c r="O180" s="111">
        <f>+'P&amp;L'!O8-RevBuild!O174</f>
        <v>0</v>
      </c>
      <c r="P180" s="112">
        <f>+'P&amp;L'!P8-RevBuild!P174</f>
        <v>0</v>
      </c>
      <c r="Q180" s="112">
        <f>+'P&amp;L'!Q8-RevBuild!Q174</f>
        <v>0</v>
      </c>
      <c r="R180" s="112">
        <f>+'P&amp;L'!R8-RevBuild!R174</f>
        <v>0</v>
      </c>
      <c r="S180" s="451">
        <f>+'P&amp;L'!S8-RevBuild!S174</f>
        <v>0</v>
      </c>
      <c r="T180" s="109"/>
      <c r="U180" s="111">
        <f>+'P&amp;L'!U8-RevBuild!U174</f>
        <v>0</v>
      </c>
      <c r="V180" s="112">
        <f>+'P&amp;L'!V8-RevBuild!V174</f>
        <v>0</v>
      </c>
      <c r="W180" s="112">
        <f>+'P&amp;L'!W8-RevBuild!W174</f>
        <v>0</v>
      </c>
      <c r="X180" s="112">
        <f>+'P&amp;L'!X8-RevBuild!X174</f>
        <v>0</v>
      </c>
      <c r="Y180" s="451">
        <f>+'P&amp;L'!Y8-RevBuild!Y174</f>
        <v>0</v>
      </c>
      <c r="Z180" s="109"/>
      <c r="AA180" s="111">
        <f>+'P&amp;L'!AA8-RevBuild!AA174</f>
        <v>0</v>
      </c>
      <c r="AB180" s="112">
        <f>+'P&amp;L'!AB8-RevBuild!AB174</f>
        <v>0</v>
      </c>
      <c r="AC180" s="112">
        <f>+'P&amp;L'!AC8-RevBuild!AC174</f>
        <v>0</v>
      </c>
      <c r="AD180" s="112">
        <f>+'P&amp;L'!AD8-RevBuild!AD174</f>
        <v>0</v>
      </c>
      <c r="AE180" s="451">
        <f>+'P&amp;L'!AE8-RevBuild!AE174</f>
        <v>0</v>
      </c>
      <c r="AF180" s="109"/>
      <c r="AG180" s="111">
        <f>+'P&amp;L'!AG8-RevBuild!AG174</f>
        <v>0</v>
      </c>
      <c r="AH180" s="112">
        <f>+'P&amp;L'!AH8-RevBuild!AH174</f>
        <v>0</v>
      </c>
      <c r="AI180" s="112">
        <f>+'P&amp;L'!AI8-RevBuild!AI174</f>
        <v>0</v>
      </c>
      <c r="AJ180" s="112">
        <f>+'P&amp;L'!AJ8-RevBuild!AJ174</f>
        <v>0</v>
      </c>
      <c r="AK180" s="451">
        <f>+'P&amp;L'!AK8-RevBuild!AK174</f>
        <v>0</v>
      </c>
      <c r="AL180" s="109"/>
      <c r="AM180" s="111">
        <f>+'P&amp;L'!AM8-RevBuild!AM174</f>
        <v>0</v>
      </c>
      <c r="AN180" s="112">
        <f>+'P&amp;L'!AN8-RevBuild!AN174</f>
        <v>0</v>
      </c>
      <c r="AO180" s="112">
        <f>+'P&amp;L'!AO8-RevBuild!AO174</f>
        <v>0</v>
      </c>
      <c r="AP180" s="112">
        <f>+'P&amp;L'!AP8-RevBuild!AP174</f>
        <v>0</v>
      </c>
      <c r="AQ180" s="451">
        <f>+'P&amp;L'!AQ8-RevBuild!AQ174</f>
        <v>0</v>
      </c>
      <c r="AR180" s="109"/>
      <c r="AS180" s="111">
        <f>+'P&amp;L'!AS8-RevBuild!AS174</f>
        <v>0</v>
      </c>
      <c r="AT180" s="112">
        <f>+'P&amp;L'!AT8-RevBuild!AT174</f>
        <v>0</v>
      </c>
      <c r="AU180" s="112">
        <f>+'P&amp;L'!AU8-RevBuild!AU174</f>
        <v>0</v>
      </c>
      <c r="AV180" s="112">
        <f>+'P&amp;L'!AV8-RevBuild!AV174</f>
        <v>0</v>
      </c>
      <c r="AW180" s="451">
        <f>+'P&amp;L'!AW8-RevBuild!AW174</f>
        <v>0</v>
      </c>
      <c r="AX180" s="109"/>
      <c r="AY180" s="111">
        <f>+'P&amp;L'!AY8-RevBuild!AY174</f>
        <v>0</v>
      </c>
      <c r="AZ180" s="112">
        <f>+'P&amp;L'!AZ8-RevBuild!AZ174</f>
        <v>0</v>
      </c>
      <c r="BA180" s="112">
        <f>+'P&amp;L'!BA8-RevBuild!BA174</f>
        <v>0</v>
      </c>
      <c r="BB180" s="112">
        <f>+'P&amp;L'!BB8-RevBuild!BB174</f>
        <v>0</v>
      </c>
      <c r="BC180" s="451">
        <f>+'P&amp;L'!BC8-RevBuild!BC174</f>
        <v>0</v>
      </c>
      <c r="BD180" s="109"/>
      <c r="BE180" s="111">
        <f>+'P&amp;L'!BE8-RevBuild!BE174</f>
        <v>1.6999999999825377E-2</v>
      </c>
      <c r="BF180" s="112">
        <f>+'P&amp;L'!BF8-RevBuild!BF174</f>
        <v>0</v>
      </c>
      <c r="BG180" s="112">
        <f>+'P&amp;L'!BG8-RevBuild!BG174</f>
        <v>0</v>
      </c>
      <c r="BH180" s="112">
        <f>+'P&amp;L'!BH8-RevBuild!BH174</f>
        <v>0</v>
      </c>
      <c r="BI180" s="451">
        <f>+'P&amp;L'!BI8-RevBuild!BI174</f>
        <v>1.7000000001644366E-2</v>
      </c>
      <c r="BJ180" s="109"/>
      <c r="BK180" s="111">
        <f>+'P&amp;L'!BK8-RevBuild!BK174</f>
        <v>0</v>
      </c>
      <c r="BL180" s="112">
        <f>+'P&amp;L'!BL8-RevBuild!BL174</f>
        <v>0</v>
      </c>
      <c r="BM180" s="112">
        <f>+'P&amp;L'!BM8-RevBuild!BM174</f>
        <v>0</v>
      </c>
      <c r="BN180" s="112">
        <f>+'P&amp;L'!BN8-RevBuild!BN174</f>
        <v>-3.9999999999508873E-2</v>
      </c>
      <c r="BO180" s="451">
        <f>+'P&amp;L'!BO8-RevBuild!BO174</f>
        <v>-3.9999999999054126E-2</v>
      </c>
      <c r="BP180" s="109"/>
      <c r="BQ180" s="111">
        <f>+'P&amp;L'!BQ8-RevBuild!BQ174</f>
        <v>0</v>
      </c>
      <c r="BR180" s="112">
        <f>+'P&amp;L'!BR8-RevBuild!BR174</f>
        <v>0</v>
      </c>
      <c r="BS180" s="112">
        <f>+'P&amp;L'!BS8-RevBuild!BS174</f>
        <v>0</v>
      </c>
      <c r="BT180" s="112">
        <f>+'P&amp;L'!BT8-RevBuild!BT174</f>
        <v>0</v>
      </c>
      <c r="BU180" s="451">
        <f>+'P&amp;L'!BU8-RevBuild!BU174</f>
        <v>0</v>
      </c>
      <c r="BV180" s="109"/>
      <c r="BW180" s="111">
        <f>+'P&amp;L'!BW8-RevBuild!BW174</f>
        <v>0</v>
      </c>
      <c r="BX180" s="112">
        <f>+'P&amp;L'!BX8-RevBuild!BX174</f>
        <v>0</v>
      </c>
      <c r="BY180" s="112">
        <f>+'P&amp;L'!BY8-RevBuild!BY174</f>
        <v>0</v>
      </c>
      <c r="BZ180" s="112">
        <f>+'P&amp;L'!BZ8-RevBuild!BZ174</f>
        <v>0</v>
      </c>
      <c r="CA180" s="451">
        <f>+'P&amp;L'!CA8-RevBuild!CA174</f>
        <v>0</v>
      </c>
      <c r="CB180" s="109"/>
      <c r="CC180" s="111">
        <f>+'P&amp;L'!CC8-RevBuild!CC174</f>
        <v>0</v>
      </c>
      <c r="CD180" s="112">
        <f>+'P&amp;L'!CD8-RevBuild!CD174</f>
        <v>0</v>
      </c>
      <c r="CE180" s="112">
        <f>+'P&amp;L'!CE8-RevBuild!CE174</f>
        <v>0</v>
      </c>
      <c r="CF180" s="112">
        <f>+'P&amp;L'!CF8-RevBuild!CF174</f>
        <v>0</v>
      </c>
      <c r="CG180" s="451">
        <f>+'P&amp;L'!CG8-RevBuild!CG174</f>
        <v>0</v>
      </c>
    </row>
    <row r="181" spans="1:85" ht="11.25" customHeight="1" x14ac:dyDescent="0.2">
      <c r="A181" s="78"/>
      <c r="B181" s="774"/>
      <c r="C181" s="129"/>
      <c r="D181" s="129"/>
      <c r="E181" s="129"/>
      <c r="F181" s="129"/>
      <c r="G181" s="452"/>
      <c r="H181" s="109"/>
      <c r="I181" s="128"/>
      <c r="J181" s="129"/>
      <c r="K181" s="129"/>
      <c r="L181" s="129"/>
      <c r="M181" s="452"/>
      <c r="N181" s="109"/>
      <c r="O181" s="128"/>
      <c r="P181" s="129"/>
      <c r="Q181" s="129"/>
      <c r="R181" s="129"/>
      <c r="S181" s="452"/>
      <c r="T181" s="109"/>
      <c r="U181" s="128"/>
      <c r="V181" s="129"/>
      <c r="W181" s="129"/>
      <c r="X181" s="129"/>
      <c r="Y181" s="452"/>
      <c r="Z181" s="109"/>
      <c r="AA181" s="128"/>
      <c r="AB181" s="129"/>
      <c r="AC181" s="129"/>
      <c r="AD181" s="129"/>
      <c r="AE181" s="452"/>
      <c r="AF181" s="109"/>
      <c r="AG181" s="128"/>
      <c r="AH181" s="129"/>
      <c r="AI181" s="129"/>
      <c r="AJ181" s="129"/>
      <c r="AK181" s="452"/>
      <c r="AL181" s="109"/>
      <c r="AM181" s="128"/>
      <c r="AN181" s="129"/>
      <c r="AO181" s="129"/>
      <c r="AP181" s="129"/>
      <c r="AQ181" s="452"/>
      <c r="AR181" s="109"/>
      <c r="AS181" s="128"/>
      <c r="AT181" s="129"/>
      <c r="AU181" s="129"/>
      <c r="AV181" s="129"/>
      <c r="AW181" s="452"/>
      <c r="AX181" s="109"/>
      <c r="AY181" s="128"/>
      <c r="AZ181" s="129"/>
      <c r="BA181" s="129"/>
      <c r="BB181" s="129"/>
      <c r="BC181" s="452"/>
      <c r="BD181" s="109"/>
      <c r="BE181" s="128"/>
      <c r="BF181" s="129"/>
      <c r="BG181" s="129"/>
      <c r="BH181" s="129"/>
      <c r="BI181" s="452"/>
      <c r="BJ181" s="109"/>
      <c r="BK181" s="128"/>
      <c r="BL181" s="129"/>
      <c r="BM181" s="129"/>
      <c r="BN181" s="129"/>
      <c r="BO181" s="452"/>
      <c r="BP181" s="109"/>
      <c r="BQ181" s="128"/>
      <c r="BR181" s="129"/>
      <c r="BS181" s="129"/>
      <c r="BT181" s="129"/>
      <c r="BU181" s="452"/>
      <c r="BV181" s="109"/>
      <c r="BW181" s="128"/>
      <c r="BX181" s="129"/>
      <c r="BY181" s="129"/>
      <c r="BZ181" s="129"/>
      <c r="CA181" s="452"/>
      <c r="CB181" s="109"/>
      <c r="CC181" s="128"/>
      <c r="CD181" s="129"/>
      <c r="CE181" s="129"/>
      <c r="CF181" s="129"/>
      <c r="CG181" s="452"/>
    </row>
    <row r="182" spans="1:85" ht="11.25" customHeight="1" x14ac:dyDescent="0.2">
      <c r="A182" s="78"/>
      <c r="B182" s="790"/>
      <c r="C182" s="61"/>
      <c r="D182" s="61"/>
      <c r="E182" s="61"/>
      <c r="F182" s="61"/>
      <c r="G182" s="61"/>
      <c r="H182" s="109"/>
      <c r="I182" s="61"/>
      <c r="J182" s="61"/>
      <c r="K182" s="61"/>
      <c r="L182" s="61"/>
      <c r="M182" s="61"/>
      <c r="N182" s="109"/>
      <c r="O182" s="61"/>
      <c r="P182" s="61"/>
      <c r="Q182" s="61"/>
      <c r="R182" s="61"/>
      <c r="S182" s="61"/>
      <c r="T182" s="109"/>
      <c r="U182" s="61"/>
      <c r="V182" s="61"/>
      <c r="W182" s="61"/>
      <c r="X182" s="61"/>
      <c r="Y182" s="61"/>
      <c r="Z182" s="109"/>
      <c r="AA182" s="61"/>
      <c r="AB182" s="61"/>
      <c r="AC182" s="61"/>
      <c r="AD182" s="61"/>
      <c r="AE182" s="61"/>
      <c r="AF182" s="109"/>
      <c r="AG182" s="61"/>
      <c r="AH182" s="61"/>
      <c r="AI182" s="61"/>
      <c r="AJ182" s="61"/>
      <c r="AK182" s="61"/>
      <c r="AL182" s="109"/>
      <c r="AM182" s="61"/>
      <c r="AN182" s="61"/>
      <c r="AO182" s="61"/>
      <c r="AP182" s="61"/>
      <c r="AQ182" s="61"/>
      <c r="AR182" s="109"/>
      <c r="AS182" s="61"/>
      <c r="AT182" s="61"/>
      <c r="AU182" s="61"/>
      <c r="AV182" s="61"/>
      <c r="AW182" s="61"/>
      <c r="AX182" s="109"/>
      <c r="AY182" s="61"/>
      <c r="AZ182" s="61"/>
      <c r="BA182" s="61"/>
      <c r="BB182" s="61"/>
      <c r="BC182" s="61"/>
      <c r="BD182" s="109"/>
      <c r="BE182" s="61"/>
      <c r="BF182" s="61"/>
      <c r="BG182" s="1153"/>
      <c r="BH182" s="61"/>
      <c r="BI182" s="61"/>
      <c r="BJ182" s="109"/>
      <c r="BK182" s="61"/>
      <c r="BL182" s="61"/>
      <c r="BM182" s="61"/>
      <c r="BN182" s="61"/>
      <c r="BO182" s="61"/>
      <c r="BP182" s="109"/>
      <c r="BQ182" s="61"/>
      <c r="BR182" s="61"/>
      <c r="BS182" s="61"/>
      <c r="BT182" s="61"/>
      <c r="BU182" s="1153"/>
      <c r="BV182" s="109"/>
      <c r="BW182" s="776"/>
      <c r="BX182" s="61"/>
      <c r="BY182" s="61"/>
      <c r="BZ182" s="61"/>
      <c r="CA182" s="61"/>
      <c r="CB182" s="109"/>
      <c r="CC182" s="61"/>
      <c r="CD182" s="61"/>
      <c r="CE182" s="61"/>
      <c r="CF182" s="61"/>
      <c r="CG182" s="61"/>
    </row>
    <row r="183" spans="1:85" ht="11.25" customHeight="1" outlineLevel="1" x14ac:dyDescent="0.2">
      <c r="A183" s="78"/>
      <c r="B183" s="994" t="s">
        <v>526</v>
      </c>
      <c r="C183" s="995"/>
      <c r="D183" s="995"/>
      <c r="E183" s="995"/>
      <c r="F183" s="995"/>
      <c r="G183" s="995"/>
      <c r="H183" s="994"/>
      <c r="I183" s="995"/>
      <c r="J183" s="995"/>
      <c r="K183" s="995"/>
      <c r="L183" s="995"/>
      <c r="M183" s="995"/>
      <c r="N183" s="994"/>
      <c r="O183" s="995"/>
      <c r="P183" s="995"/>
      <c r="Q183" s="995"/>
      <c r="R183" s="995"/>
      <c r="S183" s="995"/>
      <c r="T183" s="994"/>
      <c r="U183" s="995"/>
      <c r="V183" s="995"/>
      <c r="W183" s="995"/>
      <c r="X183" s="995"/>
      <c r="Y183" s="995"/>
      <c r="Z183" s="994"/>
      <c r="AA183" s="995"/>
      <c r="AB183" s="995"/>
      <c r="AC183" s="995"/>
      <c r="AD183" s="995"/>
      <c r="AE183" s="995"/>
      <c r="AF183" s="994"/>
      <c r="AG183" s="995"/>
      <c r="AH183" s="995"/>
      <c r="AI183" s="995"/>
      <c r="AJ183" s="995"/>
      <c r="AK183" s="995"/>
      <c r="AL183" s="994"/>
      <c r="AM183" s="995"/>
      <c r="AN183" s="995"/>
      <c r="AO183" s="995"/>
      <c r="AP183" s="995"/>
      <c r="AQ183" s="995"/>
      <c r="AR183" s="994"/>
      <c r="AS183" s="995"/>
      <c r="AT183" s="995"/>
      <c r="AU183" s="995"/>
      <c r="AV183" s="995"/>
      <c r="AW183" s="995"/>
      <c r="AX183" s="994"/>
      <c r="AY183" s="995"/>
      <c r="AZ183" s="995"/>
      <c r="BA183" s="995"/>
      <c r="BB183" s="995"/>
      <c r="BC183" s="995"/>
      <c r="BD183" s="994"/>
      <c r="BE183" s="995"/>
      <c r="BF183" s="995"/>
      <c r="BG183" s="995"/>
      <c r="BH183" s="995"/>
      <c r="BI183" s="995"/>
      <c r="BJ183" s="994"/>
      <c r="BK183" s="995"/>
      <c r="BL183" s="995"/>
      <c r="BM183" s="995"/>
      <c r="BN183" s="995"/>
      <c r="BO183" s="995"/>
      <c r="BP183" s="994"/>
      <c r="BQ183" s="995"/>
      <c r="BR183" s="995"/>
      <c r="BS183" s="995"/>
      <c r="BT183" s="995"/>
      <c r="BU183" s="995"/>
      <c r="BV183" s="994"/>
      <c r="BW183" s="995"/>
      <c r="BX183" s="995"/>
      <c r="BY183" s="995"/>
      <c r="BZ183" s="995"/>
      <c r="CA183" s="995"/>
      <c r="CB183" s="994"/>
      <c r="CC183" s="995"/>
      <c r="CD183" s="995"/>
      <c r="CE183" s="995"/>
      <c r="CF183" s="995"/>
      <c r="CG183" s="996"/>
    </row>
    <row r="184" spans="1:85" ht="11.25" customHeight="1" outlineLevel="1" x14ac:dyDescent="0.2">
      <c r="A184" s="78"/>
      <c r="B184" s="812" t="s">
        <v>523</v>
      </c>
      <c r="C184" s="813"/>
      <c r="D184" s="813"/>
      <c r="E184" s="813"/>
      <c r="F184" s="813"/>
      <c r="G184" s="813"/>
      <c r="H184" s="812"/>
      <c r="I184" s="813"/>
      <c r="J184" s="813"/>
      <c r="K184" s="813"/>
      <c r="L184" s="813"/>
      <c r="M184" s="813"/>
      <c r="N184" s="812"/>
      <c r="O184" s="813"/>
      <c r="P184" s="813"/>
      <c r="Q184" s="813"/>
      <c r="R184" s="813"/>
      <c r="S184" s="813"/>
      <c r="T184" s="812"/>
      <c r="U184" s="813"/>
      <c r="V184" s="813"/>
      <c r="W184" s="813"/>
      <c r="X184" s="813"/>
      <c r="Y184" s="813"/>
      <c r="Z184" s="812"/>
      <c r="AA184" s="813"/>
      <c r="AB184" s="813"/>
      <c r="AC184" s="813"/>
      <c r="AD184" s="813"/>
      <c r="AE184" s="813"/>
      <c r="AF184" s="812"/>
      <c r="AG184" s="813"/>
      <c r="AH184" s="813"/>
      <c r="AI184" s="813"/>
      <c r="AJ184" s="813"/>
      <c r="AK184" s="813"/>
      <c r="AL184" s="812"/>
      <c r="AM184" s="813"/>
      <c r="AN184" s="813"/>
      <c r="AO184" s="813"/>
      <c r="AP184" s="813"/>
      <c r="AQ184" s="813"/>
      <c r="AR184" s="812"/>
      <c r="AS184" s="813"/>
      <c r="AT184" s="813"/>
      <c r="AU184" s="813"/>
      <c r="AV184" s="813"/>
      <c r="AW184" s="813"/>
      <c r="AX184" s="812"/>
      <c r="AY184" s="813"/>
      <c r="AZ184" s="813"/>
      <c r="BA184" s="813"/>
      <c r="BB184" s="813"/>
      <c r="BC184" s="813"/>
      <c r="BD184" s="812"/>
      <c r="BE184" s="813"/>
      <c r="BF184" s="813"/>
      <c r="BG184" s="813"/>
      <c r="BH184" s="813"/>
      <c r="BI184" s="813"/>
      <c r="BJ184" s="812"/>
      <c r="BK184" s="813"/>
      <c r="BL184" s="813"/>
      <c r="BM184" s="813"/>
      <c r="BN184" s="813"/>
      <c r="BO184" s="813"/>
      <c r="BP184" s="812"/>
      <c r="BQ184" s="813"/>
      <c r="BR184" s="813"/>
      <c r="BS184" s="813"/>
      <c r="BT184" s="813"/>
      <c r="BU184" s="813"/>
      <c r="BV184" s="812"/>
      <c r="BW184" s="813"/>
      <c r="BX184" s="813"/>
      <c r="BY184" s="813"/>
      <c r="BZ184" s="813"/>
      <c r="CA184" s="813"/>
      <c r="CB184" s="812"/>
      <c r="CC184" s="813"/>
      <c r="CD184" s="813"/>
      <c r="CE184" s="813"/>
      <c r="CF184" s="813"/>
      <c r="CG184" s="814"/>
    </row>
    <row r="185" spans="1:85" ht="11.25" customHeight="1" outlineLevel="1" x14ac:dyDescent="0.2">
      <c r="A185" s="78"/>
      <c r="B185" s="98" t="s">
        <v>460</v>
      </c>
      <c r="C185" s="271"/>
      <c r="D185" s="272"/>
      <c r="E185" s="272"/>
      <c r="F185" s="272"/>
      <c r="G185" s="456"/>
      <c r="H185" s="62"/>
      <c r="I185" s="271"/>
      <c r="J185" s="272"/>
      <c r="K185" s="272"/>
      <c r="L185" s="272"/>
      <c r="M185" s="456"/>
      <c r="N185" s="62"/>
      <c r="O185" s="271"/>
      <c r="P185" s="272"/>
      <c r="Q185" s="272"/>
      <c r="R185" s="272"/>
      <c r="S185" s="456"/>
      <c r="T185" s="62"/>
      <c r="U185" s="792"/>
      <c r="V185" s="278"/>
      <c r="W185" s="278"/>
      <c r="X185" s="278"/>
      <c r="Y185" s="793"/>
      <c r="Z185" s="62"/>
      <c r="AA185" s="792">
        <f>+AA8/AA$56</f>
        <v>0.52778621035811601</v>
      </c>
      <c r="AB185" s="278">
        <f>+AB8/AB$56</f>
        <v>0.53042148988938886</v>
      </c>
      <c r="AC185" s="278">
        <f>+AC8/AC$56</f>
        <v>0.49422744063666058</v>
      </c>
      <c r="AD185" s="278">
        <f>+AD8/AD$56</f>
        <v>0.54026382910887938</v>
      </c>
      <c r="AE185" s="793">
        <f>+AE8/AE$56</f>
        <v>0.52337086581514802</v>
      </c>
      <c r="AF185" s="62"/>
      <c r="AG185" s="792">
        <f>+AG8/AG$56</f>
        <v>0.51659930929147724</v>
      </c>
      <c r="AH185" s="278">
        <f>+AH8/AH$56</f>
        <v>0.51425638153903586</v>
      </c>
      <c r="AI185" s="278">
        <f>+AI8/AI$56</f>
        <v>0.48407603192717841</v>
      </c>
      <c r="AJ185" s="278">
        <f>+AJ8/AJ$56</f>
        <v>0.52395024660008493</v>
      </c>
      <c r="AK185" s="793">
        <f>+AK8/AK$56</f>
        <v>0.50970252233209046</v>
      </c>
      <c r="AL185" s="62"/>
      <c r="AM185" s="792">
        <f>+AM8/AM$56</f>
        <v>0.49125942789734284</v>
      </c>
      <c r="AN185" s="278">
        <f>+AN8/AN$56</f>
        <v>0.50294123804140756</v>
      </c>
      <c r="AO185" s="278">
        <f>+AO8/AO$56</f>
        <v>0.48269368166003979</v>
      </c>
      <c r="AP185" s="278">
        <f>+AP8/AP$56</f>
        <v>0.51302549534300912</v>
      </c>
      <c r="AQ185" s="793">
        <f>+AQ8/AQ$56</f>
        <v>0.49769492835243839</v>
      </c>
      <c r="AR185" s="62"/>
      <c r="AS185" s="792">
        <f>+AS8/AS$56</f>
        <v>0.50723184820928968</v>
      </c>
      <c r="AT185" s="278">
        <f>+AT8/AT$56</f>
        <v>0.50639708892315161</v>
      </c>
      <c r="AU185" s="278">
        <f>+AU8/AU$56</f>
        <v>0.47411417719552101</v>
      </c>
      <c r="AV185" s="278">
        <f>+AV8/AV$56</f>
        <v>0.49699059528569872</v>
      </c>
      <c r="AW185" s="793">
        <f>+AW8/AW$56</f>
        <v>0.49573591760914765</v>
      </c>
      <c r="AX185" s="62"/>
      <c r="AY185" s="792">
        <f>+AY8/AY$56</f>
        <v>0.48629717883637402</v>
      </c>
      <c r="AZ185" s="278">
        <f>+AZ8/AZ$56</f>
        <v>0.48427475279917115</v>
      </c>
      <c r="BA185" s="278">
        <f>+BA8/BA$56</f>
        <v>0.45032482241570598</v>
      </c>
      <c r="BB185" s="278">
        <f>+BB8/BB$56</f>
        <v>0.48168413238191976</v>
      </c>
      <c r="BC185" s="793">
        <f>+BC8/BC$56</f>
        <v>0.47519857569427898</v>
      </c>
      <c r="BD185" s="62"/>
      <c r="BE185" s="792">
        <f>+BE8/BE$56</f>
        <v>0.45380874233470658</v>
      </c>
      <c r="BF185" s="278">
        <f>+BF8/BF$56</f>
        <v>0.45037397401043228</v>
      </c>
      <c r="BG185" s="278">
        <f>+BG8/BG$56</f>
        <v>0.44102278185513832</v>
      </c>
      <c r="BH185" s="278">
        <f>+BH8/BH$56</f>
        <v>0.47107050952862634</v>
      </c>
      <c r="BI185" s="793">
        <f>+BI8/BI$56</f>
        <v>0.45438862369921396</v>
      </c>
      <c r="BJ185" s="62"/>
      <c r="BK185" s="792">
        <f>+BK8/BK$56</f>
        <v>0.43788506788728188</v>
      </c>
      <c r="BL185" s="278">
        <f>+BL8/BL$56</f>
        <v>0.44955998380054574</v>
      </c>
      <c r="BM185" s="278">
        <f>+BM8/BM$56</f>
        <v>0.42826555091709329</v>
      </c>
      <c r="BN185" s="278">
        <f>+BN8/BN$56</f>
        <v>0.47034917047595398</v>
      </c>
      <c r="BO185" s="793">
        <f>+BO8/BO$56</f>
        <v>0.44687717677883593</v>
      </c>
      <c r="BP185" s="62"/>
      <c r="BQ185" s="792">
        <f>+BQ8/BQ$56</f>
        <v>0.43863214723176469</v>
      </c>
      <c r="BR185" s="278">
        <f>+BR8/BR$56</f>
        <v>0.42606380025782553</v>
      </c>
      <c r="BS185" s="278">
        <f>+BS8/BS$56</f>
        <v>0.41509360963879249</v>
      </c>
      <c r="BT185" s="278">
        <f>+BT8/BT$56</f>
        <v>0.44907355221450496</v>
      </c>
      <c r="BU185" s="793">
        <f>+BU8/BU$56</f>
        <v>0.43215940470084274</v>
      </c>
      <c r="BV185" s="62"/>
      <c r="BW185" s="792">
        <f>+BW8/BW$56</f>
        <v>0.42764593990405247</v>
      </c>
      <c r="BX185" s="278">
        <f>+BX8/BX$56</f>
        <v>0.41918694097533288</v>
      </c>
      <c r="BY185" s="278">
        <f>+BY8/BY$56</f>
        <v>0.40838341725425592</v>
      </c>
      <c r="BZ185" s="278">
        <f>+BZ8/BZ$56</f>
        <v>0.44221207135275142</v>
      </c>
      <c r="CA185" s="793">
        <f>+CA8/CA$56</f>
        <v>0.42436099364777657</v>
      </c>
      <c r="CB185" s="62"/>
      <c r="CC185" s="792">
        <f>+CC8/CC$56</f>
        <v>0.42291455544722589</v>
      </c>
      <c r="CD185" s="278">
        <f>+CD8/CD$56</f>
        <v>0.41443103472860582</v>
      </c>
      <c r="CE185" s="278">
        <f>+CE8/CE$56</f>
        <v>0.40379629744670065</v>
      </c>
      <c r="CF185" s="278">
        <f>+CF8/CF$56</f>
        <v>0.43748859495894299</v>
      </c>
      <c r="CG185" s="793">
        <f>+CG8/CG$56</f>
        <v>0.41965973574431154</v>
      </c>
    </row>
    <row r="186" spans="1:85" ht="11.25" customHeight="1" outlineLevel="1" x14ac:dyDescent="0.2">
      <c r="A186" s="78"/>
      <c r="B186" s="98" t="s">
        <v>461</v>
      </c>
      <c r="C186" s="271"/>
      <c r="D186" s="272"/>
      <c r="E186" s="272"/>
      <c r="F186" s="272"/>
      <c r="G186" s="456"/>
      <c r="H186" s="62"/>
      <c r="I186" s="271"/>
      <c r="J186" s="272"/>
      <c r="K186" s="272"/>
      <c r="L186" s="272"/>
      <c r="M186" s="456"/>
      <c r="N186" s="62"/>
      <c r="O186" s="271"/>
      <c r="P186" s="272"/>
      <c r="Q186" s="272"/>
      <c r="R186" s="272"/>
      <c r="S186" s="456"/>
      <c r="T186" s="62"/>
      <c r="U186" s="792"/>
      <c r="V186" s="278"/>
      <c r="W186" s="278"/>
      <c r="X186" s="278"/>
      <c r="Y186" s="793"/>
      <c r="Z186" s="62"/>
      <c r="AA186" s="792">
        <f>+AA28/AA$56</f>
        <v>0.18198902007864057</v>
      </c>
      <c r="AB186" s="278">
        <f>+AB28/AB$56</f>
        <v>0.19315250269339881</v>
      </c>
      <c r="AC186" s="278">
        <f>+AC28/AC$56</f>
        <v>0.17722314546418136</v>
      </c>
      <c r="AD186" s="278">
        <f>+AD28/AD$56</f>
        <v>0.16994659652478877</v>
      </c>
      <c r="AE186" s="793">
        <f>+AE28/AE$56</f>
        <v>0.18022613290852155</v>
      </c>
      <c r="AF186" s="62"/>
      <c r="AG186" s="792">
        <f>+AG28/AG$56</f>
        <v>0.1972049643567223</v>
      </c>
      <c r="AH186" s="278">
        <f>+AH28/AH$56</f>
        <v>0.20702590923305908</v>
      </c>
      <c r="AI186" s="278">
        <f>+AI28/AI$56</f>
        <v>0.18722506493462515</v>
      </c>
      <c r="AJ186" s="278">
        <f>+AJ28/AJ$56</f>
        <v>0.18269037383820286</v>
      </c>
      <c r="AK186" s="793">
        <f>+AK28/AK$56</f>
        <v>0.19324339542134894</v>
      </c>
      <c r="AL186" s="62"/>
      <c r="AM186" s="792">
        <f>+AM28/AM$56</f>
        <v>0.21142055484889868</v>
      </c>
      <c r="AN186" s="278">
        <f>+AN28/AN$56</f>
        <v>0.21314882559819132</v>
      </c>
      <c r="AO186" s="278">
        <f>+AO28/AO$56</f>
        <v>0.19745071239231279</v>
      </c>
      <c r="AP186" s="278">
        <f>+AP28/AP$56</f>
        <v>0.1885059772797667</v>
      </c>
      <c r="AQ186" s="793">
        <f>+AQ28/AQ$56</f>
        <v>0.2023460793694577</v>
      </c>
      <c r="AR186" s="62"/>
      <c r="AS186" s="792">
        <f>+AS28/AS$56</f>
        <v>0.20144973099304203</v>
      </c>
      <c r="AT186" s="278">
        <f>+AT28/AT$56</f>
        <v>0.21541564225816812</v>
      </c>
      <c r="AU186" s="278">
        <f>+AU28/AU$56</f>
        <v>0.21524718686966343</v>
      </c>
      <c r="AV186" s="278">
        <f>+AV28/AV$56</f>
        <v>0.20520903115690278</v>
      </c>
      <c r="AW186" s="793">
        <f>+AW28/AW$56</f>
        <v>0.20947590040874839</v>
      </c>
      <c r="AX186" s="62"/>
      <c r="AY186" s="792">
        <f>+AY28/AY$56</f>
        <v>0.20849177461008195</v>
      </c>
      <c r="AZ186" s="278">
        <f>+AZ28/AZ$56</f>
        <v>0.21462740864727156</v>
      </c>
      <c r="BA186" s="278">
        <f>+BA28/BA$56</f>
        <v>0.19732329542214003</v>
      </c>
      <c r="BB186" s="278">
        <f>+BB28/BB$56</f>
        <v>0.1913620944557658</v>
      </c>
      <c r="BC186" s="793">
        <f>+BC28/BC$56</f>
        <v>0.20251959121304305</v>
      </c>
      <c r="BD186" s="62"/>
      <c r="BE186" s="792">
        <f>+BE28/BE$56</f>
        <v>0.21707001923763727</v>
      </c>
      <c r="BF186" s="278">
        <f>+BF28/BF$56</f>
        <v>0.23201633778633401</v>
      </c>
      <c r="BG186" s="278">
        <f>+BG28/BG$56</f>
        <v>0.20250922294610832</v>
      </c>
      <c r="BH186" s="278">
        <f>+BH28/BH$56</f>
        <v>0.20081779511629363</v>
      </c>
      <c r="BI186" s="793">
        <f>+BI28/BI$56</f>
        <v>0.21264857675055324</v>
      </c>
      <c r="BJ186" s="62"/>
      <c r="BK186" s="792">
        <f>+BK28/BK$56</f>
        <v>0.21761207708823543</v>
      </c>
      <c r="BL186" s="278">
        <f>+BL28/BL$56</f>
        <v>0.2331386245638514</v>
      </c>
      <c r="BM186" s="278">
        <f>+BM28/BM$56</f>
        <v>0.21174181605243769</v>
      </c>
      <c r="BN186" s="278">
        <f>+BN28/BN$56</f>
        <v>0.20476821155784034</v>
      </c>
      <c r="BO186" s="793">
        <f>+BO28/BO$56</f>
        <v>0.21651806201108517</v>
      </c>
      <c r="BP186" s="62"/>
      <c r="BQ186" s="792">
        <f>+BQ28/BQ$56</f>
        <v>0.23146892787216711</v>
      </c>
      <c r="BR186" s="278">
        <f>+BR28/BR$56</f>
        <v>0.24669584530131447</v>
      </c>
      <c r="BS186" s="278">
        <f>+BS28/BS$56</f>
        <v>0.22192268199926538</v>
      </c>
      <c r="BT186" s="278">
        <f>+BT28/BT$56</f>
        <v>0.21310131572360241</v>
      </c>
      <c r="BU186" s="793">
        <f>+BU28/BU$56</f>
        <v>0.22805158441848453</v>
      </c>
      <c r="BV186" s="62"/>
      <c r="BW186" s="792">
        <f>+BW28/BW$56</f>
        <v>0.23337729150814482</v>
      </c>
      <c r="BX186" s="278">
        <f>+BX28/BX$56</f>
        <v>0.25100186193674334</v>
      </c>
      <c r="BY186" s="278">
        <f>+BY28/BY$56</f>
        <v>0.22579054072364624</v>
      </c>
      <c r="BZ186" s="278">
        <f>+BZ28/BZ$56</f>
        <v>0.21701074914765231</v>
      </c>
      <c r="CA186" s="793">
        <f>+CA28/CA$56</f>
        <v>0.23158295051617794</v>
      </c>
      <c r="CB186" s="62"/>
      <c r="CC186" s="792">
        <f>+CC28/CC$56</f>
        <v>0.23642440693762651</v>
      </c>
      <c r="CD186" s="278">
        <f>+CD28/CD$56</f>
        <v>0.25420664706865631</v>
      </c>
      <c r="CE186" s="278">
        <f>+CE28/CE$56</f>
        <v>0.2286996030646313</v>
      </c>
      <c r="CF186" s="278">
        <f>+CF28/CF$56</f>
        <v>0.21992916329395273</v>
      </c>
      <c r="CG186" s="793">
        <f>+CG28/CG$56</f>
        <v>0.23460316221753577</v>
      </c>
    </row>
    <row r="187" spans="1:85" ht="11.25" customHeight="1" outlineLevel="1" x14ac:dyDescent="0.2">
      <c r="A187" s="78"/>
      <c r="B187" s="98" t="s">
        <v>462</v>
      </c>
      <c r="C187" s="147"/>
      <c r="D187" s="148"/>
      <c r="E187" s="148"/>
      <c r="F187" s="148"/>
      <c r="G187" s="448"/>
      <c r="H187" s="153"/>
      <c r="I187" s="147"/>
      <c r="J187" s="148"/>
      <c r="K187" s="148"/>
      <c r="L187" s="148"/>
      <c r="M187" s="448"/>
      <c r="N187" s="153"/>
      <c r="O187" s="147"/>
      <c r="P187" s="148"/>
      <c r="Q187" s="148"/>
      <c r="R187" s="148"/>
      <c r="S187" s="448"/>
      <c r="T187" s="153"/>
      <c r="U187" s="792"/>
      <c r="V187" s="278"/>
      <c r="W187" s="278"/>
      <c r="X187" s="278"/>
      <c r="Y187" s="793"/>
      <c r="Z187" s="153"/>
      <c r="AA187" s="792">
        <f>+AA35/AA$56</f>
        <v>0.2527519377448984</v>
      </c>
      <c r="AB187" s="278">
        <f>+AB35/AB$56</f>
        <v>0.2366115580501684</v>
      </c>
      <c r="AC187" s="278">
        <f>+AC35/AC$56</f>
        <v>0.2900309284058819</v>
      </c>
      <c r="AD187" s="278">
        <f>+AD35/AD$56</f>
        <v>0.2488608587066263</v>
      </c>
      <c r="AE187" s="793">
        <f>+AE35/AE$56</f>
        <v>0.25714954938219631</v>
      </c>
      <c r="AF187" s="153"/>
      <c r="AG187" s="792">
        <f>+AG35/AG$56</f>
        <v>0.24597554454597287</v>
      </c>
      <c r="AH187" s="278">
        <f>+AH35/AH$56</f>
        <v>0.23806140792607031</v>
      </c>
      <c r="AI187" s="278">
        <f>+AI35/AI$56</f>
        <v>0.28722675814518944</v>
      </c>
      <c r="AJ187" s="278">
        <f>+AJ35/AJ$56</f>
        <v>0.24708666750575145</v>
      </c>
      <c r="AK187" s="793">
        <f>+AK35/AK$56</f>
        <v>0.25480141236546422</v>
      </c>
      <c r="AL187" s="153"/>
      <c r="AM187" s="792">
        <f>+AM35/AM$56</f>
        <v>0.25331604282570258</v>
      </c>
      <c r="AN187" s="278">
        <f>+AN35/AN$56</f>
        <v>0.24029182105549626</v>
      </c>
      <c r="AO187" s="278">
        <f>+AO35/AO$56</f>
        <v>0.27589087868621603</v>
      </c>
      <c r="AP187" s="278">
        <f>+AP35/AP$56</f>
        <v>0.25077731230465511</v>
      </c>
      <c r="AQ187" s="793">
        <f>+AQ35/AQ$56</f>
        <v>0.25509889622106735</v>
      </c>
      <c r="AR187" s="153"/>
      <c r="AS187" s="792">
        <f>+AS35/AS$56</f>
        <v>0.24723594773955726</v>
      </c>
      <c r="AT187" s="278">
        <f>+AT35/AT$56</f>
        <v>0.23397633095482634</v>
      </c>
      <c r="AU187" s="278">
        <f>+AU35/AU$56</f>
        <v>0.26889279232283986</v>
      </c>
      <c r="AV187" s="278">
        <f>+AV35/AV$56</f>
        <v>0.2542192540738471</v>
      </c>
      <c r="AW187" s="793">
        <f>+AW35/AW$56</f>
        <v>0.25141229957447891</v>
      </c>
      <c r="AX187" s="153"/>
      <c r="AY187" s="792">
        <f>+AY35/AY$56</f>
        <v>0.26166703946967079</v>
      </c>
      <c r="AZ187" s="278">
        <f>+AZ35/AZ$56</f>
        <v>0.25872153325946218</v>
      </c>
      <c r="BA187" s="278">
        <f>+BA35/BA$56</f>
        <v>0.31212168169447863</v>
      </c>
      <c r="BB187" s="278">
        <f>+BB35/BB$56</f>
        <v>0.28546034409877541</v>
      </c>
      <c r="BC187" s="793">
        <f>+BC35/BC$56</f>
        <v>0.28043444128243594</v>
      </c>
      <c r="BD187" s="153"/>
      <c r="BE187" s="792">
        <f>+BE35/BE$56</f>
        <v>0.2823627449754651</v>
      </c>
      <c r="BF187" s="278">
        <f>+BF35/BF$56</f>
        <v>0.27073481015128065</v>
      </c>
      <c r="BG187" s="278">
        <f>+BG35/BG$56</f>
        <v>0.31231317204166298</v>
      </c>
      <c r="BH187" s="278">
        <f>+BH35/BH$56</f>
        <v>0.28334901550628783</v>
      </c>
      <c r="BI187" s="793">
        <f>+BI35/BI$56</f>
        <v>0.28737293197418501</v>
      </c>
      <c r="BJ187" s="153"/>
      <c r="BK187" s="792">
        <f>+BK35/BK$56</f>
        <v>0.29865100736797123</v>
      </c>
      <c r="BL187" s="278">
        <f>+BL35/BL$56</f>
        <v>0.27281595587126756</v>
      </c>
      <c r="BM187" s="278">
        <f>+BM35/BM$56</f>
        <v>0.31754708249116909</v>
      </c>
      <c r="BN187" s="278">
        <f>+BN35/BN$56</f>
        <v>0.2819071933462825</v>
      </c>
      <c r="BO187" s="793">
        <f>+BO35/BO$56</f>
        <v>0.29272005452755506</v>
      </c>
      <c r="BP187" s="153"/>
      <c r="BQ187" s="792">
        <f>+BQ35/BQ$56</f>
        <v>0.2845201795728049</v>
      </c>
      <c r="BR187" s="278">
        <f>+BR35/BR$56</f>
        <v>0.27361886046634493</v>
      </c>
      <c r="BS187" s="278">
        <f>+BS35/BS$56</f>
        <v>0.31219835290331827</v>
      </c>
      <c r="BT187" s="278">
        <f>+BT35/BT$56</f>
        <v>0.28530482674752999</v>
      </c>
      <c r="BU187" s="793">
        <f>+BU35/BU$56</f>
        <v>0.289129172682975</v>
      </c>
      <c r="BV187" s="153"/>
      <c r="BW187" s="792">
        <f>+BW35/BW$56</f>
        <v>0.28415964604937294</v>
      </c>
      <c r="BX187" s="278">
        <f>+BX35/BX$56</f>
        <v>0.27576844570539605</v>
      </c>
      <c r="BY187" s="278">
        <f>+BY35/BY$56</f>
        <v>0.31464301327418381</v>
      </c>
      <c r="BZ187" s="278">
        <f>+BZ35/BZ$56</f>
        <v>0.28779793132392417</v>
      </c>
      <c r="CA187" s="793">
        <f>+CA35/CA$56</f>
        <v>0.29083645087633236</v>
      </c>
      <c r="CB187" s="153"/>
      <c r="CC187" s="792">
        <f>+CC35/CC$56</f>
        <v>0.28512818948573498</v>
      </c>
      <c r="CD187" s="278">
        <f>+CD35/CD$56</f>
        <v>0.27662955040048293</v>
      </c>
      <c r="CE187" s="278">
        <f>+CE35/CE$56</f>
        <v>0.31566163380884849</v>
      </c>
      <c r="CF187" s="278">
        <f>+CF35/CF$56</f>
        <v>0.28889051555850653</v>
      </c>
      <c r="CG187" s="793">
        <f>+CG35/CG$56</f>
        <v>0.29182342839470121</v>
      </c>
    </row>
    <row r="188" spans="1:85" ht="11.25" customHeight="1" outlineLevel="1" x14ac:dyDescent="0.2">
      <c r="A188" s="78"/>
      <c r="B188" s="113" t="s">
        <v>463</v>
      </c>
      <c r="C188" s="259"/>
      <c r="D188" s="260"/>
      <c r="E188" s="260"/>
      <c r="F188" s="260"/>
      <c r="G188" s="449"/>
      <c r="H188" s="268"/>
      <c r="I188" s="259"/>
      <c r="J188" s="260"/>
      <c r="K188" s="260"/>
      <c r="L188" s="260"/>
      <c r="M188" s="449"/>
      <c r="N188" s="268"/>
      <c r="O188" s="259"/>
      <c r="P188" s="260"/>
      <c r="Q188" s="260"/>
      <c r="R188" s="260"/>
      <c r="S188" s="449"/>
      <c r="T188" s="268"/>
      <c r="U188" s="792"/>
      <c r="V188" s="278"/>
      <c r="W188" s="278"/>
      <c r="X188" s="278"/>
      <c r="Y188" s="793"/>
      <c r="Z188" s="268"/>
      <c r="AA188" s="792">
        <f>+AA42/AA$56</f>
        <v>0.96252716818165496</v>
      </c>
      <c r="AB188" s="278">
        <f>+AB42/AB$56</f>
        <v>0.96018555063295619</v>
      </c>
      <c r="AC188" s="278">
        <f>+AC42/AC$56</f>
        <v>0.96148151450672392</v>
      </c>
      <c r="AD188" s="278">
        <f>+AD42/AD$56</f>
        <v>0.95907128434029443</v>
      </c>
      <c r="AE188" s="793">
        <f>+AE42/AE$56</f>
        <v>0.96074654810586579</v>
      </c>
      <c r="AF188" s="268"/>
      <c r="AG188" s="792">
        <f>+AG42/AG$56</f>
        <v>0.95977981819417235</v>
      </c>
      <c r="AH188" s="278">
        <f>+AH42/AH$56</f>
        <v>0.95934369869816527</v>
      </c>
      <c r="AI188" s="278">
        <f>+AI42/AI$56</f>
        <v>0.958527855006993</v>
      </c>
      <c r="AJ188" s="278">
        <f>+AJ42/AJ$56</f>
        <v>0.95372728794403905</v>
      </c>
      <c r="AK188" s="793">
        <f>+AK42/AK$56</f>
        <v>0.95774733011890356</v>
      </c>
      <c r="AL188" s="268"/>
      <c r="AM188" s="792">
        <f>+AM42/AM$56</f>
        <v>0.95599602557194407</v>
      </c>
      <c r="AN188" s="278">
        <f>+AN42/AN$56</f>
        <v>0.95638188469509522</v>
      </c>
      <c r="AO188" s="278">
        <f>+AO42/AO$56</f>
        <v>0.95603527273856859</v>
      </c>
      <c r="AP188" s="278">
        <f>+AP42/AP$56</f>
        <v>0.95230878492743098</v>
      </c>
      <c r="AQ188" s="793">
        <f>+AQ42/AQ$56</f>
        <v>0.95513990394296355</v>
      </c>
      <c r="AR188" s="268"/>
      <c r="AS188" s="792">
        <f>+AS42/AS$56</f>
        <v>0.95591752694188881</v>
      </c>
      <c r="AT188" s="278">
        <f>+AT42/AT$56</f>
        <v>0.95578906213614601</v>
      </c>
      <c r="AU188" s="278">
        <f>+AU42/AU$56</f>
        <v>0.95825415638802425</v>
      </c>
      <c r="AV188" s="278">
        <f>+AV42/AV$56</f>
        <v>0.95641888051644863</v>
      </c>
      <c r="AW188" s="793">
        <f>+AW42/AW$56</f>
        <v>0.95662411759237498</v>
      </c>
      <c r="AX188" s="268"/>
      <c r="AY188" s="792">
        <f>+AY42/AY$56</f>
        <v>0.95645599291612671</v>
      </c>
      <c r="AZ188" s="278">
        <f>+AZ42/AZ$56</f>
        <v>0.95762369470590492</v>
      </c>
      <c r="BA188" s="278">
        <f>+BA42/BA$56</f>
        <v>0.95976979953232455</v>
      </c>
      <c r="BB188" s="278">
        <f>+BB42/BB$56</f>
        <v>0.95850657093646097</v>
      </c>
      <c r="BC188" s="793">
        <f>+BC42/BC$56</f>
        <v>0.95815260818975789</v>
      </c>
      <c r="BD188" s="268"/>
      <c r="BE188" s="792">
        <f>+BE42/BE$56</f>
        <v>0.95324150654780893</v>
      </c>
      <c r="BF188" s="278">
        <f>+BF42/BF$56</f>
        <v>0.95312512194804688</v>
      </c>
      <c r="BG188" s="278">
        <f>+BG42/BG$56</f>
        <v>0.95584517684290959</v>
      </c>
      <c r="BH188" s="278">
        <f>+BH42/BH$56</f>
        <v>0.95523732015120788</v>
      </c>
      <c r="BI188" s="793">
        <f>+BI42/BI$56</f>
        <v>0.95441013242395223</v>
      </c>
      <c r="BJ188" s="268"/>
      <c r="BK188" s="792">
        <f>+BK42/BK$56</f>
        <v>0.95414815234348849</v>
      </c>
      <c r="BL188" s="278">
        <f>+BL42/BL$56</f>
        <v>0.95551456423566461</v>
      </c>
      <c r="BM188" s="278">
        <f>+BM42/BM$56</f>
        <v>0.95755444946070001</v>
      </c>
      <c r="BN188" s="278">
        <f>+BN42/BN$56</f>
        <v>0.95702457538007679</v>
      </c>
      <c r="BO188" s="793">
        <f>+BO42/BO$56</f>
        <v>0.95611529331747602</v>
      </c>
      <c r="BP188" s="268"/>
      <c r="BQ188" s="792">
        <f>+BQ42/BQ$56</f>
        <v>0.95462125467673675</v>
      </c>
      <c r="BR188" s="278">
        <f>+BR42/BR$56</f>
        <v>0.9463785060254849</v>
      </c>
      <c r="BS188" s="278">
        <f>+BS42/BS$56</f>
        <v>0.94921464454137616</v>
      </c>
      <c r="BT188" s="278">
        <f>+BT42/BT$56</f>
        <v>0.94747969468563731</v>
      </c>
      <c r="BU188" s="793">
        <f>+BU42/BU$56</f>
        <v>0.9493401618023023</v>
      </c>
      <c r="BV188" s="268"/>
      <c r="BW188" s="792">
        <f>+BW42/BW$56</f>
        <v>0.94518287746157026</v>
      </c>
      <c r="BX188" s="278">
        <f>+BX42/BX$56</f>
        <v>0.94595724861747221</v>
      </c>
      <c r="BY188" s="278">
        <f>+BY42/BY$56</f>
        <v>0.94881697125208597</v>
      </c>
      <c r="BZ188" s="278">
        <f>+BZ42/BZ$56</f>
        <v>0.94702075182432788</v>
      </c>
      <c r="CA188" s="793">
        <f>+CA42/CA$56</f>
        <v>0.94678039504028677</v>
      </c>
      <c r="CB188" s="268"/>
      <c r="CC188" s="792">
        <f>+CC42/CC$56</f>
        <v>0.9444671518705875</v>
      </c>
      <c r="CD188" s="278">
        <f>+CD42/CD$56</f>
        <v>0.94526723219774522</v>
      </c>
      <c r="CE188" s="278">
        <f>+CE42/CE$56</f>
        <v>0.94815753432018046</v>
      </c>
      <c r="CF188" s="278">
        <f>+CF42/CF$56</f>
        <v>0.94630827381140226</v>
      </c>
      <c r="CG188" s="793">
        <f>+CG42/CG$56</f>
        <v>0.94608632635654855</v>
      </c>
    </row>
    <row r="189" spans="1:85" ht="11.25" customHeight="1" outlineLevel="1" x14ac:dyDescent="0.2">
      <c r="A189" s="78"/>
      <c r="B189" s="791" t="s">
        <v>314</v>
      </c>
      <c r="C189" s="128"/>
      <c r="D189" s="129"/>
      <c r="E189" s="129"/>
      <c r="F189" s="129"/>
      <c r="G189" s="452"/>
      <c r="H189" s="109"/>
      <c r="I189" s="128"/>
      <c r="J189" s="129"/>
      <c r="K189" s="129"/>
      <c r="L189" s="129"/>
      <c r="M189" s="452"/>
      <c r="N189" s="109"/>
      <c r="O189" s="128"/>
      <c r="P189" s="129"/>
      <c r="Q189" s="129"/>
      <c r="R189" s="129"/>
      <c r="S189" s="452"/>
      <c r="T189" s="109"/>
      <c r="U189" s="794"/>
      <c r="V189" s="795"/>
      <c r="W189" s="795"/>
      <c r="X189" s="795"/>
      <c r="Y189" s="796"/>
      <c r="Z189" s="109"/>
      <c r="AA189" s="794">
        <f>+AA49/AA$56</f>
        <v>3.747283181834498E-2</v>
      </c>
      <c r="AB189" s="795">
        <f>+AB49/AB$56</f>
        <v>3.9814449367043918E-2</v>
      </c>
      <c r="AC189" s="795">
        <f>+AC49/AC$56</f>
        <v>3.8518485493276071E-2</v>
      </c>
      <c r="AD189" s="795">
        <f>+AD49/AD$56</f>
        <v>4.0928715659705614E-2</v>
      </c>
      <c r="AE189" s="796">
        <f>+AE49/AE$56</f>
        <v>3.9253451894134289E-2</v>
      </c>
      <c r="AF189" s="109"/>
      <c r="AG189" s="794">
        <f>+AG49/AG$56</f>
        <v>4.0220181805827593E-2</v>
      </c>
      <c r="AH189" s="795">
        <f>+AH49/AH$56</f>
        <v>4.0656301301834653E-2</v>
      </c>
      <c r="AI189" s="795">
        <f>+AI49/AI$56</f>
        <v>4.147214499300704E-2</v>
      </c>
      <c r="AJ189" s="795">
        <f>+AJ49/AJ$56</f>
        <v>4.6272712055960896E-2</v>
      </c>
      <c r="AK189" s="796">
        <f>+AK49/AK$56</f>
        <v>4.2252669881096404E-2</v>
      </c>
      <c r="AL189" s="109"/>
      <c r="AM189" s="794">
        <f>+AM49/AM$56</f>
        <v>4.4003974428055821E-2</v>
      </c>
      <c r="AN189" s="795">
        <f>+AN49/AN$56</f>
        <v>4.3618115304904857E-2</v>
      </c>
      <c r="AO189" s="795">
        <f>+AO49/AO$56</f>
        <v>4.3964727261431413E-2</v>
      </c>
      <c r="AP189" s="795">
        <f>+AP49/AP$56</f>
        <v>4.7691215072568953E-2</v>
      </c>
      <c r="AQ189" s="796">
        <f>+AQ49/AQ$56</f>
        <v>4.4860096057036503E-2</v>
      </c>
      <c r="AR189" s="109"/>
      <c r="AS189" s="794">
        <f>+AS49/AS$56</f>
        <v>4.4082473058111173E-2</v>
      </c>
      <c r="AT189" s="795">
        <f>+AT49/AT$56</f>
        <v>4.4210937863853966E-2</v>
      </c>
      <c r="AU189" s="795">
        <f>+AU49/AU$56</f>
        <v>4.1745843611975822E-2</v>
      </c>
      <c r="AV189" s="795">
        <f>+AV49/AV$56</f>
        <v>4.3581119483551416E-2</v>
      </c>
      <c r="AW189" s="796">
        <f>+AW49/AW$56</f>
        <v>4.3375882407625202E-2</v>
      </c>
      <c r="AX189" s="109"/>
      <c r="AY189" s="794">
        <f>+AY49/AY$56</f>
        <v>4.3544007083873286E-2</v>
      </c>
      <c r="AZ189" s="795">
        <f>+AZ49/AZ$56</f>
        <v>4.2376305294095119E-2</v>
      </c>
      <c r="BA189" s="795">
        <f>+BA49/BA$56</f>
        <v>4.0230200467675406E-2</v>
      </c>
      <c r="BB189" s="795">
        <f>+BB49/BB$56</f>
        <v>4.1493429063539033E-2</v>
      </c>
      <c r="BC189" s="796">
        <f>+BC49/BC$56</f>
        <v>4.1847391810242107E-2</v>
      </c>
      <c r="BD189" s="109"/>
      <c r="BE189" s="794">
        <f>+BE49/BE$56</f>
        <v>4.6758493452191019E-2</v>
      </c>
      <c r="BF189" s="795">
        <f>+BF49/BF$56</f>
        <v>4.6874878051953124E-2</v>
      </c>
      <c r="BG189" s="795">
        <f>+BG49/BG$56</f>
        <v>4.4154823157090413E-2</v>
      </c>
      <c r="BH189" s="795">
        <f>+BH49/BH$56</f>
        <v>4.4762679848792161E-2</v>
      </c>
      <c r="BI189" s="796">
        <f>+BI49/BI$56</f>
        <v>4.5589867576047938E-2</v>
      </c>
      <c r="BJ189" s="109"/>
      <c r="BK189" s="794">
        <f>+BK49/BK$56</f>
        <v>4.5851847656511464E-2</v>
      </c>
      <c r="BL189" s="795">
        <f>+BL49/BL$56</f>
        <v>4.448543576433539E-2</v>
      </c>
      <c r="BM189" s="795">
        <f>+BM49/BM$56</f>
        <v>4.244555053929995E-2</v>
      </c>
      <c r="BN189" s="795">
        <f>+BN49/BN$56</f>
        <v>4.2975424619923187E-2</v>
      </c>
      <c r="BO189" s="796">
        <f>+BO49/BO$56</f>
        <v>4.3884706682523839E-2</v>
      </c>
      <c r="BP189" s="109"/>
      <c r="BQ189" s="794">
        <f>+BQ49/BQ$56</f>
        <v>4.5378745323263331E-2</v>
      </c>
      <c r="BR189" s="795">
        <f>+BR49/BR$56</f>
        <v>5.3621493974514989E-2</v>
      </c>
      <c r="BS189" s="795">
        <f>+BS49/BS$56</f>
        <v>5.0785355458623865E-2</v>
      </c>
      <c r="BT189" s="795">
        <f>+BT49/BT$56</f>
        <v>5.2520305314362768E-2</v>
      </c>
      <c r="BU189" s="796">
        <f>+BU49/BU$56</f>
        <v>5.0659838197697878E-2</v>
      </c>
      <c r="BV189" s="109"/>
      <c r="BW189" s="794">
        <f>+BW49/BW$56</f>
        <v>5.4817122538429706E-2</v>
      </c>
      <c r="BX189" s="795">
        <f>+BX49/BX$56</f>
        <v>5.4042751382527857E-2</v>
      </c>
      <c r="BY189" s="795">
        <f>+BY49/BY$56</f>
        <v>5.1183028747913972E-2</v>
      </c>
      <c r="BZ189" s="795">
        <f>+BZ49/BZ$56</f>
        <v>5.2979248175672032E-2</v>
      </c>
      <c r="CA189" s="796">
        <f>+CA49/CA$56</f>
        <v>5.3219604959713222E-2</v>
      </c>
      <c r="CB189" s="109"/>
      <c r="CC189" s="794">
        <f>+CC49/CC$56</f>
        <v>5.5532848129412539E-2</v>
      </c>
      <c r="CD189" s="795">
        <f>+CD49/CD$56</f>
        <v>5.4732767802254841E-2</v>
      </c>
      <c r="CE189" s="795">
        <f>+CE49/CE$56</f>
        <v>5.1842465679819601E-2</v>
      </c>
      <c r="CF189" s="795">
        <f>+CF49/CF$56</f>
        <v>5.3691726188597765E-2</v>
      </c>
      <c r="CG189" s="796">
        <f>+CG49/CG$56</f>
        <v>5.3913673643451406E-2</v>
      </c>
    </row>
    <row r="190" spans="1:85" ht="11.25" customHeight="1" outlineLevel="1" x14ac:dyDescent="0.2">
      <c r="A190" s="78"/>
      <c r="H190" s="11"/>
      <c r="N190" s="11"/>
      <c r="T190" s="11"/>
      <c r="Z190" s="11"/>
      <c r="AF190" s="11"/>
      <c r="AL190" s="11"/>
      <c r="AR190" s="11"/>
      <c r="AX190" s="11"/>
      <c r="BD190" s="11"/>
      <c r="BJ190" s="11"/>
      <c r="BP190" s="11"/>
      <c r="BV190" s="11"/>
      <c r="CB190" s="11"/>
    </row>
    <row r="191" spans="1:85" ht="11.25" customHeight="1" outlineLevel="1" x14ac:dyDescent="0.2">
      <c r="A191" s="78"/>
      <c r="B191" s="812" t="s">
        <v>522</v>
      </c>
      <c r="C191" s="813"/>
      <c r="D191" s="813"/>
      <c r="E191" s="813"/>
      <c r="F191" s="813"/>
      <c r="G191" s="813"/>
      <c r="H191" s="812"/>
      <c r="I191" s="813"/>
      <c r="J191" s="813"/>
      <c r="K191" s="813"/>
      <c r="L191" s="813"/>
      <c r="M191" s="813"/>
      <c r="N191" s="812"/>
      <c r="O191" s="813"/>
      <c r="P191" s="813"/>
      <c r="Q191" s="813"/>
      <c r="R191" s="813"/>
      <c r="S191" s="813"/>
      <c r="T191" s="812"/>
      <c r="U191" s="813"/>
      <c r="V191" s="813"/>
      <c r="W191" s="813"/>
      <c r="X191" s="813"/>
      <c r="Y191" s="813"/>
      <c r="Z191" s="812"/>
      <c r="AA191" s="813"/>
      <c r="AB191" s="813"/>
      <c r="AC191" s="813"/>
      <c r="AD191" s="813"/>
      <c r="AE191" s="813"/>
      <c r="AF191" s="812"/>
      <c r="AG191" s="813"/>
      <c r="AH191" s="813"/>
      <c r="AI191" s="813"/>
      <c r="AJ191" s="813"/>
      <c r="AK191" s="813"/>
      <c r="AL191" s="812"/>
      <c r="AM191" s="813"/>
      <c r="AN191" s="813"/>
      <c r="AO191" s="813"/>
      <c r="AP191" s="813"/>
      <c r="AQ191" s="813"/>
      <c r="AR191" s="812"/>
      <c r="AS191" s="813"/>
      <c r="AT191" s="813"/>
      <c r="AU191" s="813"/>
      <c r="AV191" s="813"/>
      <c r="AW191" s="813"/>
      <c r="AX191" s="812"/>
      <c r="AY191" s="813"/>
      <c r="AZ191" s="813"/>
      <c r="BA191" s="813"/>
      <c r="BB191" s="813"/>
      <c r="BC191" s="813"/>
      <c r="BD191" s="812"/>
      <c r="BE191" s="813"/>
      <c r="BF191" s="813"/>
      <c r="BG191" s="813"/>
      <c r="BH191" s="813"/>
      <c r="BI191" s="813"/>
      <c r="BJ191" s="812"/>
      <c r="BK191" s="813"/>
      <c r="BL191" s="813"/>
      <c r="BM191" s="813"/>
      <c r="BN191" s="813"/>
      <c r="BO191" s="813"/>
      <c r="BP191" s="812"/>
      <c r="BQ191" s="813"/>
      <c r="BR191" s="813"/>
      <c r="BS191" s="813"/>
      <c r="BT191" s="813"/>
      <c r="BU191" s="813"/>
      <c r="BV191" s="812"/>
      <c r="BW191" s="813"/>
      <c r="BX191" s="813"/>
      <c r="BY191" s="813"/>
      <c r="BZ191" s="813"/>
      <c r="CA191" s="813"/>
      <c r="CB191" s="812"/>
      <c r="CC191" s="813"/>
      <c r="CD191" s="813"/>
      <c r="CE191" s="813"/>
      <c r="CF191" s="813"/>
      <c r="CG191" s="814"/>
    </row>
    <row r="192" spans="1:85" ht="11.25" customHeight="1" outlineLevel="1" x14ac:dyDescent="0.2">
      <c r="A192" s="78"/>
      <c r="B192" s="98" t="s">
        <v>460</v>
      </c>
      <c r="C192" s="271"/>
      <c r="D192" s="272"/>
      <c r="E192" s="272"/>
      <c r="F192" s="272"/>
      <c r="G192" s="456"/>
      <c r="H192" s="62"/>
      <c r="I192" s="271"/>
      <c r="J192" s="272"/>
      <c r="K192" s="272"/>
      <c r="L192" s="272"/>
      <c r="M192" s="456"/>
      <c r="N192" s="62"/>
      <c r="O192" s="271"/>
      <c r="P192" s="272"/>
      <c r="Q192" s="272"/>
      <c r="R192" s="272"/>
      <c r="S192" s="456"/>
      <c r="T192" s="62"/>
      <c r="U192" s="271"/>
      <c r="V192" s="272"/>
      <c r="W192" s="272"/>
      <c r="X192" s="272"/>
      <c r="Y192" s="456"/>
      <c r="Z192" s="62"/>
      <c r="AA192" s="792">
        <f>+AA67/AA$115</f>
        <v>0.62673692141236326</v>
      </c>
      <c r="AB192" s="278">
        <f>+AB67/AB$115</f>
        <v>0.62119517071223096</v>
      </c>
      <c r="AC192" s="278">
        <f>+AC67/AC$115</f>
        <v>0.60429338947275002</v>
      </c>
      <c r="AD192" s="278">
        <f>+AD67/AD$115</f>
        <v>0.63730308592570584</v>
      </c>
      <c r="AE192" s="793">
        <f>+AE67/AE$115</f>
        <v>0.6228608124050371</v>
      </c>
      <c r="AF192" s="62"/>
      <c r="AG192" s="792">
        <f>+AG67/AG$115</f>
        <v>0.61231707529860524</v>
      </c>
      <c r="AH192" s="278">
        <f>+AH67/AH$115</f>
        <v>0.58452884842675223</v>
      </c>
      <c r="AI192" s="278">
        <f>+AI67/AI$115</f>
        <v>0.53632849306826513</v>
      </c>
      <c r="AJ192" s="278">
        <f>+AJ67/AJ$115</f>
        <v>0.58342059980901328</v>
      </c>
      <c r="AK192" s="793">
        <f>+AK67/AK$115</f>
        <v>0.57922043924716005</v>
      </c>
      <c r="AL192" s="62"/>
      <c r="AM192" s="792">
        <f>+AM67/AM$115</f>
        <v>0.56735012757752301</v>
      </c>
      <c r="AN192" s="278">
        <f>+AN67/AN$115</f>
        <v>0.5685586919400093</v>
      </c>
      <c r="AO192" s="278">
        <f>+AO67/AO$115</f>
        <v>0.54412496578495528</v>
      </c>
      <c r="AP192" s="278">
        <f>+AP67/AP$115</f>
        <v>0.58660899448954196</v>
      </c>
      <c r="AQ192" s="793">
        <f>+AQ67/AQ$115</f>
        <v>0.56742372891217507</v>
      </c>
      <c r="AR192" s="62"/>
      <c r="AS192" s="792">
        <f>+AS67/AS$115</f>
        <v>0.57763727500569595</v>
      </c>
      <c r="AT192" s="278">
        <f>+AT67/AT$115</f>
        <v>0.55117988551907837</v>
      </c>
      <c r="AU192" s="278">
        <f>+AU67/AU$115</f>
        <v>0.53377873018031552</v>
      </c>
      <c r="AV192" s="278">
        <f>+AV67/AV$115</f>
        <v>0.57391058471934275</v>
      </c>
      <c r="AW192" s="793">
        <f>+AW67/AW$115</f>
        <v>0.55920475612974885</v>
      </c>
      <c r="AX192" s="62"/>
      <c r="AY192" s="792">
        <f>+AY67/AY$115</f>
        <v>0.54815325788976033</v>
      </c>
      <c r="AZ192" s="278">
        <f>+AZ67/AZ$115</f>
        <v>0.53820726450290934</v>
      </c>
      <c r="BA192" s="278">
        <f>+BA67/BA$115</f>
        <v>0.51901107362552745</v>
      </c>
      <c r="BB192" s="278">
        <f>+BB67/BB$115</f>
        <v>0.55126745957976864</v>
      </c>
      <c r="BC192" s="793">
        <f>+BC67/BC$115</f>
        <v>0.53960151801028422</v>
      </c>
      <c r="BD192" s="62"/>
      <c r="BE192" s="792">
        <f>+BE67/BE$115</f>
        <v>0.53464954266267883</v>
      </c>
      <c r="BF192" s="278">
        <f>+BF67/BF$115</f>
        <v>0.53392272050741285</v>
      </c>
      <c r="BG192" s="278">
        <f>+BG67/BG$115</f>
        <v>0.51789434754544228</v>
      </c>
      <c r="BH192" s="278">
        <f>+BH67/BH$115</f>
        <v>0.5510060304624157</v>
      </c>
      <c r="BI192" s="793">
        <f>+BI67/BI$115</f>
        <v>0.53492563790797831</v>
      </c>
      <c r="BJ192" s="62"/>
      <c r="BK192" s="792">
        <f>+BK67/BK$115</f>
        <v>0.56558498630650977</v>
      </c>
      <c r="BL192" s="278">
        <f>+BL67/BL$115</f>
        <v>0.55905842137973905</v>
      </c>
      <c r="BM192" s="278">
        <f>+BM67/BM$115</f>
        <v>0.54800133777597604</v>
      </c>
      <c r="BN192" s="278">
        <f>+BN67/BN$115</f>
        <v>0.57340113828554395</v>
      </c>
      <c r="BO192" s="793">
        <f>+BO67/BO$115</f>
        <v>0.56169566173060559</v>
      </c>
      <c r="BP192" s="62"/>
      <c r="BQ192" s="792">
        <f>+BQ67/BQ$115</f>
        <v>0.55050778897545627</v>
      </c>
      <c r="BR192" s="278">
        <f>+BR67/BR$115</f>
        <v>0.54921399421592143</v>
      </c>
      <c r="BS192" s="278">
        <f>+BS67/BS$115</f>
        <v>0.53552715013164898</v>
      </c>
      <c r="BT192" s="278">
        <f>+BT67/BT$115</f>
        <v>0.56409460448158266</v>
      </c>
      <c r="BU192" s="793">
        <f>+BU67/BU$115</f>
        <v>0.55019392567802494</v>
      </c>
      <c r="BV192" s="62"/>
      <c r="BW192" s="792">
        <f>+BW67/BW$115</f>
        <v>0.54217383748702175</v>
      </c>
      <c r="BX192" s="278">
        <f>+BX67/BX$115</f>
        <v>0.54341808792487456</v>
      </c>
      <c r="BY192" s="278">
        <f>+BY67/BY$115</f>
        <v>0.52968780877695432</v>
      </c>
      <c r="BZ192" s="278">
        <f>+BZ67/BZ$115</f>
        <v>0.55832738073458921</v>
      </c>
      <c r="CA192" s="793">
        <f>+CA67/CA$115</f>
        <v>0.54381174902507301</v>
      </c>
      <c r="CB192" s="62"/>
      <c r="CC192" s="792">
        <f>+CC67/CC$115</f>
        <v>0.53636294252946703</v>
      </c>
      <c r="CD192" s="278">
        <f>+CD67/CD$115</f>
        <v>0.53759243312006599</v>
      </c>
      <c r="CE192" s="278">
        <f>+CE67/CE$115</f>
        <v>0.52382258995636966</v>
      </c>
      <c r="CF192" s="278">
        <f>+CF67/CF$115</f>
        <v>0.55252636938037614</v>
      </c>
      <c r="CG192" s="793">
        <f>+CG67/CG$115</f>
        <v>0.53798383407650086</v>
      </c>
    </row>
    <row r="193" spans="1:85" ht="11.25" customHeight="1" outlineLevel="1" x14ac:dyDescent="0.2">
      <c r="A193" s="78"/>
      <c r="B193" s="98" t="s">
        <v>461</v>
      </c>
      <c r="C193" s="271"/>
      <c r="D193" s="272"/>
      <c r="E193" s="272"/>
      <c r="F193" s="272"/>
      <c r="G193" s="456"/>
      <c r="H193" s="62"/>
      <c r="I193" s="271"/>
      <c r="J193" s="272"/>
      <c r="K193" s="272"/>
      <c r="L193" s="272"/>
      <c r="M193" s="456"/>
      <c r="N193" s="62"/>
      <c r="O193" s="271"/>
      <c r="P193" s="272"/>
      <c r="Q193" s="272"/>
      <c r="R193" s="272"/>
      <c r="S193" s="456"/>
      <c r="T193" s="62"/>
      <c r="U193" s="271"/>
      <c r="V193" s="272"/>
      <c r="W193" s="272"/>
      <c r="X193" s="272"/>
      <c r="Y193" s="456"/>
      <c r="Z193" s="62"/>
      <c r="AA193" s="792">
        <f>+AA87/AA$115</f>
        <v>0.33066036737474397</v>
      </c>
      <c r="AB193" s="278">
        <f>+AB87/AB$115</f>
        <v>0.33993516112219924</v>
      </c>
      <c r="AC193" s="278">
        <f>+AC87/AC$115</f>
        <v>0.35424415653577646</v>
      </c>
      <c r="AD193" s="278">
        <f>+AD87/AD$115</f>
        <v>0.32392754616427916</v>
      </c>
      <c r="AE193" s="793">
        <f>+AE87/AE$115</f>
        <v>0.33683647681131229</v>
      </c>
      <c r="AF193" s="62"/>
      <c r="AG193" s="792">
        <f>+AG87/AG$115</f>
        <v>0.34706535292404367</v>
      </c>
      <c r="AH193" s="278">
        <f>+AH87/AH$115</f>
        <v>0.37745671005564779</v>
      </c>
      <c r="AI193" s="278">
        <f>+AI87/AI$115</f>
        <v>0.42631925605607413</v>
      </c>
      <c r="AJ193" s="278">
        <f>+AJ87/AJ$115</f>
        <v>0.38011316193736189</v>
      </c>
      <c r="AK193" s="793">
        <f>+AK87/AK$115</f>
        <v>0.3827340334343739</v>
      </c>
      <c r="AL193" s="62"/>
      <c r="AM193" s="792">
        <f>+AM87/AM$115</f>
        <v>0.39456065008139074</v>
      </c>
      <c r="AN193" s="278">
        <f>+AN87/AN$115</f>
        <v>0.39443374783654345</v>
      </c>
      <c r="AO193" s="278">
        <f>+AO87/AO$115</f>
        <v>0.41951999402791945</v>
      </c>
      <c r="AP193" s="278">
        <f>+AP87/AP$115</f>
        <v>0.37757141241172765</v>
      </c>
      <c r="AQ193" s="793">
        <f>+AQ87/AQ$115</f>
        <v>0.39577705307193489</v>
      </c>
      <c r="AR193" s="62"/>
      <c r="AS193" s="792">
        <f>+AS87/AS$115</f>
        <v>0.38211678672204979</v>
      </c>
      <c r="AT193" s="278">
        <f>+AT87/AT$115</f>
        <v>0.40975832935124085</v>
      </c>
      <c r="AU193" s="278">
        <f>+AU87/AU$115</f>
        <v>0.42712694906815402</v>
      </c>
      <c r="AV193" s="278">
        <f>+AV87/AV$115</f>
        <v>0.38799870798500358</v>
      </c>
      <c r="AW193" s="793">
        <f>+AW87/AW$115</f>
        <v>0.40168853513183944</v>
      </c>
      <c r="AX193" s="62"/>
      <c r="AY193" s="792">
        <f>+AY87/AY$115</f>
        <v>0.41148066436331848</v>
      </c>
      <c r="AZ193" s="278">
        <f>+AZ87/AZ$115</f>
        <v>0.42412047844789846</v>
      </c>
      <c r="BA193" s="278">
        <f>+BA87/BA$115</f>
        <v>0.44216777612443664</v>
      </c>
      <c r="BB193" s="278">
        <f>+BB87/BB$115</f>
        <v>0.41335601208128092</v>
      </c>
      <c r="BC193" s="793">
        <f>+BC87/BC$115</f>
        <v>0.42242963443454573</v>
      </c>
      <c r="BD193" s="62"/>
      <c r="BE193" s="792">
        <f>+BE87/BE$115</f>
        <v>0.42606112793078338</v>
      </c>
      <c r="BF193" s="278">
        <f>+BF87/BF$115</f>
        <v>0.42881861355520373</v>
      </c>
      <c r="BG193" s="278">
        <f>+BG87/BG$115</f>
        <v>0.44377292785063388</v>
      </c>
      <c r="BH193" s="278">
        <f>+BH87/BH$115</f>
        <v>0.4126375771370307</v>
      </c>
      <c r="BI193" s="793">
        <f>+BI87/BI$115</f>
        <v>0.42732546798702192</v>
      </c>
      <c r="BJ193" s="62"/>
      <c r="BK193" s="792">
        <f>+BK87/BK$115</f>
        <v>0.39795240008238519</v>
      </c>
      <c r="BL193" s="278">
        <f>+BL87/BL$115</f>
        <v>0.40604606898694839</v>
      </c>
      <c r="BM193" s="278">
        <f>+BM87/BM$115</f>
        <v>0.41609432662241269</v>
      </c>
      <c r="BN193" s="278">
        <f>+BN87/BN$115</f>
        <v>0.39141653903694729</v>
      </c>
      <c r="BO193" s="793">
        <f>+BO87/BO$115</f>
        <v>0.40271212693425668</v>
      </c>
      <c r="BP193" s="62"/>
      <c r="BQ193" s="792">
        <f>+BQ87/BQ$115</f>
        <v>0.41142746138393366</v>
      </c>
      <c r="BR193" s="278">
        <f>+BR87/BR$115</f>
        <v>0.41068605778694856</v>
      </c>
      <c r="BS193" s="278">
        <f>+BS87/BS$115</f>
        <v>0.42305194813179997</v>
      </c>
      <c r="BT193" s="278">
        <f>+BT87/BT$115</f>
        <v>0.39638909195976524</v>
      </c>
      <c r="BU193" s="793">
        <f>+BU87/BU$115</f>
        <v>0.41000281208390232</v>
      </c>
      <c r="BV193" s="62"/>
      <c r="BW193" s="792">
        <f>+BW87/BW$115</f>
        <v>0.41498641546080667</v>
      </c>
      <c r="BX193" s="278">
        <f>+BX87/BX$115</f>
        <v>0.4161673165756512</v>
      </c>
      <c r="BY193" s="278">
        <f>+BY87/BY$115</f>
        <v>0.42854624943756947</v>
      </c>
      <c r="BZ193" s="278">
        <f>+BZ87/BZ$115</f>
        <v>0.40181319196624043</v>
      </c>
      <c r="CA193" s="793">
        <f>+CA87/CA$115</f>
        <v>0.41503540464152794</v>
      </c>
      <c r="CB193" s="62"/>
      <c r="CC193" s="792">
        <f>+CC87/CC$115</f>
        <v>0.42045507953429995</v>
      </c>
      <c r="CD193" s="278">
        <f>+CD87/CD$115</f>
        <v>0.4216504253991592</v>
      </c>
      <c r="CE193" s="278">
        <f>+CE87/CE$115</f>
        <v>0.43403770674226338</v>
      </c>
      <c r="CF193" s="278">
        <f>+CF87/CF$115</f>
        <v>0.40724315150217871</v>
      </c>
      <c r="CG193" s="793">
        <f>+CG87/CG$115</f>
        <v>0.42050513228400632</v>
      </c>
    </row>
    <row r="194" spans="1:85" ht="11.25" customHeight="1" outlineLevel="1" x14ac:dyDescent="0.2">
      <c r="A194" s="78"/>
      <c r="B194" s="98" t="s">
        <v>462</v>
      </c>
      <c r="C194" s="147"/>
      <c r="D194" s="148"/>
      <c r="E194" s="148"/>
      <c r="F194" s="148"/>
      <c r="G194" s="448"/>
      <c r="H194" s="153"/>
      <c r="I194" s="147"/>
      <c r="J194" s="148"/>
      <c r="K194" s="148"/>
      <c r="L194" s="148"/>
      <c r="M194" s="448"/>
      <c r="N194" s="153"/>
      <c r="O194" s="147"/>
      <c r="P194" s="148"/>
      <c r="Q194" s="148"/>
      <c r="R194" s="148"/>
      <c r="S194" s="448"/>
      <c r="T194" s="153"/>
      <c r="U194" s="147"/>
      <c r="V194" s="148"/>
      <c r="W194" s="148"/>
      <c r="X194" s="148"/>
      <c r="Y194" s="448"/>
      <c r="Z194" s="153"/>
      <c r="AA194" s="792">
        <f>+AA94/AA$115</f>
        <v>3.0604179119881732E-2</v>
      </c>
      <c r="AB194" s="278">
        <f>+AB94/AB$115</f>
        <v>2.8135353873199005E-2</v>
      </c>
      <c r="AC194" s="278">
        <f>+AC94/AC$115</f>
        <v>2.9498156885260911E-2</v>
      </c>
      <c r="AD194" s="278">
        <f>+AD94/AD$115</f>
        <v>2.7859118074159986E-2</v>
      </c>
      <c r="AE194" s="793">
        <f>+AE94/AE$115</f>
        <v>2.8941032689754339E-2</v>
      </c>
      <c r="AF194" s="153"/>
      <c r="AG194" s="792">
        <f>+AG94/AG$115</f>
        <v>2.9235739490260346E-2</v>
      </c>
      <c r="AH194" s="278">
        <f>+AH94/AH$115</f>
        <v>2.5240659310521364E-2</v>
      </c>
      <c r="AI194" s="278">
        <f>+AI94/AI$115</f>
        <v>2.4453565128887467E-2</v>
      </c>
      <c r="AJ194" s="278">
        <f>+AJ94/AJ$115</f>
        <v>2.4894011597599287E-2</v>
      </c>
      <c r="AK194" s="793">
        <f>+AK94/AK$115</f>
        <v>2.5905334718850221E-2</v>
      </c>
      <c r="AL194" s="153"/>
      <c r="AM194" s="792">
        <f>+AM94/AM$115</f>
        <v>2.5206801443306066E-2</v>
      </c>
      <c r="AN194" s="278">
        <f>+AN94/AN$115</f>
        <v>2.3835672299183732E-2</v>
      </c>
      <c r="AO194" s="278">
        <f>+AO94/AO$115</f>
        <v>2.267151068753577E-2</v>
      </c>
      <c r="AP194" s="278">
        <f>+AP94/AP$115</f>
        <v>2.2741008473069861E-2</v>
      </c>
      <c r="AQ194" s="793">
        <f>+AQ94/AQ$115</f>
        <v>2.360381799087103E-2</v>
      </c>
      <c r="AR194" s="153"/>
      <c r="AS194" s="792">
        <f>+AS94/AS$115</f>
        <v>2.4422945475577051E-2</v>
      </c>
      <c r="AT194" s="278">
        <f>+AT94/AT$115</f>
        <v>2.1804243724391756E-2</v>
      </c>
      <c r="AU194" s="278">
        <f>+AU94/AU$115</f>
        <v>2.1921464808750603E-2</v>
      </c>
      <c r="AV194" s="278">
        <f>+AV94/AV$115</f>
        <v>2.1808428849910581E-2</v>
      </c>
      <c r="AW194" s="793">
        <f>+AW94/AW$115</f>
        <v>2.2466502371896541E-2</v>
      </c>
      <c r="AX194" s="153"/>
      <c r="AY194" s="792">
        <f>+AY94/AY$115</f>
        <v>2.2465375443771144E-2</v>
      </c>
      <c r="AZ194" s="278">
        <f>+AZ94/AZ$115</f>
        <v>2.0222258356861908E-2</v>
      </c>
      <c r="BA194" s="278">
        <f>+BA94/BA$115</f>
        <v>2.072814436690798E-2</v>
      </c>
      <c r="BB194" s="278">
        <f>+BB94/BB$115</f>
        <v>1.9676343072970344E-2</v>
      </c>
      <c r="BC194" s="793">
        <f>+BC94/BC$115</f>
        <v>2.0733213038826293E-2</v>
      </c>
      <c r="BD194" s="153"/>
      <c r="BE194" s="792">
        <f>+BE94/BE$115</f>
        <v>2.1385157262663226E-2</v>
      </c>
      <c r="BF194" s="278">
        <f>+BF94/BF$115</f>
        <v>1.945188044661593E-2</v>
      </c>
      <c r="BG194" s="278">
        <f>+BG94/BG$115</f>
        <v>1.9232403700155973E-2</v>
      </c>
      <c r="BH194" s="278">
        <f>+BH94/BH$115</f>
        <v>1.9166212550467111E-2</v>
      </c>
      <c r="BI194" s="793">
        <f>+BI94/BI$115</f>
        <v>1.9780403172146837E-2</v>
      </c>
      <c r="BJ194" s="153"/>
      <c r="BK194" s="792">
        <f>+BK94/BK$115</f>
        <v>1.9218808309491228E-2</v>
      </c>
      <c r="BL194" s="278">
        <f>+BL94/BL$115</f>
        <v>1.71816733996271E-2</v>
      </c>
      <c r="BM194" s="278">
        <f>+BM94/BM$115</f>
        <v>1.7571246632800616E-2</v>
      </c>
      <c r="BN194" s="278">
        <f>+BN94/BN$115</f>
        <v>1.7057423612947424E-2</v>
      </c>
      <c r="BO194" s="793">
        <f>+BO94/BO$115</f>
        <v>1.7723276183514994E-2</v>
      </c>
      <c r="BP194" s="153"/>
      <c r="BQ194" s="792">
        <f>+BQ94/BQ$115</f>
        <v>1.8706479000253063E-2</v>
      </c>
      <c r="BR194" s="278">
        <f>+BR94/BR$115</f>
        <v>1.7211715857100688E-2</v>
      </c>
      <c r="BS194" s="278">
        <f>+BS94/BS$115</f>
        <v>1.7171271281404832E-2</v>
      </c>
      <c r="BT194" s="278">
        <f>+BT94/BT$115</f>
        <v>1.6616059248562322E-2</v>
      </c>
      <c r="BU194" s="793">
        <f>+BU94/BU$115</f>
        <v>1.7379405608124659E-2</v>
      </c>
      <c r="BV194" s="153"/>
      <c r="BW194" s="792">
        <f>+BW94/BW$115</f>
        <v>1.8156283759670499E-2</v>
      </c>
      <c r="BX194" s="278">
        <f>+BX94/BX$115</f>
        <v>1.6783266281629315E-2</v>
      </c>
      <c r="BY194" s="278">
        <f>+BY94/BY$115</f>
        <v>1.6737891769247885E-2</v>
      </c>
      <c r="BZ194" s="278">
        <f>+BZ94/BZ$115</f>
        <v>1.6207828579958641E-2</v>
      </c>
      <c r="CA194" s="793">
        <f>+CA94/CA$115</f>
        <v>1.6928853083526572E-2</v>
      </c>
      <c r="CB194" s="153"/>
      <c r="CC194" s="792">
        <f>+CC94/CC$115</f>
        <v>1.7701374539170592E-2</v>
      </c>
      <c r="CD194" s="278">
        <f>+CD94/CD$115</f>
        <v>1.6362714930934004E-2</v>
      </c>
      <c r="CE194" s="278">
        <f>+CE94/CE$115</f>
        <v>1.6312661464754106E-2</v>
      </c>
      <c r="CF194" s="278">
        <f>+CF94/CF$115</f>
        <v>1.5806974034617168E-2</v>
      </c>
      <c r="CG194" s="793">
        <f>+CG94/CG$115</f>
        <v>1.6504713783422192E-2</v>
      </c>
    </row>
    <row r="195" spans="1:85" ht="11.25" customHeight="1" outlineLevel="1" x14ac:dyDescent="0.2">
      <c r="A195" s="78"/>
      <c r="B195" s="113" t="s">
        <v>463</v>
      </c>
      <c r="C195" s="259"/>
      <c r="D195" s="260"/>
      <c r="E195" s="260"/>
      <c r="F195" s="260"/>
      <c r="G195" s="449"/>
      <c r="H195" s="268"/>
      <c r="I195" s="259"/>
      <c r="J195" s="260"/>
      <c r="K195" s="260"/>
      <c r="L195" s="260"/>
      <c r="M195" s="449"/>
      <c r="N195" s="268"/>
      <c r="O195" s="259"/>
      <c r="P195" s="260"/>
      <c r="Q195" s="260"/>
      <c r="R195" s="260"/>
      <c r="S195" s="449"/>
      <c r="T195" s="268"/>
      <c r="U195" s="259"/>
      <c r="V195" s="260"/>
      <c r="W195" s="260"/>
      <c r="X195" s="260"/>
      <c r="Y195" s="449"/>
      <c r="Z195" s="268"/>
      <c r="AA195" s="792">
        <f>+AA101/AA$115</f>
        <v>0.98800146790698884</v>
      </c>
      <c r="AB195" s="278">
        <f>+AB101/AB$115</f>
        <v>0.98926568570762918</v>
      </c>
      <c r="AC195" s="278">
        <f>+AC101/AC$115</f>
        <v>0.98803570289378728</v>
      </c>
      <c r="AD195" s="278">
        <f>+AD101/AD$115</f>
        <v>0.98908975016414502</v>
      </c>
      <c r="AE195" s="793">
        <f>+AE101/AE$115</f>
        <v>0.98863832190610379</v>
      </c>
      <c r="AF195" s="268"/>
      <c r="AG195" s="792">
        <f>+AG101/AG$115</f>
        <v>0.98861816771290933</v>
      </c>
      <c r="AH195" s="278">
        <f>+AH101/AH$115</f>
        <v>0.98722621779292141</v>
      </c>
      <c r="AI195" s="278">
        <f>+AI101/AI$115</f>
        <v>0.98710131425322678</v>
      </c>
      <c r="AJ195" s="278">
        <f>+AJ101/AJ$115</f>
        <v>0.98842777334397447</v>
      </c>
      <c r="AK195" s="793">
        <f>+AK101/AK$115</f>
        <v>0.98785980740038415</v>
      </c>
      <c r="AL195" s="268"/>
      <c r="AM195" s="792">
        <f>+AM101/AM$115</f>
        <v>0.98711757910221987</v>
      </c>
      <c r="AN195" s="278">
        <f>+AN101/AN$115</f>
        <v>0.98682811207573662</v>
      </c>
      <c r="AO195" s="278">
        <f>+AO101/AO$115</f>
        <v>0.98631647050041049</v>
      </c>
      <c r="AP195" s="278">
        <f>+AP101/AP$115</f>
        <v>0.98692141537433953</v>
      </c>
      <c r="AQ195" s="793">
        <f>+AQ101/AQ$115</f>
        <v>0.98680459997498127</v>
      </c>
      <c r="AR195" s="268"/>
      <c r="AS195" s="792">
        <f>+AS101/AS$115</f>
        <v>0.98417700720332291</v>
      </c>
      <c r="AT195" s="278">
        <f>+AT101/AT$115</f>
        <v>0.9827424585947111</v>
      </c>
      <c r="AU195" s="278">
        <f>+AU101/AU$115</f>
        <v>0.98282714405722016</v>
      </c>
      <c r="AV195" s="278">
        <f>+AV101/AV$115</f>
        <v>0.98371772155425685</v>
      </c>
      <c r="AW195" s="793">
        <f>+AW101/AW$115</f>
        <v>0.98335979363348491</v>
      </c>
      <c r="AX195" s="268"/>
      <c r="AY195" s="792">
        <f>+AY101/AY$115</f>
        <v>0.98209929769685</v>
      </c>
      <c r="AZ195" s="278">
        <f>+AZ101/AZ$115</f>
        <v>0.98255000130766967</v>
      </c>
      <c r="BA195" s="278">
        <f>+BA101/BA$115</f>
        <v>0.9819069941168721</v>
      </c>
      <c r="BB195" s="278">
        <f>+BB101/BB$115</f>
        <v>0.98429981473401995</v>
      </c>
      <c r="BC195" s="793">
        <f>+BC101/BC$115</f>
        <v>0.98276436548365631</v>
      </c>
      <c r="BD195" s="268"/>
      <c r="BE195" s="792">
        <f>+BE101/BE$115</f>
        <v>0.98209582785612548</v>
      </c>
      <c r="BF195" s="278">
        <f>+BF101/BF$115</f>
        <v>0.98219321450923269</v>
      </c>
      <c r="BG195" s="278">
        <f>+BG101/BG$115</f>
        <v>0.9808996790962321</v>
      </c>
      <c r="BH195" s="278">
        <f>+BH101/BH$115</f>
        <v>0.98280982014991347</v>
      </c>
      <c r="BI195" s="793">
        <f>+BI101/BI$115</f>
        <v>0.98203150906714709</v>
      </c>
      <c r="BJ195" s="268"/>
      <c r="BK195" s="792">
        <f>+BK101/BK$115</f>
        <v>0.98275619469838627</v>
      </c>
      <c r="BL195" s="278">
        <f>+BL101/BL$115</f>
        <v>0.9822861637663145</v>
      </c>
      <c r="BM195" s="278">
        <f>+BM101/BM$115</f>
        <v>0.98166691103118942</v>
      </c>
      <c r="BN195" s="278">
        <f>+BN101/BN$115</f>
        <v>0.98187510093543862</v>
      </c>
      <c r="BO195" s="793">
        <f>+BO101/BO$115</f>
        <v>0.98213106484837731</v>
      </c>
      <c r="BP195" s="268"/>
      <c r="BQ195" s="792">
        <f>+BQ101/BQ$115</f>
        <v>0.980641729359643</v>
      </c>
      <c r="BR195" s="278">
        <f>+BR101/BR$115</f>
        <v>0.97711176785997067</v>
      </c>
      <c r="BS195" s="278">
        <f>+BS101/BS$115</f>
        <v>0.97575036954485384</v>
      </c>
      <c r="BT195" s="278">
        <f>+BT101/BT$115</f>
        <v>0.97709975568991025</v>
      </c>
      <c r="BU195" s="793">
        <f>+BU101/BU$115</f>
        <v>0.97757614337005183</v>
      </c>
      <c r="BV195" s="268"/>
      <c r="BW195" s="792">
        <f>+BW101/BW$115</f>
        <v>0.97531653670749896</v>
      </c>
      <c r="BX195" s="278">
        <f>+BX101/BX$115</f>
        <v>0.97636867078215517</v>
      </c>
      <c r="BY195" s="278">
        <f>+BY101/BY$115</f>
        <v>0.97497194998377157</v>
      </c>
      <c r="BZ195" s="278">
        <f>+BZ101/BZ$115</f>
        <v>0.97634840128078826</v>
      </c>
      <c r="CA195" s="793">
        <f>+CA101/CA$115</f>
        <v>0.97577600675012743</v>
      </c>
      <c r="CB195" s="268"/>
      <c r="CC195" s="792">
        <f>+CC101/CC$115</f>
        <v>0.97451939660293752</v>
      </c>
      <c r="CD195" s="278">
        <f>+CD101/CD$115</f>
        <v>0.97560557345015919</v>
      </c>
      <c r="CE195" s="278">
        <f>+CE101/CE$115</f>
        <v>0.97417295816338723</v>
      </c>
      <c r="CF195" s="278">
        <f>+CF101/CF$115</f>
        <v>0.97557649491717202</v>
      </c>
      <c r="CG195" s="793">
        <f>+CG101/CG$115</f>
        <v>0.97499368014392929</v>
      </c>
    </row>
    <row r="196" spans="1:85" ht="11.25" customHeight="1" outlineLevel="1" x14ac:dyDescent="0.2">
      <c r="A196" s="78"/>
      <c r="B196" s="791" t="s">
        <v>314</v>
      </c>
      <c r="C196" s="128"/>
      <c r="D196" s="129"/>
      <c r="E196" s="129"/>
      <c r="F196" s="129"/>
      <c r="G196" s="452"/>
      <c r="H196" s="109"/>
      <c r="I196" s="128"/>
      <c r="J196" s="129"/>
      <c r="K196" s="129"/>
      <c r="L196" s="129"/>
      <c r="M196" s="452"/>
      <c r="N196" s="109"/>
      <c r="O196" s="128"/>
      <c r="P196" s="129"/>
      <c r="Q196" s="129"/>
      <c r="R196" s="129"/>
      <c r="S196" s="452"/>
      <c r="T196" s="109"/>
      <c r="U196" s="128"/>
      <c r="V196" s="129"/>
      <c r="W196" s="129"/>
      <c r="X196" s="129"/>
      <c r="Y196" s="452"/>
      <c r="Z196" s="109"/>
      <c r="AA196" s="794">
        <f>+AA108/AA$115</f>
        <v>1.1998532093011065E-2</v>
      </c>
      <c r="AB196" s="795">
        <f>+AB108/AB$115</f>
        <v>1.0734314292370801E-2</v>
      </c>
      <c r="AC196" s="795">
        <f>+AC108/AC$115</f>
        <v>1.1964297106212784E-2</v>
      </c>
      <c r="AD196" s="795">
        <f>+AD108/AD$115</f>
        <v>1.0910249835855016E-2</v>
      </c>
      <c r="AE196" s="796">
        <f>+AE108/AE$115</f>
        <v>1.1361678093896274E-2</v>
      </c>
      <c r="AF196" s="109"/>
      <c r="AG196" s="794">
        <f>+AG108/AG$115</f>
        <v>1.1381832287090613E-2</v>
      </c>
      <c r="AH196" s="795">
        <f>+AH108/AH$115</f>
        <v>1.2773782207078669E-2</v>
      </c>
      <c r="AI196" s="795">
        <f>+AI108/AI$115</f>
        <v>1.2898685746773341E-2</v>
      </c>
      <c r="AJ196" s="795">
        <f>+AJ108/AJ$115</f>
        <v>1.1572226656025539E-2</v>
      </c>
      <c r="AK196" s="796">
        <f>+AK108/AK$115</f>
        <v>1.2140192599615953E-2</v>
      </c>
      <c r="AL196" s="109"/>
      <c r="AM196" s="794">
        <f>+AM108/AM$115</f>
        <v>1.2882420897780066E-2</v>
      </c>
      <c r="AN196" s="795">
        <f>+AN108/AN$115</f>
        <v>1.317188792426338E-2</v>
      </c>
      <c r="AO196" s="795">
        <f>+AO108/AO$115</f>
        <v>1.3683529499589418E-2</v>
      </c>
      <c r="AP196" s="795">
        <f>+AP108/AP$115</f>
        <v>1.3078584625660528E-2</v>
      </c>
      <c r="AQ196" s="796">
        <f>+AQ108/AQ$115</f>
        <v>1.3195400025018835E-2</v>
      </c>
      <c r="AR196" s="109"/>
      <c r="AS196" s="794">
        <f>+AS108/AS$115</f>
        <v>1.5822992796677007E-2</v>
      </c>
      <c r="AT196" s="795">
        <f>+AT108/AT$115</f>
        <v>1.7257541405288894E-2</v>
      </c>
      <c r="AU196" s="795">
        <f>+AU108/AU$115</f>
        <v>1.7172855942779813E-2</v>
      </c>
      <c r="AV196" s="795">
        <f>+AV108/AV$115</f>
        <v>1.628227844574311E-2</v>
      </c>
      <c r="AW196" s="796">
        <f>+AW108/AW$115</f>
        <v>1.6640206366515E-2</v>
      </c>
      <c r="AX196" s="109"/>
      <c r="AY196" s="794">
        <f>+AY108/AY$115</f>
        <v>1.7900702303149958E-2</v>
      </c>
      <c r="AZ196" s="795">
        <f>+AZ108/AZ$115</f>
        <v>1.7449998692330347E-2</v>
      </c>
      <c r="BA196" s="795">
        <f>+BA108/BA$115</f>
        <v>1.8093005883127983E-2</v>
      </c>
      <c r="BB196" s="795">
        <f>+BB108/BB$115</f>
        <v>1.570018526597998E-2</v>
      </c>
      <c r="BC196" s="796">
        <f>+BC108/BC$115</f>
        <v>1.7235634516343721E-2</v>
      </c>
      <c r="BD196" s="109"/>
      <c r="BE196" s="794">
        <f>+BE108/BE$115</f>
        <v>1.790417214387461E-2</v>
      </c>
      <c r="BF196" s="795">
        <f>+BF108/BF$115</f>
        <v>1.7806785490767377E-2</v>
      </c>
      <c r="BG196" s="795">
        <f>+BG108/BG$115</f>
        <v>1.9100320903767919E-2</v>
      </c>
      <c r="BH196" s="795">
        <f>+BH108/BH$115</f>
        <v>1.7190179850086459E-2</v>
      </c>
      <c r="BI196" s="796">
        <f>+BI108/BI$115</f>
        <v>1.7968490932853048E-2</v>
      </c>
      <c r="BJ196" s="109"/>
      <c r="BK196" s="794">
        <f>+BK108/BK$115</f>
        <v>1.7243805301613645E-2</v>
      </c>
      <c r="BL196" s="795">
        <f>+BL108/BL$115</f>
        <v>1.7713836233685519E-2</v>
      </c>
      <c r="BM196" s="795">
        <f>+BM108/BM$115</f>
        <v>1.833308896881046E-2</v>
      </c>
      <c r="BN196" s="795">
        <f>+BN108/BN$115</f>
        <v>1.8124899064561412E-2</v>
      </c>
      <c r="BO196" s="796">
        <f>+BO108/BO$115</f>
        <v>1.7868935151622852E-2</v>
      </c>
      <c r="BP196" s="109"/>
      <c r="BQ196" s="794">
        <f>+BQ108/BQ$115</f>
        <v>1.9358270640357077E-2</v>
      </c>
      <c r="BR196" s="795">
        <f>+BR108/BR$115</f>
        <v>2.2888232140029385E-2</v>
      </c>
      <c r="BS196" s="795">
        <f>+BS108/BS$115</f>
        <v>2.4249630455146186E-2</v>
      </c>
      <c r="BT196" s="795">
        <f>+BT108/BT$115</f>
        <v>2.2900244310089839E-2</v>
      </c>
      <c r="BU196" s="796">
        <f>+BU108/BU$115</f>
        <v>2.2423856629948183E-2</v>
      </c>
      <c r="BV196" s="109"/>
      <c r="BW196" s="794">
        <f>+BW108/BW$115</f>
        <v>2.4683463292500984E-2</v>
      </c>
      <c r="BX196" s="795">
        <f>+BX108/BX$115</f>
        <v>2.3631329217844759E-2</v>
      </c>
      <c r="BY196" s="795">
        <f>+BY108/BY$115</f>
        <v>2.5028050016228556E-2</v>
      </c>
      <c r="BZ196" s="795">
        <f>+BZ108/BZ$115</f>
        <v>2.3651598719211873E-2</v>
      </c>
      <c r="CA196" s="796">
        <f>+CA108/CA$115</f>
        <v>2.4223993249872549E-2</v>
      </c>
      <c r="CB196" s="109"/>
      <c r="CC196" s="794">
        <f>+CC108/CC$115</f>
        <v>2.5480603397062422E-2</v>
      </c>
      <c r="CD196" s="795">
        <f>+CD108/CD$115</f>
        <v>2.4394426549840708E-2</v>
      </c>
      <c r="CE196" s="795">
        <f>+CE108/CE$115</f>
        <v>2.5827041836612809E-2</v>
      </c>
      <c r="CF196" s="795">
        <f>+CF108/CF$115</f>
        <v>2.442350508282793E-2</v>
      </c>
      <c r="CG196" s="796">
        <f>+CG108/CG$115</f>
        <v>2.5006319856070543E-2</v>
      </c>
    </row>
    <row r="197" spans="1:85" ht="11.25" customHeight="1" outlineLevel="1" x14ac:dyDescent="0.2">
      <c r="A197" s="78"/>
      <c r="H197" s="11"/>
      <c r="N197" s="11"/>
      <c r="T197" s="11"/>
      <c r="Z197" s="11"/>
      <c r="AF197" s="11"/>
      <c r="AL197" s="11"/>
      <c r="AR197" s="11"/>
      <c r="AX197" s="11"/>
      <c r="BD197" s="11"/>
      <c r="BJ197" s="11"/>
      <c r="BP197" s="11"/>
      <c r="BV197" s="11"/>
      <c r="CB197" s="11"/>
    </row>
    <row r="198" spans="1:85" ht="11.25" customHeight="1" outlineLevel="1" x14ac:dyDescent="0.2">
      <c r="A198" s="78"/>
      <c r="B198" s="812" t="s">
        <v>527</v>
      </c>
      <c r="C198" s="813"/>
      <c r="D198" s="813"/>
      <c r="E198" s="813"/>
      <c r="F198" s="813"/>
      <c r="G198" s="813"/>
      <c r="H198" s="812"/>
      <c r="I198" s="813"/>
      <c r="J198" s="813"/>
      <c r="K198" s="813"/>
      <c r="L198" s="813"/>
      <c r="M198" s="813"/>
      <c r="N198" s="812"/>
      <c r="O198" s="813"/>
      <c r="P198" s="813"/>
      <c r="Q198" s="813"/>
      <c r="R198" s="813"/>
      <c r="S198" s="813"/>
      <c r="T198" s="812"/>
      <c r="U198" s="813"/>
      <c r="V198" s="813"/>
      <c r="W198" s="813"/>
      <c r="X198" s="813"/>
      <c r="Y198" s="813"/>
      <c r="Z198" s="812"/>
      <c r="AA198" s="813"/>
      <c r="AB198" s="813"/>
      <c r="AC198" s="813"/>
      <c r="AD198" s="813"/>
      <c r="AE198" s="813"/>
      <c r="AF198" s="812"/>
      <c r="AG198" s="813"/>
      <c r="AH198" s="813"/>
      <c r="AI198" s="813"/>
      <c r="AJ198" s="813"/>
      <c r="AK198" s="813"/>
      <c r="AL198" s="812"/>
      <c r="AM198" s="813"/>
      <c r="AN198" s="813"/>
      <c r="AO198" s="813"/>
      <c r="AP198" s="813"/>
      <c r="AQ198" s="813"/>
      <c r="AR198" s="812"/>
      <c r="AS198" s="813"/>
      <c r="AT198" s="813"/>
      <c r="AU198" s="813"/>
      <c r="AV198" s="813"/>
      <c r="AW198" s="813"/>
      <c r="AX198" s="812"/>
      <c r="AY198" s="813"/>
      <c r="AZ198" s="813"/>
      <c r="BA198" s="813"/>
      <c r="BB198" s="813"/>
      <c r="BC198" s="813"/>
      <c r="BD198" s="812"/>
      <c r="BE198" s="813"/>
      <c r="BF198" s="813"/>
      <c r="BG198" s="813"/>
      <c r="BH198" s="813"/>
      <c r="BI198" s="813"/>
      <c r="BJ198" s="812"/>
      <c r="BK198" s="813"/>
      <c r="BL198" s="813"/>
      <c r="BM198" s="813"/>
      <c r="BN198" s="813"/>
      <c r="BO198" s="813"/>
      <c r="BP198" s="812"/>
      <c r="BQ198" s="813"/>
      <c r="BR198" s="813"/>
      <c r="BS198" s="813"/>
      <c r="BT198" s="813"/>
      <c r="BU198" s="813"/>
      <c r="BV198" s="812"/>
      <c r="BW198" s="813"/>
      <c r="BX198" s="813"/>
      <c r="BY198" s="813"/>
      <c r="BZ198" s="813"/>
      <c r="CA198" s="813"/>
      <c r="CB198" s="812"/>
      <c r="CC198" s="813"/>
      <c r="CD198" s="813"/>
      <c r="CE198" s="813"/>
      <c r="CF198" s="813"/>
      <c r="CG198" s="814"/>
    </row>
    <row r="199" spans="1:85" ht="11.25" customHeight="1" outlineLevel="1" x14ac:dyDescent="0.2">
      <c r="A199" s="78"/>
      <c r="B199" s="98" t="s">
        <v>460</v>
      </c>
      <c r="C199" s="271"/>
      <c r="D199" s="272"/>
      <c r="E199" s="272"/>
      <c r="F199" s="272"/>
      <c r="G199" s="456"/>
      <c r="H199" s="62"/>
      <c r="I199" s="271"/>
      <c r="J199" s="272"/>
      <c r="K199" s="272"/>
      <c r="L199" s="272"/>
      <c r="M199" s="456"/>
      <c r="N199" s="62"/>
      <c r="O199" s="271"/>
      <c r="P199" s="272"/>
      <c r="Q199" s="272"/>
      <c r="R199" s="272"/>
      <c r="S199" s="456"/>
      <c r="T199" s="62"/>
      <c r="U199" s="271"/>
      <c r="V199" s="272"/>
      <c r="W199" s="272"/>
      <c r="X199" s="272"/>
      <c r="Y199" s="456"/>
      <c r="Z199" s="62"/>
      <c r="AA199" s="792">
        <f>+AA126/AA$174</f>
        <v>0.56237084529364745</v>
      </c>
      <c r="AB199" s="278">
        <f>+AB126/AB$174</f>
        <v>0.56378552923065384</v>
      </c>
      <c r="AC199" s="278">
        <f>+AC126/AC$174</f>
        <v>0.53181073195772299</v>
      </c>
      <c r="AD199" s="278">
        <f>+AD126/AD$174</f>
        <v>0.57487346954124274</v>
      </c>
      <c r="AE199" s="793">
        <f>+AE126/AE$174</f>
        <v>0.55858884191093294</v>
      </c>
      <c r="AF199" s="62"/>
      <c r="AG199" s="792">
        <f>+AG126/AG$174</f>
        <v>0.55057433972727265</v>
      </c>
      <c r="AH199" s="278">
        <f>+AH126/AH$174</f>
        <v>0.53869854986617938</v>
      </c>
      <c r="AI199" s="278">
        <f>+AI126/AI$174</f>
        <v>0.50174849779790576</v>
      </c>
      <c r="AJ199" s="278">
        <f>+AJ126/AJ$174</f>
        <v>0.54536051997186563</v>
      </c>
      <c r="AK199" s="793">
        <f>+AK126/AK$174</f>
        <v>0.53406036062549223</v>
      </c>
      <c r="AL199" s="62"/>
      <c r="AM199" s="792">
        <f>+AM126/AM$174</f>
        <v>0.51920178276886397</v>
      </c>
      <c r="AN199" s="278">
        <f>+AN126/AN$174</f>
        <v>0.5266225160025253</v>
      </c>
      <c r="AO199" s="278">
        <f>+AO126/AO$174</f>
        <v>0.50371356466447215</v>
      </c>
      <c r="AP199" s="278">
        <f>+AP126/AP$174</f>
        <v>0.5400614320151047</v>
      </c>
      <c r="AQ199" s="793">
        <f>+AQ126/AQ$174</f>
        <v>0.52276503880961189</v>
      </c>
      <c r="AR199" s="62"/>
      <c r="AS199" s="792">
        <f>+AS126/AS$174</f>
        <v>0.53368030651492349</v>
      </c>
      <c r="AT199" s="278">
        <f>+AT126/AT$174</f>
        <v>0.52323845705026295</v>
      </c>
      <c r="AU199" s="278">
        <f>+AU126/AU$174</f>
        <v>0.49484988731686846</v>
      </c>
      <c r="AV199" s="278">
        <f>+AV126/AV$174</f>
        <v>0.52457573676138813</v>
      </c>
      <c r="AW199" s="793">
        <f>+AW126/AW$174</f>
        <v>0.5188518607438346</v>
      </c>
      <c r="AX199" s="62"/>
      <c r="AY199" s="792">
        <f>+AY126/AY$174</f>
        <v>0.50740772010264457</v>
      </c>
      <c r="AZ199" s="278">
        <f>+AZ126/AZ$174</f>
        <v>0.50231352593065892</v>
      </c>
      <c r="BA199" s="278">
        <f>+BA126/BA$174</f>
        <v>0.47148130841991415</v>
      </c>
      <c r="BB199" s="278">
        <f>+BB126/BB$174</f>
        <v>0.50484440450409307</v>
      </c>
      <c r="BC199" s="793">
        <f>+BC126/BC$174</f>
        <v>0.49638254783593055</v>
      </c>
      <c r="BD199" s="62"/>
      <c r="BE199" s="792">
        <f>+BE126/BE$174</f>
        <v>0.4798320198131989</v>
      </c>
      <c r="BF199" s="278">
        <f>+BF126/BF$174</f>
        <v>0.47802466729094945</v>
      </c>
      <c r="BG199" s="278">
        <f>+BG126/BG$174</f>
        <v>0.46438264271165053</v>
      </c>
      <c r="BH199" s="278">
        <f>+BH126/BH$174</f>
        <v>0.49659204584268685</v>
      </c>
      <c r="BI199" s="793">
        <f>+BI126/BI$174</f>
        <v>0.48007833972870423</v>
      </c>
      <c r="BJ199" s="62"/>
      <c r="BK199" s="792">
        <f>+BK126/BK$174</f>
        <v>0.48073315023052066</v>
      </c>
      <c r="BL199" s="278">
        <f>+BL126/BL$174</f>
        <v>0.48641524086946114</v>
      </c>
      <c r="BM199" s="278">
        <f>+BM126/BM$174</f>
        <v>0.46779220918906589</v>
      </c>
      <c r="BN199" s="278">
        <f>+BN126/BN$174</f>
        <v>0.50534975802373294</v>
      </c>
      <c r="BO199" s="793">
        <f>+BO126/BO$174</f>
        <v>0.48540004909488632</v>
      </c>
      <c r="BP199" s="62"/>
      <c r="BQ199" s="792">
        <f>+BQ126/BQ$174</f>
        <v>0.47404126338004976</v>
      </c>
      <c r="BR199" s="278">
        <f>+BR126/BR$174</f>
        <v>0.46613468164643451</v>
      </c>
      <c r="BS199" s="278">
        <f>+BS126/BS$174</f>
        <v>0.45320980782003073</v>
      </c>
      <c r="BT199" s="278">
        <f>+BT126/BT$174</f>
        <v>0.48787861329152538</v>
      </c>
      <c r="BU199" s="793">
        <f>+BU126/BU$174</f>
        <v>0.47042709839548075</v>
      </c>
      <c r="BV199" s="62"/>
      <c r="BW199" s="792">
        <f>+BW126/BW$174</f>
        <v>0.46388454018355157</v>
      </c>
      <c r="BX199" s="278">
        <f>+BX126/BX$174</f>
        <v>0.45971995304586039</v>
      </c>
      <c r="BY199" s="278">
        <f>+BY126/BY$174</f>
        <v>0.44689013026064967</v>
      </c>
      <c r="BZ199" s="278">
        <f>+BZ126/BZ$174</f>
        <v>0.48150549386691077</v>
      </c>
      <c r="CA199" s="793">
        <f>+CA126/CA$174</f>
        <v>0.46317075798682722</v>
      </c>
      <c r="CB199" s="62"/>
      <c r="CC199" s="792">
        <f>+CC126/CC$174</f>
        <v>0.45904162988107367</v>
      </c>
      <c r="CD199" s="278">
        <f>+CD126/CD$174</f>
        <v>0.45486113943774098</v>
      </c>
      <c r="CE199" s="278">
        <f>+CE126/CE$174</f>
        <v>0.44214602147149157</v>
      </c>
      <c r="CF199" s="278">
        <f>+CF126/CF$174</f>
        <v>0.47666021314137097</v>
      </c>
      <c r="CG199" s="793">
        <f>+CG126/CG$174</f>
        <v>0.4583463288637229</v>
      </c>
    </row>
    <row r="200" spans="1:85" ht="11.25" customHeight="1" outlineLevel="1" x14ac:dyDescent="0.2">
      <c r="A200" s="78"/>
      <c r="B200" s="98" t="s">
        <v>461</v>
      </c>
      <c r="C200" s="271"/>
      <c r="D200" s="272"/>
      <c r="E200" s="272"/>
      <c r="F200" s="272"/>
      <c r="G200" s="456"/>
      <c r="H200" s="62"/>
      <c r="I200" s="271"/>
      <c r="J200" s="272"/>
      <c r="K200" s="272"/>
      <c r="L200" s="272"/>
      <c r="M200" s="456"/>
      <c r="N200" s="62"/>
      <c r="O200" s="271"/>
      <c r="P200" s="272"/>
      <c r="Q200" s="272"/>
      <c r="R200" s="272"/>
      <c r="S200" s="456"/>
      <c r="T200" s="62"/>
      <c r="U200" s="271"/>
      <c r="V200" s="272"/>
      <c r="W200" s="272"/>
      <c r="X200" s="272"/>
      <c r="Y200" s="456"/>
      <c r="Z200" s="62"/>
      <c r="AA200" s="792">
        <f>+AA146/AA$174</f>
        <v>0.23395170146645303</v>
      </c>
      <c r="AB200" s="278">
        <f>+AB146/AB$174</f>
        <v>0.24710274846994335</v>
      </c>
      <c r="AC200" s="278">
        <f>+AC146/AC$174</f>
        <v>0.23766901722930367</v>
      </c>
      <c r="AD200" s="278">
        <f>+AD146/AD$174</f>
        <v>0.22486483760856155</v>
      </c>
      <c r="AE200" s="793">
        <f>+AE146/AE$174</f>
        <v>0.23566388855087586</v>
      </c>
      <c r="AF200" s="62"/>
      <c r="AG200" s="792">
        <f>+AG146/AG$174</f>
        <v>0.25039792398258426</v>
      </c>
      <c r="AH200" s="278">
        <f>+AH146/AH$174</f>
        <v>0.2663051476934315</v>
      </c>
      <c r="AI200" s="278">
        <f>+AI146/AI$174</f>
        <v>0.26808984795554397</v>
      </c>
      <c r="AJ200" s="278">
        <f>+AJ146/AJ$174</f>
        <v>0.25376571869402492</v>
      </c>
      <c r="AK200" s="793">
        <f>+AK146/AK$174</f>
        <v>0.25963753557479569</v>
      </c>
      <c r="AL200" s="62"/>
      <c r="AM200" s="792">
        <f>+AM146/AM$174</f>
        <v>0.2786740503969678</v>
      </c>
      <c r="AN200" s="278">
        <f>+AN146/AN$174</f>
        <v>0.27857438508911664</v>
      </c>
      <c r="AO200" s="278">
        <f>+AO146/AO$174</f>
        <v>0.27343594345743383</v>
      </c>
      <c r="AP200" s="278">
        <f>+AP146/AP$174</f>
        <v>0.25797211018180233</v>
      </c>
      <c r="AQ200" s="793">
        <f>+AQ146/AQ$174</f>
        <v>0.27189174540174949</v>
      </c>
      <c r="AR200" s="62"/>
      <c r="AS200" s="792">
        <f>+AS146/AS$174</f>
        <v>0.26931900340677301</v>
      </c>
      <c r="AT200" s="278">
        <f>+AT146/AT$174</f>
        <v>0.28850167048634129</v>
      </c>
      <c r="AU200" s="278">
        <f>+AU146/AU$174</f>
        <v>0.28888349368398941</v>
      </c>
      <c r="AV200" s="278">
        <f>+AV146/AV$174</f>
        <v>0.27076129049449021</v>
      </c>
      <c r="AW200" s="793">
        <f>+AW146/AW$174</f>
        <v>0.279481535261908</v>
      </c>
      <c r="AX200" s="62"/>
      <c r="AY200" s="792">
        <f>+AY146/AY$174</f>
        <v>0.27776880282313293</v>
      </c>
      <c r="AZ200" s="278">
        <f>+AZ146/AZ$174</f>
        <v>0.28469642340985507</v>
      </c>
      <c r="BA200" s="278">
        <f>+BA146/BA$174</f>
        <v>0.27273939017102694</v>
      </c>
      <c r="BB200" s="278">
        <f>+BB146/BB$174</f>
        <v>0.26525105246801206</v>
      </c>
      <c r="BC200" s="793">
        <f>+BC146/BC$174</f>
        <v>0.27485430235738123</v>
      </c>
      <c r="BD200" s="62"/>
      <c r="BE200" s="792">
        <f>+BE146/BE$174</f>
        <v>0.28434586992188177</v>
      </c>
      <c r="BF200" s="278">
        <f>+BF146/BF$174</f>
        <v>0.29714860598127846</v>
      </c>
      <c r="BG200" s="278">
        <f>+BG146/BG$174</f>
        <v>0.27582484395221468</v>
      </c>
      <c r="BH200" s="278">
        <f>+BH146/BH$174</f>
        <v>0.26844688160659602</v>
      </c>
      <c r="BI200" s="793">
        <f>+BI146/BI$174</f>
        <v>0.28112626279517072</v>
      </c>
      <c r="BJ200" s="62"/>
      <c r="BK200" s="792">
        <f>+BK146/BK$174</f>
        <v>0.27812297721341611</v>
      </c>
      <c r="BL200" s="278">
        <f>+BL146/BL$174</f>
        <v>0.2913362432169358</v>
      </c>
      <c r="BM200" s="278">
        <f>+BM146/BM$174</f>
        <v>0.27920177989632033</v>
      </c>
      <c r="BN200" s="278">
        <f>+BN146/BN$174</f>
        <v>0.26816148065726897</v>
      </c>
      <c r="BO200" s="793">
        <f>+BO146/BO$174</f>
        <v>0.27898823127045741</v>
      </c>
      <c r="BP200" s="62"/>
      <c r="BQ200" s="792">
        <f>+BQ146/BQ$174</f>
        <v>0.28842656865685118</v>
      </c>
      <c r="BR200" s="278">
        <f>+BR146/BR$174</f>
        <v>0.3000553418818932</v>
      </c>
      <c r="BS200" s="278">
        <f>+BS146/BS$174</f>
        <v>0.28557839565329862</v>
      </c>
      <c r="BT200" s="278">
        <f>+BT146/BT$174</f>
        <v>0.27493776402004488</v>
      </c>
      <c r="BU200" s="793">
        <f>+BU146/BU$174</f>
        <v>0.28704156285885601</v>
      </c>
      <c r="BV200" s="62"/>
      <c r="BW200" s="792">
        <f>+BW146/BW$174</f>
        <v>0.29084154771928111</v>
      </c>
      <c r="BX200" s="278">
        <f>+BX146/BX$174</f>
        <v>0.30489054871858667</v>
      </c>
      <c r="BY200" s="278">
        <f>+BY146/BY$174</f>
        <v>0.29015305709960187</v>
      </c>
      <c r="BZ200" s="278">
        <f>+BZ146/BZ$174</f>
        <v>0.2795478986930281</v>
      </c>
      <c r="CA200" s="793">
        <f>+CA146/CA$174</f>
        <v>0.29118698139515353</v>
      </c>
      <c r="CB200" s="62"/>
      <c r="CC200" s="792">
        <f>+CC146/CC$174</f>
        <v>0.29502805903002216</v>
      </c>
      <c r="CD200" s="278">
        <f>+CD146/CD$174</f>
        <v>0.30917329716528957</v>
      </c>
      <c r="CE200" s="278">
        <f>+CE146/CE$174</f>
        <v>0.29430739151795482</v>
      </c>
      <c r="CF200" s="278">
        <f>+CF146/CF$174</f>
        <v>0.28371162138846007</v>
      </c>
      <c r="CG200" s="793">
        <f>+CG146/CG$174</f>
        <v>0.29538464272261072</v>
      </c>
    </row>
    <row r="201" spans="1:85" ht="11.25" customHeight="1" outlineLevel="1" x14ac:dyDescent="0.2">
      <c r="A201" s="78"/>
      <c r="B201" s="98" t="s">
        <v>462</v>
      </c>
      <c r="C201" s="147"/>
      <c r="D201" s="148"/>
      <c r="E201" s="148"/>
      <c r="F201" s="148"/>
      <c r="G201" s="448"/>
      <c r="H201" s="153"/>
      <c r="I201" s="147"/>
      <c r="J201" s="148"/>
      <c r="K201" s="148"/>
      <c r="L201" s="148"/>
      <c r="M201" s="448"/>
      <c r="N201" s="153"/>
      <c r="O201" s="147"/>
      <c r="P201" s="148"/>
      <c r="Q201" s="148"/>
      <c r="R201" s="148"/>
      <c r="S201" s="448"/>
      <c r="T201" s="153"/>
      <c r="U201" s="147"/>
      <c r="V201" s="148"/>
      <c r="W201" s="148"/>
      <c r="X201" s="148"/>
      <c r="Y201" s="448"/>
      <c r="Z201" s="153"/>
      <c r="AA201" s="792">
        <f>+AA153/AA$174</f>
        <v>0.17510823966595493</v>
      </c>
      <c r="AB201" s="278">
        <f>+AB153/AB$174</f>
        <v>0.15998573198663318</v>
      </c>
      <c r="AC201" s="278">
        <f>+AC153/AC$174</f>
        <v>0.20106900008666032</v>
      </c>
      <c r="AD201" s="278">
        <f>+AD153/AD$174</f>
        <v>0.17003924538106141</v>
      </c>
      <c r="AE201" s="793">
        <f>+AE153/AE$174</f>
        <v>0.17636709486084926</v>
      </c>
      <c r="AF201" s="153"/>
      <c r="AG201" s="792">
        <f>+AG153/AG$174</f>
        <v>0.1690437294755312</v>
      </c>
      <c r="AH201" s="278">
        <f>+AH153/AH$174</f>
        <v>0.16403809849135936</v>
      </c>
      <c r="AI201" s="278">
        <f>+AI153/AI$174</f>
        <v>0.19835342693914726</v>
      </c>
      <c r="AJ201" s="278">
        <f>+AJ153/AJ$174</f>
        <v>0.16709377613208229</v>
      </c>
      <c r="AK201" s="793">
        <f>+AK153/AK$174</f>
        <v>0.17460030892731479</v>
      </c>
      <c r="AL201" s="153"/>
      <c r="AM201" s="792">
        <f>+AM153/AM$174</f>
        <v>0.16954878350267341</v>
      </c>
      <c r="AN201" s="278">
        <f>+AN153/AN$174</f>
        <v>0.16217299869136764</v>
      </c>
      <c r="AO201" s="278">
        <f>+AO153/AO$174</f>
        <v>0.18924705273321421</v>
      </c>
      <c r="AP201" s="278">
        <f>+AP153/AP$174</f>
        <v>0.16699256245126406</v>
      </c>
      <c r="AQ201" s="793">
        <f>+AQ153/AQ$174</f>
        <v>0.17186776166926776</v>
      </c>
      <c r="AR201" s="153"/>
      <c r="AS201" s="792">
        <f>+AS153/AS$174</f>
        <v>0.16353415558405848</v>
      </c>
      <c r="AT201" s="278">
        <f>+AT153/AT$174</f>
        <v>0.15418523930892566</v>
      </c>
      <c r="AU201" s="278">
        <f>+AU153/AU$174</f>
        <v>0.18306082678508334</v>
      </c>
      <c r="AV201" s="278">
        <f>+AV153/AV$174</f>
        <v>0.17087179730105814</v>
      </c>
      <c r="AW201" s="793">
        <f>+AW153/AW$174</f>
        <v>0.16802810423675127</v>
      </c>
      <c r="AX201" s="153"/>
      <c r="AY201" s="792">
        <f>+AY153/AY$174</f>
        <v>0.18003114083760413</v>
      </c>
      <c r="AZ201" s="278">
        <f>+AZ153/AZ$174</f>
        <v>0.17895083139366835</v>
      </c>
      <c r="BA201" s="278">
        <f>+BA153/BA$174</f>
        <v>0.22236771804671551</v>
      </c>
      <c r="BB201" s="278">
        <f>+BB153/BB$174</f>
        <v>0.19699619561137852</v>
      </c>
      <c r="BC201" s="793">
        <f>+BC153/BC$174</f>
        <v>0.19501126981813913</v>
      </c>
      <c r="BD201" s="153"/>
      <c r="BE201" s="792">
        <f>+BE153/BE$174</f>
        <v>0.19835204551226548</v>
      </c>
      <c r="BF201" s="278">
        <f>+BF153/BF$174</f>
        <v>0.18757201588787975</v>
      </c>
      <c r="BG201" s="278">
        <f>+BG153/BG$174</f>
        <v>0.22325129452300543</v>
      </c>
      <c r="BH201" s="278">
        <f>+BH153/BH$174</f>
        <v>0.19900164502036888</v>
      </c>
      <c r="BI201" s="793">
        <f>+BI153/BI$174</f>
        <v>0.20201620321940233</v>
      </c>
      <c r="BJ201" s="153"/>
      <c r="BK201" s="792">
        <f>+BK153/BK$174</f>
        <v>0.20489108940699599</v>
      </c>
      <c r="BL201" s="278">
        <f>+BL153/BL$174</f>
        <v>0.18677393185328905</v>
      </c>
      <c r="BM201" s="278">
        <f>+BM153/BM$174</f>
        <v>0.21852036153432225</v>
      </c>
      <c r="BN201" s="278">
        <f>+BN153/BN$174</f>
        <v>0.19195357334662611</v>
      </c>
      <c r="BO201" s="793">
        <f>+BO153/BO$174</f>
        <v>0.20045559219884027</v>
      </c>
      <c r="BP201" s="153"/>
      <c r="BQ201" s="792">
        <f>+BQ153/BQ$174</f>
        <v>0.20038901347909452</v>
      </c>
      <c r="BR201" s="278">
        <f>+BR153/BR$174</f>
        <v>0.19018853893290905</v>
      </c>
      <c r="BS201" s="278">
        <f>+BS153/BS$174</f>
        <v>0.21882477386617122</v>
      </c>
      <c r="BT201" s="278">
        <f>+BT153/BT$174</f>
        <v>0.19465634259615389</v>
      </c>
      <c r="BU201" s="793">
        <f>+BU153/BU$174</f>
        <v>0.20102582154538765</v>
      </c>
      <c r="BV201" s="153"/>
      <c r="BW201" s="792">
        <f>+BW153/BW$174</f>
        <v>0.19999159859145163</v>
      </c>
      <c r="BX201" s="278">
        <f>+BX153/BX$174</f>
        <v>0.19126910989925602</v>
      </c>
      <c r="BY201" s="278">
        <f>+BY153/BY$174</f>
        <v>0.2200763873430944</v>
      </c>
      <c r="BZ201" s="278">
        <f>+BZ153/BZ$174</f>
        <v>0.19589183629997359</v>
      </c>
      <c r="CA201" s="793">
        <f>+CA153/CA$174</f>
        <v>0.20184338182928033</v>
      </c>
      <c r="CB201" s="153"/>
      <c r="CC201" s="792">
        <f>+CC153/CC$174</f>
        <v>0.19996745077750055</v>
      </c>
      <c r="CD201" s="278">
        <f>+CD153/CD$174</f>
        <v>0.19119194131371639</v>
      </c>
      <c r="CE201" s="278">
        <f>+CE153/CE$174</f>
        <v>0.22001633612895907</v>
      </c>
      <c r="CF201" s="278">
        <f>+CF153/CF$174</f>
        <v>0.19590258812094319</v>
      </c>
      <c r="CG201" s="793">
        <f>+CG153/CG$174</f>
        <v>0.20180674337063037</v>
      </c>
    </row>
    <row r="202" spans="1:85" ht="11.25" customHeight="1" outlineLevel="1" x14ac:dyDescent="0.2">
      <c r="A202" s="78"/>
      <c r="B202" s="113" t="s">
        <v>463</v>
      </c>
      <c r="C202" s="259"/>
      <c r="D202" s="260"/>
      <c r="E202" s="260"/>
      <c r="F202" s="260"/>
      <c r="G202" s="449"/>
      <c r="H202" s="268"/>
      <c r="I202" s="259"/>
      <c r="J202" s="260"/>
      <c r="K202" s="260"/>
      <c r="L202" s="260"/>
      <c r="M202" s="449"/>
      <c r="N202" s="268"/>
      <c r="O202" s="259"/>
      <c r="P202" s="260"/>
      <c r="Q202" s="260"/>
      <c r="R202" s="260"/>
      <c r="S202" s="449"/>
      <c r="T202" s="268"/>
      <c r="U202" s="259"/>
      <c r="V202" s="260"/>
      <c r="W202" s="260"/>
      <c r="X202" s="260"/>
      <c r="Y202" s="449"/>
      <c r="Z202" s="268"/>
      <c r="AA202" s="792">
        <f>+AA160/AA$174</f>
        <v>0.9714307864260554</v>
      </c>
      <c r="AB202" s="278">
        <f>+AB160/AB$174</f>
        <v>0.97087400968723025</v>
      </c>
      <c r="AC202" s="278">
        <f>+AC160/AC$174</f>
        <v>0.97054874927368706</v>
      </c>
      <c r="AD202" s="278">
        <f>+AD160/AD$174</f>
        <v>0.96977755253086562</v>
      </c>
      <c r="AE202" s="793">
        <f>+AE160/AE$174</f>
        <v>0.970619825322658</v>
      </c>
      <c r="AF202" s="268"/>
      <c r="AG202" s="792">
        <f>+AG160/AG$174</f>
        <v>0.97001599318538811</v>
      </c>
      <c r="AH202" s="278">
        <f>+AH160/AH$174</f>
        <v>0.96904179605097007</v>
      </c>
      <c r="AI202" s="278">
        <f>+AI160/AI$174</f>
        <v>0.96819177269259704</v>
      </c>
      <c r="AJ202" s="278">
        <f>+AJ160/AJ$174</f>
        <v>0.96622001479797281</v>
      </c>
      <c r="AK202" s="793">
        <f>+AK160/AK$174</f>
        <v>0.96829820512760278</v>
      </c>
      <c r="AL202" s="268"/>
      <c r="AM202" s="792">
        <f>+AM160/AM$174</f>
        <v>0.96742461666850521</v>
      </c>
      <c r="AN202" s="278">
        <f>+AN160/AN$174</f>
        <v>0.96736989978300947</v>
      </c>
      <c r="AO202" s="278">
        <f>+AO160/AO$174</f>
        <v>0.96639656085512027</v>
      </c>
      <c r="AP202" s="278">
        <f>+AP160/AP$174</f>
        <v>0.96502610464817107</v>
      </c>
      <c r="AQ202" s="793">
        <f>+AQ160/AQ$174</f>
        <v>0.96652454588062919</v>
      </c>
      <c r="AR202" s="268"/>
      <c r="AS202" s="792">
        <f>+AS160/AS$174</f>
        <v>0.96653346550575492</v>
      </c>
      <c r="AT202" s="278">
        <f>+AT160/AT$174</f>
        <v>0.96592536684552988</v>
      </c>
      <c r="AU202" s="278">
        <f>+AU160/AU$174</f>
        <v>0.96679420778594127</v>
      </c>
      <c r="AV202" s="278">
        <f>+AV160/AV$174</f>
        <v>0.96620882455693657</v>
      </c>
      <c r="AW202" s="793">
        <f>+AW160/AW$174</f>
        <v>0.96636150024249401</v>
      </c>
      <c r="AX202" s="268"/>
      <c r="AY202" s="792">
        <f>+AY160/AY$174</f>
        <v>0.96520766376338163</v>
      </c>
      <c r="AZ202" s="278">
        <f>+AZ160/AZ$174</f>
        <v>0.96596078073418223</v>
      </c>
      <c r="BA202" s="278">
        <f>+BA160/BA$174</f>
        <v>0.96658841663765649</v>
      </c>
      <c r="BB202" s="278">
        <f>+BB160/BB$174</f>
        <v>0.96709165258348362</v>
      </c>
      <c r="BC202" s="793">
        <f>+BC160/BC$174</f>
        <v>0.96624812001145099</v>
      </c>
      <c r="BD202" s="268"/>
      <c r="BE202" s="792">
        <f>+BE160/BE$174</f>
        <v>0.9625299352473462</v>
      </c>
      <c r="BF202" s="278">
        <f>+BF160/BF$174</f>
        <v>0.9627452891601076</v>
      </c>
      <c r="BG202" s="278">
        <f>+BG160/BG$174</f>
        <v>0.96345878118687067</v>
      </c>
      <c r="BH202" s="278">
        <f>+BH160/BH$174</f>
        <v>0.9640405724696518</v>
      </c>
      <c r="BI202" s="793">
        <f>+BI160/BI$174</f>
        <v>0.96322080574327729</v>
      </c>
      <c r="BJ202" s="268"/>
      <c r="BK202" s="792">
        <f>+BK160/BK$174</f>
        <v>0.96374721685093268</v>
      </c>
      <c r="BL202" s="278">
        <f>+BL160/BL$174</f>
        <v>0.9645254159396861</v>
      </c>
      <c r="BM202" s="278">
        <f>+BM160/BM$174</f>
        <v>0.96551435061970847</v>
      </c>
      <c r="BN202" s="278">
        <f>+BN160/BN$174</f>
        <v>0.96546481202762791</v>
      </c>
      <c r="BO202" s="793">
        <f>+BO160/BO$174</f>
        <v>0.96484387256418391</v>
      </c>
      <c r="BP202" s="268"/>
      <c r="BQ202" s="792">
        <f>+BQ160/BQ$174</f>
        <v>0.96285684551599537</v>
      </c>
      <c r="BR202" s="278">
        <f>+BR160/BR$174</f>
        <v>0.95637856246123676</v>
      </c>
      <c r="BS202" s="278">
        <f>+BS160/BS$174</f>
        <v>0.95761297733950046</v>
      </c>
      <c r="BT202" s="278">
        <f>+BT160/BT$174</f>
        <v>0.95747271990772409</v>
      </c>
      <c r="BU202" s="793">
        <f>+BU160/BU$174</f>
        <v>0.95849448279972438</v>
      </c>
      <c r="BV202" s="268"/>
      <c r="BW202" s="792">
        <f>+BW160/BW$174</f>
        <v>0.95471768649428435</v>
      </c>
      <c r="BX202" s="278">
        <f>+BX160/BX$174</f>
        <v>0.95587961166370294</v>
      </c>
      <c r="BY202" s="278">
        <f>+BY160/BY$174</f>
        <v>0.95711957470334597</v>
      </c>
      <c r="BZ202" s="278">
        <f>+BZ160/BZ$174</f>
        <v>0.95694522885991251</v>
      </c>
      <c r="CA202" s="793">
        <f>+CA160/CA$174</f>
        <v>0.95620112121126111</v>
      </c>
      <c r="CB202" s="268"/>
      <c r="CC202" s="792">
        <f>+CC160/CC$174</f>
        <v>0.95403713968859649</v>
      </c>
      <c r="CD202" s="278">
        <f>+CD160/CD$174</f>
        <v>0.9552263779167468</v>
      </c>
      <c r="CE202" s="278">
        <f>+CE160/CE$174</f>
        <v>0.95646974911840532</v>
      </c>
      <c r="CF202" s="278">
        <f>+CF160/CF$174</f>
        <v>0.95627442265077411</v>
      </c>
      <c r="CG202" s="793">
        <f>+CG160/CG$174</f>
        <v>0.95553771495696382</v>
      </c>
    </row>
    <row r="203" spans="1:85" ht="11.25" customHeight="1" outlineLevel="1" x14ac:dyDescent="0.2">
      <c r="A203" s="78"/>
      <c r="B203" s="791" t="s">
        <v>314</v>
      </c>
      <c r="C203" s="128"/>
      <c r="D203" s="129"/>
      <c r="E203" s="129"/>
      <c r="F203" s="129"/>
      <c r="G203" s="452"/>
      <c r="H203" s="109"/>
      <c r="I203" s="128"/>
      <c r="J203" s="129"/>
      <c r="K203" s="129"/>
      <c r="L203" s="129"/>
      <c r="M203" s="452"/>
      <c r="N203" s="109"/>
      <c r="O203" s="128"/>
      <c r="P203" s="129"/>
      <c r="Q203" s="129"/>
      <c r="R203" s="129"/>
      <c r="S203" s="452"/>
      <c r="T203" s="109"/>
      <c r="U203" s="128"/>
      <c r="V203" s="129"/>
      <c r="W203" s="129"/>
      <c r="X203" s="129"/>
      <c r="Y203" s="452"/>
      <c r="Z203" s="109"/>
      <c r="AA203" s="794">
        <f>+AA167/AA$174</f>
        <v>2.8569213573944648E-2</v>
      </c>
      <c r="AB203" s="795">
        <f>+AB167/AB$174</f>
        <v>2.912599031276988E-2</v>
      </c>
      <c r="AC203" s="795">
        <f>+AC167/AC$174</f>
        <v>2.9451250726312959E-2</v>
      </c>
      <c r="AD203" s="795">
        <f>+AD167/AD$174</f>
        <v>3.0222447469134432E-2</v>
      </c>
      <c r="AE203" s="796">
        <f>+AE167/AE$174</f>
        <v>2.9380174677342101E-2</v>
      </c>
      <c r="AF203" s="109"/>
      <c r="AG203" s="794">
        <f>+AG167/AG$174</f>
        <v>2.9984006814611972E-2</v>
      </c>
      <c r="AH203" s="795">
        <f>+AH167/AH$174</f>
        <v>3.0958203949030011E-2</v>
      </c>
      <c r="AI203" s="795">
        <f>+AI167/AI$174</f>
        <v>3.1808227307403035E-2</v>
      </c>
      <c r="AJ203" s="795">
        <f>+AJ167/AJ$174</f>
        <v>3.3779985202027206E-2</v>
      </c>
      <c r="AK203" s="796">
        <f>+AK167/AK$174</f>
        <v>3.1701794872397181E-2</v>
      </c>
      <c r="AL203" s="109"/>
      <c r="AM203" s="794">
        <f>+AM167/AM$174</f>
        <v>3.2575383331494817E-2</v>
      </c>
      <c r="AN203" s="795">
        <f>+AN167/AN$174</f>
        <v>3.2630100216990483E-2</v>
      </c>
      <c r="AO203" s="795">
        <f>+AO167/AO$174</f>
        <v>3.3603439144879683E-2</v>
      </c>
      <c r="AP203" s="795">
        <f>+AP167/AP$174</f>
        <v>3.4973895351828911E-2</v>
      </c>
      <c r="AQ203" s="796">
        <f>+AQ167/AQ$174</f>
        <v>3.3475454119370793E-2</v>
      </c>
      <c r="AR203" s="109"/>
      <c r="AS203" s="794">
        <f>+AS167/AS$174</f>
        <v>3.3466534494245026E-2</v>
      </c>
      <c r="AT203" s="795">
        <f>+AT167/AT$174</f>
        <v>3.407463315447009E-2</v>
      </c>
      <c r="AU203" s="795">
        <f>+AU167/AU$174</f>
        <v>3.3205792214058692E-2</v>
      </c>
      <c r="AV203" s="795">
        <f>+AV167/AV$174</f>
        <v>3.3791175443063461E-2</v>
      </c>
      <c r="AW203" s="796">
        <f>+AW167/AW$174</f>
        <v>3.3638499757505984E-2</v>
      </c>
      <c r="AX203" s="109"/>
      <c r="AY203" s="794">
        <f>+AY167/AY$174</f>
        <v>3.4792336236618419E-2</v>
      </c>
      <c r="AZ203" s="795">
        <f>+AZ167/AZ$174</f>
        <v>3.403921926581778E-2</v>
      </c>
      <c r="BA203" s="795">
        <f>+BA167/BA$174</f>
        <v>3.341158336234356E-2</v>
      </c>
      <c r="BB203" s="795">
        <f>+BB167/BB$174</f>
        <v>3.2908347416516361E-2</v>
      </c>
      <c r="BC203" s="796">
        <f>+BC167/BC$174</f>
        <v>3.3751879988549088E-2</v>
      </c>
      <c r="BD203" s="109"/>
      <c r="BE203" s="794">
        <f>+BE167/BE$174</f>
        <v>3.7470064752653853E-2</v>
      </c>
      <c r="BF203" s="795">
        <f>+BF167/BF$174</f>
        <v>3.7254710839892367E-2</v>
      </c>
      <c r="BG203" s="795">
        <f>+BG167/BG$174</f>
        <v>3.654121881312937E-2</v>
      </c>
      <c r="BH203" s="795">
        <f>+BH167/BH$174</f>
        <v>3.5959427530348288E-2</v>
      </c>
      <c r="BI203" s="796">
        <f>+BI167/BI$174</f>
        <v>3.6779194256722748E-2</v>
      </c>
      <c r="BJ203" s="109"/>
      <c r="BK203" s="794">
        <f>+BK167/BK$174</f>
        <v>3.6252783149067318E-2</v>
      </c>
      <c r="BL203" s="795">
        <f>+BL167/BL$174</f>
        <v>3.5474584060313952E-2</v>
      </c>
      <c r="BM203" s="795">
        <f>+BM167/BM$174</f>
        <v>3.44856493802915E-2</v>
      </c>
      <c r="BN203" s="795">
        <f>+BN167/BN$174</f>
        <v>3.4535187972372094E-2</v>
      </c>
      <c r="BO203" s="796">
        <f>+BO167/BO$174</f>
        <v>3.5156127435816142E-2</v>
      </c>
      <c r="BP203" s="109"/>
      <c r="BQ203" s="794">
        <f>+BQ167/BQ$174</f>
        <v>3.7143154484004591E-2</v>
      </c>
      <c r="BR203" s="795">
        <f>+BR167/BR$174</f>
        <v>4.3621437538763214E-2</v>
      </c>
      <c r="BS203" s="795">
        <f>+BS167/BS$174</f>
        <v>4.2387022660499526E-2</v>
      </c>
      <c r="BT203" s="795">
        <f>+BT167/BT$174</f>
        <v>4.2527280092275861E-2</v>
      </c>
      <c r="BU203" s="796">
        <f>+BU167/BU$174</f>
        <v>4.150551720027567E-2</v>
      </c>
      <c r="BV203" s="109"/>
      <c r="BW203" s="794">
        <f>+BW167/BW$174</f>
        <v>4.5282313505715675E-2</v>
      </c>
      <c r="BX203" s="795">
        <f>+BX167/BX$174</f>
        <v>4.4120388336297021E-2</v>
      </c>
      <c r="BY203" s="795">
        <f>+BY167/BY$174</f>
        <v>4.2880425296654028E-2</v>
      </c>
      <c r="BZ203" s="795">
        <f>+BZ167/BZ$174</f>
        <v>4.3054771140087461E-2</v>
      </c>
      <c r="CA203" s="796">
        <f>+CA167/CA$174</f>
        <v>4.3798878788739018E-2</v>
      </c>
      <c r="CB203" s="109"/>
      <c r="CC203" s="794">
        <f>+CC167/CC$174</f>
        <v>4.5962860311403474E-2</v>
      </c>
      <c r="CD203" s="795">
        <f>+CD167/CD$174</f>
        <v>4.4773622083253119E-2</v>
      </c>
      <c r="CE203" s="795">
        <f>+CE167/CE$174</f>
        <v>4.3530250881594679E-2</v>
      </c>
      <c r="CF203" s="795">
        <f>+CF167/CF$174</f>
        <v>4.3725577349225844E-2</v>
      </c>
      <c r="CG203" s="796">
        <f>+CG167/CG$174</f>
        <v>4.4462285043036072E-2</v>
      </c>
    </row>
    <row r="204" spans="1:85" ht="11.25" customHeight="1" x14ac:dyDescent="0.2">
      <c r="A204" s="78"/>
      <c r="B204" s="163"/>
      <c r="C204" s="61"/>
      <c r="D204" s="61"/>
      <c r="E204" s="61"/>
      <c r="F204" s="61"/>
      <c r="G204" s="61"/>
      <c r="H204" s="109"/>
      <c r="I204" s="61"/>
      <c r="J204" s="61"/>
      <c r="K204" s="61"/>
      <c r="L204" s="61"/>
      <c r="M204" s="61"/>
      <c r="N204" s="109"/>
      <c r="O204" s="61"/>
      <c r="P204" s="61"/>
      <c r="Q204" s="61"/>
      <c r="R204" s="61"/>
      <c r="S204" s="61"/>
      <c r="T204" s="109"/>
      <c r="U204" s="61"/>
      <c r="V204" s="61"/>
      <c r="W204" s="61"/>
      <c r="X204" s="61"/>
      <c r="Y204" s="61"/>
      <c r="Z204" s="109"/>
      <c r="AA204" s="278"/>
      <c r="AB204" s="278"/>
      <c r="AC204" s="278"/>
      <c r="AD204" s="278"/>
      <c r="AE204" s="278"/>
      <c r="AF204" s="109"/>
      <c r="AG204" s="278"/>
      <c r="AH204" s="278"/>
      <c r="AI204" s="278"/>
      <c r="AJ204" s="278"/>
      <c r="AK204" s="278"/>
      <c r="AL204" s="109"/>
      <c r="AM204" s="278"/>
      <c r="AN204" s="278"/>
      <c r="AO204" s="278"/>
      <c r="AP204" s="278"/>
      <c r="AQ204" s="278"/>
      <c r="AR204" s="109"/>
      <c r="AS204" s="278"/>
      <c r="AT204" s="278"/>
      <c r="AU204" s="278"/>
      <c r="AV204" s="278"/>
      <c r="AW204" s="278"/>
      <c r="AX204" s="109"/>
      <c r="AY204" s="278"/>
      <c r="AZ204" s="278"/>
      <c r="BA204" s="278"/>
      <c r="BB204" s="278"/>
      <c r="BC204" s="278"/>
      <c r="BD204" s="109"/>
      <c r="BE204" s="278"/>
      <c r="BF204" s="278"/>
      <c r="BG204" s="278"/>
      <c r="BH204" s="278"/>
      <c r="BI204" s="278"/>
      <c r="BJ204" s="109"/>
      <c r="BK204" s="278"/>
      <c r="BL204" s="278"/>
      <c r="BM204" s="278"/>
      <c r="BN204" s="278"/>
      <c r="BO204" s="278"/>
      <c r="BP204" s="109"/>
      <c r="BQ204" s="278"/>
      <c r="BR204" s="278"/>
      <c r="BS204" s="278"/>
      <c r="BT204" s="278"/>
      <c r="BU204" s="278"/>
      <c r="BV204" s="109"/>
      <c r="BW204" s="278"/>
      <c r="BX204" s="278"/>
      <c r="BY204" s="278"/>
      <c r="BZ204" s="278"/>
      <c r="CA204" s="278"/>
      <c r="CB204" s="109"/>
      <c r="CC204" s="278"/>
      <c r="CD204" s="278"/>
      <c r="CE204" s="278"/>
      <c r="CF204" s="278"/>
      <c r="CG204" s="278"/>
    </row>
    <row r="205" spans="1:85" ht="11.25" customHeight="1" outlineLevel="1" x14ac:dyDescent="0.2">
      <c r="A205" s="78"/>
      <c r="B205" s="994" t="s">
        <v>524</v>
      </c>
      <c r="C205" s="995"/>
      <c r="D205" s="995"/>
      <c r="E205" s="995"/>
      <c r="F205" s="995"/>
      <c r="G205" s="995"/>
      <c r="H205" s="994"/>
      <c r="I205" s="995"/>
      <c r="J205" s="995"/>
      <c r="K205" s="995"/>
      <c r="L205" s="995"/>
      <c r="M205" s="995"/>
      <c r="N205" s="994"/>
      <c r="O205" s="995"/>
      <c r="P205" s="995"/>
      <c r="Q205" s="995"/>
      <c r="R205" s="995"/>
      <c r="S205" s="995"/>
      <c r="T205" s="994"/>
      <c r="U205" s="995"/>
      <c r="V205" s="995"/>
      <c r="W205" s="995"/>
      <c r="X205" s="995"/>
      <c r="Y205" s="995"/>
      <c r="Z205" s="994"/>
      <c r="AA205" s="995"/>
      <c r="AB205" s="995"/>
      <c r="AC205" s="995"/>
      <c r="AD205" s="995"/>
      <c r="AE205" s="995"/>
      <c r="AF205" s="994"/>
      <c r="AG205" s="995"/>
      <c r="AH205" s="995"/>
      <c r="AI205" s="995"/>
      <c r="AJ205" s="995"/>
      <c r="AK205" s="995"/>
      <c r="AL205" s="994"/>
      <c r="AM205" s="995"/>
      <c r="AN205" s="995"/>
      <c r="AO205" s="995"/>
      <c r="AP205" s="995"/>
      <c r="AQ205" s="995"/>
      <c r="AR205" s="994"/>
      <c r="AS205" s="995"/>
      <c r="AT205" s="995"/>
      <c r="AU205" s="995"/>
      <c r="AV205" s="995"/>
      <c r="AW205" s="995"/>
      <c r="AX205" s="994"/>
      <c r="AY205" s="995"/>
      <c r="AZ205" s="995"/>
      <c r="BA205" s="995"/>
      <c r="BB205" s="995"/>
      <c r="BC205" s="995"/>
      <c r="BD205" s="994"/>
      <c r="BE205" s="995"/>
      <c r="BF205" s="995"/>
      <c r="BG205" s="995"/>
      <c r="BH205" s="995"/>
      <c r="BI205" s="995"/>
      <c r="BJ205" s="994"/>
      <c r="BK205" s="995"/>
      <c r="BL205" s="995"/>
      <c r="BM205" s="995"/>
      <c r="BN205" s="995"/>
      <c r="BO205" s="995"/>
      <c r="BP205" s="994"/>
      <c r="BQ205" s="995"/>
      <c r="BR205" s="995"/>
      <c r="BS205" s="995"/>
      <c r="BT205" s="995"/>
      <c r="BU205" s="995"/>
      <c r="BV205" s="994"/>
      <c r="BW205" s="995"/>
      <c r="BX205" s="995"/>
      <c r="BY205" s="995"/>
      <c r="BZ205" s="995"/>
      <c r="CA205" s="995"/>
      <c r="CB205" s="994"/>
      <c r="CC205" s="995"/>
      <c r="CD205" s="995"/>
      <c r="CE205" s="995"/>
      <c r="CF205" s="995"/>
      <c r="CG205" s="996"/>
    </row>
    <row r="206" spans="1:85" ht="11.25" customHeight="1" outlineLevel="1" x14ac:dyDescent="0.2">
      <c r="A206" s="78"/>
      <c r="B206" s="812" t="s">
        <v>549</v>
      </c>
      <c r="C206" s="813"/>
      <c r="D206" s="813"/>
      <c r="E206" s="813"/>
      <c r="F206" s="813"/>
      <c r="G206" s="813"/>
      <c r="H206" s="812"/>
      <c r="I206" s="813"/>
      <c r="J206" s="813"/>
      <c r="K206" s="813"/>
      <c r="L206" s="813"/>
      <c r="M206" s="813"/>
      <c r="N206" s="812"/>
      <c r="O206" s="813"/>
      <c r="P206" s="813"/>
      <c r="Q206" s="813"/>
      <c r="R206" s="813"/>
      <c r="S206" s="813"/>
      <c r="T206" s="812"/>
      <c r="U206" s="813"/>
      <c r="V206" s="813"/>
      <c r="W206" s="813"/>
      <c r="X206" s="813"/>
      <c r="Y206" s="813"/>
      <c r="Z206" s="812"/>
      <c r="AA206" s="813"/>
      <c r="AB206" s="813"/>
      <c r="AC206" s="813"/>
      <c r="AD206" s="813"/>
      <c r="AE206" s="813"/>
      <c r="AF206" s="812"/>
      <c r="AG206" s="813"/>
      <c r="AH206" s="813"/>
      <c r="AI206" s="813"/>
      <c r="AJ206" s="813"/>
      <c r="AK206" s="813"/>
      <c r="AL206" s="812"/>
      <c r="AM206" s="813"/>
      <c r="AN206" s="813"/>
      <c r="AO206" s="813"/>
      <c r="AP206" s="813"/>
      <c r="AQ206" s="813"/>
      <c r="AR206" s="812"/>
      <c r="AS206" s="813"/>
      <c r="AT206" s="813"/>
      <c r="AU206" s="813"/>
      <c r="AV206" s="813"/>
      <c r="AW206" s="813"/>
      <c r="AX206" s="812"/>
      <c r="AY206" s="813"/>
      <c r="AZ206" s="813"/>
      <c r="BA206" s="813"/>
      <c r="BB206" s="813"/>
      <c r="BC206" s="813"/>
      <c r="BD206" s="812"/>
      <c r="BE206" s="813"/>
      <c r="BF206" s="813"/>
      <c r="BG206" s="813"/>
      <c r="BH206" s="813"/>
      <c r="BI206" s="813"/>
      <c r="BJ206" s="812"/>
      <c r="BK206" s="813"/>
      <c r="BL206" s="813"/>
      <c r="BM206" s="813"/>
      <c r="BN206" s="813"/>
      <c r="BO206" s="813"/>
      <c r="BP206" s="812"/>
      <c r="BQ206" s="813"/>
      <c r="BR206" s="813"/>
      <c r="BS206" s="813"/>
      <c r="BT206" s="813"/>
      <c r="BU206" s="813"/>
      <c r="BV206" s="812"/>
      <c r="BW206" s="813"/>
      <c r="BX206" s="813"/>
      <c r="BY206" s="813"/>
      <c r="BZ206" s="813"/>
      <c r="CA206" s="813"/>
      <c r="CB206" s="812"/>
      <c r="CC206" s="813"/>
      <c r="CD206" s="813"/>
      <c r="CE206" s="813"/>
      <c r="CF206" s="813"/>
      <c r="CG206" s="814"/>
    </row>
    <row r="207" spans="1:85" ht="11.25" customHeight="1" outlineLevel="1" x14ac:dyDescent="0.2">
      <c r="A207" s="78"/>
      <c r="B207" s="98" t="s">
        <v>547</v>
      </c>
      <c r="C207" s="1022">
        <f>+G207</f>
        <v>0.79</v>
      </c>
      <c r="D207" s="1023">
        <f>+G207</f>
        <v>0.79</v>
      </c>
      <c r="E207" s="1023">
        <f>+G207</f>
        <v>0.79</v>
      </c>
      <c r="F207" s="1023">
        <f>+G207</f>
        <v>0.79</v>
      </c>
      <c r="G207" s="852">
        <v>0.79</v>
      </c>
      <c r="H207" s="1038"/>
      <c r="I207" s="1022">
        <f>+I337</f>
        <v>0.78197100220907612</v>
      </c>
      <c r="J207" s="1023">
        <f t="shared" ref="J207:M208" si="42">+J337</f>
        <v>0.78455453282166421</v>
      </c>
      <c r="K207" s="1023">
        <f t="shared" si="42"/>
        <v>0.79155030135744531</v>
      </c>
      <c r="L207" s="1023">
        <f t="shared" si="42"/>
        <v>0.79830216292189105</v>
      </c>
      <c r="M207" s="447">
        <f t="shared" si="42"/>
        <v>0.78921988014905597</v>
      </c>
      <c r="N207" s="1038"/>
      <c r="O207" s="1022">
        <f t="shared" ref="O207:S208" si="43">+O337</f>
        <v>0.78368173356684023</v>
      </c>
      <c r="P207" s="1023">
        <f t="shared" si="43"/>
        <v>0.8097660055521857</v>
      </c>
      <c r="Q207" s="1023">
        <f t="shared" si="43"/>
        <v>0.81027596741878039</v>
      </c>
      <c r="R207" s="1023">
        <f t="shared" si="43"/>
        <v>0.81387984366474331</v>
      </c>
      <c r="S207" s="447">
        <f t="shared" si="43"/>
        <v>0.80487340524294637</v>
      </c>
      <c r="T207" s="1038"/>
      <c r="U207" s="1022">
        <f t="shared" ref="U207:Y208" si="44">+U337</f>
        <v>0.78710386375339958</v>
      </c>
      <c r="V207" s="1023">
        <f t="shared" si="44"/>
        <v>0.80299943460906908</v>
      </c>
      <c r="W207" s="1023">
        <f t="shared" si="44"/>
        <v>0.81347640753327655</v>
      </c>
      <c r="X207" s="1023">
        <f t="shared" si="44"/>
        <v>0.822359410246018</v>
      </c>
      <c r="Y207" s="447">
        <f t="shared" si="44"/>
        <v>0.80729550846660547</v>
      </c>
      <c r="Z207" s="1038"/>
      <c r="AA207" s="1022">
        <f t="shared" ref="AA207:AE208" si="45">+AA337</f>
        <v>0.77631578947368407</v>
      </c>
      <c r="AB207" s="1023">
        <f t="shared" si="45"/>
        <v>0.77142857142857124</v>
      </c>
      <c r="AC207" s="1023">
        <f t="shared" si="45"/>
        <v>0.77999999999999992</v>
      </c>
      <c r="AD207" s="1023">
        <f t="shared" si="45"/>
        <v>0.77618381915314238</v>
      </c>
      <c r="AE207" s="447">
        <f t="shared" si="45"/>
        <v>0.77591478696741845</v>
      </c>
      <c r="AF207" s="1038"/>
      <c r="AG207" s="1022">
        <f t="shared" ref="AG207:AK208" si="46">+AG337</f>
        <v>0.78997102732144953</v>
      </c>
      <c r="AH207" s="1023">
        <f t="shared" si="46"/>
        <v>0.77446445621694893</v>
      </c>
      <c r="AI207" s="1023">
        <f t="shared" si="46"/>
        <v>0.78533570114504847</v>
      </c>
      <c r="AJ207" s="1023">
        <f t="shared" si="46"/>
        <v>0.77511553461533367</v>
      </c>
      <c r="AK207" s="447">
        <f t="shared" si="46"/>
        <v>0.78094192622344039</v>
      </c>
      <c r="AL207" s="1038"/>
      <c r="AM207" s="1022">
        <f t="shared" ref="AM207:AQ208" si="47">+AM337</f>
        <v>0.7973756139497038</v>
      </c>
      <c r="AN207" s="1023">
        <f t="shared" si="47"/>
        <v>0.77413568710722747</v>
      </c>
      <c r="AO207" s="1023">
        <f t="shared" si="47"/>
        <v>0.78198469599437759</v>
      </c>
      <c r="AP207" s="1023">
        <f t="shared" si="47"/>
        <v>0.7773790087598802</v>
      </c>
      <c r="AQ207" s="447">
        <f t="shared" si="47"/>
        <v>0.78241218228134601</v>
      </c>
      <c r="AR207" s="1038"/>
      <c r="AS207" s="1022">
        <f t="shared" ref="AS207:AW208" si="48">+AS337</f>
        <v>0.79025321462887743</v>
      </c>
      <c r="AT207" s="1023">
        <f t="shared" si="48"/>
        <v>0.77494046073451672</v>
      </c>
      <c r="AU207" s="1023">
        <f t="shared" si="48"/>
        <v>0.78338292670259535</v>
      </c>
      <c r="AV207" s="1023">
        <f t="shared" si="48"/>
        <v>0.79290747824332519</v>
      </c>
      <c r="AW207" s="447">
        <f t="shared" si="48"/>
        <v>0.785414357490961</v>
      </c>
      <c r="AX207" s="1038"/>
      <c r="AY207" s="1022">
        <f t="shared" ref="AY207:BC208" si="49">+AY337</f>
        <v>0.78371831352066612</v>
      </c>
      <c r="AZ207" s="1023">
        <f t="shared" si="49"/>
        <v>0.77439870470626637</v>
      </c>
      <c r="BA207" s="1023">
        <f t="shared" si="49"/>
        <v>0.77955037412650874</v>
      </c>
      <c r="BB207" s="1023">
        <f t="shared" si="49"/>
        <v>0.7857398446914885</v>
      </c>
      <c r="BC207" s="447">
        <f t="shared" si="49"/>
        <v>0.78094464815973852</v>
      </c>
      <c r="BD207" s="1038"/>
      <c r="BE207" s="1022">
        <f t="shared" ref="BE207:BI208" si="50">+BE337</f>
        <v>0.77428233597349427</v>
      </c>
      <c r="BF207" s="1023">
        <f t="shared" si="50"/>
        <v>0.77507077353348552</v>
      </c>
      <c r="BG207" s="1023">
        <f t="shared" si="50"/>
        <v>0.76628766388239111</v>
      </c>
      <c r="BH207" s="1023">
        <f t="shared" si="50"/>
        <v>0.78270844038697351</v>
      </c>
      <c r="BI207" s="447">
        <f t="shared" si="50"/>
        <v>0.77492864072259648</v>
      </c>
      <c r="BJ207" s="1038"/>
      <c r="BK207" s="1022">
        <f t="shared" ref="BK207:BO208" si="51">+BK337</f>
        <v>0.79371287682007052</v>
      </c>
      <c r="BL207" s="1023">
        <f t="shared" si="51"/>
        <v>0.77120783308105201</v>
      </c>
      <c r="BM207" s="1023">
        <f t="shared" si="51"/>
        <v>0.78461893134331462</v>
      </c>
      <c r="BN207" s="1023">
        <f t="shared" si="51"/>
        <v>0.77993430939141772</v>
      </c>
      <c r="BO207" s="447">
        <f t="shared" si="51"/>
        <v>0.78212933073816393</v>
      </c>
      <c r="BP207" s="1038"/>
      <c r="BQ207" s="1022">
        <f t="shared" ref="BQ207:BU208" si="52">+BQ337</f>
        <v>0.78212933073816393</v>
      </c>
      <c r="BR207" s="1023">
        <f t="shared" si="52"/>
        <v>0.78212933073816393</v>
      </c>
      <c r="BS207" s="1023">
        <f t="shared" si="52"/>
        <v>0.78212933073816393</v>
      </c>
      <c r="BT207" s="1023">
        <f t="shared" si="52"/>
        <v>0.78212933073816393</v>
      </c>
      <c r="BU207" s="447">
        <f t="shared" si="52"/>
        <v>0.78212933073816393</v>
      </c>
      <c r="BV207" s="1038"/>
      <c r="BW207" s="1022">
        <f t="shared" ref="BW207:CA208" si="53">+BW337</f>
        <v>0.78212933073816393</v>
      </c>
      <c r="BX207" s="1023">
        <f t="shared" si="53"/>
        <v>0.78212933073816393</v>
      </c>
      <c r="BY207" s="1023">
        <f t="shared" si="53"/>
        <v>0.78212933073816393</v>
      </c>
      <c r="BZ207" s="1023">
        <f t="shared" si="53"/>
        <v>0.78212933073816393</v>
      </c>
      <c r="CA207" s="447">
        <f t="shared" si="53"/>
        <v>0.78212933073816393</v>
      </c>
      <c r="CB207" s="1038"/>
      <c r="CC207" s="1022">
        <f t="shared" ref="CC207:CG208" si="54">+CC337</f>
        <v>0.78212933073816393</v>
      </c>
      <c r="CD207" s="1023">
        <f t="shared" si="54"/>
        <v>0.78212933073816393</v>
      </c>
      <c r="CE207" s="1023">
        <f t="shared" si="54"/>
        <v>0.78212933073816393</v>
      </c>
      <c r="CF207" s="1023">
        <f t="shared" si="54"/>
        <v>0.78212933073816393</v>
      </c>
      <c r="CG207" s="447">
        <f t="shared" si="54"/>
        <v>0.78212933073816404</v>
      </c>
    </row>
    <row r="208" spans="1:85" ht="11.25" customHeight="1" outlineLevel="1" x14ac:dyDescent="0.2">
      <c r="A208" s="78"/>
      <c r="B208" s="1004" t="s">
        <v>548</v>
      </c>
      <c r="C208" s="1022">
        <f>+G208</f>
        <v>0.21</v>
      </c>
      <c r="D208" s="1023">
        <f>+G208</f>
        <v>0.21</v>
      </c>
      <c r="E208" s="1023">
        <f>+G208</f>
        <v>0.21</v>
      </c>
      <c r="F208" s="1023">
        <f>+G208</f>
        <v>0.21</v>
      </c>
      <c r="G208" s="1037">
        <v>0.21</v>
      </c>
      <c r="H208" s="1038"/>
      <c r="I208" s="1022">
        <f>+I338</f>
        <v>0.21802899779092391</v>
      </c>
      <c r="J208" s="1023">
        <f t="shared" si="42"/>
        <v>0.21544546717833579</v>
      </c>
      <c r="K208" s="1023">
        <f t="shared" si="42"/>
        <v>0.20844969864255466</v>
      </c>
      <c r="L208" s="1023">
        <f t="shared" si="42"/>
        <v>0.20169783707810895</v>
      </c>
      <c r="M208" s="447">
        <f t="shared" si="42"/>
        <v>0.21078011985094397</v>
      </c>
      <c r="N208" s="1038"/>
      <c r="O208" s="1022">
        <f t="shared" si="43"/>
        <v>0.21631826643315985</v>
      </c>
      <c r="P208" s="1023">
        <f t="shared" si="43"/>
        <v>0.1902339944478143</v>
      </c>
      <c r="Q208" s="1023">
        <f t="shared" si="43"/>
        <v>0.18972403258121956</v>
      </c>
      <c r="R208" s="1023">
        <f t="shared" si="43"/>
        <v>0.18612015633525672</v>
      </c>
      <c r="S208" s="447">
        <f t="shared" si="43"/>
        <v>0.19512659475705357</v>
      </c>
      <c r="T208" s="1038"/>
      <c r="U208" s="1022">
        <f t="shared" si="44"/>
        <v>0.21289613624660056</v>
      </c>
      <c r="V208" s="1023">
        <f t="shared" si="44"/>
        <v>0.19700056539093089</v>
      </c>
      <c r="W208" s="1023">
        <f t="shared" si="44"/>
        <v>0.1865235924667234</v>
      </c>
      <c r="X208" s="1023">
        <f t="shared" si="44"/>
        <v>0.17764058975398206</v>
      </c>
      <c r="Y208" s="447">
        <f t="shared" si="44"/>
        <v>0.1927044915333945</v>
      </c>
      <c r="Z208" s="1038"/>
      <c r="AA208" s="1022">
        <f t="shared" si="45"/>
        <v>0.22368421052631599</v>
      </c>
      <c r="AB208" s="1023">
        <f t="shared" si="45"/>
        <v>0.22857142857142873</v>
      </c>
      <c r="AC208" s="1023">
        <f t="shared" si="45"/>
        <v>0.22000000000000008</v>
      </c>
      <c r="AD208" s="1023">
        <f t="shared" si="45"/>
        <v>0.22381618084685759</v>
      </c>
      <c r="AE208" s="447">
        <f t="shared" si="45"/>
        <v>0.22408521303258158</v>
      </c>
      <c r="AF208" s="1038"/>
      <c r="AG208" s="1022">
        <f t="shared" si="46"/>
        <v>0.21002897267855045</v>
      </c>
      <c r="AH208" s="1023">
        <f t="shared" si="46"/>
        <v>0.2255355437830511</v>
      </c>
      <c r="AI208" s="1023">
        <f t="shared" si="46"/>
        <v>0.21466429885495161</v>
      </c>
      <c r="AJ208" s="1023">
        <f t="shared" si="46"/>
        <v>0.22488446538466625</v>
      </c>
      <c r="AK208" s="447">
        <f t="shared" si="46"/>
        <v>0.21905807377655961</v>
      </c>
      <c r="AL208" s="1038"/>
      <c r="AM208" s="1022">
        <f t="shared" si="47"/>
        <v>0.20262438605029609</v>
      </c>
      <c r="AN208" s="1023">
        <f t="shared" si="47"/>
        <v>0.22586431289277248</v>
      </c>
      <c r="AO208" s="1023">
        <f t="shared" si="47"/>
        <v>0.21801530400562238</v>
      </c>
      <c r="AP208" s="1023">
        <f t="shared" si="47"/>
        <v>0.22262099124011972</v>
      </c>
      <c r="AQ208" s="447">
        <f t="shared" si="47"/>
        <v>0.21758781771865407</v>
      </c>
      <c r="AR208" s="1038"/>
      <c r="AS208" s="1022">
        <f t="shared" si="48"/>
        <v>0.20974678537112265</v>
      </c>
      <c r="AT208" s="1023">
        <f t="shared" si="48"/>
        <v>0.22505953926548319</v>
      </c>
      <c r="AU208" s="1023">
        <f t="shared" si="48"/>
        <v>0.21661707329740459</v>
      </c>
      <c r="AV208" s="1023">
        <f t="shared" si="48"/>
        <v>0.20709252175667475</v>
      </c>
      <c r="AW208" s="447">
        <f t="shared" si="48"/>
        <v>0.21458564250903903</v>
      </c>
      <c r="AX208" s="1038"/>
      <c r="AY208" s="1022">
        <f t="shared" si="49"/>
        <v>0.21628168647933391</v>
      </c>
      <c r="AZ208" s="1023">
        <f t="shared" si="49"/>
        <v>0.22560129529373366</v>
      </c>
      <c r="BA208" s="1023">
        <f t="shared" si="49"/>
        <v>0.22044962587349121</v>
      </c>
      <c r="BB208" s="1023">
        <f t="shared" si="49"/>
        <v>0.21426015530851153</v>
      </c>
      <c r="BC208" s="447">
        <f t="shared" si="49"/>
        <v>0.21905535184026143</v>
      </c>
      <c r="BD208" s="1038"/>
      <c r="BE208" s="1022">
        <f t="shared" si="50"/>
        <v>0.22571766402650578</v>
      </c>
      <c r="BF208" s="1023">
        <f t="shared" si="50"/>
        <v>0.22492922646651448</v>
      </c>
      <c r="BG208" s="1023">
        <f t="shared" si="50"/>
        <v>0.2337123361176088</v>
      </c>
      <c r="BH208" s="1023">
        <f t="shared" si="50"/>
        <v>0.21729155961302654</v>
      </c>
      <c r="BI208" s="447">
        <f t="shared" si="50"/>
        <v>0.22507135927740349</v>
      </c>
      <c r="BJ208" s="1038"/>
      <c r="BK208" s="1022">
        <f t="shared" si="51"/>
        <v>0.20628712317992948</v>
      </c>
      <c r="BL208" s="1023">
        <f t="shared" si="51"/>
        <v>0.22879216691894794</v>
      </c>
      <c r="BM208" s="1023">
        <f t="shared" si="51"/>
        <v>0.21538106865668533</v>
      </c>
      <c r="BN208" s="1023">
        <f t="shared" si="51"/>
        <v>0.2200656906085823</v>
      </c>
      <c r="BO208" s="447">
        <f t="shared" si="51"/>
        <v>0.2178706692618361</v>
      </c>
      <c r="BP208" s="1038"/>
      <c r="BQ208" s="1022">
        <f t="shared" si="52"/>
        <v>0.2178706692618361</v>
      </c>
      <c r="BR208" s="1023">
        <f t="shared" si="52"/>
        <v>0.2178706692618361</v>
      </c>
      <c r="BS208" s="1023">
        <f t="shared" si="52"/>
        <v>0.2178706692618361</v>
      </c>
      <c r="BT208" s="1023">
        <f t="shared" si="52"/>
        <v>0.2178706692618361</v>
      </c>
      <c r="BU208" s="447">
        <f t="shared" si="52"/>
        <v>0.21787066926183607</v>
      </c>
      <c r="BV208" s="1038"/>
      <c r="BW208" s="1022">
        <f t="shared" si="53"/>
        <v>0.2178706692618361</v>
      </c>
      <c r="BX208" s="1023">
        <f t="shared" si="53"/>
        <v>0.2178706692618361</v>
      </c>
      <c r="BY208" s="1023">
        <f t="shared" si="53"/>
        <v>0.2178706692618361</v>
      </c>
      <c r="BZ208" s="1023">
        <f t="shared" si="53"/>
        <v>0.2178706692618361</v>
      </c>
      <c r="CA208" s="447">
        <f t="shared" si="53"/>
        <v>0.21787066926183613</v>
      </c>
      <c r="CB208" s="1038"/>
      <c r="CC208" s="1022">
        <f t="shared" si="54"/>
        <v>0.2178706692618361</v>
      </c>
      <c r="CD208" s="1023">
        <f t="shared" si="54"/>
        <v>0.2178706692618361</v>
      </c>
      <c r="CE208" s="1023">
        <f t="shared" si="54"/>
        <v>0.2178706692618361</v>
      </c>
      <c r="CF208" s="1023">
        <f t="shared" si="54"/>
        <v>0.2178706692618361</v>
      </c>
      <c r="CG208" s="447">
        <f t="shared" si="54"/>
        <v>0.2178706692618361</v>
      </c>
    </row>
    <row r="209" spans="1:85" ht="11.25" customHeight="1" outlineLevel="1" x14ac:dyDescent="0.2">
      <c r="A209" s="78"/>
      <c r="B209" s="990"/>
      <c r="C209" s="625"/>
      <c r="D209" s="61"/>
      <c r="E209" s="61"/>
      <c r="F209" s="61"/>
      <c r="G209" s="447"/>
      <c r="H209" s="109"/>
      <c r="I209" s="625"/>
      <c r="J209" s="61"/>
      <c r="K209" s="61"/>
      <c r="L209" s="61"/>
      <c r="M209" s="447"/>
      <c r="N209" s="109"/>
      <c r="O209" s="625"/>
      <c r="P209" s="61"/>
      <c r="Q209" s="61"/>
      <c r="R209" s="61"/>
      <c r="S209" s="447"/>
      <c r="T209" s="109"/>
      <c r="U209" s="743"/>
      <c r="V209" s="278"/>
      <c r="W209" s="278"/>
      <c r="X209" s="278"/>
      <c r="Y209" s="793"/>
      <c r="Z209" s="109"/>
      <c r="AA209" s="743"/>
      <c r="AB209" s="278"/>
      <c r="AC209" s="278"/>
      <c r="AD209" s="278"/>
      <c r="AE209" s="793"/>
      <c r="AF209" s="109"/>
      <c r="AG209" s="743"/>
      <c r="AH209" s="278"/>
      <c r="AI209" s="278"/>
      <c r="AJ209" s="278"/>
      <c r="AK209" s="793"/>
      <c r="AL209" s="109"/>
      <c r="AM209" s="743"/>
      <c r="AN209" s="278"/>
      <c r="AO209" s="278"/>
      <c r="AP209" s="278"/>
      <c r="AQ209" s="793"/>
      <c r="AR209" s="109"/>
      <c r="AS209" s="743"/>
      <c r="AT209" s="278"/>
      <c r="AU209" s="278"/>
      <c r="AV209" s="278"/>
      <c r="AW209" s="793"/>
      <c r="AX209" s="109"/>
      <c r="AY209" s="743"/>
      <c r="AZ209" s="278"/>
      <c r="BA209" s="278"/>
      <c r="BB209" s="278"/>
      <c r="BC209" s="793"/>
      <c r="BD209" s="109"/>
      <c r="BE209" s="743"/>
      <c r="BF209" s="278"/>
      <c r="BG209" s="278"/>
      <c r="BH209" s="278"/>
      <c r="BI209" s="793"/>
      <c r="BJ209" s="109"/>
      <c r="BK209" s="743"/>
      <c r="BL209" s="278"/>
      <c r="BM209" s="278"/>
      <c r="BN209" s="278"/>
      <c r="BO209" s="793"/>
      <c r="BP209" s="109"/>
      <c r="BQ209" s="743"/>
      <c r="BR209" s="278"/>
      <c r="BS209" s="278"/>
      <c r="BT209" s="278"/>
      <c r="BU209" s="793"/>
      <c r="BV209" s="109"/>
      <c r="BW209" s="743"/>
      <c r="BX209" s="278"/>
      <c r="BY209" s="278"/>
      <c r="BZ209" s="278"/>
      <c r="CA209" s="793"/>
      <c r="CB209" s="109"/>
      <c r="CC209" s="743"/>
      <c r="CD209" s="278"/>
      <c r="CE209" s="278"/>
      <c r="CF209" s="278"/>
      <c r="CG209" s="793"/>
    </row>
    <row r="210" spans="1:85" ht="11.25" customHeight="1" outlineLevel="1" x14ac:dyDescent="0.2">
      <c r="A210" s="78"/>
      <c r="B210" s="98" t="s">
        <v>303</v>
      </c>
      <c r="C210" s="271"/>
      <c r="D210" s="272"/>
      <c r="E210" s="272"/>
      <c r="F210" s="272"/>
      <c r="G210" s="456"/>
      <c r="H210" s="62"/>
      <c r="I210" s="271"/>
      <c r="J210" s="272"/>
      <c r="K210" s="272"/>
      <c r="L210" s="272"/>
      <c r="M210" s="456"/>
      <c r="N210" s="62"/>
      <c r="O210" s="271"/>
      <c r="P210" s="272"/>
      <c r="Q210" s="272"/>
      <c r="R210" s="272"/>
      <c r="S210" s="456"/>
      <c r="T210" s="62"/>
      <c r="U210" s="792"/>
      <c r="V210" s="278"/>
      <c r="W210" s="278"/>
      <c r="X210" s="278"/>
      <c r="Y210" s="793"/>
      <c r="Z210" s="62"/>
      <c r="AA210" s="792">
        <f>+AA8/AA$126</f>
        <v>0.61048269325845617</v>
      </c>
      <c r="AB210" s="278">
        <f>+AB8/AB$126</f>
        <v>0.59502070069877555</v>
      </c>
      <c r="AC210" s="278">
        <f>+AC8/AC$126</f>
        <v>0.6119992413320855</v>
      </c>
      <c r="AD210" s="278">
        <f>+AD8/AD$126</f>
        <v>0.60461209450162756</v>
      </c>
      <c r="AE210" s="793">
        <f>+AE8/AE$126</f>
        <v>0.60528471144493379</v>
      </c>
      <c r="AF210" s="62"/>
      <c r="AG210" s="792">
        <f>+AG8/AG$126</f>
        <v>0.6052449410123687</v>
      </c>
      <c r="AH210" s="278">
        <f>+AH8/AH$126</f>
        <v>0.62258889519435978</v>
      </c>
      <c r="AI210" s="278">
        <f>+AI8/AI$126</f>
        <v>0.6384776180734838</v>
      </c>
      <c r="AJ210" s="278">
        <f>+AJ8/AJ$126</f>
        <v>0.6148589953154513</v>
      </c>
      <c r="AK210" s="793">
        <f>+AK8/AK$126</f>
        <v>0.61998956117124326</v>
      </c>
      <c r="AL210" s="62"/>
      <c r="AM210" s="792">
        <f>+AM8/AM$126</f>
        <v>0.59872102251017167</v>
      </c>
      <c r="AN210" s="278">
        <f>+AN8/AN$126</f>
        <v>0.61036169964456433</v>
      </c>
      <c r="AO210" s="278">
        <f>+AO8/AO$126</f>
        <v>0.63037979176826253</v>
      </c>
      <c r="AP210" s="278">
        <f>+AP8/AP$126</f>
        <v>0.60091395820125404</v>
      </c>
      <c r="AQ210" s="793">
        <f>+AQ8/AQ$126</f>
        <v>0.60974811383497152</v>
      </c>
      <c r="AR210" s="62"/>
      <c r="AS210" s="792">
        <f>+AS8/AS$126</f>
        <v>0.59339917096400119</v>
      </c>
      <c r="AT210" s="278">
        <f>+AT8/AT$126</f>
        <v>0.60384981596383136</v>
      </c>
      <c r="AU210" s="278">
        <f>+AU8/AU$126</f>
        <v>0.6251216927304768</v>
      </c>
      <c r="AV210" s="278">
        <f>+AV8/AV$126</f>
        <v>0.60765146523273417</v>
      </c>
      <c r="AW210" s="793">
        <f>+AW8/AW$126</f>
        <v>0.60746485691428442</v>
      </c>
      <c r="AX210" s="62"/>
      <c r="AY210" s="792">
        <f>+AY8/AY$126</f>
        <v>0.63130953152335911</v>
      </c>
      <c r="AZ210" s="278">
        <f>+AZ8/AZ$126</f>
        <v>0.6416305064649217</v>
      </c>
      <c r="BA210" s="278">
        <f>+BA8/BA$126</f>
        <v>0.66093273348542747</v>
      </c>
      <c r="BB210" s="278">
        <f>+BB8/BB$126</f>
        <v>0.63655116830059688</v>
      </c>
      <c r="BC210" s="793">
        <f>+BC8/BC$126</f>
        <v>0.6424322460340911</v>
      </c>
      <c r="BD210" s="62"/>
      <c r="BE210" s="792">
        <f>+BE8/BE$126</f>
        <v>0.64131653037629965</v>
      </c>
      <c r="BF210" s="278">
        <f>+BF8/BF$126</f>
        <v>0.63034704643501105</v>
      </c>
      <c r="BG210" s="278">
        <f>+BG8/BG$126</f>
        <v>0.6611014449183592</v>
      </c>
      <c r="BH210" s="278">
        <f>+BH8/BH$126</f>
        <v>0.64573879345554452</v>
      </c>
      <c r="BI210" s="793">
        <f>+BI8/BI$126</f>
        <v>0.64457736658278886</v>
      </c>
      <c r="BJ210" s="62"/>
      <c r="BK210" s="792">
        <f>+BK8/BK$126</f>
        <v>0.60523869913561323</v>
      </c>
      <c r="BL210" s="278">
        <f>+BL8/BL$126</f>
        <v>0.61315094340890508</v>
      </c>
      <c r="BM210" s="278">
        <f>+BM8/BM$126</f>
        <v>0.61328166737673551</v>
      </c>
      <c r="BN210" s="278">
        <f>+BN8/BN$126</f>
        <v>0.6146232283196903</v>
      </c>
      <c r="BO210" s="793">
        <f>+BO8/BO$126</f>
        <v>0.61175300507385455</v>
      </c>
      <c r="BP210" s="62"/>
      <c r="BQ210" s="792">
        <f>+BQ8/BQ$126</f>
        <v>0.63244116356882907</v>
      </c>
      <c r="BR210" s="278">
        <f>+BR8/BR$126</f>
        <v>0.61662483763282094</v>
      </c>
      <c r="BS210" s="278">
        <f>+BS8/BS$126</f>
        <v>0.62602349700541537</v>
      </c>
      <c r="BT210" s="278">
        <f>+BT8/BT$126</f>
        <v>0.60992223111165311</v>
      </c>
      <c r="BU210" s="793">
        <f>+BU8/BU$126</f>
        <v>0.62081887762391286</v>
      </c>
      <c r="BV210" s="62"/>
      <c r="BW210" s="792">
        <f>+BW8/BW$126</f>
        <v>0.63018137106648964</v>
      </c>
      <c r="BX210" s="278">
        <f>+BX8/BX$126</f>
        <v>0.61432710345687624</v>
      </c>
      <c r="BY210" s="278">
        <f>+BY8/BY$126</f>
        <v>0.62374772147732827</v>
      </c>
      <c r="BZ210" s="278">
        <f>+BZ8/BZ$126</f>
        <v>0.60760988857808196</v>
      </c>
      <c r="CA210" s="793">
        <f>+CA8/CA$126</f>
        <v>0.61853072956284227</v>
      </c>
      <c r="CB210" s="62"/>
      <c r="CC210" s="792">
        <f>+CC8/CC$126</f>
        <v>0.62791585904621572</v>
      </c>
      <c r="CD210" s="278">
        <f>+CD8/CD$126</f>
        <v>0.61202426277221256</v>
      </c>
      <c r="CE210" s="278">
        <f>+CE8/CE$126</f>
        <v>0.62146647098237651</v>
      </c>
      <c r="CF210" s="278">
        <f>+CF8/CF$126</f>
        <v>0.60529270932292012</v>
      </c>
      <c r="CG210" s="793">
        <f>+CG8/CG$126</f>
        <v>0.61623730910702545</v>
      </c>
    </row>
    <row r="211" spans="1:85" ht="11.25" customHeight="1" outlineLevel="1" x14ac:dyDescent="0.2">
      <c r="A211" s="78"/>
      <c r="B211" s="1004" t="s">
        <v>310</v>
      </c>
      <c r="C211" s="625"/>
      <c r="D211" s="61"/>
      <c r="E211" s="61"/>
      <c r="F211" s="61"/>
      <c r="G211" s="447"/>
      <c r="H211" s="109"/>
      <c r="I211" s="625"/>
      <c r="J211" s="61"/>
      <c r="K211" s="61"/>
      <c r="L211" s="61"/>
      <c r="M211" s="447"/>
      <c r="N211" s="109"/>
      <c r="O211" s="625"/>
      <c r="P211" s="61"/>
      <c r="Q211" s="61"/>
      <c r="R211" s="61"/>
      <c r="S211" s="447"/>
      <c r="T211" s="109"/>
      <c r="U211" s="743"/>
      <c r="V211" s="278"/>
      <c r="W211" s="278"/>
      <c r="X211" s="278"/>
      <c r="Y211" s="793"/>
      <c r="Z211" s="109"/>
      <c r="AA211" s="743">
        <f>+AA67/AA$126</f>
        <v>0.38951730674154378</v>
      </c>
      <c r="AB211" s="278">
        <f>+AB67/AB$126</f>
        <v>0.40497929930122439</v>
      </c>
      <c r="AC211" s="278">
        <f>+AC67/AC$126</f>
        <v>0.3880007586679145</v>
      </c>
      <c r="AD211" s="278">
        <f>+AD67/AD$126</f>
        <v>0.39538790549837244</v>
      </c>
      <c r="AE211" s="793">
        <f>+AE67/AE$126</f>
        <v>0.39471528855506632</v>
      </c>
      <c r="AF211" s="109"/>
      <c r="AG211" s="743">
        <f>+AG67/AG$126</f>
        <v>0.39475505898763136</v>
      </c>
      <c r="AH211" s="278">
        <f>+AH67/AH$126</f>
        <v>0.37741110480564016</v>
      </c>
      <c r="AI211" s="278">
        <f>+AI67/AI$126</f>
        <v>0.36152238192651615</v>
      </c>
      <c r="AJ211" s="278">
        <f>+AJ67/AJ$126</f>
        <v>0.38514100468454859</v>
      </c>
      <c r="AK211" s="793">
        <f>+AK67/AK$126</f>
        <v>0.38001043882875674</v>
      </c>
      <c r="AL211" s="109"/>
      <c r="AM211" s="743">
        <f>+AM67/AM$126</f>
        <v>0.40127897748982821</v>
      </c>
      <c r="AN211" s="278">
        <f>+AN67/AN$126</f>
        <v>0.38963830035543567</v>
      </c>
      <c r="AO211" s="278">
        <f>+AO67/AO$126</f>
        <v>0.36962020823173747</v>
      </c>
      <c r="AP211" s="278">
        <f>+AP67/AP$126</f>
        <v>0.39908604179874596</v>
      </c>
      <c r="AQ211" s="793">
        <f>+AQ67/AQ$126</f>
        <v>0.39025188616502859</v>
      </c>
      <c r="AR211" s="109"/>
      <c r="AS211" s="743">
        <f>+AS67/AS$126</f>
        <v>0.40660082903599892</v>
      </c>
      <c r="AT211" s="278">
        <f>+AT67/AT$126</f>
        <v>0.39615018403616858</v>
      </c>
      <c r="AU211" s="278">
        <f>+AU67/AU$126</f>
        <v>0.3748783072695232</v>
      </c>
      <c r="AV211" s="278">
        <f>+AV67/AV$126</f>
        <v>0.39234853476726583</v>
      </c>
      <c r="AW211" s="793">
        <f>+AW67/AW$126</f>
        <v>0.3925351430857158</v>
      </c>
      <c r="AX211" s="109"/>
      <c r="AY211" s="743">
        <f>+AY67/AY$126</f>
        <v>0.368690468476641</v>
      </c>
      <c r="AZ211" s="278">
        <f>+AZ67/AZ$126</f>
        <v>0.35836949353507841</v>
      </c>
      <c r="BA211" s="278">
        <f>+BA67/BA$126</f>
        <v>0.33906726651457253</v>
      </c>
      <c r="BB211" s="278">
        <f>+BB67/BB$126</f>
        <v>0.36344883169940317</v>
      </c>
      <c r="BC211" s="793">
        <f>+BC67/BC$126</f>
        <v>0.35756775396590901</v>
      </c>
      <c r="BD211" s="109"/>
      <c r="BE211" s="743">
        <f>+BE67/BE$126</f>
        <v>0.35868346962370029</v>
      </c>
      <c r="BF211" s="278">
        <f>+BF67/BF$126</f>
        <v>0.3696529535649889</v>
      </c>
      <c r="BG211" s="278">
        <f>+BG67/BG$126</f>
        <v>0.33889855508164068</v>
      </c>
      <c r="BH211" s="278">
        <f>+BH67/BH$126</f>
        <v>0.35426120654445548</v>
      </c>
      <c r="BI211" s="793">
        <f>+BI67/BI$126</f>
        <v>0.3554226334172112</v>
      </c>
      <c r="BJ211" s="109"/>
      <c r="BK211" s="743">
        <f>+BK67/BK$126</f>
        <v>0.39476130086438682</v>
      </c>
      <c r="BL211" s="278">
        <f>+BL67/BL$126</f>
        <v>0.38684905659109498</v>
      </c>
      <c r="BM211" s="278">
        <f>+BM67/BM$126</f>
        <v>0.38671833262326455</v>
      </c>
      <c r="BN211" s="278">
        <f>+BN67/BN$126</f>
        <v>0.38537677168030976</v>
      </c>
      <c r="BO211" s="793">
        <f>+BO67/BO$126</f>
        <v>0.38824699492614551</v>
      </c>
      <c r="BP211" s="109"/>
      <c r="BQ211" s="743">
        <f>+BQ67/BQ$126</f>
        <v>0.36755883643117082</v>
      </c>
      <c r="BR211" s="278">
        <f>+BR67/BR$126</f>
        <v>0.38337516236717895</v>
      </c>
      <c r="BS211" s="278">
        <f>+BS67/BS$126</f>
        <v>0.37397650299458457</v>
      </c>
      <c r="BT211" s="278">
        <f>+BT67/BT$126</f>
        <v>0.390077768888347</v>
      </c>
      <c r="BU211" s="793">
        <f>+BU67/BU$126</f>
        <v>0.37918112237608714</v>
      </c>
      <c r="BV211" s="109"/>
      <c r="BW211" s="743">
        <f>+BW67/BW$126</f>
        <v>0.36981862893351031</v>
      </c>
      <c r="BX211" s="278">
        <f>+BX67/BX$126</f>
        <v>0.38567289654312376</v>
      </c>
      <c r="BY211" s="278">
        <f>+BY67/BY$126</f>
        <v>0.37625227852267168</v>
      </c>
      <c r="BZ211" s="278">
        <f>+BZ67/BZ$126</f>
        <v>0.3923901114219181</v>
      </c>
      <c r="CA211" s="793">
        <f>+CA67/CA$126</f>
        <v>0.38146927043715784</v>
      </c>
      <c r="CB211" s="109"/>
      <c r="CC211" s="743">
        <f>+CC67/CC$126</f>
        <v>0.37208414095378423</v>
      </c>
      <c r="CD211" s="278">
        <f>+CD67/CD$126</f>
        <v>0.38797573722778744</v>
      </c>
      <c r="CE211" s="278">
        <f>+CE67/CE$126</f>
        <v>0.37853352901762355</v>
      </c>
      <c r="CF211" s="278">
        <f>+CF67/CF$126</f>
        <v>0.39470729067707999</v>
      </c>
      <c r="CG211" s="793">
        <f>+CG67/CG$126</f>
        <v>0.38376269089297455</v>
      </c>
    </row>
    <row r="212" spans="1:85" ht="11.25" customHeight="1" outlineLevel="1" x14ac:dyDescent="0.2">
      <c r="A212" s="78"/>
      <c r="B212" s="1034" t="s">
        <v>474</v>
      </c>
      <c r="C212" s="1018"/>
      <c r="D212" s="1019"/>
      <c r="E212" s="1019"/>
      <c r="F212" s="1019"/>
      <c r="G212" s="1020"/>
      <c r="H212" s="1021"/>
      <c r="I212" s="1018"/>
      <c r="J212" s="1019"/>
      <c r="K212" s="1019"/>
      <c r="L212" s="1019"/>
      <c r="M212" s="1020"/>
      <c r="N212" s="1021"/>
      <c r="O212" s="1018"/>
      <c r="P212" s="1019"/>
      <c r="Q212" s="1019"/>
      <c r="R212" s="1019"/>
      <c r="S212" s="1020"/>
      <c r="T212" s="1021"/>
      <c r="U212" s="1022"/>
      <c r="V212" s="1023"/>
      <c r="W212" s="1023"/>
      <c r="X212" s="1023"/>
      <c r="Y212" s="1024"/>
      <c r="Z212" s="1021"/>
      <c r="AA212" s="1022"/>
      <c r="AB212" s="1023"/>
      <c r="AC212" s="1023"/>
      <c r="AD212" s="1023"/>
      <c r="AE212" s="852"/>
      <c r="AF212" s="1021"/>
      <c r="AG212" s="1022"/>
      <c r="AH212" s="1023"/>
      <c r="AI212" s="1023"/>
      <c r="AJ212" s="1023"/>
      <c r="AK212" s="852"/>
      <c r="AL212" s="1021"/>
      <c r="AM212" s="1022">
        <f>+AQ212</f>
        <v>0.32</v>
      </c>
      <c r="AN212" s="1023">
        <f>+AQ212</f>
        <v>0.32</v>
      </c>
      <c r="AO212" s="1023">
        <f>+AQ212</f>
        <v>0.32</v>
      </c>
      <c r="AP212" s="1023">
        <f>+AQ212</f>
        <v>0.32</v>
      </c>
      <c r="AQ212" s="1024">
        <v>0.32</v>
      </c>
      <c r="AR212" s="1021"/>
      <c r="AS212" s="1022">
        <f>+AW212</f>
        <v>0.32</v>
      </c>
      <c r="AT212" s="1023">
        <f>+AW212</f>
        <v>0.32</v>
      </c>
      <c r="AU212" s="1023">
        <f>+AW212</f>
        <v>0.32</v>
      </c>
      <c r="AV212" s="1023">
        <f>+AW212</f>
        <v>0.32</v>
      </c>
      <c r="AW212" s="1024">
        <v>0.32</v>
      </c>
      <c r="AX212" s="1021"/>
      <c r="AY212" s="1022">
        <f>+BC212</f>
        <v>0.28999999999999998</v>
      </c>
      <c r="AZ212" s="1023">
        <f>+BC212</f>
        <v>0.28999999999999998</v>
      </c>
      <c r="BA212" s="1023">
        <f>+BC212</f>
        <v>0.28999999999999998</v>
      </c>
      <c r="BB212" s="1023">
        <f>+BC212</f>
        <v>0.28999999999999998</v>
      </c>
      <c r="BC212" s="1024">
        <v>0.28999999999999998</v>
      </c>
      <c r="BD212" s="1021"/>
      <c r="BE212" s="1022">
        <f>+BI212</f>
        <v>0.28999999999999998</v>
      </c>
      <c r="BF212" s="1023">
        <f>+BI212</f>
        <v>0.28999999999999998</v>
      </c>
      <c r="BG212" s="1023">
        <f>+BI212</f>
        <v>0.28999999999999998</v>
      </c>
      <c r="BH212" s="1023">
        <f>+BI212</f>
        <v>0.28999999999999998</v>
      </c>
      <c r="BI212" s="1024">
        <v>0.28999999999999998</v>
      </c>
      <c r="BJ212" s="1021"/>
      <c r="BK212" s="1031"/>
      <c r="BL212" s="1023"/>
      <c r="BM212" s="1023"/>
      <c r="BN212" s="1023"/>
      <c r="BO212" s="1024"/>
      <c r="BP212" s="1021"/>
      <c r="BQ212" s="1022"/>
      <c r="BR212" s="1023"/>
      <c r="BS212" s="1023"/>
      <c r="BT212" s="1023"/>
      <c r="BU212" s="1024"/>
      <c r="BV212" s="1021"/>
      <c r="BW212" s="1022"/>
      <c r="BX212" s="1023"/>
      <c r="BY212" s="1023"/>
      <c r="BZ212" s="1023"/>
      <c r="CA212" s="1024"/>
      <c r="CB212" s="1021"/>
      <c r="CC212" s="1022"/>
      <c r="CD212" s="1023"/>
      <c r="CE212" s="1023"/>
      <c r="CF212" s="1023"/>
      <c r="CG212" s="1024"/>
    </row>
    <row r="213" spans="1:85" ht="11.25" customHeight="1" outlineLevel="1" x14ac:dyDescent="0.2">
      <c r="A213" s="78"/>
      <c r="B213" s="1035" t="s">
        <v>543</v>
      </c>
      <c r="C213" s="1025"/>
      <c r="D213" s="1026"/>
      <c r="E213" s="1026"/>
      <c r="F213" s="1026"/>
      <c r="G213" s="1027"/>
      <c r="H213" s="1021"/>
      <c r="I213" s="1025"/>
      <c r="J213" s="1026"/>
      <c r="K213" s="1026"/>
      <c r="L213" s="1026"/>
      <c r="M213" s="1027"/>
      <c r="N213" s="1021"/>
      <c r="O213" s="1025"/>
      <c r="P213" s="1026"/>
      <c r="Q213" s="1026"/>
      <c r="R213" s="1026"/>
      <c r="S213" s="1027"/>
      <c r="T213" s="1021"/>
      <c r="U213" s="1028"/>
      <c r="V213" s="1029"/>
      <c r="W213" s="1029"/>
      <c r="X213" s="1029"/>
      <c r="Y213" s="1030"/>
      <c r="Z213" s="1021"/>
      <c r="AA213" s="1028"/>
      <c r="AB213" s="1029"/>
      <c r="AC213" s="1029"/>
      <c r="AD213" s="1029"/>
      <c r="AE213" s="1030"/>
      <c r="AF213" s="1021"/>
      <c r="AG213" s="1028"/>
      <c r="AH213" s="1029"/>
      <c r="AI213" s="1029"/>
      <c r="AJ213" s="1029"/>
      <c r="AK213" s="1030"/>
      <c r="AL213" s="1021"/>
      <c r="AM213" s="1028">
        <f>+AM211-AM212</f>
        <v>8.1278977489828208E-2</v>
      </c>
      <c r="AN213" s="1029">
        <f>+AN211-AN212</f>
        <v>6.9638300355435667E-2</v>
      </c>
      <c r="AO213" s="1029">
        <f>+AO211-AO212</f>
        <v>4.9620208231737462E-2</v>
      </c>
      <c r="AP213" s="1029">
        <f>+AP211-AP212</f>
        <v>7.9086041798745954E-2</v>
      </c>
      <c r="AQ213" s="1030">
        <f>+AQ211-AQ212</f>
        <v>7.0251886165028588E-2</v>
      </c>
      <c r="AR213" s="1021"/>
      <c r="AS213" s="1028">
        <f>+AS211-AS212</f>
        <v>8.6600829035998916E-2</v>
      </c>
      <c r="AT213" s="1029">
        <f>+AT211-AT212</f>
        <v>7.6150184036168578E-2</v>
      </c>
      <c r="AU213" s="1029">
        <f>+AU211-AU212</f>
        <v>5.4878307269523197E-2</v>
      </c>
      <c r="AV213" s="1029">
        <f>+AV211-AV212</f>
        <v>7.2348534767265826E-2</v>
      </c>
      <c r="AW213" s="1030">
        <f>+AW211-AW212</f>
        <v>7.2535143085715792E-2</v>
      </c>
      <c r="AX213" s="1021"/>
      <c r="AY213" s="1028">
        <f>+AY211-AY212</f>
        <v>7.8690468476641018E-2</v>
      </c>
      <c r="AZ213" s="1029">
        <f>+AZ211-AZ212</f>
        <v>6.8369493535078429E-2</v>
      </c>
      <c r="BA213" s="1029">
        <f>+BA211-BA212</f>
        <v>4.906726651457255E-2</v>
      </c>
      <c r="BB213" s="1029">
        <f>+BB211-BB212</f>
        <v>7.3448831699403194E-2</v>
      </c>
      <c r="BC213" s="1030">
        <f>+BC211-BC212</f>
        <v>6.7567753965909028E-2</v>
      </c>
      <c r="BD213" s="1021"/>
      <c r="BE213" s="1028">
        <f>+BE211-BE212</f>
        <v>6.8683469623700311E-2</v>
      </c>
      <c r="BF213" s="1029">
        <f>+BF211-BF212</f>
        <v>7.9652953564988915E-2</v>
      </c>
      <c r="BG213" s="1029">
        <f>+BG211-BG212</f>
        <v>4.8898555081640704E-2</v>
      </c>
      <c r="BH213" s="1029">
        <f>+BH211-BH212</f>
        <v>6.4261206544455496E-2</v>
      </c>
      <c r="BI213" s="1030">
        <f>+BI211-BI212</f>
        <v>6.5422633417211218E-2</v>
      </c>
      <c r="BJ213" s="1021"/>
      <c r="BK213" s="1028"/>
      <c r="BL213" s="1029"/>
      <c r="BM213" s="1029"/>
      <c r="BN213" s="1029"/>
      <c r="BO213" s="1030"/>
      <c r="BP213" s="1021"/>
      <c r="BQ213" s="1028"/>
      <c r="BR213" s="1029"/>
      <c r="BS213" s="1029"/>
      <c r="BT213" s="1029"/>
      <c r="BU213" s="1030"/>
      <c r="BV213" s="1021"/>
      <c r="BW213" s="1028"/>
      <c r="BX213" s="1029"/>
      <c r="BY213" s="1029"/>
      <c r="BZ213" s="1029"/>
      <c r="CA213" s="1030"/>
      <c r="CB213" s="1021"/>
      <c r="CC213" s="1028"/>
      <c r="CD213" s="1029"/>
      <c r="CE213" s="1029"/>
      <c r="CF213" s="1029"/>
      <c r="CG213" s="1030"/>
    </row>
    <row r="214" spans="1:85" ht="11.25" customHeight="1" outlineLevel="1" x14ac:dyDescent="0.2">
      <c r="A214" s="78"/>
      <c r="H214" s="11"/>
      <c r="N214" s="11"/>
      <c r="T214" s="11"/>
      <c r="Z214" s="11"/>
      <c r="AF214" s="11"/>
      <c r="AL214" s="11"/>
      <c r="AR214" s="11"/>
      <c r="AX214" s="11"/>
      <c r="BD214" s="11"/>
      <c r="BJ214" s="11"/>
      <c r="BP214" s="11"/>
      <c r="BV214" s="11"/>
      <c r="CB214" s="11"/>
    </row>
    <row r="215" spans="1:85" ht="11.25" customHeight="1" outlineLevel="1" x14ac:dyDescent="0.2">
      <c r="A215" s="78"/>
      <c r="B215" s="812" t="s">
        <v>550</v>
      </c>
      <c r="C215" s="813"/>
      <c r="D215" s="813"/>
      <c r="E215" s="813"/>
      <c r="F215" s="813"/>
      <c r="G215" s="813"/>
      <c r="H215" s="812"/>
      <c r="I215" s="813"/>
      <c r="J215" s="813"/>
      <c r="K215" s="813"/>
      <c r="L215" s="813"/>
      <c r="M215" s="813"/>
      <c r="N215" s="812"/>
      <c r="O215" s="813"/>
      <c r="P215" s="813"/>
      <c r="Q215" s="813"/>
      <c r="R215" s="813"/>
      <c r="S215" s="813"/>
      <c r="T215" s="812"/>
      <c r="U215" s="813"/>
      <c r="V215" s="813"/>
      <c r="W215" s="813"/>
      <c r="X215" s="813"/>
      <c r="Y215" s="813"/>
      <c r="Z215" s="812"/>
      <c r="AA215" s="813"/>
      <c r="AB215" s="813"/>
      <c r="AC215" s="813"/>
      <c r="AD215" s="813"/>
      <c r="AE215" s="813"/>
      <c r="AF215" s="812"/>
      <c r="AG215" s="813"/>
      <c r="AH215" s="813"/>
      <c r="AI215" s="813"/>
      <c r="AJ215" s="813"/>
      <c r="AK215" s="813"/>
      <c r="AL215" s="812"/>
      <c r="AM215" s="813"/>
      <c r="AN215" s="813"/>
      <c r="AO215" s="813"/>
      <c r="AP215" s="813"/>
      <c r="AQ215" s="813"/>
      <c r="AR215" s="812"/>
      <c r="AS215" s="813"/>
      <c r="AT215" s="813"/>
      <c r="AU215" s="813"/>
      <c r="AV215" s="813"/>
      <c r="AW215" s="813"/>
      <c r="AX215" s="812"/>
      <c r="AY215" s="813"/>
      <c r="AZ215" s="813"/>
      <c r="BA215" s="813"/>
      <c r="BB215" s="813"/>
      <c r="BC215" s="813"/>
      <c r="BD215" s="812"/>
      <c r="BE215" s="813"/>
      <c r="BF215" s="813"/>
      <c r="BG215" s="813"/>
      <c r="BH215" s="813"/>
      <c r="BI215" s="813"/>
      <c r="BJ215" s="812"/>
      <c r="BK215" s="813"/>
      <c r="BL215" s="813"/>
      <c r="BM215" s="813"/>
      <c r="BN215" s="813"/>
      <c r="BO215" s="813"/>
      <c r="BP215" s="812"/>
      <c r="BQ215" s="813"/>
      <c r="BR215" s="813"/>
      <c r="BS215" s="813"/>
      <c r="BT215" s="813"/>
      <c r="BU215" s="813"/>
      <c r="BV215" s="812"/>
      <c r="BW215" s="813"/>
      <c r="BX215" s="813"/>
      <c r="BY215" s="813"/>
      <c r="BZ215" s="813"/>
      <c r="CA215" s="813"/>
      <c r="CB215" s="812"/>
      <c r="CC215" s="813"/>
      <c r="CD215" s="813"/>
      <c r="CE215" s="813"/>
      <c r="CF215" s="813"/>
      <c r="CG215" s="814"/>
    </row>
    <row r="216" spans="1:85" ht="11.25" customHeight="1" outlineLevel="1" x14ac:dyDescent="0.2">
      <c r="A216" s="78"/>
      <c r="B216" s="98" t="s">
        <v>303</v>
      </c>
      <c r="C216" s="271"/>
      <c r="D216" s="272"/>
      <c r="E216" s="272"/>
      <c r="F216" s="272"/>
      <c r="G216" s="456"/>
      <c r="H216" s="62"/>
      <c r="I216" s="271"/>
      <c r="J216" s="272"/>
      <c r="K216" s="272"/>
      <c r="L216" s="272"/>
      <c r="M216" s="456"/>
      <c r="N216" s="62"/>
      <c r="O216" s="271"/>
      <c r="P216" s="272"/>
      <c r="Q216" s="272"/>
      <c r="R216" s="272"/>
      <c r="S216" s="456"/>
      <c r="T216" s="62"/>
      <c r="U216" s="271"/>
      <c r="V216" s="272"/>
      <c r="W216" s="272"/>
      <c r="X216" s="272"/>
      <c r="Y216" s="456"/>
      <c r="Z216" s="62"/>
      <c r="AA216" s="792">
        <f>+AA28/AA$146</f>
        <v>0.5060076627233735</v>
      </c>
      <c r="AB216" s="278">
        <f>+AB28/AB$146</f>
        <v>0.49436492739734894</v>
      </c>
      <c r="AC216" s="278">
        <f>+AC28/AC$146</f>
        <v>0.49105370962214373</v>
      </c>
      <c r="AD216" s="278">
        <f>+AD28/AD$146</f>
        <v>0.48622146376874942</v>
      </c>
      <c r="AE216" s="793">
        <f>+AE28/AE$146</f>
        <v>0.49404572087120646</v>
      </c>
      <c r="AF216" s="62"/>
      <c r="AG216" s="792">
        <f>+AG28/AG$146</f>
        <v>0.50801955897182216</v>
      </c>
      <c r="AH216" s="278">
        <f>+AH28/AH$146</f>
        <v>0.50700544811328796</v>
      </c>
      <c r="AI216" s="278">
        <f>+AI28/AI$146</f>
        <v>0.46217005169496622</v>
      </c>
      <c r="AJ216" s="278">
        <f>+AJ28/AJ$146</f>
        <v>0.46073572554030817</v>
      </c>
      <c r="AK216" s="793">
        <f>+AK28/AK$146</f>
        <v>0.48349848846542093</v>
      </c>
      <c r="AL216" s="62"/>
      <c r="AM216" s="792">
        <f>+AM28/AM$146</f>
        <v>0.48006546276101392</v>
      </c>
      <c r="AN216" s="278">
        <f>+AN28/AN$146</f>
        <v>0.48900265197051768</v>
      </c>
      <c r="AO216" s="278">
        <f>+AO28/AO$146</f>
        <v>0.47502603967995716</v>
      </c>
      <c r="AP216" s="278">
        <f>+AP28/AP$146</f>
        <v>0.46224143936243833</v>
      </c>
      <c r="AQ216" s="793">
        <f>+AQ28/AQ$146</f>
        <v>0.47664227314816421</v>
      </c>
      <c r="AR216" s="62"/>
      <c r="AS216" s="792">
        <f>+AS28/AS$146</f>
        <v>0.46700474263852043</v>
      </c>
      <c r="AT216" s="278">
        <f>+AT28/AT$146</f>
        <v>0.46587166638614597</v>
      </c>
      <c r="AU216" s="278">
        <f>+AU28/AU$146</f>
        <v>0.48614951870303136</v>
      </c>
      <c r="AV216" s="278">
        <f>+AV28/AV$146</f>
        <v>0.48609871477523259</v>
      </c>
      <c r="AW216" s="793">
        <f>+AW28/AW$146</f>
        <v>0.4765353210433132</v>
      </c>
      <c r="AX216" s="62"/>
      <c r="AY216" s="792">
        <f>+AY28/AY$146</f>
        <v>0.49442807792799898</v>
      </c>
      <c r="AZ216" s="278">
        <f>+AZ28/AZ$146</f>
        <v>0.50173132876811144</v>
      </c>
      <c r="BA216" s="278">
        <f>+BA28/BA$146</f>
        <v>0.50064092675688332</v>
      </c>
      <c r="BB216" s="278">
        <f>+BB28/BB$146</f>
        <v>0.48131270587893027</v>
      </c>
      <c r="BC216" s="793">
        <f>+BC28/BC$146</f>
        <v>0.49446232643214866</v>
      </c>
      <c r="BD216" s="62"/>
      <c r="BE216" s="792">
        <f>+BE28/BE$146</f>
        <v>0.51765656010463912</v>
      </c>
      <c r="BF216" s="278">
        <f>+BF28/BF$146</f>
        <v>0.52239813120461864</v>
      </c>
      <c r="BG216" s="278">
        <f>+BG28/BG$146</f>
        <v>0.51108659093813702</v>
      </c>
      <c r="BH216" s="278">
        <f>+BH28/BH$146</f>
        <v>0.509230668234255</v>
      </c>
      <c r="BI216" s="793">
        <f>+BI28/BI$146</f>
        <v>0.51513466406606623</v>
      </c>
      <c r="BJ216" s="62"/>
      <c r="BK216" s="792">
        <f>+BK28/BK$146</f>
        <v>0.51989632678466646</v>
      </c>
      <c r="BL216" s="278">
        <f>+BL28/BL$146</f>
        <v>0.53089256404186547</v>
      </c>
      <c r="BM216" s="278">
        <f>+BM28/BM$146</f>
        <v>0.50802873393913306</v>
      </c>
      <c r="BN216" s="278">
        <f>+BN28/BN$146</f>
        <v>0.50425102693347268</v>
      </c>
      <c r="BO216" s="793">
        <f>+BO28/BO$146</f>
        <v>0.51569865689093042</v>
      </c>
      <c r="BP216" s="62"/>
      <c r="BQ216" s="792">
        <f>+BQ28/BQ$146</f>
        <v>0.54852099465070236</v>
      </c>
      <c r="BR216" s="278">
        <f>+BR28/BR$146</f>
        <v>0.5546490413575409</v>
      </c>
      <c r="BS216" s="278">
        <f>+BS28/BS$146</f>
        <v>0.53115372236986247</v>
      </c>
      <c r="BT216" s="278">
        <f>+BT28/BT$146</f>
        <v>0.51359466090470052</v>
      </c>
      <c r="BU216" s="793">
        <f>+BU28/BU$146</f>
        <v>0.53691011327780624</v>
      </c>
      <c r="BV216" s="62"/>
      <c r="BW216" s="792">
        <f>+BW28/BW$146</f>
        <v>0.54852099465070236</v>
      </c>
      <c r="BX216" s="278">
        <f>+BX28/BX$146</f>
        <v>0.55464904135754101</v>
      </c>
      <c r="BY216" s="278">
        <f>+BY28/BY$146</f>
        <v>0.53115372236986247</v>
      </c>
      <c r="BZ216" s="278">
        <f>+BZ28/BZ$146</f>
        <v>0.51359466090470041</v>
      </c>
      <c r="CA216" s="793">
        <f>+CA28/CA$146</f>
        <v>0.53691011327780624</v>
      </c>
      <c r="CB216" s="62"/>
      <c r="CC216" s="792">
        <f>+CC28/CC$146</f>
        <v>0.54617256184147134</v>
      </c>
      <c r="CD216" s="278">
        <f>+CD28/CD$146</f>
        <v>0.55230646788196325</v>
      </c>
      <c r="CE216" s="278">
        <f>+CE28/CE$146</f>
        <v>0.52879255644862944</v>
      </c>
      <c r="CF216" s="278">
        <f>+CF28/CF$146</f>
        <v>0.51122643928986944</v>
      </c>
      <c r="CG216" s="793">
        <f>+CG28/CG$146</f>
        <v>0.53455253354251808</v>
      </c>
    </row>
    <row r="217" spans="1:85" ht="11.25" customHeight="1" outlineLevel="1" x14ac:dyDescent="0.2">
      <c r="A217" s="78"/>
      <c r="B217" s="1033" t="s">
        <v>544</v>
      </c>
      <c r="C217" s="1032"/>
      <c r="D217" s="272"/>
      <c r="E217" s="272"/>
      <c r="F217" s="272"/>
      <c r="G217" s="456"/>
      <c r="H217" s="62"/>
      <c r="I217" s="1032"/>
      <c r="J217" s="272"/>
      <c r="K217" s="272"/>
      <c r="L217" s="272"/>
      <c r="M217" s="456"/>
      <c r="N217" s="62"/>
      <c r="O217" s="1032"/>
      <c r="P217" s="272"/>
      <c r="Q217" s="272"/>
      <c r="R217" s="272"/>
      <c r="S217" s="456"/>
      <c r="T217" s="62"/>
      <c r="U217" s="1032"/>
      <c r="V217" s="272"/>
      <c r="W217" s="272"/>
      <c r="X217" s="272"/>
      <c r="Y217" s="456"/>
      <c r="Z217" s="62"/>
      <c r="AA217" s="743"/>
      <c r="AB217" s="278"/>
      <c r="AC217" s="278"/>
      <c r="AD217" s="278"/>
      <c r="AE217" s="793"/>
      <c r="AF217" s="62"/>
      <c r="AG217" s="743"/>
      <c r="AH217" s="278"/>
      <c r="AI217" s="278"/>
      <c r="AJ217" s="278"/>
      <c r="AK217" s="793"/>
      <c r="AL217" s="62"/>
      <c r="AM217" s="743"/>
      <c r="AN217" s="278"/>
      <c r="AO217" s="278"/>
      <c r="AP217" s="278"/>
      <c r="AQ217" s="793"/>
      <c r="AR217" s="62"/>
      <c r="AS217" s="1022">
        <f>+AW217</f>
        <v>0.98</v>
      </c>
      <c r="AT217" s="1023">
        <f>+AW217</f>
        <v>0.98</v>
      </c>
      <c r="AU217" s="1023">
        <f>+AW217</f>
        <v>0.98</v>
      </c>
      <c r="AV217" s="1023">
        <f>+AW217</f>
        <v>0.98</v>
      </c>
      <c r="AW217" s="852">
        <v>0.98</v>
      </c>
      <c r="AX217" s="62"/>
      <c r="AY217" s="1022">
        <f>+BC217</f>
        <v>0.98</v>
      </c>
      <c r="AZ217" s="1023">
        <f>+BC217</f>
        <v>0.98</v>
      </c>
      <c r="BA217" s="1023">
        <f>+BC217</f>
        <v>0.98</v>
      </c>
      <c r="BB217" s="1023">
        <f>+BC217</f>
        <v>0.98</v>
      </c>
      <c r="BC217" s="852">
        <v>0.98</v>
      </c>
      <c r="BD217" s="62"/>
      <c r="BE217" s="1022">
        <f>+BI217</f>
        <v>0.98</v>
      </c>
      <c r="BF217" s="1023">
        <f>+BI217</f>
        <v>0.98</v>
      </c>
      <c r="BG217" s="1023">
        <f>+BI217</f>
        <v>0.98</v>
      </c>
      <c r="BH217" s="1023">
        <f>+BI217</f>
        <v>0.98</v>
      </c>
      <c r="BI217" s="852">
        <v>0.98</v>
      </c>
      <c r="BJ217" s="62"/>
      <c r="BK217" s="743"/>
      <c r="BL217" s="278"/>
      <c r="BM217" s="278"/>
      <c r="BN217" s="278"/>
      <c r="BO217" s="793"/>
      <c r="BP217" s="62"/>
      <c r="BQ217" s="743"/>
      <c r="BR217" s="278"/>
      <c r="BS217" s="278"/>
      <c r="BT217" s="278"/>
      <c r="BU217" s="793"/>
      <c r="BV217" s="62"/>
      <c r="BW217" s="743"/>
      <c r="BX217" s="278"/>
      <c r="BY217" s="278"/>
      <c r="BZ217" s="278"/>
      <c r="CA217" s="793"/>
      <c r="CB217" s="62"/>
      <c r="CC217" s="743"/>
      <c r="CD217" s="278"/>
      <c r="CE217" s="278"/>
      <c r="CF217" s="278"/>
      <c r="CG217" s="793"/>
    </row>
    <row r="218" spans="1:85" ht="11.25" customHeight="1" outlineLevel="1" x14ac:dyDescent="0.2">
      <c r="A218" s="78"/>
      <c r="B218" s="1033" t="s">
        <v>545</v>
      </c>
      <c r="C218" s="1032"/>
      <c r="D218" s="272"/>
      <c r="E218" s="272"/>
      <c r="F218" s="272"/>
      <c r="G218" s="456"/>
      <c r="H218" s="62"/>
      <c r="I218" s="1032"/>
      <c r="J218" s="272"/>
      <c r="K218" s="272"/>
      <c r="L218" s="272"/>
      <c r="M218" s="456"/>
      <c r="N218" s="62"/>
      <c r="O218" s="1032"/>
      <c r="P218" s="272"/>
      <c r="Q218" s="272"/>
      <c r="R218" s="272"/>
      <c r="S218" s="456"/>
      <c r="T218" s="62"/>
      <c r="U218" s="1032"/>
      <c r="V218" s="272"/>
      <c r="W218" s="272"/>
      <c r="X218" s="272"/>
      <c r="Y218" s="456"/>
      <c r="Z218" s="62"/>
      <c r="AA218" s="743"/>
      <c r="AB218" s="278"/>
      <c r="AC218" s="278"/>
      <c r="AD218" s="278"/>
      <c r="AE218" s="793"/>
      <c r="AF218" s="62"/>
      <c r="AG218" s="743"/>
      <c r="AH218" s="278"/>
      <c r="AI218" s="278"/>
      <c r="AJ218" s="278"/>
      <c r="AK218" s="793"/>
      <c r="AL218" s="62"/>
      <c r="AM218" s="743"/>
      <c r="AN218" s="278"/>
      <c r="AO218" s="278"/>
      <c r="AP218" s="278"/>
      <c r="AQ218" s="793"/>
      <c r="AR218" s="62"/>
      <c r="AS218" s="1022">
        <f>+AW218</f>
        <v>2.0000000000000018E-2</v>
      </c>
      <c r="AT218" s="1023">
        <f>+AW218</f>
        <v>2.0000000000000018E-2</v>
      </c>
      <c r="AU218" s="1023">
        <f>+AW218</f>
        <v>2.0000000000000018E-2</v>
      </c>
      <c r="AV218" s="1023">
        <f>+AW218</f>
        <v>2.0000000000000018E-2</v>
      </c>
      <c r="AW218" s="793">
        <f>100%-AW217</f>
        <v>2.0000000000000018E-2</v>
      </c>
      <c r="AX218" s="39"/>
      <c r="AY218" s="743">
        <f>+BC218</f>
        <v>2.0000000000000018E-2</v>
      </c>
      <c r="AZ218" s="278">
        <f>+BC218</f>
        <v>2.0000000000000018E-2</v>
      </c>
      <c r="BA218" s="278">
        <f>+BC218</f>
        <v>2.0000000000000018E-2</v>
      </c>
      <c r="BB218" s="278">
        <f>+BC218</f>
        <v>2.0000000000000018E-2</v>
      </c>
      <c r="BC218" s="793">
        <f>100%-BC217</f>
        <v>2.0000000000000018E-2</v>
      </c>
      <c r="BD218" s="39"/>
      <c r="BE218" s="743">
        <f>+BI218</f>
        <v>2.0000000000000018E-2</v>
      </c>
      <c r="BF218" s="278">
        <f>+BI218</f>
        <v>2.0000000000000018E-2</v>
      </c>
      <c r="BG218" s="278">
        <f>+BI218</f>
        <v>2.0000000000000018E-2</v>
      </c>
      <c r="BH218" s="278">
        <f>+BI218</f>
        <v>2.0000000000000018E-2</v>
      </c>
      <c r="BI218" s="793">
        <f>100%-BI217</f>
        <v>2.0000000000000018E-2</v>
      </c>
      <c r="BJ218" s="62"/>
      <c r="BK218" s="743"/>
      <c r="BL218" s="278"/>
      <c r="BM218" s="278"/>
      <c r="BN218" s="278"/>
      <c r="BO218" s="793"/>
      <c r="BP218" s="62"/>
      <c r="BQ218" s="743"/>
      <c r="BR218" s="278"/>
      <c r="BS218" s="278"/>
      <c r="BT218" s="278"/>
      <c r="BU218" s="793"/>
      <c r="BV218" s="62"/>
      <c r="BW218" s="743"/>
      <c r="BX218" s="278"/>
      <c r="BY218" s="278"/>
      <c r="BZ218" s="278"/>
      <c r="CA218" s="793"/>
      <c r="CB218" s="62"/>
      <c r="CC218" s="743"/>
      <c r="CD218" s="278"/>
      <c r="CE218" s="278"/>
      <c r="CF218" s="278"/>
      <c r="CG218" s="793"/>
    </row>
    <row r="219" spans="1:85" ht="11.25" customHeight="1" outlineLevel="1" x14ac:dyDescent="0.2">
      <c r="A219" s="78"/>
      <c r="B219" s="1004" t="s">
        <v>310</v>
      </c>
      <c r="C219" s="625"/>
      <c r="D219" s="61"/>
      <c r="E219" s="61"/>
      <c r="F219" s="61"/>
      <c r="G219" s="447"/>
      <c r="H219" s="109"/>
      <c r="I219" s="625"/>
      <c r="J219" s="61"/>
      <c r="K219" s="61"/>
      <c r="L219" s="61"/>
      <c r="M219" s="447"/>
      <c r="N219" s="109"/>
      <c r="O219" s="625"/>
      <c r="P219" s="61"/>
      <c r="Q219" s="61"/>
      <c r="R219" s="61"/>
      <c r="S219" s="447"/>
      <c r="T219" s="109"/>
      <c r="U219" s="625"/>
      <c r="V219" s="61"/>
      <c r="W219" s="61"/>
      <c r="X219" s="61"/>
      <c r="Y219" s="447"/>
      <c r="Z219" s="109"/>
      <c r="AA219" s="743">
        <f>+AA87/AA$146</f>
        <v>0.4939923372766265</v>
      </c>
      <c r="AB219" s="278">
        <f>+AB87/AB$146</f>
        <v>0.50563507260265106</v>
      </c>
      <c r="AC219" s="278">
        <f>+AC87/AC$146</f>
        <v>0.50894629037785621</v>
      </c>
      <c r="AD219" s="278">
        <f>+AD87/AD$146</f>
        <v>0.51377853623125058</v>
      </c>
      <c r="AE219" s="793">
        <f>+AE87/AE$146</f>
        <v>0.50595427912879343</v>
      </c>
      <c r="AF219" s="109"/>
      <c r="AG219" s="743">
        <f>+AG87/AG$146</f>
        <v>0.4919804410281779</v>
      </c>
      <c r="AH219" s="278">
        <f>+AH87/AH$146</f>
        <v>0.49299455188671193</v>
      </c>
      <c r="AI219" s="278">
        <f>+AI87/AI$146</f>
        <v>0.53782994830503372</v>
      </c>
      <c r="AJ219" s="278">
        <f>+AJ87/AJ$146</f>
        <v>0.53926427445969183</v>
      </c>
      <c r="AK219" s="793">
        <f>+AK87/AK$146</f>
        <v>0.51650151153457924</v>
      </c>
      <c r="AL219" s="109"/>
      <c r="AM219" s="743">
        <f>+AM87/AM$146</f>
        <v>0.51993453723898597</v>
      </c>
      <c r="AN219" s="278">
        <f>+AN87/AN$146</f>
        <v>0.51099734802948238</v>
      </c>
      <c r="AO219" s="278">
        <f>+AO87/AO$146</f>
        <v>0.52497396032004284</v>
      </c>
      <c r="AP219" s="278">
        <f>+AP87/AP$146</f>
        <v>0.53775856063756178</v>
      </c>
      <c r="AQ219" s="793">
        <f>+AQ87/AQ$146</f>
        <v>0.52335772685183568</v>
      </c>
      <c r="AR219" s="109"/>
      <c r="AS219" s="743">
        <f>+AS87/AS$146</f>
        <v>0.53299525736147946</v>
      </c>
      <c r="AT219" s="278">
        <f>+AT87/AT$146</f>
        <v>0.53412833361385414</v>
      </c>
      <c r="AU219" s="278">
        <f>+AU87/AU$146</f>
        <v>0.51385048129696864</v>
      </c>
      <c r="AV219" s="278">
        <f>+AV87/AV$146</f>
        <v>0.51390128522476741</v>
      </c>
      <c r="AW219" s="793">
        <f>+AW87/AW$146</f>
        <v>0.5234646789566868</v>
      </c>
      <c r="AX219" s="109"/>
      <c r="AY219" s="743">
        <f>+AY87/AY$146</f>
        <v>0.50557192207200097</v>
      </c>
      <c r="AZ219" s="278">
        <f>+AZ87/AZ$146</f>
        <v>0.4982686712318885</v>
      </c>
      <c r="BA219" s="278">
        <f>+BA87/BA$146</f>
        <v>0.49935907324311674</v>
      </c>
      <c r="BB219" s="278">
        <f>+BB87/BB$146</f>
        <v>0.51868729412106962</v>
      </c>
      <c r="BC219" s="793">
        <f>+BC87/BC$146</f>
        <v>0.50553767356785129</v>
      </c>
      <c r="BD219" s="109"/>
      <c r="BE219" s="743">
        <f>+BE87/BE$146</f>
        <v>0.48234343989536088</v>
      </c>
      <c r="BF219" s="278">
        <f>+BF87/BF$146</f>
        <v>0.47760186879538147</v>
      </c>
      <c r="BG219" s="278">
        <f>+BG87/BG$146</f>
        <v>0.48891340906186292</v>
      </c>
      <c r="BH219" s="278">
        <f>+BH87/BH$146</f>
        <v>0.49076933176574494</v>
      </c>
      <c r="BI219" s="793">
        <f>+BI87/BI$146</f>
        <v>0.48486533593393366</v>
      </c>
      <c r="BJ219" s="109"/>
      <c r="BK219" s="743">
        <f>+BK87/BK$146</f>
        <v>0.48010367321533348</v>
      </c>
      <c r="BL219" s="278">
        <f>+BL87/BL$146</f>
        <v>0.46910743595813453</v>
      </c>
      <c r="BM219" s="278">
        <f>+BM87/BM$146</f>
        <v>0.49197126606086705</v>
      </c>
      <c r="BN219" s="278">
        <f>+BN87/BN$146</f>
        <v>0.49574897306652727</v>
      </c>
      <c r="BO219" s="793">
        <f>+BO87/BO$146</f>
        <v>0.48430134310906953</v>
      </c>
      <c r="BP219" s="109"/>
      <c r="BQ219" s="743">
        <f>+BQ87/BQ$146</f>
        <v>0.45147900534929752</v>
      </c>
      <c r="BR219" s="278">
        <f>+BR87/BR$146</f>
        <v>0.4453509586424591</v>
      </c>
      <c r="BS219" s="278">
        <f>+BS87/BS$146</f>
        <v>0.46884627763013748</v>
      </c>
      <c r="BT219" s="278">
        <f>+BT87/BT$146</f>
        <v>0.48640533909529954</v>
      </c>
      <c r="BU219" s="793">
        <f>+BU87/BU$146</f>
        <v>0.4630898867221937</v>
      </c>
      <c r="BV219" s="109"/>
      <c r="BW219" s="743">
        <f>+BW87/BW$146</f>
        <v>0.45147900534929752</v>
      </c>
      <c r="BX219" s="278">
        <f>+BX87/BX$146</f>
        <v>0.44535095864245916</v>
      </c>
      <c r="BY219" s="278">
        <f>+BY87/BY$146</f>
        <v>0.46884627763013753</v>
      </c>
      <c r="BZ219" s="278">
        <f>+BZ87/BZ$146</f>
        <v>0.48640533909529948</v>
      </c>
      <c r="CA219" s="793">
        <f>+CA87/CA$146</f>
        <v>0.4630898867221937</v>
      </c>
      <c r="CB219" s="109"/>
      <c r="CC219" s="743">
        <f>+CC87/CC$146</f>
        <v>0.45382743815852866</v>
      </c>
      <c r="CD219" s="278">
        <f>+CD87/CD$146</f>
        <v>0.44769353211803686</v>
      </c>
      <c r="CE219" s="278">
        <f>+CE87/CE$146</f>
        <v>0.47120744355137056</v>
      </c>
      <c r="CF219" s="278">
        <f>+CF87/CF$146</f>
        <v>0.48877356071013073</v>
      </c>
      <c r="CG219" s="793">
        <f>+CG87/CG$146</f>
        <v>0.46544746645748192</v>
      </c>
    </row>
    <row r="220" spans="1:85" ht="11.25" customHeight="1" outlineLevel="1" x14ac:dyDescent="0.2">
      <c r="A220" s="78"/>
      <c r="B220" s="1033" t="s">
        <v>544</v>
      </c>
      <c r="C220" s="1032"/>
      <c r="D220" s="272"/>
      <c r="E220" s="272"/>
      <c r="F220" s="272"/>
      <c r="G220" s="456"/>
      <c r="H220" s="62"/>
      <c r="I220" s="1032"/>
      <c r="J220" s="272"/>
      <c r="K220" s="272"/>
      <c r="L220" s="272"/>
      <c r="M220" s="456"/>
      <c r="N220" s="62"/>
      <c r="O220" s="1032"/>
      <c r="P220" s="272"/>
      <c r="Q220" s="272"/>
      <c r="R220" s="272"/>
      <c r="S220" s="456"/>
      <c r="T220" s="62"/>
      <c r="U220" s="1032"/>
      <c r="V220" s="272"/>
      <c r="W220" s="272"/>
      <c r="X220" s="272"/>
      <c r="Y220" s="456"/>
      <c r="Z220" s="62"/>
      <c r="AA220" s="743"/>
      <c r="AB220" s="278"/>
      <c r="AC220" s="278"/>
      <c r="AD220" s="278"/>
      <c r="AE220" s="793"/>
      <c r="AF220" s="62"/>
      <c r="AG220" s="743"/>
      <c r="AH220" s="278"/>
      <c r="AI220" s="278"/>
      <c r="AJ220" s="278"/>
      <c r="AK220" s="793"/>
      <c r="AL220" s="62"/>
      <c r="AM220" s="743"/>
      <c r="AN220" s="278"/>
      <c r="AO220" s="278"/>
      <c r="AP220" s="278"/>
      <c r="AQ220" s="793"/>
      <c r="AR220" s="62"/>
      <c r="AS220" s="1022">
        <f>+AW220</f>
        <v>0.45</v>
      </c>
      <c r="AT220" s="1023">
        <f>+AW220</f>
        <v>0.45</v>
      </c>
      <c r="AU220" s="1023">
        <f>+AW220</f>
        <v>0.45</v>
      </c>
      <c r="AV220" s="1023">
        <f>+AW220</f>
        <v>0.45</v>
      </c>
      <c r="AW220" s="852">
        <v>0.45</v>
      </c>
      <c r="AX220" s="62"/>
      <c r="AY220" s="1022">
        <f>+BC220</f>
        <v>0.5</v>
      </c>
      <c r="AZ220" s="1023">
        <f>+BC220</f>
        <v>0.5</v>
      </c>
      <c r="BA220" s="1023">
        <f>+BC220</f>
        <v>0.5</v>
      </c>
      <c r="BB220" s="1023">
        <f>+BC220</f>
        <v>0.5</v>
      </c>
      <c r="BC220" s="852">
        <v>0.5</v>
      </c>
      <c r="BD220" s="62"/>
      <c r="BE220" s="1022">
        <f>+BI220</f>
        <v>0.5</v>
      </c>
      <c r="BF220" s="1023">
        <f>+BI220</f>
        <v>0.5</v>
      </c>
      <c r="BG220" s="1023">
        <f>+BI220</f>
        <v>0.5</v>
      </c>
      <c r="BH220" s="1023">
        <f>+BI220</f>
        <v>0.5</v>
      </c>
      <c r="BI220" s="852">
        <v>0.5</v>
      </c>
      <c r="BJ220" s="62"/>
      <c r="BK220" s="743"/>
      <c r="BL220" s="278"/>
      <c r="BM220" s="278"/>
      <c r="BN220" s="278"/>
      <c r="BO220" s="793"/>
      <c r="BP220" s="62"/>
      <c r="BQ220" s="743"/>
      <c r="BR220" s="278"/>
      <c r="BS220" s="278"/>
      <c r="BT220" s="278"/>
      <c r="BU220" s="793"/>
      <c r="BV220" s="62"/>
      <c r="BW220" s="743"/>
      <c r="BX220" s="278"/>
      <c r="BY220" s="278"/>
      <c r="BZ220" s="278"/>
      <c r="CA220" s="793"/>
      <c r="CB220" s="62"/>
      <c r="CC220" s="743"/>
      <c r="CD220" s="278"/>
      <c r="CE220" s="278"/>
      <c r="CF220" s="278"/>
      <c r="CG220" s="793"/>
    </row>
    <row r="221" spans="1:85" ht="11.25" customHeight="1" outlineLevel="1" x14ac:dyDescent="0.2">
      <c r="A221" s="78"/>
      <c r="B221" s="1033" t="s">
        <v>545</v>
      </c>
      <c r="C221" s="1032"/>
      <c r="D221" s="272"/>
      <c r="E221" s="272"/>
      <c r="F221" s="272"/>
      <c r="G221" s="456"/>
      <c r="H221" s="62"/>
      <c r="I221" s="1032"/>
      <c r="J221" s="272"/>
      <c r="K221" s="272"/>
      <c r="L221" s="272"/>
      <c r="M221" s="456"/>
      <c r="N221" s="62"/>
      <c r="O221" s="1032"/>
      <c r="P221" s="272"/>
      <c r="Q221" s="272"/>
      <c r="R221" s="272"/>
      <c r="S221" s="456"/>
      <c r="T221" s="62"/>
      <c r="U221" s="1032"/>
      <c r="V221" s="272"/>
      <c r="W221" s="272"/>
      <c r="X221" s="272"/>
      <c r="Y221" s="456"/>
      <c r="Z221" s="62"/>
      <c r="AA221" s="743"/>
      <c r="AB221" s="278"/>
      <c r="AC221" s="278"/>
      <c r="AD221" s="278"/>
      <c r="AE221" s="793"/>
      <c r="AF221" s="62"/>
      <c r="AG221" s="743"/>
      <c r="AH221" s="278"/>
      <c r="AI221" s="278"/>
      <c r="AJ221" s="278"/>
      <c r="AK221" s="793"/>
      <c r="AL221" s="62"/>
      <c r="AM221" s="743"/>
      <c r="AN221" s="278"/>
      <c r="AO221" s="278"/>
      <c r="AP221" s="278"/>
      <c r="AQ221" s="793"/>
      <c r="AR221" s="62"/>
      <c r="AS221" s="1022">
        <f>+AW221</f>
        <v>0.55000000000000004</v>
      </c>
      <c r="AT221" s="1023">
        <f>+AW221</f>
        <v>0.55000000000000004</v>
      </c>
      <c r="AU221" s="1023">
        <f>+AW221</f>
        <v>0.55000000000000004</v>
      </c>
      <c r="AV221" s="1023">
        <f>+AW221</f>
        <v>0.55000000000000004</v>
      </c>
      <c r="AW221" s="793">
        <f>100%-AW220</f>
        <v>0.55000000000000004</v>
      </c>
      <c r="AX221" s="39"/>
      <c r="AY221" s="743">
        <f>+BC221</f>
        <v>0.5</v>
      </c>
      <c r="AZ221" s="278">
        <f>+BC221</f>
        <v>0.5</v>
      </c>
      <c r="BA221" s="278">
        <f>+BC221</f>
        <v>0.5</v>
      </c>
      <c r="BB221" s="278">
        <f>+BC221</f>
        <v>0.5</v>
      </c>
      <c r="BC221" s="793">
        <f>100%-BC220</f>
        <v>0.5</v>
      </c>
      <c r="BD221" s="39"/>
      <c r="BE221" s="743">
        <f>+BI221</f>
        <v>0.5</v>
      </c>
      <c r="BF221" s="278">
        <f>+BI221</f>
        <v>0.5</v>
      </c>
      <c r="BG221" s="278">
        <f>+BI221</f>
        <v>0.5</v>
      </c>
      <c r="BH221" s="278">
        <f>+BI221</f>
        <v>0.5</v>
      </c>
      <c r="BI221" s="793">
        <f>100%-BI220</f>
        <v>0.5</v>
      </c>
      <c r="BJ221" s="62"/>
      <c r="BK221" s="743"/>
      <c r="BL221" s="278"/>
      <c r="BM221" s="278"/>
      <c r="BN221" s="278"/>
      <c r="BO221" s="793"/>
      <c r="BP221" s="62"/>
      <c r="BQ221" s="743"/>
      <c r="BR221" s="278"/>
      <c r="BS221" s="278"/>
      <c r="BT221" s="278"/>
      <c r="BU221" s="793"/>
      <c r="BV221" s="62"/>
      <c r="BW221" s="743"/>
      <c r="BX221" s="278"/>
      <c r="BY221" s="278"/>
      <c r="BZ221" s="278"/>
      <c r="CA221" s="793"/>
      <c r="CB221" s="62"/>
      <c r="CC221" s="743"/>
      <c r="CD221" s="278"/>
      <c r="CE221" s="278"/>
      <c r="CF221" s="278"/>
      <c r="CG221" s="793"/>
    </row>
    <row r="222" spans="1:85" ht="11.25" customHeight="1" outlineLevel="1" x14ac:dyDescent="0.2">
      <c r="A222" s="78"/>
      <c r="B222" s="1034" t="s">
        <v>474</v>
      </c>
      <c r="C222" s="1018"/>
      <c r="D222" s="1019"/>
      <c r="E222" s="1019"/>
      <c r="F222" s="1019"/>
      <c r="G222" s="1020"/>
      <c r="H222" s="1021"/>
      <c r="I222" s="1018"/>
      <c r="J222" s="1019"/>
      <c r="K222" s="1019"/>
      <c r="L222" s="1019"/>
      <c r="M222" s="1020"/>
      <c r="N222" s="1021"/>
      <c r="O222" s="1018"/>
      <c r="P222" s="1019"/>
      <c r="Q222" s="1019"/>
      <c r="R222" s="1019"/>
      <c r="S222" s="1020"/>
      <c r="T222" s="1021"/>
      <c r="U222" s="1022"/>
      <c r="V222" s="1023"/>
      <c r="W222" s="1023"/>
      <c r="X222" s="1023"/>
      <c r="Y222" s="1024"/>
      <c r="Z222" s="1021"/>
      <c r="AA222" s="1022"/>
      <c r="AB222" s="1023"/>
      <c r="AC222" s="1023"/>
      <c r="AD222" s="1023"/>
      <c r="AE222" s="852"/>
      <c r="AF222" s="1021"/>
      <c r="AG222" s="1022"/>
      <c r="AH222" s="1023"/>
      <c r="AI222" s="1023"/>
      <c r="AJ222" s="1023"/>
      <c r="AK222" s="1024"/>
      <c r="AL222" s="1021"/>
      <c r="AM222" s="1022">
        <f>+AQ222</f>
        <v>0.41</v>
      </c>
      <c r="AN222" s="1023">
        <f>+AQ222</f>
        <v>0.41</v>
      </c>
      <c r="AO222" s="1023">
        <f>+AQ222</f>
        <v>0.41</v>
      </c>
      <c r="AP222" s="1023">
        <f>+AQ222</f>
        <v>0.41</v>
      </c>
      <c r="AQ222" s="1024">
        <v>0.41</v>
      </c>
      <c r="AR222" s="1021"/>
      <c r="AS222" s="1022">
        <f>+AW222</f>
        <v>0.42</v>
      </c>
      <c r="AT222" s="1023">
        <f>+AW222</f>
        <v>0.42</v>
      </c>
      <c r="AU222" s="1023">
        <f>+AW222</f>
        <v>0.42</v>
      </c>
      <c r="AV222" s="1023">
        <f>+AW222</f>
        <v>0.42</v>
      </c>
      <c r="AW222" s="1024">
        <v>0.42</v>
      </c>
      <c r="AX222" s="1021"/>
      <c r="AY222" s="1022">
        <f>+BC222</f>
        <v>0.41</v>
      </c>
      <c r="AZ222" s="1023">
        <f>+BC222</f>
        <v>0.41</v>
      </c>
      <c r="BA222" s="1023">
        <f>+BC222</f>
        <v>0.41</v>
      </c>
      <c r="BB222" s="1023">
        <f>+BC222</f>
        <v>0.41</v>
      </c>
      <c r="BC222" s="1024">
        <v>0.41</v>
      </c>
      <c r="BD222" s="1021"/>
      <c r="BE222" s="1022">
        <f>+BI222</f>
        <v>0.4</v>
      </c>
      <c r="BF222" s="1023">
        <f>+BI222</f>
        <v>0.4</v>
      </c>
      <c r="BG222" s="1023">
        <f>+BI222</f>
        <v>0.4</v>
      </c>
      <c r="BH222" s="1023">
        <f>+BI222</f>
        <v>0.4</v>
      </c>
      <c r="BI222" s="1024">
        <v>0.4</v>
      </c>
      <c r="BJ222" s="1021"/>
      <c r="BK222" s="1022"/>
      <c r="BL222" s="1023"/>
      <c r="BM222" s="1023"/>
      <c r="BN222" s="1023"/>
      <c r="BO222" s="1024"/>
      <c r="BP222" s="1021"/>
      <c r="BQ222" s="1022"/>
      <c r="BR222" s="1023"/>
      <c r="BS222" s="1023"/>
      <c r="BT222" s="1023"/>
      <c r="BU222" s="1024"/>
      <c r="BV222" s="1021"/>
      <c r="BW222" s="1022"/>
      <c r="BX222" s="1023"/>
      <c r="BY222" s="1023"/>
      <c r="BZ222" s="1023"/>
      <c r="CA222" s="1024"/>
      <c r="CB222" s="1021"/>
      <c r="CC222" s="1022"/>
      <c r="CD222" s="1023"/>
      <c r="CE222" s="1023"/>
      <c r="CF222" s="1023"/>
      <c r="CG222" s="1024"/>
    </row>
    <row r="223" spans="1:85" ht="11.25" customHeight="1" outlineLevel="1" x14ac:dyDescent="0.2">
      <c r="A223" s="78"/>
      <c r="B223" s="1035" t="s">
        <v>543</v>
      </c>
      <c r="C223" s="1025"/>
      <c r="D223" s="1026"/>
      <c r="E223" s="1026"/>
      <c r="F223" s="1026"/>
      <c r="G223" s="1027"/>
      <c r="H223" s="1021"/>
      <c r="I223" s="1025"/>
      <c r="J223" s="1026"/>
      <c r="K223" s="1026"/>
      <c r="L223" s="1026"/>
      <c r="M223" s="1027"/>
      <c r="N223" s="1021"/>
      <c r="O223" s="1025"/>
      <c r="P223" s="1026"/>
      <c r="Q223" s="1026"/>
      <c r="R223" s="1026"/>
      <c r="S223" s="1027"/>
      <c r="T223" s="1021"/>
      <c r="U223" s="1028"/>
      <c r="V223" s="1029"/>
      <c r="W223" s="1029"/>
      <c r="X223" s="1029"/>
      <c r="Y223" s="1030"/>
      <c r="Z223" s="1021"/>
      <c r="AA223" s="1028"/>
      <c r="AB223" s="1029"/>
      <c r="AC223" s="1029"/>
      <c r="AD223" s="1029"/>
      <c r="AE223" s="1030"/>
      <c r="AF223" s="1021"/>
      <c r="AG223" s="1028"/>
      <c r="AH223" s="1029"/>
      <c r="AI223" s="1029"/>
      <c r="AJ223" s="1029"/>
      <c r="AK223" s="1030"/>
      <c r="AL223" s="1021"/>
      <c r="AM223" s="1028">
        <f>+AM219-AM222</f>
        <v>0.109934537238986</v>
      </c>
      <c r="AN223" s="1029">
        <f>+AN219-AN222</f>
        <v>0.1009973480294824</v>
      </c>
      <c r="AO223" s="1029">
        <f>+AO219-AO222</f>
        <v>0.11497396032004287</v>
      </c>
      <c r="AP223" s="1029">
        <f>+AP219-AP222</f>
        <v>0.1277585606375618</v>
      </c>
      <c r="AQ223" s="1030">
        <f>+AQ219-AQ222</f>
        <v>0.11335772685183571</v>
      </c>
      <c r="AR223" s="1021"/>
      <c r="AS223" s="1028">
        <f>+AS219-AS222</f>
        <v>0.11299525736147947</v>
      </c>
      <c r="AT223" s="1029">
        <f>+AT219-AT222</f>
        <v>0.11412833361385416</v>
      </c>
      <c r="AU223" s="1029">
        <f>+AU219-AU222</f>
        <v>9.3850481296968657E-2</v>
      </c>
      <c r="AV223" s="1029">
        <f>+AV219-AV222</f>
        <v>9.3901285224767428E-2</v>
      </c>
      <c r="AW223" s="1030">
        <f>+AW219-AW222</f>
        <v>0.10346467895668682</v>
      </c>
      <c r="AX223" s="1021"/>
      <c r="AY223" s="1028">
        <f>+AY219-AY222</f>
        <v>9.5571922072000992E-2</v>
      </c>
      <c r="AZ223" s="1029">
        <f>+AZ219-AZ222</f>
        <v>8.8268671231888529E-2</v>
      </c>
      <c r="BA223" s="1029">
        <f>+BA219-BA222</f>
        <v>8.935907324311676E-2</v>
      </c>
      <c r="BB223" s="1029">
        <f>+BB219-BB222</f>
        <v>0.10868729412106964</v>
      </c>
      <c r="BC223" s="1030">
        <f>+BC219-BC222</f>
        <v>9.5537673567851311E-2</v>
      </c>
      <c r="BD223" s="1021"/>
      <c r="BE223" s="1028">
        <f>+BE219-BE222</f>
        <v>8.2343439895360859E-2</v>
      </c>
      <c r="BF223" s="1029">
        <f>+BF219-BF222</f>
        <v>7.7601868795381446E-2</v>
      </c>
      <c r="BG223" s="1029">
        <f>+BG219-BG222</f>
        <v>8.8913409061862902E-2</v>
      </c>
      <c r="BH223" s="1029">
        <f>+BH219-BH222</f>
        <v>9.0769331765744921E-2</v>
      </c>
      <c r="BI223" s="1030">
        <f>+BI219-BI222</f>
        <v>8.4865335933933639E-2</v>
      </c>
      <c r="BJ223" s="1021"/>
      <c r="BK223" s="1028"/>
      <c r="BL223" s="1029"/>
      <c r="BM223" s="1029"/>
      <c r="BN223" s="1029"/>
      <c r="BO223" s="1030"/>
      <c r="BP223" s="1021"/>
      <c r="BQ223" s="1028"/>
      <c r="BR223" s="1029"/>
      <c r="BS223" s="1029"/>
      <c r="BT223" s="1029"/>
      <c r="BU223" s="1030"/>
      <c r="BV223" s="1021"/>
      <c r="BW223" s="1028"/>
      <c r="BX223" s="1029"/>
      <c r="BY223" s="1029"/>
      <c r="BZ223" s="1029"/>
      <c r="CA223" s="1030"/>
      <c r="CB223" s="1021"/>
      <c r="CC223" s="1028"/>
      <c r="CD223" s="1029"/>
      <c r="CE223" s="1029"/>
      <c r="CF223" s="1029"/>
      <c r="CG223" s="1030"/>
    </row>
    <row r="224" spans="1:85" ht="11.25" customHeight="1" outlineLevel="1" x14ac:dyDescent="0.2">
      <c r="A224" s="78"/>
      <c r="H224" s="11"/>
      <c r="N224" s="11"/>
      <c r="T224" s="11"/>
      <c r="Z224" s="11"/>
      <c r="AF224" s="11"/>
      <c r="AL224" s="11"/>
      <c r="AR224" s="11"/>
      <c r="AX224" s="11"/>
      <c r="BD224" s="11"/>
      <c r="BJ224" s="11"/>
      <c r="BP224" s="11"/>
      <c r="BV224" s="11"/>
      <c r="CB224" s="11"/>
    </row>
    <row r="225" spans="1:85" ht="11.25" customHeight="1" outlineLevel="1" x14ac:dyDescent="0.2">
      <c r="A225" s="78"/>
      <c r="B225" s="812" t="s">
        <v>528</v>
      </c>
      <c r="C225" s="813"/>
      <c r="D225" s="813"/>
      <c r="E225" s="813"/>
      <c r="F225" s="813"/>
      <c r="G225" s="813"/>
      <c r="H225" s="812"/>
      <c r="I225" s="813"/>
      <c r="J225" s="813"/>
      <c r="K225" s="813"/>
      <c r="L225" s="813"/>
      <c r="M225" s="813"/>
      <c r="N225" s="812"/>
      <c r="O225" s="813"/>
      <c r="P225" s="813"/>
      <c r="Q225" s="813"/>
      <c r="R225" s="813"/>
      <c r="S225" s="813"/>
      <c r="T225" s="812"/>
      <c r="U225" s="813"/>
      <c r="V225" s="813"/>
      <c r="W225" s="813"/>
      <c r="X225" s="813"/>
      <c r="Y225" s="813"/>
      <c r="Z225" s="812"/>
      <c r="AA225" s="813"/>
      <c r="AB225" s="813"/>
      <c r="AC225" s="813"/>
      <c r="AD225" s="813"/>
      <c r="AE225" s="813"/>
      <c r="AF225" s="812"/>
      <c r="AG225" s="813"/>
      <c r="AH225" s="813"/>
      <c r="AI225" s="813"/>
      <c r="AJ225" s="813"/>
      <c r="AK225" s="813"/>
      <c r="AL225" s="812"/>
      <c r="AM225" s="813"/>
      <c r="AN225" s="813"/>
      <c r="AO225" s="813"/>
      <c r="AP225" s="813"/>
      <c r="AQ225" s="813"/>
      <c r="AR225" s="812"/>
      <c r="AS225" s="813"/>
      <c r="AT225" s="813"/>
      <c r="AU225" s="813"/>
      <c r="AV225" s="813"/>
      <c r="AW225" s="813"/>
      <c r="AX225" s="812"/>
      <c r="AY225" s="813"/>
      <c r="AZ225" s="813"/>
      <c r="BA225" s="813"/>
      <c r="BB225" s="813"/>
      <c r="BC225" s="813"/>
      <c r="BD225" s="812"/>
      <c r="BE225" s="813"/>
      <c r="BF225" s="813"/>
      <c r="BG225" s="813"/>
      <c r="BH225" s="813"/>
      <c r="BI225" s="813"/>
      <c r="BJ225" s="812"/>
      <c r="BK225" s="813"/>
      <c r="BL225" s="813"/>
      <c r="BM225" s="813"/>
      <c r="BN225" s="813"/>
      <c r="BO225" s="813"/>
      <c r="BP225" s="812"/>
      <c r="BQ225" s="813"/>
      <c r="BR225" s="813"/>
      <c r="BS225" s="813"/>
      <c r="BT225" s="813"/>
      <c r="BU225" s="813"/>
      <c r="BV225" s="812"/>
      <c r="BW225" s="813"/>
      <c r="BX225" s="813"/>
      <c r="BY225" s="813"/>
      <c r="BZ225" s="813"/>
      <c r="CA225" s="813"/>
      <c r="CB225" s="812"/>
      <c r="CC225" s="813"/>
      <c r="CD225" s="813"/>
      <c r="CE225" s="813"/>
      <c r="CF225" s="813"/>
      <c r="CG225" s="814"/>
    </row>
    <row r="226" spans="1:85" ht="11.25" customHeight="1" outlineLevel="1" x14ac:dyDescent="0.2">
      <c r="A226" s="78"/>
      <c r="B226" s="98" t="s">
        <v>303</v>
      </c>
      <c r="C226" s="271"/>
      <c r="D226" s="272"/>
      <c r="E226" s="272"/>
      <c r="F226" s="272"/>
      <c r="G226" s="456"/>
      <c r="H226" s="62"/>
      <c r="I226" s="271"/>
      <c r="J226" s="272"/>
      <c r="K226" s="272"/>
      <c r="L226" s="272"/>
      <c r="M226" s="456"/>
      <c r="N226" s="62"/>
      <c r="O226" s="271"/>
      <c r="P226" s="272"/>
      <c r="Q226" s="272"/>
      <c r="R226" s="272"/>
      <c r="S226" s="456"/>
      <c r="T226" s="62"/>
      <c r="U226" s="271"/>
      <c r="V226" s="272"/>
      <c r="W226" s="272"/>
      <c r="X226" s="272"/>
      <c r="Y226" s="456"/>
      <c r="Z226" s="62"/>
      <c r="AA226" s="792">
        <f>+AA35/AA$153</f>
        <v>0.93891445831962261</v>
      </c>
      <c r="AB226" s="278">
        <f>+AB35/AB$153</f>
        <v>0.9353617176036314</v>
      </c>
      <c r="AC226" s="278">
        <f>+AC35/AC$153</f>
        <v>0.94990532176468934</v>
      </c>
      <c r="AD226" s="278">
        <f>+AD35/AD$153</f>
        <v>0.94156570340045787</v>
      </c>
      <c r="AE226" s="793">
        <f>+AE35/AE$153</f>
        <v>0.94191263726747398</v>
      </c>
      <c r="AF226" s="62"/>
      <c r="AG226" s="792">
        <f>+AG35/AG$153</f>
        <v>0.9386121648357223</v>
      </c>
      <c r="AH226" s="278">
        <f>+AH35/AH$153</f>
        <v>0.94648069073609475</v>
      </c>
      <c r="AI226" s="278">
        <f>+AI35/AI$153</f>
        <v>0.9583041456326914</v>
      </c>
      <c r="AJ226" s="278">
        <f>+AJ35/AJ$153</f>
        <v>0.94636400909463647</v>
      </c>
      <c r="AK226" s="793">
        <f>+AK35/AK$153</f>
        <v>0.9480140250531579</v>
      </c>
      <c r="AL226" s="62"/>
      <c r="AM226" s="792">
        <f>+AM35/AM$153</f>
        <v>0.94540479656021925</v>
      </c>
      <c r="AN226" s="278">
        <f>+AN35/AN$153</f>
        <v>0.94695620116167856</v>
      </c>
      <c r="AO226" s="278">
        <f>+AO35/AO$153</f>
        <v>0.95900866752299607</v>
      </c>
      <c r="AP226" s="278">
        <f>+AP35/AP$153</f>
        <v>0.94996503786576914</v>
      </c>
      <c r="AQ226" s="793">
        <f>+AQ35/AQ$153</f>
        <v>0.95062218265094178</v>
      </c>
      <c r="AR226" s="62"/>
      <c r="AS226" s="792">
        <f>+AS35/AS$153</f>
        <v>0.94389729601876127</v>
      </c>
      <c r="AT226" s="278">
        <f>+AT35/AT$153</f>
        <v>0.9468180341568776</v>
      </c>
      <c r="AU226" s="278">
        <f>+AU35/AU$153</f>
        <v>0.95838243438503279</v>
      </c>
      <c r="AV226" s="278">
        <f>+AV35/AV$153</f>
        <v>0.95422904321308522</v>
      </c>
      <c r="AW226" s="793">
        <f>+AW35/AW$153</f>
        <v>0.95130273113041086</v>
      </c>
      <c r="AX226" s="62"/>
      <c r="AY226" s="792">
        <f>+AY35/AY$153</f>
        <v>0.95741241350699946</v>
      </c>
      <c r="AZ226" s="278">
        <f>+AZ35/AZ$153</f>
        <v>0.96220343918098949</v>
      </c>
      <c r="BA226" s="278">
        <f>+BA35/BA$153</f>
        <v>0.97128806867556416</v>
      </c>
      <c r="BB226" s="278">
        <f>+BB35/BB$153</f>
        <v>0.96675510131405573</v>
      </c>
      <c r="BC226" s="793">
        <f>+BC35/BC$153</f>
        <v>0.96502895680720158</v>
      </c>
      <c r="BD226" s="62"/>
      <c r="BE226" s="792">
        <f>+BE35/BE$153</f>
        <v>0.96529379298554019</v>
      </c>
      <c r="BF226" s="278">
        <f>+BF35/BF$153</f>
        <v>0.96567902380179083</v>
      </c>
      <c r="BG226" s="278">
        <f>+BG35/BG$153</f>
        <v>0.97382153934664062</v>
      </c>
      <c r="BH226" s="278">
        <f>+BH35/BH$153</f>
        <v>0.96924989252436522</v>
      </c>
      <c r="BI226" s="793">
        <f>+BI35/BI$153</f>
        <v>0.968767071016713</v>
      </c>
      <c r="BJ226" s="62"/>
      <c r="BK226" s="792">
        <f>+BK35/BK$153</f>
        <v>0.96852656432108941</v>
      </c>
      <c r="BL226" s="278">
        <f>+BL35/BL$153</f>
        <v>0.96903716485220337</v>
      </c>
      <c r="BM226" s="278">
        <f>+BM35/BM$153</f>
        <v>0.97345536299820057</v>
      </c>
      <c r="BN226" s="278">
        <f>+BN35/BN$153</f>
        <v>0.96981881554983362</v>
      </c>
      <c r="BO226" s="793">
        <f>+BO35/BO$153</f>
        <v>0.97033579744386889</v>
      </c>
      <c r="BP226" s="62"/>
      <c r="BQ226" s="792">
        <f>+BQ35/BQ$153</f>
        <v>0.97045406824366542</v>
      </c>
      <c r="BR226" s="278">
        <f>+BR35/BR$153</f>
        <v>0.97055350416260022</v>
      </c>
      <c r="BS226" s="278">
        <f>+BS35/BS$153</f>
        <v>0.97516477587506667</v>
      </c>
      <c r="BT226" s="278">
        <f>+BT35/BT$153</f>
        <v>0.97120145754646003</v>
      </c>
      <c r="BU226" s="793">
        <f>+BU35/BU$153</f>
        <v>0.97197108279706679</v>
      </c>
      <c r="BV226" s="62"/>
      <c r="BW226" s="792">
        <f>+BW35/BW$153</f>
        <v>0.97127398809992549</v>
      </c>
      <c r="BX226" s="278">
        <f>+BX35/BX$153</f>
        <v>0.97137074600914119</v>
      </c>
      <c r="BY226" s="278">
        <f>+BY35/BY$153</f>
        <v>0.97585722252750684</v>
      </c>
      <c r="BZ226" s="278">
        <f>+BZ35/BZ$153</f>
        <v>0.97200123522753401</v>
      </c>
      <c r="CA226" s="793">
        <f>+CA35/CA$153</f>
        <v>0.97275008655807471</v>
      </c>
      <c r="CB226" s="62"/>
      <c r="CC226" s="792">
        <f>+CC35/CC$153</f>
        <v>0.97181083905622068</v>
      </c>
      <c r="CD226" s="278">
        <f>+CD35/CD$153</f>
        <v>0.97190584099331412</v>
      </c>
      <c r="CE226" s="278">
        <f>+CE35/CE$153</f>
        <v>0.97631050805327591</v>
      </c>
      <c r="CF226" s="278">
        <f>+CF35/CF$153</f>
        <v>0.9725248793685497</v>
      </c>
      <c r="CG226" s="793">
        <f>+CG35/CG$153</f>
        <v>0.97326011066907903</v>
      </c>
    </row>
    <row r="227" spans="1:85" ht="11.25" customHeight="1" outlineLevel="1" x14ac:dyDescent="0.2">
      <c r="A227" s="78"/>
      <c r="B227" s="997" t="s">
        <v>474</v>
      </c>
      <c r="C227" s="128"/>
      <c r="D227" s="129"/>
      <c r="E227" s="129"/>
      <c r="F227" s="129"/>
      <c r="G227" s="452"/>
      <c r="H227" s="109"/>
      <c r="I227" s="128"/>
      <c r="J227" s="129"/>
      <c r="K227" s="129"/>
      <c r="L227" s="129"/>
      <c r="M227" s="452"/>
      <c r="N227" s="109"/>
      <c r="O227" s="128"/>
      <c r="P227" s="129"/>
      <c r="Q227" s="129"/>
      <c r="R227" s="129"/>
      <c r="S227" s="452"/>
      <c r="T227" s="109"/>
      <c r="U227" s="128"/>
      <c r="V227" s="129"/>
      <c r="W227" s="129"/>
      <c r="X227" s="129"/>
      <c r="Y227" s="452"/>
      <c r="Z227" s="109"/>
      <c r="AA227" s="794">
        <f>+AA94/AA$153</f>
        <v>6.1085541680377387E-2</v>
      </c>
      <c r="AB227" s="795">
        <f>+AB94/AB$153</f>
        <v>6.4638282396368624E-2</v>
      </c>
      <c r="AC227" s="795">
        <f>+AC94/AC$153</f>
        <v>5.009467823531074E-2</v>
      </c>
      <c r="AD227" s="795">
        <f>+AD94/AD$153</f>
        <v>5.8434296599542107E-2</v>
      </c>
      <c r="AE227" s="796">
        <f>+AE94/AE$153</f>
        <v>5.8087362732525946E-2</v>
      </c>
      <c r="AF227" s="109"/>
      <c r="AG227" s="794">
        <f>+AG94/AG$153</f>
        <v>6.1387835164277711E-2</v>
      </c>
      <c r="AH227" s="795">
        <f>+AH94/AH$153</f>
        <v>5.3519309263905274E-2</v>
      </c>
      <c r="AI227" s="795">
        <f>+AI94/AI$153</f>
        <v>4.169585436730857E-2</v>
      </c>
      <c r="AJ227" s="795">
        <f>+AJ94/AJ$153</f>
        <v>5.3635990905363598E-2</v>
      </c>
      <c r="AK227" s="796">
        <f>+AK94/AK$153</f>
        <v>5.1985974946842296E-2</v>
      </c>
      <c r="AL227" s="109"/>
      <c r="AM227" s="794">
        <f>+AM94/AM$153</f>
        <v>5.4595203439780693E-2</v>
      </c>
      <c r="AN227" s="795">
        <f>+AN94/AN$153</f>
        <v>5.3043798838321471E-2</v>
      </c>
      <c r="AO227" s="795">
        <f>+AO94/AO$153</f>
        <v>4.0991332477003962E-2</v>
      </c>
      <c r="AP227" s="795">
        <f>+AP94/AP$153</f>
        <v>5.0034962134230899E-2</v>
      </c>
      <c r="AQ227" s="796">
        <f>+AQ94/AQ$153</f>
        <v>4.9377817349058252E-2</v>
      </c>
      <c r="AR227" s="109"/>
      <c r="AS227" s="794">
        <f>+AS94/AS$153</f>
        <v>5.6102703981238705E-2</v>
      </c>
      <c r="AT227" s="795">
        <f>+AT94/AT$153</f>
        <v>5.3181965843122382E-2</v>
      </c>
      <c r="AU227" s="795">
        <f>+AU94/AU$153</f>
        <v>4.1617565614967253E-2</v>
      </c>
      <c r="AV227" s="795">
        <f>+AV94/AV$153</f>
        <v>4.5770956786914785E-2</v>
      </c>
      <c r="AW227" s="796">
        <f>+AW94/AW$153</f>
        <v>4.8697268869589173E-2</v>
      </c>
      <c r="AX227" s="109"/>
      <c r="AY227" s="794">
        <f>+AY94/AY$153</f>
        <v>4.2587586493000519E-2</v>
      </c>
      <c r="AZ227" s="795">
        <f>+AZ94/AZ$153</f>
        <v>3.7796560819010491E-2</v>
      </c>
      <c r="BA227" s="795">
        <f>+BA94/BA$153</f>
        <v>2.871193132443578E-2</v>
      </c>
      <c r="BB227" s="795">
        <f>+BB94/BB$153</f>
        <v>3.3244898685944234E-2</v>
      </c>
      <c r="BC227" s="796">
        <f>+BC94/BC$153</f>
        <v>3.4971043192798541E-2</v>
      </c>
      <c r="BD227" s="109"/>
      <c r="BE227" s="794">
        <f>+BE94/BE$153</f>
        <v>3.4706207014459672E-2</v>
      </c>
      <c r="BF227" s="795">
        <f>+BF94/BF$153</f>
        <v>3.4320976198209063E-2</v>
      </c>
      <c r="BG227" s="795">
        <f>+BG94/BG$153</f>
        <v>2.617846065335935E-2</v>
      </c>
      <c r="BH227" s="795">
        <f>+BH94/BH$153</f>
        <v>3.0750107475634832E-2</v>
      </c>
      <c r="BI227" s="796">
        <f>+BI94/BI$153</f>
        <v>3.1232928983287139E-2</v>
      </c>
      <c r="BJ227" s="109"/>
      <c r="BK227" s="794">
        <f>+BK94/BK$153</f>
        <v>3.1473435678910505E-2</v>
      </c>
      <c r="BL227" s="795">
        <f>+BL94/BL$153</f>
        <v>3.0962835147796658E-2</v>
      </c>
      <c r="BM227" s="795">
        <f>+BM94/BM$153</f>
        <v>2.6544637001799463E-2</v>
      </c>
      <c r="BN227" s="795">
        <f>+BN94/BN$153</f>
        <v>3.0181184450166425E-2</v>
      </c>
      <c r="BO227" s="796">
        <f>+BO94/BO$153</f>
        <v>2.9664202556131038E-2</v>
      </c>
      <c r="BP227" s="109"/>
      <c r="BQ227" s="794">
        <f>+BQ94/BQ$153</f>
        <v>2.954593175633452E-2</v>
      </c>
      <c r="BR227" s="795">
        <f>+BR94/BR$153</f>
        <v>2.9446495837399712E-2</v>
      </c>
      <c r="BS227" s="795">
        <f>+BS94/BS$153</f>
        <v>2.4835224124933299E-2</v>
      </c>
      <c r="BT227" s="795">
        <f>+BT94/BT$153</f>
        <v>2.8798542453540001E-2</v>
      </c>
      <c r="BU227" s="796">
        <f>+BU94/BU$153</f>
        <v>2.8028917202933205E-2</v>
      </c>
      <c r="BV227" s="109"/>
      <c r="BW227" s="794">
        <f>+BW94/BW$153</f>
        <v>2.8726011900074427E-2</v>
      </c>
      <c r="BX227" s="795">
        <f>+BX94/BX$153</f>
        <v>2.8629253990858857E-2</v>
      </c>
      <c r="BY227" s="795">
        <f>+BY94/BY$153</f>
        <v>2.4142777472493139E-2</v>
      </c>
      <c r="BZ227" s="795">
        <f>+BZ94/BZ$153</f>
        <v>2.7998764772465899E-2</v>
      </c>
      <c r="CA227" s="796">
        <f>+CA94/CA$153</f>
        <v>2.7249913441925136E-2</v>
      </c>
      <c r="CB227" s="109"/>
      <c r="CC227" s="794">
        <f>+CC94/CC$153</f>
        <v>2.818916094377923E-2</v>
      </c>
      <c r="CD227" s="795">
        <f>+CD94/CD$153</f>
        <v>2.809415900668584E-2</v>
      </c>
      <c r="CE227" s="795">
        <f>+CE94/CE$153</f>
        <v>2.3689491946724161E-2</v>
      </c>
      <c r="CF227" s="795">
        <f>+CF94/CF$153</f>
        <v>2.7475120631450307E-2</v>
      </c>
      <c r="CG227" s="796">
        <f>+CG94/CG$153</f>
        <v>2.6739889330921085E-2</v>
      </c>
    </row>
    <row r="228" spans="1:85" ht="11.25" customHeight="1" outlineLevel="1" x14ac:dyDescent="0.2">
      <c r="A228" s="78"/>
      <c r="B228" s="163"/>
      <c r="C228" s="61"/>
      <c r="D228" s="61"/>
      <c r="E228" s="61"/>
      <c r="F228" s="61"/>
      <c r="G228" s="61"/>
      <c r="H228" s="109"/>
      <c r="I228" s="61"/>
      <c r="J228" s="61"/>
      <c r="K228" s="61"/>
      <c r="L228" s="61"/>
      <c r="M228" s="61"/>
      <c r="N228" s="109"/>
      <c r="O228" s="61"/>
      <c r="P228" s="61"/>
      <c r="Q228" s="61"/>
      <c r="R228" s="61"/>
      <c r="S228" s="61"/>
      <c r="T228" s="109"/>
      <c r="U228" s="61"/>
      <c r="V228" s="61"/>
      <c r="W228" s="61"/>
      <c r="X228" s="61"/>
      <c r="Y228" s="61"/>
      <c r="Z228" s="109"/>
      <c r="AA228" s="278"/>
      <c r="AB228" s="278"/>
      <c r="AC228" s="278"/>
      <c r="AD228" s="278"/>
      <c r="AE228" s="278"/>
      <c r="AF228" s="109"/>
      <c r="AG228" s="278"/>
      <c r="AH228" s="278"/>
      <c r="AI228" s="278"/>
      <c r="AJ228" s="278"/>
      <c r="AK228" s="278"/>
      <c r="AL228" s="109"/>
      <c r="AM228" s="278"/>
      <c r="AN228" s="278"/>
      <c r="AO228" s="278"/>
      <c r="AP228" s="278"/>
      <c r="AQ228" s="278"/>
      <c r="AR228" s="109"/>
      <c r="AS228" s="278"/>
      <c r="AT228" s="278"/>
      <c r="AU228" s="278"/>
      <c r="AV228" s="278"/>
      <c r="AW228" s="278"/>
      <c r="AX228" s="109"/>
      <c r="AY228" s="278"/>
      <c r="AZ228" s="278"/>
      <c r="BA228" s="278"/>
      <c r="BB228" s="278"/>
      <c r="BC228" s="278"/>
      <c r="BD228" s="109"/>
      <c r="BE228" s="278"/>
      <c r="BF228" s="278"/>
      <c r="BG228" s="278"/>
      <c r="BH228" s="278"/>
      <c r="BI228" s="278"/>
      <c r="BJ228" s="109"/>
      <c r="BK228" s="278"/>
      <c r="BL228" s="278"/>
      <c r="BM228" s="278"/>
      <c r="BN228" s="278"/>
      <c r="BO228" s="278"/>
      <c r="BP228" s="109"/>
      <c r="BQ228" s="278"/>
      <c r="BR228" s="278"/>
      <c r="BS228" s="278"/>
      <c r="BT228" s="278"/>
      <c r="BU228" s="278"/>
      <c r="BV228" s="109"/>
      <c r="BW228" s="278"/>
      <c r="BX228" s="278"/>
      <c r="BY228" s="278"/>
      <c r="BZ228" s="278"/>
      <c r="CA228" s="278"/>
      <c r="CB228" s="109"/>
      <c r="CC228" s="278"/>
      <c r="CD228" s="278"/>
      <c r="CE228" s="278"/>
      <c r="CF228" s="278"/>
      <c r="CG228" s="278"/>
    </row>
    <row r="229" spans="1:85" ht="11.25" customHeight="1" outlineLevel="1" x14ac:dyDescent="0.2">
      <c r="A229" s="78"/>
      <c r="B229" s="812" t="s">
        <v>529</v>
      </c>
      <c r="C229" s="813"/>
      <c r="D229" s="813"/>
      <c r="E229" s="813"/>
      <c r="F229" s="813"/>
      <c r="G229" s="813"/>
      <c r="H229" s="812"/>
      <c r="I229" s="813"/>
      <c r="J229" s="813"/>
      <c r="K229" s="813"/>
      <c r="L229" s="813"/>
      <c r="M229" s="813"/>
      <c r="N229" s="812"/>
      <c r="O229" s="813"/>
      <c r="P229" s="813"/>
      <c r="Q229" s="813"/>
      <c r="R229" s="813"/>
      <c r="S229" s="813"/>
      <c r="T229" s="812"/>
      <c r="U229" s="813"/>
      <c r="V229" s="813"/>
      <c r="W229" s="813"/>
      <c r="X229" s="813"/>
      <c r="Y229" s="813"/>
      <c r="Z229" s="812"/>
      <c r="AA229" s="813"/>
      <c r="AB229" s="813"/>
      <c r="AC229" s="813"/>
      <c r="AD229" s="813"/>
      <c r="AE229" s="813"/>
      <c r="AF229" s="812"/>
      <c r="AG229" s="813"/>
      <c r="AH229" s="813"/>
      <c r="AI229" s="813"/>
      <c r="AJ229" s="813"/>
      <c r="AK229" s="813"/>
      <c r="AL229" s="812"/>
      <c r="AM229" s="813"/>
      <c r="AN229" s="813"/>
      <c r="AO229" s="813"/>
      <c r="AP229" s="813"/>
      <c r="AQ229" s="813"/>
      <c r="AR229" s="812"/>
      <c r="AS229" s="813"/>
      <c r="AT229" s="813"/>
      <c r="AU229" s="813"/>
      <c r="AV229" s="813"/>
      <c r="AW229" s="813"/>
      <c r="AX229" s="812"/>
      <c r="AY229" s="813"/>
      <c r="AZ229" s="813"/>
      <c r="BA229" s="813"/>
      <c r="BB229" s="813"/>
      <c r="BC229" s="813"/>
      <c r="BD229" s="812"/>
      <c r="BE229" s="813"/>
      <c r="BF229" s="813"/>
      <c r="BG229" s="813"/>
      <c r="BH229" s="813"/>
      <c r="BI229" s="813"/>
      <c r="BJ229" s="812"/>
      <c r="BK229" s="813"/>
      <c r="BL229" s="813"/>
      <c r="BM229" s="813"/>
      <c r="BN229" s="813"/>
      <c r="BO229" s="813"/>
      <c r="BP229" s="812"/>
      <c r="BQ229" s="813"/>
      <c r="BR229" s="813"/>
      <c r="BS229" s="813"/>
      <c r="BT229" s="813"/>
      <c r="BU229" s="813"/>
      <c r="BV229" s="812"/>
      <c r="BW229" s="813"/>
      <c r="BX229" s="813"/>
      <c r="BY229" s="813"/>
      <c r="BZ229" s="813"/>
      <c r="CA229" s="813"/>
      <c r="CB229" s="812"/>
      <c r="CC229" s="813"/>
      <c r="CD229" s="813"/>
      <c r="CE229" s="813"/>
      <c r="CF229" s="813"/>
      <c r="CG229" s="814"/>
    </row>
    <row r="230" spans="1:85" ht="11.25" customHeight="1" outlineLevel="1" x14ac:dyDescent="0.2">
      <c r="A230" s="78"/>
      <c r="B230" s="98" t="s">
        <v>303</v>
      </c>
      <c r="C230" s="271"/>
      <c r="D230" s="272"/>
      <c r="E230" s="272"/>
      <c r="F230" s="272"/>
      <c r="G230" s="456"/>
      <c r="H230" s="62"/>
      <c r="I230" s="271"/>
      <c r="J230" s="272"/>
      <c r="K230" s="272"/>
      <c r="L230" s="272"/>
      <c r="M230" s="456"/>
      <c r="N230" s="62"/>
      <c r="O230" s="271"/>
      <c r="P230" s="272"/>
      <c r="Q230" s="272"/>
      <c r="R230" s="272"/>
      <c r="S230" s="456"/>
      <c r="T230" s="62"/>
      <c r="U230" s="271"/>
      <c r="V230" s="272"/>
      <c r="W230" s="272"/>
      <c r="X230" s="272"/>
      <c r="Y230" s="456"/>
      <c r="Z230" s="62"/>
      <c r="AA230" s="792">
        <f>+AA49/AA$167</f>
        <v>0.85321079845220349</v>
      </c>
      <c r="AB230" s="278">
        <f>+AB49/AB$167</f>
        <v>0.86453962154338182</v>
      </c>
      <c r="AC230" s="278">
        <f>+AC49/AC$167</f>
        <v>0.86128440957036267</v>
      </c>
      <c r="AD230" s="278">
        <f>+AD49/AD$167</f>
        <v>0.87124779073877701</v>
      </c>
      <c r="AE230" s="793">
        <f>+AE49/AE$167</f>
        <v>0.86310950197425962</v>
      </c>
      <c r="AF230" s="62"/>
      <c r="AG230" s="792">
        <f>+AG49/AG$167</f>
        <v>0.86526208748430977</v>
      </c>
      <c r="AH230" s="278">
        <f>+AH49/AH$167</f>
        <v>0.85648467418895713</v>
      </c>
      <c r="AI230" s="278">
        <f>+AI49/AI$167</f>
        <v>0.86284981540455996</v>
      </c>
      <c r="AJ230" s="278">
        <f>+AJ49/AJ$167</f>
        <v>0.87666703541182678</v>
      </c>
      <c r="AK230" s="793">
        <f>+AK49/AK$167</f>
        <v>0.86582125731706017</v>
      </c>
      <c r="AL230" s="62"/>
      <c r="AM230" s="792">
        <f>+AM49/AM$167</f>
        <v>0.85477567191348114</v>
      </c>
      <c r="AN230" s="278">
        <f>+AN49/AN$167</f>
        <v>0.85431481837401491</v>
      </c>
      <c r="AO230" s="278">
        <f>+AO49/AO$167</f>
        <v>0.86066664132872173</v>
      </c>
      <c r="AP230" s="278">
        <f>+AP49/AP$167</f>
        <v>0.86260284980250579</v>
      </c>
      <c r="AQ230" s="793">
        <f>+AQ49/AQ$167</f>
        <v>0.85827706555599648</v>
      </c>
      <c r="AR230" s="62"/>
      <c r="AS230" s="792">
        <f>+AS49/AS$167</f>
        <v>0.8223880780533388</v>
      </c>
      <c r="AT230" s="278">
        <f>+AT49/AT$167</f>
        <v>0.80953556480660682</v>
      </c>
      <c r="AU230" s="278">
        <f>+AU49/AU$167</f>
        <v>0.82026560150591687</v>
      </c>
      <c r="AV230" s="278">
        <f>+AV49/AV$167</f>
        <v>0.82719835280975162</v>
      </c>
      <c r="AW230" s="793">
        <f>+AW49/AW$167</f>
        <v>0.81983386742643549</v>
      </c>
      <c r="AX230" s="62"/>
      <c r="AY230" s="792">
        <f>+AY49/AY$167</f>
        <v>0.82440851182976338</v>
      </c>
      <c r="AZ230" s="278">
        <f>+AZ49/AZ$167</f>
        <v>0.82853631284916196</v>
      </c>
      <c r="BA230" s="278">
        <f>+BA49/BA$167</f>
        <v>0.83320332523568608</v>
      </c>
      <c r="BB230" s="278">
        <f>+BB49/BB$167</f>
        <v>0.84120487321331505</v>
      </c>
      <c r="BC230" s="793">
        <f>+BC49/BC$167</f>
        <v>0.83203028098546983</v>
      </c>
      <c r="BD230" s="62"/>
      <c r="BE230" s="792">
        <f>+BE49/BE$167</f>
        <v>0.84618411474216459</v>
      </c>
      <c r="BF230" s="278">
        <f>+BF49/BF$167</f>
        <v>0.84181313598519891</v>
      </c>
      <c r="BG230" s="278">
        <f>+BG49/BG$167</f>
        <v>0.84115916558416759</v>
      </c>
      <c r="BH230" s="278">
        <f>+BH49/BH$167</f>
        <v>0.84737184456503334</v>
      </c>
      <c r="BI230" s="793">
        <f>+BI49/BI$167</f>
        <v>0.84416206919237957</v>
      </c>
      <c r="BJ230" s="62"/>
      <c r="BK230" s="792">
        <f>+BK49/BK$167</f>
        <v>0.84040013211909592</v>
      </c>
      <c r="BL230" s="278">
        <f>+BL49/BL$167</f>
        <v>0.83193130200031329</v>
      </c>
      <c r="BM230" s="278">
        <f>+BM49/BM$167</f>
        <v>0.82450555902102518</v>
      </c>
      <c r="BN230" s="278">
        <f>+BN49/BN$167</f>
        <v>0.82174865390824758</v>
      </c>
      <c r="BO230" s="793">
        <f>+BO49/BO$167</f>
        <v>0.82946854720715091</v>
      </c>
      <c r="BP230" s="62"/>
      <c r="BQ230" s="792">
        <f>+BQ49/BQ$167</f>
        <v>0.8350443028688711</v>
      </c>
      <c r="BR230" s="278">
        <f>+BR49/BR$167</f>
        <v>0.82927148180498444</v>
      </c>
      <c r="BS230" s="278">
        <f>+BS49/BS$167</f>
        <v>0.81893507248059649</v>
      </c>
      <c r="BT230" s="278">
        <f>+BT49/BT$167</f>
        <v>0.81832986329077895</v>
      </c>
      <c r="BU230" s="793">
        <f>+BU49/BU$167</f>
        <v>0.82484290841317687</v>
      </c>
      <c r="BV230" s="62"/>
      <c r="BW230" s="792">
        <f>+BW49/BW$167</f>
        <v>0.82752044863685448</v>
      </c>
      <c r="BX230" s="278">
        <f>+BX49/BX$167</f>
        <v>0.825245966917037</v>
      </c>
      <c r="BY230" s="278">
        <f>+BY49/BY$167</f>
        <v>0.81472029331324369</v>
      </c>
      <c r="BZ230" s="278">
        <f>+BZ49/BZ$167</f>
        <v>0.81410419414091806</v>
      </c>
      <c r="CA230" s="793">
        <f>+CA49/CA$167</f>
        <v>0.82030547343239668</v>
      </c>
      <c r="CB230" s="62"/>
      <c r="CC230" s="792">
        <f>+CC49/CC$167</f>
        <v>0.8234624363060411</v>
      </c>
      <c r="CD230" s="278">
        <f>+CD49/CD$167</f>
        <v>0.82114600758630329</v>
      </c>
      <c r="CE230" s="278">
        <f>+CE49/CE$167</f>
        <v>0.81043011462956716</v>
      </c>
      <c r="CF230" s="278">
        <f>+CF49/CF$167</f>
        <v>0.80980307996556478</v>
      </c>
      <c r="CG230" s="793">
        <f>+CG49/CG$167</f>
        <v>0.81611543125969044</v>
      </c>
    </row>
    <row r="231" spans="1:85" ht="11.25" customHeight="1" outlineLevel="1" x14ac:dyDescent="0.2">
      <c r="A231" s="78"/>
      <c r="B231" s="1004" t="s">
        <v>310</v>
      </c>
      <c r="C231" s="625"/>
      <c r="D231" s="61"/>
      <c r="E231" s="61"/>
      <c r="F231" s="61"/>
      <c r="G231" s="447"/>
      <c r="H231" s="109"/>
      <c r="I231" s="625"/>
      <c r="J231" s="61"/>
      <c r="K231" s="61"/>
      <c r="L231" s="61"/>
      <c r="M231" s="447"/>
      <c r="N231" s="109"/>
      <c r="O231" s="625"/>
      <c r="P231" s="61"/>
      <c r="Q231" s="61"/>
      <c r="R231" s="61"/>
      <c r="S231" s="447"/>
      <c r="T231" s="109"/>
      <c r="U231" s="625"/>
      <c r="V231" s="61"/>
      <c r="W231" s="61"/>
      <c r="X231" s="61"/>
      <c r="Y231" s="447"/>
      <c r="Z231" s="109"/>
      <c r="AA231" s="743">
        <f>+AA108/AA$167</f>
        <v>0.14678920154779646</v>
      </c>
      <c r="AB231" s="278">
        <f>+AB108/AB$167</f>
        <v>0.13546037845661821</v>
      </c>
      <c r="AC231" s="278">
        <f>+AC108/AC$167</f>
        <v>0.13871559042963727</v>
      </c>
      <c r="AD231" s="278">
        <f>+AD108/AD$167</f>
        <v>0.12875220926122305</v>
      </c>
      <c r="AE231" s="793">
        <f>+AE108/AE$167</f>
        <v>0.13689049802574033</v>
      </c>
      <c r="AF231" s="109"/>
      <c r="AG231" s="743">
        <f>+AG108/AG$167</f>
        <v>0.13473791251569031</v>
      </c>
      <c r="AH231" s="278">
        <f>+AH108/AH$167</f>
        <v>0.14351532581104279</v>
      </c>
      <c r="AI231" s="278">
        <f>+AI108/AI$167</f>
        <v>0.13715018459544009</v>
      </c>
      <c r="AJ231" s="278">
        <f>+AJ108/AJ$167</f>
        <v>0.12333296458817312</v>
      </c>
      <c r="AK231" s="793">
        <f>+AK108/AK$167</f>
        <v>0.13417874268293975</v>
      </c>
      <c r="AL231" s="109"/>
      <c r="AM231" s="743">
        <f>+AM108/AM$167</f>
        <v>0.14522432808651889</v>
      </c>
      <c r="AN231" s="278">
        <f>+AN108/AN$167</f>
        <v>0.14568518162598498</v>
      </c>
      <c r="AO231" s="278">
        <f>+AO108/AO$167</f>
        <v>0.13933335867127816</v>
      </c>
      <c r="AP231" s="278">
        <f>+AP108/AP$167</f>
        <v>0.13739715019749427</v>
      </c>
      <c r="AQ231" s="793">
        <f>+AQ108/AQ$167</f>
        <v>0.14172293444400352</v>
      </c>
      <c r="AR231" s="109"/>
      <c r="AS231" s="743">
        <f>+AS108/AS$167</f>
        <v>0.17761192194666109</v>
      </c>
      <c r="AT231" s="278">
        <f>+AT108/AT$167</f>
        <v>0.19046443519339309</v>
      </c>
      <c r="AU231" s="278">
        <f>+AU108/AU$167</f>
        <v>0.17973439849408307</v>
      </c>
      <c r="AV231" s="278">
        <f>+AV108/AV$167</f>
        <v>0.17280164719024829</v>
      </c>
      <c r="AW231" s="793">
        <f>+AW108/AW$167</f>
        <v>0.18016613257356437</v>
      </c>
      <c r="AX231" s="109"/>
      <c r="AY231" s="743">
        <f>+AY108/AY$167</f>
        <v>0.17559148817023659</v>
      </c>
      <c r="AZ231" s="278">
        <f>+AZ108/AZ$167</f>
        <v>0.17146368715083798</v>
      </c>
      <c r="BA231" s="278">
        <f>+BA108/BA$167</f>
        <v>0.1667966747643139</v>
      </c>
      <c r="BB231" s="278">
        <f>+BB108/BB$167</f>
        <v>0.158795126786685</v>
      </c>
      <c r="BC231" s="793">
        <f>+BC108/BC$167</f>
        <v>0.16796971901453003</v>
      </c>
      <c r="BD231" s="109"/>
      <c r="BE231" s="743">
        <f>+BE108/BE$167</f>
        <v>0.15381588525783541</v>
      </c>
      <c r="BF231" s="278">
        <f>+BF108/BF$167</f>
        <v>0.15818686401480109</v>
      </c>
      <c r="BG231" s="278">
        <f>+BG108/BG$167</f>
        <v>0.15884083441583249</v>
      </c>
      <c r="BH231" s="278">
        <f>+BH108/BH$167</f>
        <v>0.15262815543496663</v>
      </c>
      <c r="BI231" s="793">
        <f>+BI108/BI$167</f>
        <v>0.15583793080762037</v>
      </c>
      <c r="BJ231" s="109"/>
      <c r="BK231" s="743">
        <f>+BK108/BK$167</f>
        <v>0.15959986788090405</v>
      </c>
      <c r="BL231" s="278">
        <f>+BL108/BL$167</f>
        <v>0.16806869799968674</v>
      </c>
      <c r="BM231" s="278">
        <f>+BM108/BM$167</f>
        <v>0.17549444097897479</v>
      </c>
      <c r="BN231" s="278">
        <f>+BN108/BN$167</f>
        <v>0.17825134609175239</v>
      </c>
      <c r="BO231" s="793">
        <f>+BO108/BO$167</f>
        <v>0.17053145279284912</v>
      </c>
      <c r="BP231" s="109"/>
      <c r="BQ231" s="743">
        <f>+BQ108/BQ$167</f>
        <v>0.16495569713112898</v>
      </c>
      <c r="BR231" s="278">
        <f>+BR108/BR$167</f>
        <v>0.17072851819501564</v>
      </c>
      <c r="BS231" s="278">
        <f>+BS108/BS$167</f>
        <v>0.1810649275194034</v>
      </c>
      <c r="BT231" s="278">
        <f>+BT108/BT$167</f>
        <v>0.18167013670922103</v>
      </c>
      <c r="BU231" s="793">
        <f>+BU108/BU$167</f>
        <v>0.17515709158682313</v>
      </c>
      <c r="BV231" s="109"/>
      <c r="BW231" s="743">
        <f>+BW108/BW$167</f>
        <v>0.17247955136314549</v>
      </c>
      <c r="BX231" s="278">
        <f>+BX108/BX$167</f>
        <v>0.174754033082963</v>
      </c>
      <c r="BY231" s="278">
        <f>+BY108/BY$167</f>
        <v>0.18527970668675625</v>
      </c>
      <c r="BZ231" s="278">
        <f>+BZ108/BZ$167</f>
        <v>0.18589580585908189</v>
      </c>
      <c r="CA231" s="793">
        <f>+CA108/CA$167</f>
        <v>0.17969452656760315</v>
      </c>
      <c r="CB231" s="109"/>
      <c r="CC231" s="743">
        <f>+CC108/CC$167</f>
        <v>0.1765375636939589</v>
      </c>
      <c r="CD231" s="278">
        <f>+CD108/CD$167</f>
        <v>0.17885399241369671</v>
      </c>
      <c r="CE231" s="278">
        <f>+CE108/CE$167</f>
        <v>0.18956988537043284</v>
      </c>
      <c r="CF231" s="278">
        <f>+CF108/CF$167</f>
        <v>0.19019692003443517</v>
      </c>
      <c r="CG231" s="793">
        <f>+CG108/CG$167</f>
        <v>0.18388456874030962</v>
      </c>
    </row>
    <row r="232" spans="1:85" ht="11.25" customHeight="1" outlineLevel="1" x14ac:dyDescent="0.2">
      <c r="A232" s="78"/>
      <c r="B232" s="1034" t="s">
        <v>474</v>
      </c>
      <c r="C232" s="1018"/>
      <c r="D232" s="1019"/>
      <c r="E232" s="1019"/>
      <c r="F232" s="1019"/>
      <c r="G232" s="1020"/>
      <c r="H232" s="1021"/>
      <c r="I232" s="1018"/>
      <c r="J232" s="1019"/>
      <c r="K232" s="1019"/>
      <c r="L232" s="1019"/>
      <c r="M232" s="1020"/>
      <c r="N232" s="1021"/>
      <c r="O232" s="1018"/>
      <c r="P232" s="1019"/>
      <c r="Q232" s="1019"/>
      <c r="R232" s="1019"/>
      <c r="S232" s="1020"/>
      <c r="T232" s="1021"/>
      <c r="U232" s="1022"/>
      <c r="V232" s="1023"/>
      <c r="W232" s="1023"/>
      <c r="X232" s="1023"/>
      <c r="Y232" s="1024"/>
      <c r="Z232" s="1021"/>
      <c r="AA232" s="1022"/>
      <c r="AB232" s="1023"/>
      <c r="AC232" s="1023"/>
      <c r="AD232" s="1023"/>
      <c r="AE232" s="852"/>
      <c r="AF232" s="1021"/>
      <c r="AG232" s="1022"/>
      <c r="AH232" s="1023"/>
      <c r="AI232" s="1023"/>
      <c r="AJ232" s="1023"/>
      <c r="AK232" s="852"/>
      <c r="AL232" s="1021"/>
      <c r="AM232" s="1022">
        <f>+AQ232</f>
        <v>0.11</v>
      </c>
      <c r="AN232" s="1023">
        <f>+AQ232</f>
        <v>0.11</v>
      </c>
      <c r="AO232" s="1023">
        <f>+AQ232</f>
        <v>0.11</v>
      </c>
      <c r="AP232" s="1023">
        <f>+AQ232</f>
        <v>0.11</v>
      </c>
      <c r="AQ232" s="1024">
        <v>0.11</v>
      </c>
      <c r="AR232" s="1021"/>
      <c r="AS232" s="1022">
        <f>+AW232</f>
        <v>0.15</v>
      </c>
      <c r="AT232" s="1023">
        <f>+AW232</f>
        <v>0.15</v>
      </c>
      <c r="AU232" s="1023">
        <f>+AW232</f>
        <v>0.15</v>
      </c>
      <c r="AV232" s="1023">
        <f>+AW232</f>
        <v>0.15</v>
      </c>
      <c r="AW232" s="1024">
        <v>0.15</v>
      </c>
      <c r="AX232" s="1021"/>
      <c r="AY232" s="1022">
        <f>+BC232</f>
        <v>0.14000000000000001</v>
      </c>
      <c r="AZ232" s="1023">
        <f>+BC232</f>
        <v>0.14000000000000001</v>
      </c>
      <c r="BA232" s="1023">
        <f>+BC232</f>
        <v>0.14000000000000001</v>
      </c>
      <c r="BB232" s="1023">
        <f>+BC232</f>
        <v>0.14000000000000001</v>
      </c>
      <c r="BC232" s="1024">
        <v>0.14000000000000001</v>
      </c>
      <c r="BD232" s="1021"/>
      <c r="BE232" s="1022">
        <f>+BI232</f>
        <v>0.13</v>
      </c>
      <c r="BF232" s="1023">
        <f>+BI232</f>
        <v>0.13</v>
      </c>
      <c r="BG232" s="1023">
        <f>+BI232</f>
        <v>0.13</v>
      </c>
      <c r="BH232" s="1023">
        <f>+BI232</f>
        <v>0.13</v>
      </c>
      <c r="BI232" s="1024">
        <v>0.13</v>
      </c>
      <c r="BJ232" s="1021"/>
      <c r="BK232" s="1022"/>
      <c r="BL232" s="1023"/>
      <c r="BM232" s="1023"/>
      <c r="BN232" s="1023"/>
      <c r="BO232" s="1024"/>
      <c r="BP232" s="1021"/>
      <c r="BQ232" s="1022"/>
      <c r="BR232" s="1023"/>
      <c r="BS232" s="1023"/>
      <c r="BT232" s="1023"/>
      <c r="BU232" s="1024"/>
      <c r="BV232" s="1021"/>
      <c r="BW232" s="1022"/>
      <c r="BX232" s="1023"/>
      <c r="BY232" s="1023"/>
      <c r="BZ232" s="1023"/>
      <c r="CA232" s="1024"/>
      <c r="CB232" s="1021"/>
      <c r="CC232" s="1022"/>
      <c r="CD232" s="1023"/>
      <c r="CE232" s="1023"/>
      <c r="CF232" s="1023"/>
      <c r="CG232" s="1024"/>
    </row>
    <row r="233" spans="1:85" ht="11.25" customHeight="1" outlineLevel="1" x14ac:dyDescent="0.2">
      <c r="A233" s="78"/>
      <c r="B233" s="1035" t="s">
        <v>543</v>
      </c>
      <c r="C233" s="1025"/>
      <c r="D233" s="1026"/>
      <c r="E233" s="1026"/>
      <c r="F233" s="1026"/>
      <c r="G233" s="1027"/>
      <c r="H233" s="1021"/>
      <c r="I233" s="1025"/>
      <c r="J233" s="1026"/>
      <c r="K233" s="1026"/>
      <c r="L233" s="1026"/>
      <c r="M233" s="1027"/>
      <c r="N233" s="1021"/>
      <c r="O233" s="1025"/>
      <c r="P233" s="1026"/>
      <c r="Q233" s="1026"/>
      <c r="R233" s="1026"/>
      <c r="S233" s="1027"/>
      <c r="T233" s="1021"/>
      <c r="U233" s="1028"/>
      <c r="V233" s="1029"/>
      <c r="W233" s="1029"/>
      <c r="X233" s="1029"/>
      <c r="Y233" s="1030"/>
      <c r="Z233" s="1021"/>
      <c r="AA233" s="1028"/>
      <c r="AB233" s="1029"/>
      <c r="AC233" s="1029"/>
      <c r="AD233" s="1029"/>
      <c r="AE233" s="1030"/>
      <c r="AF233" s="1021"/>
      <c r="AG233" s="1028"/>
      <c r="AH233" s="1029"/>
      <c r="AI233" s="1029"/>
      <c r="AJ233" s="1029"/>
      <c r="AK233" s="1030"/>
      <c r="AL233" s="1021"/>
      <c r="AM233" s="1028">
        <f>+AM231-AM232</f>
        <v>3.5224328086518888E-2</v>
      </c>
      <c r="AN233" s="1029">
        <f>+AN231-AN232</f>
        <v>3.5685181625984982E-2</v>
      </c>
      <c r="AO233" s="1029">
        <f>+AO231-AO232</f>
        <v>2.9333358671278162E-2</v>
      </c>
      <c r="AP233" s="1029">
        <f>+AP231-AP232</f>
        <v>2.7397150197494266E-2</v>
      </c>
      <c r="AQ233" s="1030">
        <f>+AQ231-AQ232</f>
        <v>3.1722934444003523E-2</v>
      </c>
      <c r="AR233" s="1021"/>
      <c r="AS233" s="1028">
        <f>+AS231-AS232</f>
        <v>2.7611921946661094E-2</v>
      </c>
      <c r="AT233" s="1029">
        <f>+AT231-AT232</f>
        <v>4.04644351933931E-2</v>
      </c>
      <c r="AU233" s="1029">
        <f>+AU231-AU232</f>
        <v>2.9734398494083075E-2</v>
      </c>
      <c r="AV233" s="1029">
        <f>+AV231-AV232</f>
        <v>2.2801647190248298E-2</v>
      </c>
      <c r="AW233" s="1030">
        <f>+AW231-AW232</f>
        <v>3.0166132573564375E-2</v>
      </c>
      <c r="AX233" s="1021"/>
      <c r="AY233" s="1028">
        <f>+AY231-AY232</f>
        <v>3.5591488170236579E-2</v>
      </c>
      <c r="AZ233" s="1029">
        <f>+AZ231-AZ232</f>
        <v>3.1463687150837971E-2</v>
      </c>
      <c r="BA233" s="1029">
        <f>+BA231-BA232</f>
        <v>2.6796674764313883E-2</v>
      </c>
      <c r="BB233" s="1029">
        <f>+BB231-BB232</f>
        <v>1.879512678668499E-2</v>
      </c>
      <c r="BC233" s="1030">
        <f>+BC231-BC232</f>
        <v>2.796971901453002E-2</v>
      </c>
      <c r="BD233" s="1021"/>
      <c r="BE233" s="1028">
        <f>+BE231-BE232</f>
        <v>2.3815885257835401E-2</v>
      </c>
      <c r="BF233" s="1029">
        <f>+BF231-BF232</f>
        <v>2.8186864014801083E-2</v>
      </c>
      <c r="BG233" s="1029">
        <f>+BG231-BG232</f>
        <v>2.8840834415832489E-2</v>
      </c>
      <c r="BH233" s="1029">
        <f>+BH231-BH232</f>
        <v>2.2628155434966629E-2</v>
      </c>
      <c r="BI233" s="1030">
        <f>+BI231-BI232</f>
        <v>2.5837930807620368E-2</v>
      </c>
      <c r="BJ233" s="1021"/>
      <c r="BK233" s="1028"/>
      <c r="BL233" s="1029"/>
      <c r="BM233" s="1029"/>
      <c r="BN233" s="1029"/>
      <c r="BO233" s="1030"/>
      <c r="BP233" s="1021"/>
      <c r="BQ233" s="1028"/>
      <c r="BR233" s="1029"/>
      <c r="BS233" s="1029"/>
      <c r="BT233" s="1029"/>
      <c r="BU233" s="1030"/>
      <c r="BV233" s="1021"/>
      <c r="BW233" s="1028"/>
      <c r="BX233" s="1029"/>
      <c r="BY233" s="1029"/>
      <c r="BZ233" s="1029"/>
      <c r="CA233" s="1030"/>
      <c r="CB233" s="1021"/>
      <c r="CC233" s="1028"/>
      <c r="CD233" s="1029"/>
      <c r="CE233" s="1029"/>
      <c r="CF233" s="1029"/>
      <c r="CG233" s="1030"/>
    </row>
    <row r="234" spans="1:85" ht="11.25" customHeight="1" x14ac:dyDescent="0.2">
      <c r="A234" s="78"/>
      <c r="B234" s="163"/>
      <c r="C234" s="61"/>
      <c r="D234" s="61"/>
      <c r="E234" s="61"/>
      <c r="F234" s="61"/>
      <c r="G234" s="61"/>
      <c r="H234" s="109"/>
      <c r="I234" s="61"/>
      <c r="J234" s="61"/>
      <c r="K234" s="61"/>
      <c r="L234" s="61"/>
      <c r="M234" s="61"/>
      <c r="N234" s="109"/>
      <c r="O234" s="61"/>
      <c r="P234" s="61"/>
      <c r="Q234" s="61"/>
      <c r="R234" s="61"/>
      <c r="S234" s="61"/>
      <c r="T234" s="109"/>
      <c r="U234" s="61"/>
      <c r="V234" s="61"/>
      <c r="W234" s="61"/>
      <c r="X234" s="61"/>
      <c r="Y234" s="61"/>
      <c r="Z234" s="109"/>
      <c r="AA234" s="278"/>
      <c r="AB234" s="278"/>
      <c r="AC234" s="278"/>
      <c r="AD234" s="278"/>
      <c r="AE234" s="278"/>
      <c r="AF234" s="109"/>
      <c r="AG234" s="278"/>
      <c r="AH234" s="278"/>
      <c r="AI234" s="278"/>
      <c r="AJ234" s="278"/>
      <c r="AK234" s="278"/>
      <c r="AL234" s="109"/>
      <c r="AM234" s="278"/>
      <c r="AN234" s="278"/>
      <c r="AO234" s="278"/>
      <c r="AP234" s="278"/>
      <c r="AQ234" s="278"/>
      <c r="AR234" s="109"/>
      <c r="AS234" s="278"/>
      <c r="AT234" s="278"/>
      <c r="AU234" s="278"/>
      <c r="AV234" s="278"/>
      <c r="AW234" s="278"/>
      <c r="AX234" s="109"/>
      <c r="AY234" s="278"/>
      <c r="AZ234" s="278"/>
      <c r="BA234" s="278"/>
      <c r="BB234" s="278"/>
      <c r="BC234" s="278"/>
      <c r="BD234" s="109"/>
      <c r="BE234" s="278"/>
      <c r="BF234" s="278"/>
      <c r="BG234" s="278"/>
      <c r="BH234" s="278"/>
      <c r="BI234" s="278"/>
      <c r="BJ234" s="109"/>
      <c r="BK234" s="278"/>
      <c r="BL234" s="278"/>
      <c r="BM234" s="278"/>
      <c r="BN234" s="278"/>
      <c r="BO234" s="278"/>
      <c r="BP234" s="109"/>
      <c r="BQ234" s="278"/>
      <c r="BR234" s="278"/>
      <c r="BS234" s="278"/>
      <c r="BT234" s="278"/>
      <c r="BU234" s="278"/>
      <c r="BV234" s="109"/>
      <c r="BW234" s="278"/>
      <c r="BX234" s="278"/>
      <c r="BY234" s="278"/>
      <c r="BZ234" s="278"/>
      <c r="CA234" s="278"/>
      <c r="CB234" s="109"/>
      <c r="CC234" s="278"/>
      <c r="CD234" s="278"/>
      <c r="CE234" s="278"/>
      <c r="CF234" s="278"/>
      <c r="CG234" s="278"/>
    </row>
    <row r="235" spans="1:85" ht="11.25" customHeight="1" outlineLevel="1" x14ac:dyDescent="0.2">
      <c r="A235" s="78"/>
      <c r="B235" s="994" t="s">
        <v>525</v>
      </c>
      <c r="C235" s="995"/>
      <c r="D235" s="995"/>
      <c r="E235" s="995"/>
      <c r="F235" s="995"/>
      <c r="G235" s="995"/>
      <c r="H235" s="994"/>
      <c r="I235" s="995"/>
      <c r="J235" s="995"/>
      <c r="K235" s="995"/>
      <c r="L235" s="995"/>
      <c r="M235" s="995"/>
      <c r="N235" s="994"/>
      <c r="O235" s="995"/>
      <c r="P235" s="995"/>
      <c r="Q235" s="995"/>
      <c r="R235" s="995"/>
      <c r="S235" s="995"/>
      <c r="T235" s="994"/>
      <c r="U235" s="995"/>
      <c r="V235" s="995"/>
      <c r="W235" s="995"/>
      <c r="X235" s="995"/>
      <c r="Y235" s="995"/>
      <c r="Z235" s="994"/>
      <c r="AA235" s="995"/>
      <c r="AB235" s="995"/>
      <c r="AC235" s="995"/>
      <c r="AD235" s="995"/>
      <c r="AE235" s="995"/>
      <c r="AF235" s="994"/>
      <c r="AG235" s="995"/>
      <c r="AH235" s="995"/>
      <c r="AI235" s="995"/>
      <c r="AJ235" s="995"/>
      <c r="AK235" s="995"/>
      <c r="AL235" s="994"/>
      <c r="AM235" s="995"/>
      <c r="AN235" s="995"/>
      <c r="AO235" s="995"/>
      <c r="AP235" s="995"/>
      <c r="AQ235" s="995"/>
      <c r="AR235" s="994"/>
      <c r="AS235" s="995"/>
      <c r="AT235" s="995"/>
      <c r="AU235" s="995"/>
      <c r="AV235" s="995"/>
      <c r="AW235" s="995"/>
      <c r="AX235" s="994"/>
      <c r="AY235" s="995"/>
      <c r="AZ235" s="995"/>
      <c r="BA235" s="995"/>
      <c r="BB235" s="995"/>
      <c r="BC235" s="995"/>
      <c r="BD235" s="994"/>
      <c r="BE235" s="995"/>
      <c r="BF235" s="995"/>
      <c r="BG235" s="995"/>
      <c r="BH235" s="995"/>
      <c r="BI235" s="995"/>
      <c r="BJ235" s="994"/>
      <c r="BK235" s="995"/>
      <c r="BL235" s="995"/>
      <c r="BM235" s="995"/>
      <c r="BN235" s="995"/>
      <c r="BO235" s="995"/>
      <c r="BP235" s="994"/>
      <c r="BQ235" s="995"/>
      <c r="BR235" s="995"/>
      <c r="BS235" s="995"/>
      <c r="BT235" s="995"/>
      <c r="BU235" s="995"/>
      <c r="BV235" s="994"/>
      <c r="BW235" s="995"/>
      <c r="BX235" s="995"/>
      <c r="BY235" s="995"/>
      <c r="BZ235" s="995"/>
      <c r="CA235" s="995"/>
      <c r="CB235" s="994"/>
      <c r="CC235" s="995"/>
      <c r="CD235" s="995"/>
      <c r="CE235" s="995"/>
      <c r="CF235" s="995"/>
      <c r="CG235" s="996"/>
    </row>
    <row r="236" spans="1:85" ht="11.25" customHeight="1" outlineLevel="1" x14ac:dyDescent="0.2">
      <c r="B236" s="812" t="s">
        <v>471</v>
      </c>
      <c r="C236" s="813"/>
      <c r="D236" s="813"/>
      <c r="E236" s="813"/>
      <c r="F236" s="813"/>
      <c r="G236" s="813"/>
      <c r="H236" s="812"/>
      <c r="I236" s="813"/>
      <c r="J236" s="813"/>
      <c r="K236" s="813"/>
      <c r="L236" s="813"/>
      <c r="M236" s="813"/>
      <c r="N236" s="812"/>
      <c r="O236" s="813"/>
      <c r="P236" s="813"/>
      <c r="Q236" s="813"/>
      <c r="R236" s="813"/>
      <c r="S236" s="813"/>
      <c r="T236" s="812"/>
      <c r="U236" s="813"/>
      <c r="V236" s="813"/>
      <c r="W236" s="813"/>
      <c r="X236" s="813"/>
      <c r="Y236" s="813"/>
      <c r="Z236" s="812"/>
      <c r="AA236" s="813"/>
      <c r="AB236" s="813"/>
      <c r="AC236" s="813"/>
      <c r="AD236" s="813"/>
      <c r="AE236" s="813"/>
      <c r="AF236" s="812"/>
      <c r="AG236" s="813"/>
      <c r="AH236" s="813"/>
      <c r="AI236" s="813"/>
      <c r="AJ236" s="813"/>
      <c r="AK236" s="813"/>
      <c r="AL236" s="812"/>
      <c r="AM236" s="813"/>
      <c r="AN236" s="813"/>
      <c r="AO236" s="813"/>
      <c r="AP236" s="813"/>
      <c r="AQ236" s="813"/>
      <c r="AR236" s="812"/>
      <c r="AS236" s="813"/>
      <c r="AT236" s="813"/>
      <c r="AU236" s="813"/>
      <c r="AV236" s="813"/>
      <c r="AW236" s="813"/>
      <c r="AX236" s="812"/>
      <c r="AY236" s="813"/>
      <c r="AZ236" s="813"/>
      <c r="BA236" s="813"/>
      <c r="BB236" s="813"/>
      <c r="BC236" s="813"/>
      <c r="BD236" s="812"/>
      <c r="BE236" s="813"/>
      <c r="BF236" s="813"/>
      <c r="BG236" s="813"/>
      <c r="BH236" s="813"/>
      <c r="BI236" s="813"/>
      <c r="BJ236" s="812"/>
      <c r="BK236" s="813"/>
      <c r="BL236" s="813"/>
      <c r="BM236" s="813"/>
      <c r="BN236" s="813"/>
      <c r="BO236" s="813"/>
      <c r="BP236" s="812"/>
      <c r="BQ236" s="813"/>
      <c r="BR236" s="813"/>
      <c r="BS236" s="813"/>
      <c r="BT236" s="813"/>
      <c r="BU236" s="813"/>
      <c r="BV236" s="812"/>
      <c r="BW236" s="813"/>
      <c r="BX236" s="813"/>
      <c r="BY236" s="813"/>
      <c r="BZ236" s="813"/>
      <c r="CA236" s="813"/>
      <c r="CB236" s="812"/>
      <c r="CC236" s="813"/>
      <c r="CD236" s="813"/>
      <c r="CE236" s="813"/>
      <c r="CF236" s="813"/>
      <c r="CG236" s="814"/>
    </row>
    <row r="237" spans="1:85" ht="11.25" customHeight="1" outlineLevel="1" x14ac:dyDescent="0.2">
      <c r="A237" s="830"/>
      <c r="B237" s="841" t="s">
        <v>473</v>
      </c>
      <c r="C237" s="831">
        <f>'P&amp;L'!C8*C243</f>
        <v>863.84184125508773</v>
      </c>
      <c r="D237" s="831">
        <f>'P&amp;L'!D8*D243</f>
        <v>914.53912833868765</v>
      </c>
      <c r="E237" s="831">
        <f>'P&amp;L'!E8*E243</f>
        <v>992.71115505326873</v>
      </c>
      <c r="F237" s="831">
        <f>'P&amp;L'!F8*F243</f>
        <v>1122.0248753529563</v>
      </c>
      <c r="G237" s="830">
        <v>3893.1170000000002</v>
      </c>
      <c r="H237" s="830"/>
      <c r="I237" s="831">
        <f>'P&amp;L'!I8*I243</f>
        <v>929.58814625949753</v>
      </c>
      <c r="J237" s="831">
        <f>'P&amp;L'!J8*J243</f>
        <v>1002.3253337236946</v>
      </c>
      <c r="K237" s="831">
        <f>'P&amp;L'!K8*K243</f>
        <v>1004.3765915591983</v>
      </c>
      <c r="L237" s="831">
        <f>'P&amp;L'!L8*L243</f>
        <v>961.22992845760859</v>
      </c>
      <c r="M237" s="830">
        <v>3897.52</v>
      </c>
      <c r="N237" s="830"/>
      <c r="O237" s="831">
        <f>'P&amp;L'!O8*O243</f>
        <v>886.54182317396965</v>
      </c>
      <c r="P237" s="831">
        <f>'P&amp;L'!P8*P243</f>
        <v>959.38399192118607</v>
      </c>
      <c r="Q237" s="831">
        <f>'P&amp;L'!Q8*Q243</f>
        <v>990.41917482506256</v>
      </c>
      <c r="R237" s="831">
        <f>'P&amp;L'!R8*R243</f>
        <v>1066.0080100797818</v>
      </c>
      <c r="S237" s="830">
        <v>3902.3530000000001</v>
      </c>
      <c r="T237" s="830"/>
      <c r="U237" s="831">
        <f>'P&amp;L'!U8*U243</f>
        <v>1117.249669954921</v>
      </c>
      <c r="V237" s="831">
        <f>'P&amp;L'!V8*V243</f>
        <v>1173.7947616410183</v>
      </c>
      <c r="W237" s="831">
        <f>'P&amp;L'!W8*W243</f>
        <v>1201.7909003561945</v>
      </c>
      <c r="X237" s="831">
        <f>'P&amp;L'!X8*X243</f>
        <v>1284.3366680478666</v>
      </c>
      <c r="Y237" s="830">
        <v>4777.1719999999996</v>
      </c>
      <c r="Z237" s="830"/>
      <c r="AA237" s="831">
        <f>'P&amp;L'!AA8*AA243</f>
        <v>1190.283623163446</v>
      </c>
      <c r="AB237" s="831">
        <f>'P&amp;L'!AB8*AB243</f>
        <v>1302.0416256701742</v>
      </c>
      <c r="AC237" s="831">
        <f>'P&amp;L'!AC8*AC243</f>
        <v>1290.4630470827205</v>
      </c>
      <c r="AD237" s="831">
        <f>'P&amp;L'!AD8*AD243</f>
        <v>1430.0727040836591</v>
      </c>
      <c r="AE237" s="830">
        <v>5212.8609999999999</v>
      </c>
      <c r="AF237" s="830"/>
      <c r="AG237" s="831">
        <f>'P&amp;L'!AG8*AG243</f>
        <v>1290.635902057692</v>
      </c>
      <c r="AH237" s="831">
        <f>'P&amp;L'!AH8*AH243</f>
        <v>1353.6194707416705</v>
      </c>
      <c r="AI237" s="831">
        <f>'P&amp;L'!AI8*AI243</f>
        <v>1371.82348248064</v>
      </c>
      <c r="AJ237" s="831">
        <f>'P&amp;L'!AJ8*AJ243</f>
        <v>1480.8901447199978</v>
      </c>
      <c r="AK237" s="830">
        <v>5496.9690000000001</v>
      </c>
      <c r="AL237" s="830"/>
      <c r="AM237" s="831">
        <f>'P&amp;L'!AM8*AM243</f>
        <v>1394.6078880050688</v>
      </c>
      <c r="AN237" s="831">
        <f>'P&amp;L'!AN8*AN243</f>
        <v>1454.380246098407</v>
      </c>
      <c r="AO237" s="831">
        <f>'P&amp;L'!AO8*AO243</f>
        <v>1428.3221515732146</v>
      </c>
      <c r="AP237" s="831">
        <f>'P&amp;L'!AP8*AP243</f>
        <v>1536.201714323309</v>
      </c>
      <c r="AQ237" s="830">
        <v>5813.5119999999997</v>
      </c>
      <c r="AR237" s="830"/>
      <c r="AS237" s="831">
        <f>'P&amp;L'!AS8*AS243</f>
        <v>1463.7709469901333</v>
      </c>
      <c r="AT237" s="831">
        <f>'P&amp;L'!AT8*AT243</f>
        <v>1575.3517845472977</v>
      </c>
      <c r="AU237" s="831">
        <f>'P&amp;L'!AU8*AU243</f>
        <v>1580.3650226077698</v>
      </c>
      <c r="AV237" s="831">
        <f>'P&amp;L'!AV8*AV243</f>
        <v>1627.5682458547983</v>
      </c>
      <c r="AW237" s="830">
        <v>6247.0559999999996</v>
      </c>
      <c r="AX237" s="830"/>
      <c r="AY237" s="831">
        <f>'P&amp;L'!AY8*AY243</f>
        <v>1575.7662282664294</v>
      </c>
      <c r="AZ237" s="831">
        <f>'P&amp;L'!AZ8*AZ243</f>
        <v>1681.7325457088755</v>
      </c>
      <c r="BA237" s="831">
        <f>'P&amp;L'!BA8*BA243</f>
        <v>1717.8799582797064</v>
      </c>
      <c r="BB237" s="831">
        <f>'P&amp;L'!BB8*BB243</f>
        <v>1823.4682677449887</v>
      </c>
      <c r="BC237" s="830">
        <v>6798.8469999999998</v>
      </c>
      <c r="BD237" s="830"/>
      <c r="BE237" s="831">
        <f>'P&amp;L'!BE8*BE243</f>
        <v>1767.0114574261897</v>
      </c>
      <c r="BF237" s="831">
        <f>'P&amp;L'!BF8*BF243</f>
        <v>1871.0108541923257</v>
      </c>
      <c r="BG237" s="831">
        <f>'P&amp;L'!BG8*BG243</f>
        <v>1866.1376532541378</v>
      </c>
      <c r="BH237" s="831">
        <f>'P&amp;L'!BH8*BH243</f>
        <v>2032.7370351273473</v>
      </c>
      <c r="BI237" s="830">
        <v>7536.8969999999999</v>
      </c>
      <c r="BJ237" s="832"/>
      <c r="BK237" s="844">
        <f>'P&amp;L'!BK8*BK243</f>
        <v>1903.7841400527564</v>
      </c>
      <c r="BL237" s="831">
        <f>'P&amp;L'!BL8*BL243</f>
        <v>1992.6962838742004</v>
      </c>
      <c r="BM237" s="831">
        <f>'P&amp;L'!BM8*BM243</f>
        <v>2058.8870143397653</v>
      </c>
      <c r="BN237" s="850">
        <f>'P&amp;L'!BN8*BN243</f>
        <v>2161.1258842232601</v>
      </c>
      <c r="BO237" s="830">
        <v>7904.6980000000003</v>
      </c>
      <c r="BP237" s="62"/>
      <c r="BQ237" s="844">
        <f>'P&amp;L'!BQ8*BQ243</f>
        <v>1948.7561199221454</v>
      </c>
      <c r="BR237" s="831">
        <f>'P&amp;L'!BR8*BR243</f>
        <v>2074.1364629578952</v>
      </c>
      <c r="BS237" s="831">
        <f>'P&amp;L'!BS8*BS243</f>
        <v>2118.7937579647783</v>
      </c>
      <c r="BT237" s="850">
        <f>'P&amp;L'!BT8*BT243</f>
        <v>2196.9336180860523</v>
      </c>
      <c r="BU237" s="456">
        <f>SUM(BQ237:BT237)</f>
        <v>8338.6199589308708</v>
      </c>
      <c r="BV237" s="62"/>
      <c r="BW237" s="844">
        <f>'P&amp;L'!BW8*BW243</f>
        <v>2048.5292694231412</v>
      </c>
      <c r="BX237" s="831">
        <f>'P&amp;L'!BX8*BX243</f>
        <v>2163.717674441863</v>
      </c>
      <c r="BY237" s="831">
        <f>'P&amp;L'!BY8*BY243</f>
        <v>2210.5113482461848</v>
      </c>
      <c r="BZ237" s="850">
        <f>'P&amp;L'!BZ8*BZ243</f>
        <v>2290.3453062959379</v>
      </c>
      <c r="CA237" s="456">
        <f>SUM(BW237:BZ237)</f>
        <v>8713.1035984071277</v>
      </c>
      <c r="CB237" s="62"/>
      <c r="CC237" s="844">
        <f>'P&amp;L'!CC8*CC243</f>
        <v>2129.5506494423585</v>
      </c>
      <c r="CD237" s="831">
        <f>'P&amp;L'!CD8*CD243</f>
        <v>2249.9352178318964</v>
      </c>
      <c r="CE237" s="831">
        <f>'P&amp;L'!CE8*CE243</f>
        <v>2298.4916231595889</v>
      </c>
      <c r="CF237" s="850">
        <f>'P&amp;L'!CF8*CF243</f>
        <v>2380.5459218795386</v>
      </c>
      <c r="CG237" s="456">
        <f>SUM(CC237:CF237)</f>
        <v>9058.5234123133814</v>
      </c>
    </row>
    <row r="238" spans="1:85" ht="11.25" customHeight="1" outlineLevel="1" x14ac:dyDescent="0.2">
      <c r="A238" s="830"/>
      <c r="B238" s="841" t="s">
        <v>310</v>
      </c>
      <c r="C238" s="145">
        <f>'P&amp;L'!C8*C244</f>
        <v>446.28615874491226</v>
      </c>
      <c r="D238" s="145">
        <f>'P&amp;L'!D8*D244</f>
        <v>472.47787166131246</v>
      </c>
      <c r="E238" s="145">
        <f>'P&amp;L'!E8*E244</f>
        <v>512.86384494673143</v>
      </c>
      <c r="F238" s="145">
        <f>'P&amp;L'!F8*F244</f>
        <v>579.67112464704383</v>
      </c>
      <c r="G238" s="830">
        <f>620.21+1391.089</f>
        <v>2011.299</v>
      </c>
      <c r="H238" s="830"/>
      <c r="I238" s="145">
        <f>'P&amp;L'!I8*I244</f>
        <v>592.1888537405024</v>
      </c>
      <c r="J238" s="145">
        <f>'P&amp;L'!J8*J244</f>
        <v>638.52566627630529</v>
      </c>
      <c r="K238" s="145">
        <f>'P&amp;L'!K8*K244</f>
        <v>639.8324084408016</v>
      </c>
      <c r="L238" s="145">
        <f>'P&amp;L'!L8*L244</f>
        <v>612.3460715423904</v>
      </c>
      <c r="M238" s="830">
        <f>671.341+1811.552</f>
        <v>2482.893</v>
      </c>
      <c r="N238" s="830"/>
      <c r="O238" s="145">
        <f>'P&amp;L'!O8*O244</f>
        <v>598.84617682603027</v>
      </c>
      <c r="P238" s="145">
        <f>'P&amp;L'!P8*P244</f>
        <v>648.0500080788139</v>
      </c>
      <c r="Q238" s="145">
        <f>'P&amp;L'!Q8*Q244</f>
        <v>669.01382517493744</v>
      </c>
      <c r="R238" s="145">
        <f>'P&amp;L'!R8*R244</f>
        <v>720.07298992021833</v>
      </c>
      <c r="S238" s="830">
        <f>699.309+1936.674</f>
        <v>2635.9830000000002</v>
      </c>
      <c r="T238" s="830"/>
      <c r="U238" s="145">
        <f>'P&amp;L'!U8*U244</f>
        <v>643.06033004507901</v>
      </c>
      <c r="V238" s="145">
        <f>'P&amp;L'!V8*V244</f>
        <v>675.60623835898173</v>
      </c>
      <c r="W238" s="145">
        <f>'P&amp;L'!W8*W244</f>
        <v>691.72009964380572</v>
      </c>
      <c r="X238" s="145">
        <f>'P&amp;L'!X8*X244</f>
        <v>739.2313319521337</v>
      </c>
      <c r="Y238" s="830">
        <v>2749.6179999999999</v>
      </c>
      <c r="Z238" s="830"/>
      <c r="AA238" s="145">
        <f>'P&amp;L'!AA8*AA244</f>
        <v>757.47737683655396</v>
      </c>
      <c r="AB238" s="145">
        <f>'P&amp;L'!AB8*AB244</f>
        <v>828.59837432982545</v>
      </c>
      <c r="AC238" s="145">
        <f>'P&amp;L'!AC8*AC244</f>
        <v>821.22995291727955</v>
      </c>
      <c r="AD238" s="145">
        <f>'P&amp;L'!AD8*AD244</f>
        <v>910.07529591634091</v>
      </c>
      <c r="AE238" s="830">
        <v>3317.3809999999999</v>
      </c>
      <c r="AF238" s="830"/>
      <c r="AG238" s="145">
        <f>'P&amp;L'!AG8*AG244</f>
        <v>808.3830979423077</v>
      </c>
      <c r="AH238" s="145">
        <f>'P&amp;L'!AH8*AH244</f>
        <v>847.83252925832949</v>
      </c>
      <c r="AI238" s="145">
        <f>'P&amp;L'!AI8*AI244</f>
        <v>859.23451751935988</v>
      </c>
      <c r="AJ238" s="145">
        <f>'P&amp;L'!AJ8*AJ244</f>
        <v>927.54785528000298</v>
      </c>
      <c r="AK238" s="830">
        <v>3442.998</v>
      </c>
      <c r="AL238" s="830"/>
      <c r="AM238" s="145">
        <f>'P&amp;L'!AM8*AM244</f>
        <v>898.9031119949309</v>
      </c>
      <c r="AN238" s="145">
        <f>'P&amp;L'!AN8*AN244</f>
        <v>937.42975390159256</v>
      </c>
      <c r="AO238" s="145">
        <f>'P&amp;L'!AO8*AO244</f>
        <v>920.63384842678533</v>
      </c>
      <c r="AP238" s="145">
        <f>'P&amp;L'!AP8*AP244</f>
        <v>990.16828567669143</v>
      </c>
      <c r="AQ238" s="830">
        <v>3747.1350000000002</v>
      </c>
      <c r="AR238" s="830"/>
      <c r="AS238" s="145">
        <f>'P&amp;L'!AS8*AS244</f>
        <v>966.38805300986667</v>
      </c>
      <c r="AT238" s="145">
        <f>'P&amp;L'!AT8*AT244</f>
        <v>1040.0542154527022</v>
      </c>
      <c r="AU238" s="145">
        <f>'P&amp;L'!AU8*AU244</f>
        <v>1043.36397739223</v>
      </c>
      <c r="AV238" s="145">
        <f>'P&amp;L'!AV8*AV244</f>
        <v>1074.5277541452012</v>
      </c>
      <c r="AW238" s="830">
        <v>4124.3339999999998</v>
      </c>
      <c r="AX238" s="830"/>
      <c r="AY238" s="145">
        <f>'P&amp;L'!AY8*AY244</f>
        <v>887.87977173357081</v>
      </c>
      <c r="AZ238" s="145">
        <f>'P&amp;L'!AZ8*AZ244</f>
        <v>947.5874542911248</v>
      </c>
      <c r="BA238" s="145">
        <f>'P&amp;L'!BA8*BA244</f>
        <v>967.95504172029382</v>
      </c>
      <c r="BB238" s="145">
        <f>'P&amp;L'!BB8*BB244</f>
        <v>1027.4497322550103</v>
      </c>
      <c r="BC238" s="830">
        <v>3830.8719999999998</v>
      </c>
      <c r="BD238" s="830"/>
      <c r="BE238" s="145">
        <f>'P&amp;L'!BE8*BE244</f>
        <v>945.94454257381062</v>
      </c>
      <c r="BF238" s="145">
        <f>'P&amp;L'!BF8*BF244</f>
        <v>1001.6191458076745</v>
      </c>
      <c r="BG238" s="145">
        <f>'P&amp;L'!BG8*BG244</f>
        <v>999.01034674586253</v>
      </c>
      <c r="BH238" s="145">
        <f>'P&amp;L'!BH8*BH244</f>
        <v>1088.1969648726529</v>
      </c>
      <c r="BI238" s="830">
        <v>4034.7710000000002</v>
      </c>
      <c r="BJ238" s="832"/>
      <c r="BK238" s="845">
        <f>'P&amp;L'!BK8*BK244</f>
        <v>1019.1638599472436</v>
      </c>
      <c r="BL238" s="145">
        <f>'P&amp;L'!BL8*BL244</f>
        <v>1066.7617161257999</v>
      </c>
      <c r="BM238" s="145">
        <f>'P&amp;L'!BM8*BM244</f>
        <v>1102.1959856602352</v>
      </c>
      <c r="BN238" s="480">
        <f>'P&amp;L'!BN8*BN244</f>
        <v>1156.9281157767405</v>
      </c>
      <c r="BO238" s="830">
        <v>4556.8450000000003</v>
      </c>
      <c r="BP238" s="62"/>
      <c r="BQ238" s="845">
        <f>'P&amp;L'!BQ8*BQ244</f>
        <v>1123.4052940778547</v>
      </c>
      <c r="BR238" s="145">
        <f>'P&amp;L'!BR8*BR244</f>
        <v>1195.6836770421048</v>
      </c>
      <c r="BS238" s="145">
        <f>'P&amp;L'!BS8*BS244</f>
        <v>1221.4274020352213</v>
      </c>
      <c r="BT238" s="480">
        <f>'P&amp;L'!BT8*BT244</f>
        <v>1266.4729219139476</v>
      </c>
      <c r="BU238" s="456">
        <f>SUM(BQ238:BT238)</f>
        <v>4806.9892950691283</v>
      </c>
      <c r="BV238" s="62"/>
      <c r="BW238" s="845">
        <f>'P&amp;L'!BW8*BW244</f>
        <v>1180.9218212668588</v>
      </c>
      <c r="BX238" s="145">
        <f>'P&amp;L'!BX8*BX244</f>
        <v>1247.3248271081366</v>
      </c>
      <c r="BY238" s="145">
        <f>'P&amp;L'!BY8*BY244</f>
        <v>1274.3001168038156</v>
      </c>
      <c r="BZ238" s="480">
        <f>'P&amp;L'!BZ8*BZ244</f>
        <v>1320.3222384040623</v>
      </c>
      <c r="CA238" s="456">
        <f>SUM(BW238:BZ238)</f>
        <v>5022.8690035828731</v>
      </c>
      <c r="CB238" s="62"/>
      <c r="CC238" s="845">
        <f>'P&amp;L'!CC8*CC244</f>
        <v>1227.6284595765917</v>
      </c>
      <c r="CD238" s="145">
        <f>'P&amp;L'!CD8*CD244</f>
        <v>1297.0269133243532</v>
      </c>
      <c r="CE238" s="145">
        <f>'P&amp;L'!CE8*CE244</f>
        <v>1325.01837015616</v>
      </c>
      <c r="CF238" s="480">
        <f>'P&amp;L'!CF8*CF244</f>
        <v>1372.3204582119604</v>
      </c>
      <c r="CG238" s="456">
        <f>SUM(CC238:CF238)</f>
        <v>5221.9942012690653</v>
      </c>
    </row>
    <row r="239" spans="1:85" ht="11.25" customHeight="1" outlineLevel="1" x14ac:dyDescent="0.2">
      <c r="A239" s="448"/>
      <c r="B239" s="833" t="s">
        <v>324</v>
      </c>
      <c r="C239" s="834">
        <f>+SUM(C237:C238)</f>
        <v>1310.1279999999999</v>
      </c>
      <c r="D239" s="834">
        <f>+SUM(D237:D238)</f>
        <v>1387.0170000000001</v>
      </c>
      <c r="E239" s="834">
        <f>+SUM(E237:E238)</f>
        <v>1505.5750000000003</v>
      </c>
      <c r="F239" s="834">
        <f>+SUM(F237:F238)</f>
        <v>1701.6960000000001</v>
      </c>
      <c r="G239" s="835">
        <f>+SUM(G237:G238)</f>
        <v>5904.4160000000002</v>
      </c>
      <c r="H239" s="835"/>
      <c r="I239" s="834">
        <f>+SUM(I237:I238)</f>
        <v>1521.777</v>
      </c>
      <c r="J239" s="834">
        <f>+SUM(J237:J238)</f>
        <v>1640.8509999999999</v>
      </c>
      <c r="K239" s="834">
        <f>+SUM(K237:K238)</f>
        <v>1644.2089999999998</v>
      </c>
      <c r="L239" s="834">
        <f>+SUM(L237:L238)</f>
        <v>1573.5759999999991</v>
      </c>
      <c r="M239" s="835">
        <f>+SUM(M237:M238)</f>
        <v>6380.4130000000005</v>
      </c>
      <c r="N239" s="835"/>
      <c r="O239" s="834">
        <f>+SUM(O237:O238)</f>
        <v>1485.3879999999999</v>
      </c>
      <c r="P239" s="834">
        <f>+SUM(P237:P238)</f>
        <v>1607.434</v>
      </c>
      <c r="Q239" s="834">
        <f>+SUM(Q237:Q238)</f>
        <v>1659.433</v>
      </c>
      <c r="R239" s="834">
        <f>+SUM(R237:R238)</f>
        <v>1786.0810000000001</v>
      </c>
      <c r="S239" s="835">
        <f>+SUM(S237:S238)</f>
        <v>6538.3360000000002</v>
      </c>
      <c r="T239" s="835"/>
      <c r="U239" s="834">
        <f>+SUM(U237:U238)</f>
        <v>1760.31</v>
      </c>
      <c r="V239" s="834">
        <f>+SUM(V237:V238)</f>
        <v>1849.4010000000001</v>
      </c>
      <c r="W239" s="834">
        <f>+SUM(W237:W238)</f>
        <v>1893.5110000000002</v>
      </c>
      <c r="X239" s="834">
        <f>+SUM(X237:X238)</f>
        <v>2023.5680000000002</v>
      </c>
      <c r="Y239" s="835">
        <f>+SUM(Y237:Y238)</f>
        <v>7526.7899999999991</v>
      </c>
      <c r="Z239" s="835"/>
      <c r="AA239" s="834">
        <f>+SUM(AA237:AA238)</f>
        <v>1947.761</v>
      </c>
      <c r="AB239" s="834">
        <f>+SUM(AB237:AB238)</f>
        <v>2130.6399999999994</v>
      </c>
      <c r="AC239" s="834">
        <f>+SUM(AC237:AC238)</f>
        <v>2111.6930000000002</v>
      </c>
      <c r="AD239" s="834">
        <f>+SUM(AD237:AD238)</f>
        <v>2340.1480000000001</v>
      </c>
      <c r="AE239" s="835">
        <f>+SUM(AE237:AE238)</f>
        <v>8530.2420000000002</v>
      </c>
      <c r="AF239" s="835"/>
      <c r="AG239" s="834">
        <f>+SUM(AG237:AG238)</f>
        <v>2099.0189999999998</v>
      </c>
      <c r="AH239" s="834">
        <f>+SUM(AH237:AH238)</f>
        <v>2201.4520000000002</v>
      </c>
      <c r="AI239" s="834">
        <f>+SUM(AI237:AI238)</f>
        <v>2231.058</v>
      </c>
      <c r="AJ239" s="834">
        <f>+SUM(AJ237:AJ238)</f>
        <v>2408.438000000001</v>
      </c>
      <c r="AK239" s="835">
        <f>+SUM(AK237:AK238)</f>
        <v>8939.9670000000006</v>
      </c>
      <c r="AL239" s="835"/>
      <c r="AM239" s="834">
        <f>+SUM(AM237:AM238)</f>
        <v>2293.5109999999995</v>
      </c>
      <c r="AN239" s="834">
        <f>+SUM(AN237:AN238)</f>
        <v>2391.8099999999995</v>
      </c>
      <c r="AO239" s="834">
        <f>+SUM(AO237:AO238)</f>
        <v>2348.9560000000001</v>
      </c>
      <c r="AP239" s="834">
        <f>+SUM(AP237:AP238)</f>
        <v>2526.3700000000003</v>
      </c>
      <c r="AQ239" s="835">
        <f>+SUM(AQ237:AQ238)</f>
        <v>9560.6470000000008</v>
      </c>
      <c r="AR239" s="835"/>
      <c r="AS239" s="834">
        <f>+SUM(AS237:AS238)</f>
        <v>2430.1590000000001</v>
      </c>
      <c r="AT239" s="834">
        <f>+SUM(AT237:AT238)</f>
        <v>2615.4059999999999</v>
      </c>
      <c r="AU239" s="834">
        <f>+SUM(AU237:AU238)</f>
        <v>2623.7289999999998</v>
      </c>
      <c r="AV239" s="834">
        <f>+SUM(AV237:AV238)</f>
        <v>2702.0959999999995</v>
      </c>
      <c r="AW239" s="835">
        <f>+SUM(AW237:AW238)</f>
        <v>10371.39</v>
      </c>
      <c r="AX239" s="835"/>
      <c r="AY239" s="834">
        <f>+SUM(AY237:AY238)</f>
        <v>2463.6460000000002</v>
      </c>
      <c r="AZ239" s="834">
        <f>+SUM(AZ237:AZ238)</f>
        <v>2629.32</v>
      </c>
      <c r="BA239" s="834">
        <f>+SUM(BA237:BA238)</f>
        <v>2685.835</v>
      </c>
      <c r="BB239" s="834">
        <f>+SUM(BB237:BB238)</f>
        <v>2850.9179999999988</v>
      </c>
      <c r="BC239" s="835">
        <f>+SUM(BC237:BC238)</f>
        <v>10629.718999999999</v>
      </c>
      <c r="BD239" s="835"/>
      <c r="BE239" s="834">
        <f>+SUM(BE237:BE238)</f>
        <v>2712.9560000000001</v>
      </c>
      <c r="BF239" s="834">
        <f>+SUM(BF237:BF238)</f>
        <v>2872.63</v>
      </c>
      <c r="BG239" s="834">
        <f>+SUM(BG237:BG238)</f>
        <v>2865.1480000000001</v>
      </c>
      <c r="BH239" s="834">
        <f>+SUM(BH237:BH238)</f>
        <v>3120.9340000000002</v>
      </c>
      <c r="BI239" s="835">
        <f>SUM(BI237:BI238)</f>
        <v>11571.668</v>
      </c>
      <c r="BJ239" s="768"/>
      <c r="BK239" s="833">
        <f>+SUM(BK237:BK238)</f>
        <v>2922.9479999999999</v>
      </c>
      <c r="BL239" s="834">
        <f>+SUM(BL237:BL238)</f>
        <v>3059.4580000000005</v>
      </c>
      <c r="BM239" s="834">
        <f>+SUM(BM237:BM238)</f>
        <v>3161.0830000000005</v>
      </c>
      <c r="BN239" s="851">
        <f>+SUM(BN237:BN238)</f>
        <v>3318.0540000000005</v>
      </c>
      <c r="BO239" s="835">
        <f>SUM(BO237:BO238)</f>
        <v>12461.543000000001</v>
      </c>
      <c r="BP239" s="153"/>
      <c r="BQ239" s="833">
        <f>+SUM(BQ237:BQ238)</f>
        <v>3072.1614140000001</v>
      </c>
      <c r="BR239" s="834">
        <f>+SUM(BR237:BR238)</f>
        <v>3269.8201399999998</v>
      </c>
      <c r="BS239" s="834">
        <f>+SUM(BS237:BS238)</f>
        <v>3340.2211599999996</v>
      </c>
      <c r="BT239" s="851">
        <f>+SUM(BT237:BT238)</f>
        <v>3463.4065399999999</v>
      </c>
      <c r="BU239" s="835">
        <f>SUM(BU237:BU238)</f>
        <v>13145.609253999999</v>
      </c>
      <c r="BV239" s="153"/>
      <c r="BW239" s="833">
        <f>+SUM(BW237:BW238)</f>
        <v>3229.45109069</v>
      </c>
      <c r="BX239" s="834">
        <f>+SUM(BX237:BX238)</f>
        <v>3411.0425015499995</v>
      </c>
      <c r="BY239" s="834">
        <f>+SUM(BY237:BY238)</f>
        <v>3484.8114650500002</v>
      </c>
      <c r="BZ239" s="851">
        <f>+SUM(BZ237:BZ238)</f>
        <v>3610.6675447000002</v>
      </c>
      <c r="CA239" s="835">
        <f>SUM(CA237:CA238)</f>
        <v>13735.972601990001</v>
      </c>
      <c r="CB239" s="153"/>
      <c r="CC239" s="833">
        <f>+SUM(CC237:CC238)</f>
        <v>3357.1791090189499</v>
      </c>
      <c r="CD239" s="834">
        <f>+SUM(CD237:CD238)</f>
        <v>3546.9621311562496</v>
      </c>
      <c r="CE239" s="834">
        <f>+SUM(CE237:CE238)</f>
        <v>3623.5099933157489</v>
      </c>
      <c r="CF239" s="851">
        <f>+SUM(CF237:CF238)</f>
        <v>3752.8663800914992</v>
      </c>
      <c r="CG239" s="835">
        <f>SUM(CG237:CG238)</f>
        <v>14280.517613582448</v>
      </c>
    </row>
    <row r="240" spans="1:85" ht="11.25" customHeight="1" outlineLevel="1" x14ac:dyDescent="0.2">
      <c r="A240" s="148"/>
      <c r="B240" s="849" t="s">
        <v>44</v>
      </c>
      <c r="C240" s="848">
        <f>'P&amp;L'!C8-C239</f>
        <v>0</v>
      </c>
      <c r="D240" s="847">
        <f>'P&amp;L'!D8-D239</f>
        <v>0</v>
      </c>
      <c r="E240" s="847">
        <f>'P&amp;L'!E8-E239</f>
        <v>0</v>
      </c>
      <c r="F240" s="847">
        <f>'P&amp;L'!F8-F239</f>
        <v>0</v>
      </c>
      <c r="G240" s="847">
        <f>'P&amp;L'!G8-G239</f>
        <v>0</v>
      </c>
      <c r="H240" s="148"/>
      <c r="I240" s="848">
        <f>'P&amp;L'!I8-I239</f>
        <v>0</v>
      </c>
      <c r="J240" s="847">
        <f>'P&amp;L'!J8-J239</f>
        <v>0</v>
      </c>
      <c r="K240" s="847">
        <f>'P&amp;L'!K8-K239</f>
        <v>0</v>
      </c>
      <c r="L240" s="847">
        <f>'P&amp;L'!L8-L239</f>
        <v>0</v>
      </c>
      <c r="M240" s="847">
        <f>'P&amp;L'!M8-M239</f>
        <v>0</v>
      </c>
      <c r="N240" s="148"/>
      <c r="O240" s="848">
        <f>'P&amp;L'!O8-O239</f>
        <v>0</v>
      </c>
      <c r="P240" s="847">
        <f>'P&amp;L'!P8-P239</f>
        <v>0</v>
      </c>
      <c r="Q240" s="847">
        <f>'P&amp;L'!Q8-Q239</f>
        <v>0</v>
      </c>
      <c r="R240" s="847">
        <f>'P&amp;L'!R8-R239</f>
        <v>0</v>
      </c>
      <c r="S240" s="847">
        <f>'P&amp;L'!S8-S239</f>
        <v>0</v>
      </c>
      <c r="T240" s="148"/>
      <c r="U240" s="848">
        <f>'P&amp;L'!U8-U239</f>
        <v>0</v>
      </c>
      <c r="V240" s="847">
        <f>'P&amp;L'!V8-V239</f>
        <v>0</v>
      </c>
      <c r="W240" s="847">
        <f>'P&amp;L'!W8-W239</f>
        <v>0</v>
      </c>
      <c r="X240" s="847">
        <f>'P&amp;L'!X8-X239</f>
        <v>0</v>
      </c>
      <c r="Y240" s="847">
        <f>'P&amp;L'!Y8-Y239</f>
        <v>0</v>
      </c>
      <c r="Z240" s="148"/>
      <c r="AA240" s="848">
        <f>'P&amp;L'!AA8-AA239</f>
        <v>0</v>
      </c>
      <c r="AB240" s="847">
        <f>'P&amp;L'!AB8-AB239</f>
        <v>0</v>
      </c>
      <c r="AC240" s="847">
        <f>'P&amp;L'!AC8-AC239</f>
        <v>0</v>
      </c>
      <c r="AD240" s="847">
        <f>'P&amp;L'!AD8-AD239</f>
        <v>0</v>
      </c>
      <c r="AE240" s="847">
        <f>'P&amp;L'!AE8-AE239</f>
        <v>0</v>
      </c>
      <c r="AF240" s="148"/>
      <c r="AG240" s="848">
        <f>'P&amp;L'!AG8-AG239</f>
        <v>0</v>
      </c>
      <c r="AH240" s="847">
        <f>'P&amp;L'!AH8-AH239</f>
        <v>0</v>
      </c>
      <c r="AI240" s="847">
        <f>'P&amp;L'!AI8-AI239</f>
        <v>0</v>
      </c>
      <c r="AJ240" s="847">
        <f>'P&amp;L'!AJ8-AJ239</f>
        <v>0</v>
      </c>
      <c r="AK240" s="847">
        <f>'P&amp;L'!AK8-AK239</f>
        <v>0</v>
      </c>
      <c r="AL240" s="148"/>
      <c r="AM240" s="848">
        <f>'P&amp;L'!AM8-AM239</f>
        <v>0</v>
      </c>
      <c r="AN240" s="847">
        <f>'P&amp;L'!AN8-AN239</f>
        <v>0</v>
      </c>
      <c r="AO240" s="847">
        <f>'P&amp;L'!AO8-AO239</f>
        <v>0</v>
      </c>
      <c r="AP240" s="847">
        <f>'P&amp;L'!AP8-AP239</f>
        <v>0</v>
      </c>
      <c r="AQ240" s="847">
        <f>'P&amp;L'!AQ8-AQ239</f>
        <v>0</v>
      </c>
      <c r="AR240" s="148"/>
      <c r="AS240" s="848">
        <f>'P&amp;L'!AS8-AS239</f>
        <v>0</v>
      </c>
      <c r="AT240" s="847">
        <f>'P&amp;L'!AT8-AT239</f>
        <v>0</v>
      </c>
      <c r="AU240" s="847">
        <f>'P&amp;L'!AU8-AU239</f>
        <v>0</v>
      </c>
      <c r="AV240" s="847">
        <f>'P&amp;L'!AV8-AV239</f>
        <v>0</v>
      </c>
      <c r="AW240" s="847">
        <f>'P&amp;L'!AW8-AW239</f>
        <v>0</v>
      </c>
      <c r="AX240" s="148"/>
      <c r="AY240" s="848">
        <f>'P&amp;L'!AY8-AY239</f>
        <v>0</v>
      </c>
      <c r="AZ240" s="847">
        <f>'P&amp;L'!AZ8-AZ239</f>
        <v>0</v>
      </c>
      <c r="BA240" s="847">
        <f>'P&amp;L'!BA8-BA239</f>
        <v>0</v>
      </c>
      <c r="BB240" s="847">
        <f>'P&amp;L'!BB8-BB239</f>
        <v>0</v>
      </c>
      <c r="BC240" s="847">
        <f>'P&amp;L'!BC8-BC239</f>
        <v>0</v>
      </c>
      <c r="BD240" s="148"/>
      <c r="BE240" s="848">
        <f>'P&amp;L'!BE8-BE239</f>
        <v>0</v>
      </c>
      <c r="BF240" s="847">
        <f>'P&amp;L'!BF8-BF239</f>
        <v>0</v>
      </c>
      <c r="BG240" s="847">
        <f>'P&amp;L'!BG8-BG239</f>
        <v>0</v>
      </c>
      <c r="BH240" s="847">
        <f>'P&amp;L'!BH8-BH239</f>
        <v>0</v>
      </c>
      <c r="BI240" s="847">
        <f>'P&amp;L'!BI8-BI239</f>
        <v>0</v>
      </c>
      <c r="BJ240" s="148"/>
      <c r="BK240" s="848">
        <f>'P&amp;L'!BK8-BK239</f>
        <v>0</v>
      </c>
      <c r="BL240" s="847">
        <f>'P&amp;L'!BL8-BL239</f>
        <v>0</v>
      </c>
      <c r="BM240" s="847">
        <f>'P&amp;L'!BM8-BM239</f>
        <v>0</v>
      </c>
      <c r="BN240" s="847">
        <f>'P&amp;L'!BN8-BN239</f>
        <v>0</v>
      </c>
      <c r="BO240" s="847">
        <f>'P&amp;L'!BO8-BO239</f>
        <v>0</v>
      </c>
      <c r="BP240" s="153"/>
      <c r="BQ240" s="848">
        <f>'P&amp;L'!BQ8-BQ239</f>
        <v>0</v>
      </c>
      <c r="BR240" s="847">
        <f>'P&amp;L'!BR8-BR239</f>
        <v>0</v>
      </c>
      <c r="BS240" s="847">
        <f>'P&amp;L'!BS8-BS239</f>
        <v>0</v>
      </c>
      <c r="BT240" s="847">
        <f>'P&amp;L'!BT8-BT239</f>
        <v>0</v>
      </c>
      <c r="BU240" s="847">
        <f>'P&amp;L'!BU8-BU239</f>
        <v>0</v>
      </c>
      <c r="BV240" s="153"/>
      <c r="BW240" s="848">
        <f>'P&amp;L'!BW8-BW239</f>
        <v>0</v>
      </c>
      <c r="BX240" s="847">
        <f>'P&amp;L'!BX8-BX239</f>
        <v>0</v>
      </c>
      <c r="BY240" s="847">
        <f>'P&amp;L'!BY8-BY239</f>
        <v>0</v>
      </c>
      <c r="BZ240" s="847">
        <f>'P&amp;L'!BZ8-BZ239</f>
        <v>0</v>
      </c>
      <c r="CA240" s="847">
        <f>'P&amp;L'!CA8-CA239</f>
        <v>0</v>
      </c>
      <c r="CB240" s="153"/>
      <c r="CC240" s="848">
        <f>'P&amp;L'!CC8-CC239</f>
        <v>0</v>
      </c>
      <c r="CD240" s="847">
        <f>'P&amp;L'!CD8-CD239</f>
        <v>0</v>
      </c>
      <c r="CE240" s="847">
        <f>'P&amp;L'!CE8-CE239</f>
        <v>0</v>
      </c>
      <c r="CF240" s="847">
        <f>'P&amp;L'!CF8-CF239</f>
        <v>0</v>
      </c>
      <c r="CG240" s="847">
        <f>'P&amp;L'!CG8-CG239</f>
        <v>0</v>
      </c>
    </row>
    <row r="241" spans="1:85" ht="11.25" customHeight="1" outlineLevel="1" x14ac:dyDescent="0.2">
      <c r="A241" s="78"/>
    </row>
    <row r="242" spans="1:85" ht="11.25" customHeight="1" outlineLevel="1" x14ac:dyDescent="0.2">
      <c r="B242" s="812" t="s">
        <v>472</v>
      </c>
      <c r="C242" s="813"/>
      <c r="D242" s="813"/>
      <c r="E242" s="813"/>
      <c r="F242" s="813"/>
      <c r="G242" s="813"/>
      <c r="H242" s="812"/>
      <c r="I242" s="813"/>
      <c r="J242" s="813"/>
      <c r="K242" s="813"/>
      <c r="L242" s="813"/>
      <c r="M242" s="813"/>
      <c r="N242" s="812"/>
      <c r="O242" s="813"/>
      <c r="P242" s="813"/>
      <c r="Q242" s="813"/>
      <c r="R242" s="813"/>
      <c r="S242" s="813"/>
      <c r="T242" s="812"/>
      <c r="U242" s="813"/>
      <c r="V242" s="813"/>
      <c r="W242" s="813"/>
      <c r="X242" s="813"/>
      <c r="Y242" s="813"/>
      <c r="Z242" s="812"/>
      <c r="AA242" s="813"/>
      <c r="AB242" s="813"/>
      <c r="AC242" s="813"/>
      <c r="AD242" s="813"/>
      <c r="AE242" s="813"/>
      <c r="AF242" s="812"/>
      <c r="AG242" s="813"/>
      <c r="AH242" s="813"/>
      <c r="AI242" s="813"/>
      <c r="AJ242" s="813"/>
      <c r="AK242" s="813"/>
      <c r="AL242" s="812"/>
      <c r="AM242" s="813"/>
      <c r="AN242" s="813"/>
      <c r="AO242" s="813"/>
      <c r="AP242" s="813"/>
      <c r="AQ242" s="813"/>
      <c r="AR242" s="812"/>
      <c r="AS242" s="813"/>
      <c r="AT242" s="813"/>
      <c r="AU242" s="813"/>
      <c r="AV242" s="813"/>
      <c r="AW242" s="813"/>
      <c r="AX242" s="812"/>
      <c r="AY242" s="813"/>
      <c r="AZ242" s="813"/>
      <c r="BA242" s="813"/>
      <c r="BB242" s="813"/>
      <c r="BC242" s="813"/>
      <c r="BD242" s="812"/>
      <c r="BE242" s="813"/>
      <c r="BF242" s="813"/>
      <c r="BG242" s="813"/>
      <c r="BH242" s="813"/>
      <c r="BI242" s="813"/>
      <c r="BJ242" s="812"/>
      <c r="BK242" s="813"/>
      <c r="BL242" s="813"/>
      <c r="BM242" s="813"/>
      <c r="BN242" s="813"/>
      <c r="BO242" s="813"/>
      <c r="BP242" s="812"/>
      <c r="BQ242" s="813"/>
      <c r="BR242" s="813"/>
      <c r="BS242" s="813"/>
      <c r="BT242" s="813"/>
      <c r="BU242" s="813"/>
      <c r="BV242" s="812"/>
      <c r="BW242" s="813"/>
      <c r="BX242" s="813"/>
      <c r="BY242" s="813"/>
      <c r="BZ242" s="813"/>
      <c r="CA242" s="813"/>
      <c r="CB242" s="812"/>
      <c r="CC242" s="813"/>
      <c r="CD242" s="813"/>
      <c r="CE242" s="813"/>
      <c r="CF242" s="813"/>
      <c r="CG242" s="813"/>
    </row>
    <row r="243" spans="1:85" ht="11.25" customHeight="1" outlineLevel="1" x14ac:dyDescent="0.2">
      <c r="B243" s="773" t="s">
        <v>473</v>
      </c>
      <c r="C243" s="278">
        <f t="shared" ref="C243:F245" si="55">+D243</f>
        <v>0.6593568271612299</v>
      </c>
      <c r="D243" s="278">
        <f t="shared" si="55"/>
        <v>0.6593568271612299</v>
      </c>
      <c r="E243" s="278">
        <f t="shared" si="55"/>
        <v>0.6593568271612299</v>
      </c>
      <c r="F243" s="278">
        <f t="shared" si="55"/>
        <v>0.6593568271612299</v>
      </c>
      <c r="G243" s="793">
        <f>G237/G$239</f>
        <v>0.6593568271612299</v>
      </c>
      <c r="H243" s="836"/>
      <c r="I243" s="278">
        <f t="shared" ref="I243:L245" si="56">+J243</f>
        <v>0.61085700878610827</v>
      </c>
      <c r="J243" s="278">
        <f t="shared" si="56"/>
        <v>0.61085700878610827</v>
      </c>
      <c r="K243" s="278">
        <f t="shared" si="56"/>
        <v>0.61085700878610827</v>
      </c>
      <c r="L243" s="278">
        <f t="shared" si="56"/>
        <v>0.61085700878610827</v>
      </c>
      <c r="M243" s="793">
        <f>M237/M$239</f>
        <v>0.61085700878610827</v>
      </c>
      <c r="N243" s="836"/>
      <c r="O243" s="278">
        <f t="shared" ref="O243:R245" si="57">+P243</f>
        <v>0.59684191818835863</v>
      </c>
      <c r="P243" s="278">
        <f t="shared" si="57"/>
        <v>0.59684191818835863</v>
      </c>
      <c r="Q243" s="278">
        <f t="shared" si="57"/>
        <v>0.59684191818835863</v>
      </c>
      <c r="R243" s="278">
        <f t="shared" si="57"/>
        <v>0.59684191818835863</v>
      </c>
      <c r="S243" s="793">
        <f>S237/S$239</f>
        <v>0.59684191818835863</v>
      </c>
      <c r="T243" s="836"/>
      <c r="U243" s="278">
        <f t="shared" ref="U243:X245" si="58">+V243</f>
        <v>0.63468915699787032</v>
      </c>
      <c r="V243" s="278">
        <f t="shared" si="58"/>
        <v>0.63468915699787032</v>
      </c>
      <c r="W243" s="278">
        <f t="shared" si="58"/>
        <v>0.63468915699787032</v>
      </c>
      <c r="X243" s="278">
        <f t="shared" si="58"/>
        <v>0.63468915699787032</v>
      </c>
      <c r="Y243" s="793">
        <f>Y237/Y$239</f>
        <v>0.63468915699787032</v>
      </c>
      <c r="Z243" s="836"/>
      <c r="AA243" s="278">
        <f t="shared" ref="AA243:AD245" si="59">+AB243</f>
        <v>0.611103530239822</v>
      </c>
      <c r="AB243" s="278">
        <f t="shared" si="59"/>
        <v>0.611103530239822</v>
      </c>
      <c r="AC243" s="278">
        <f t="shared" si="59"/>
        <v>0.611103530239822</v>
      </c>
      <c r="AD243" s="278">
        <f t="shared" si="59"/>
        <v>0.611103530239822</v>
      </c>
      <c r="AE243" s="793">
        <f>AE237/AE$239</f>
        <v>0.611103530239822</v>
      </c>
      <c r="AF243" s="836"/>
      <c r="AG243" s="278">
        <f t="shared" ref="AG243:AJ245" si="60">+AH243</f>
        <v>0.6148757596085086</v>
      </c>
      <c r="AH243" s="278">
        <f t="shared" si="60"/>
        <v>0.6148757596085086</v>
      </c>
      <c r="AI243" s="278">
        <f t="shared" si="60"/>
        <v>0.6148757596085086</v>
      </c>
      <c r="AJ243" s="278">
        <f t="shared" si="60"/>
        <v>0.6148757596085086</v>
      </c>
      <c r="AK243" s="793">
        <f>AK237/AK$239</f>
        <v>0.6148757596085086</v>
      </c>
      <c r="AL243" s="836"/>
      <c r="AM243" s="278">
        <f t="shared" ref="AM243:AP245" si="61">+AN243</f>
        <v>0.60806679715295409</v>
      </c>
      <c r="AN243" s="278">
        <f t="shared" si="61"/>
        <v>0.60806679715295409</v>
      </c>
      <c r="AO243" s="278">
        <f t="shared" si="61"/>
        <v>0.60806679715295409</v>
      </c>
      <c r="AP243" s="278">
        <f t="shared" si="61"/>
        <v>0.60806679715295409</v>
      </c>
      <c r="AQ243" s="793">
        <f>AQ237/AQ$239</f>
        <v>0.60806679715295409</v>
      </c>
      <c r="AR243" s="836"/>
      <c r="AS243" s="278">
        <f t="shared" ref="AS243:AV245" si="62">+AT243</f>
        <v>0.60233546323106157</v>
      </c>
      <c r="AT243" s="278">
        <f t="shared" si="62"/>
        <v>0.60233546323106157</v>
      </c>
      <c r="AU243" s="278">
        <f t="shared" si="62"/>
        <v>0.60233546323106157</v>
      </c>
      <c r="AV243" s="278">
        <f t="shared" si="62"/>
        <v>0.60233546323106157</v>
      </c>
      <c r="AW243" s="793">
        <f>AW237/AW$239</f>
        <v>0.60233546323106157</v>
      </c>
      <c r="AX243" s="836"/>
      <c r="AY243" s="278">
        <f t="shared" ref="AY243:BB245" si="63">+AZ243</f>
        <v>0.63960740636699809</v>
      </c>
      <c r="AZ243" s="278">
        <f t="shared" si="63"/>
        <v>0.63960740636699809</v>
      </c>
      <c r="BA243" s="278">
        <f t="shared" si="63"/>
        <v>0.63960740636699809</v>
      </c>
      <c r="BB243" s="278">
        <f t="shared" si="63"/>
        <v>0.63960740636699809</v>
      </c>
      <c r="BC243" s="793">
        <f>BC237/BC$239</f>
        <v>0.63960740636699809</v>
      </c>
      <c r="BD243" s="836"/>
      <c r="BE243" s="278">
        <f t="shared" ref="BE243:BH244" si="64">BF243</f>
        <v>0.65132330101416669</v>
      </c>
      <c r="BF243" s="278">
        <f t="shared" si="64"/>
        <v>0.65132330101416669</v>
      </c>
      <c r="BG243" s="278">
        <f t="shared" si="64"/>
        <v>0.65132330101416669</v>
      </c>
      <c r="BH243" s="278">
        <f t="shared" si="64"/>
        <v>0.65132330101416669</v>
      </c>
      <c r="BI243" s="793">
        <f>BI237/BI$239</f>
        <v>0.65132330101416669</v>
      </c>
      <c r="BJ243" s="842"/>
      <c r="BK243" s="743">
        <f>BI243</f>
        <v>0.65132330101416669</v>
      </c>
      <c r="BL243" s="278">
        <f t="shared" ref="BL243:BN245" si="65">BK243</f>
        <v>0.65132330101416669</v>
      </c>
      <c r="BM243" s="278">
        <f t="shared" si="65"/>
        <v>0.65132330101416669</v>
      </c>
      <c r="BN243" s="278">
        <f t="shared" si="65"/>
        <v>0.65132330101416669</v>
      </c>
      <c r="BO243" s="793">
        <f>BO237/BO$239</f>
        <v>0.63432738626348273</v>
      </c>
      <c r="BP243" s="278"/>
      <c r="BQ243" s="743">
        <f>BO243</f>
        <v>0.63432738626348273</v>
      </c>
      <c r="BR243" s="278">
        <f t="shared" ref="BR243:BT245" si="66">BQ243</f>
        <v>0.63432738626348273</v>
      </c>
      <c r="BS243" s="278">
        <f t="shared" si="66"/>
        <v>0.63432738626348273</v>
      </c>
      <c r="BT243" s="278">
        <f t="shared" si="66"/>
        <v>0.63432738626348273</v>
      </c>
      <c r="BU243" s="793">
        <f>BU237/BU$239</f>
        <v>0.63432738626348273</v>
      </c>
      <c r="BV243" s="278"/>
      <c r="BW243" s="743">
        <f>BU243</f>
        <v>0.63432738626348273</v>
      </c>
      <c r="BX243" s="278">
        <f t="shared" ref="BX243:BZ245" si="67">BW243</f>
        <v>0.63432738626348273</v>
      </c>
      <c r="BY243" s="278">
        <f t="shared" si="67"/>
        <v>0.63432738626348273</v>
      </c>
      <c r="BZ243" s="278">
        <f t="shared" si="67"/>
        <v>0.63432738626348273</v>
      </c>
      <c r="CA243" s="793">
        <f>CA237/CA$239</f>
        <v>0.63432738626348273</v>
      </c>
      <c r="CB243" s="278"/>
      <c r="CC243" s="743">
        <f>CA243</f>
        <v>0.63432738626348273</v>
      </c>
      <c r="CD243" s="278">
        <f t="shared" ref="CD243:CF245" si="68">CC243</f>
        <v>0.63432738626348273</v>
      </c>
      <c r="CE243" s="278">
        <f t="shared" si="68"/>
        <v>0.63432738626348273</v>
      </c>
      <c r="CF243" s="278">
        <f t="shared" si="68"/>
        <v>0.63432738626348273</v>
      </c>
      <c r="CG243" s="793">
        <f>CG237/CG$239</f>
        <v>0.63432738626348273</v>
      </c>
    </row>
    <row r="244" spans="1:85" ht="11.25" customHeight="1" outlineLevel="1" x14ac:dyDescent="0.2">
      <c r="B244" s="773" t="s">
        <v>310</v>
      </c>
      <c r="C244" s="278">
        <f t="shared" si="55"/>
        <v>0.34064317283877016</v>
      </c>
      <c r="D244" s="278">
        <f t="shared" si="55"/>
        <v>0.34064317283877016</v>
      </c>
      <c r="E244" s="278">
        <f t="shared" si="55"/>
        <v>0.34064317283877016</v>
      </c>
      <c r="F244" s="278">
        <f t="shared" si="55"/>
        <v>0.34064317283877016</v>
      </c>
      <c r="G244" s="793">
        <f>G238/G$239</f>
        <v>0.34064317283877016</v>
      </c>
      <c r="H244" s="836"/>
      <c r="I244" s="278">
        <f t="shared" si="56"/>
        <v>0.38914299121389162</v>
      </c>
      <c r="J244" s="278">
        <f t="shared" si="56"/>
        <v>0.38914299121389162</v>
      </c>
      <c r="K244" s="278">
        <f t="shared" si="56"/>
        <v>0.38914299121389162</v>
      </c>
      <c r="L244" s="278">
        <f t="shared" si="56"/>
        <v>0.38914299121389162</v>
      </c>
      <c r="M244" s="793">
        <f>M238/M$239</f>
        <v>0.38914299121389162</v>
      </c>
      <c r="N244" s="836"/>
      <c r="O244" s="278">
        <f t="shared" si="57"/>
        <v>0.40315808181164137</v>
      </c>
      <c r="P244" s="278">
        <f t="shared" si="57"/>
        <v>0.40315808181164137</v>
      </c>
      <c r="Q244" s="278">
        <f t="shared" si="57"/>
        <v>0.40315808181164137</v>
      </c>
      <c r="R244" s="278">
        <f t="shared" si="57"/>
        <v>0.40315808181164137</v>
      </c>
      <c r="S244" s="793">
        <f>S238/S$239</f>
        <v>0.40315808181164137</v>
      </c>
      <c r="T244" s="836"/>
      <c r="U244" s="278">
        <f t="shared" si="58"/>
        <v>0.36531084300212974</v>
      </c>
      <c r="V244" s="278">
        <f t="shared" si="58"/>
        <v>0.36531084300212974</v>
      </c>
      <c r="W244" s="278">
        <f t="shared" si="58"/>
        <v>0.36531084300212974</v>
      </c>
      <c r="X244" s="278">
        <f t="shared" si="58"/>
        <v>0.36531084300212974</v>
      </c>
      <c r="Y244" s="793">
        <f>Y238/Y$239</f>
        <v>0.36531084300212974</v>
      </c>
      <c r="Z244" s="836"/>
      <c r="AA244" s="278">
        <f t="shared" si="59"/>
        <v>0.38889646976017794</v>
      </c>
      <c r="AB244" s="278">
        <f t="shared" si="59"/>
        <v>0.38889646976017794</v>
      </c>
      <c r="AC244" s="278">
        <f t="shared" si="59"/>
        <v>0.38889646976017794</v>
      </c>
      <c r="AD244" s="278">
        <f t="shared" si="59"/>
        <v>0.38889646976017794</v>
      </c>
      <c r="AE244" s="793">
        <f>AE238/AE$239</f>
        <v>0.38889646976017794</v>
      </c>
      <c r="AF244" s="836"/>
      <c r="AG244" s="278">
        <f t="shared" si="60"/>
        <v>0.38512424039149135</v>
      </c>
      <c r="AH244" s="278">
        <f t="shared" si="60"/>
        <v>0.38512424039149135</v>
      </c>
      <c r="AI244" s="278">
        <f t="shared" si="60"/>
        <v>0.38512424039149135</v>
      </c>
      <c r="AJ244" s="278">
        <f t="shared" si="60"/>
        <v>0.38512424039149135</v>
      </c>
      <c r="AK244" s="793">
        <f>AK238/AK$239</f>
        <v>0.38512424039149135</v>
      </c>
      <c r="AL244" s="836"/>
      <c r="AM244" s="278">
        <f t="shared" si="61"/>
        <v>0.3919332028470458</v>
      </c>
      <c r="AN244" s="278">
        <f t="shared" si="61"/>
        <v>0.3919332028470458</v>
      </c>
      <c r="AO244" s="278">
        <f t="shared" si="61"/>
        <v>0.3919332028470458</v>
      </c>
      <c r="AP244" s="278">
        <f t="shared" si="61"/>
        <v>0.3919332028470458</v>
      </c>
      <c r="AQ244" s="793">
        <f>AQ238/AQ$239</f>
        <v>0.3919332028470458</v>
      </c>
      <c r="AR244" s="836"/>
      <c r="AS244" s="278">
        <f t="shared" si="62"/>
        <v>0.39766453676893843</v>
      </c>
      <c r="AT244" s="278">
        <f t="shared" si="62"/>
        <v>0.39766453676893843</v>
      </c>
      <c r="AU244" s="278">
        <f t="shared" si="62"/>
        <v>0.39766453676893843</v>
      </c>
      <c r="AV244" s="278">
        <f t="shared" si="62"/>
        <v>0.39766453676893843</v>
      </c>
      <c r="AW244" s="793">
        <f>AW238/AW$239</f>
        <v>0.39766453676893843</v>
      </c>
      <c r="AX244" s="836"/>
      <c r="AY244" s="278">
        <f t="shared" si="63"/>
        <v>0.36039259363300197</v>
      </c>
      <c r="AZ244" s="278">
        <f t="shared" si="63"/>
        <v>0.36039259363300197</v>
      </c>
      <c r="BA244" s="278">
        <f t="shared" si="63"/>
        <v>0.36039259363300197</v>
      </c>
      <c r="BB244" s="278">
        <f t="shared" si="63"/>
        <v>0.36039259363300197</v>
      </c>
      <c r="BC244" s="793">
        <f>BC238/BC$239</f>
        <v>0.36039259363300197</v>
      </c>
      <c r="BD244" s="836"/>
      <c r="BE244" s="278">
        <f t="shared" si="64"/>
        <v>0.34867669898583337</v>
      </c>
      <c r="BF244" s="278">
        <f t="shared" si="64"/>
        <v>0.34867669898583337</v>
      </c>
      <c r="BG244" s="278">
        <f t="shared" si="64"/>
        <v>0.34867669898583337</v>
      </c>
      <c r="BH244" s="278">
        <f t="shared" si="64"/>
        <v>0.34867669898583337</v>
      </c>
      <c r="BI244" s="793">
        <f>BI238/BI$239</f>
        <v>0.34867669898583337</v>
      </c>
      <c r="BJ244" s="842"/>
      <c r="BK244" s="743">
        <f>BI244</f>
        <v>0.34867669898583337</v>
      </c>
      <c r="BL244" s="278">
        <f t="shared" si="65"/>
        <v>0.34867669898583337</v>
      </c>
      <c r="BM244" s="278">
        <f t="shared" si="65"/>
        <v>0.34867669898583337</v>
      </c>
      <c r="BN244" s="278">
        <f t="shared" si="65"/>
        <v>0.34867669898583337</v>
      </c>
      <c r="BO244" s="793">
        <f>BO238/BO$239</f>
        <v>0.36567261373651722</v>
      </c>
      <c r="BP244" s="278"/>
      <c r="BQ244" s="743">
        <f>BO244</f>
        <v>0.36567261373651722</v>
      </c>
      <c r="BR244" s="278">
        <f t="shared" si="66"/>
        <v>0.36567261373651722</v>
      </c>
      <c r="BS244" s="278">
        <f t="shared" si="66"/>
        <v>0.36567261373651722</v>
      </c>
      <c r="BT244" s="278">
        <f t="shared" si="66"/>
        <v>0.36567261373651722</v>
      </c>
      <c r="BU244" s="793">
        <f>BU238/BU$239</f>
        <v>0.36567261373651727</v>
      </c>
      <c r="BV244" s="278"/>
      <c r="BW244" s="743">
        <f>BU244</f>
        <v>0.36567261373651727</v>
      </c>
      <c r="BX244" s="278">
        <f t="shared" si="67"/>
        <v>0.36567261373651727</v>
      </c>
      <c r="BY244" s="278">
        <f t="shared" si="67"/>
        <v>0.36567261373651727</v>
      </c>
      <c r="BZ244" s="278">
        <f t="shared" si="67"/>
        <v>0.36567261373651727</v>
      </c>
      <c r="CA244" s="793">
        <f>CA238/CA$239</f>
        <v>0.36567261373651722</v>
      </c>
      <c r="CB244" s="278"/>
      <c r="CC244" s="743">
        <f>CA244</f>
        <v>0.36567261373651722</v>
      </c>
      <c r="CD244" s="278">
        <f t="shared" si="68"/>
        <v>0.36567261373651722</v>
      </c>
      <c r="CE244" s="278">
        <f t="shared" si="68"/>
        <v>0.36567261373651722</v>
      </c>
      <c r="CF244" s="278">
        <f t="shared" si="68"/>
        <v>0.36567261373651722</v>
      </c>
      <c r="CG244" s="793">
        <f>CG238/CG$239</f>
        <v>0.36567261373651722</v>
      </c>
    </row>
    <row r="245" spans="1:85" ht="11.25" customHeight="1" outlineLevel="1" x14ac:dyDescent="0.2">
      <c r="B245" s="837" t="s">
        <v>324</v>
      </c>
      <c r="C245" s="838">
        <f t="shared" si="55"/>
        <v>1</v>
      </c>
      <c r="D245" s="838">
        <f t="shared" si="55"/>
        <v>1</v>
      </c>
      <c r="E245" s="838">
        <f t="shared" si="55"/>
        <v>1</v>
      </c>
      <c r="F245" s="838">
        <f t="shared" si="55"/>
        <v>1</v>
      </c>
      <c r="G245" s="839">
        <f>G239/G$239</f>
        <v>1</v>
      </c>
      <c r="H245" s="840"/>
      <c r="I245" s="838">
        <f t="shared" si="56"/>
        <v>1</v>
      </c>
      <c r="J245" s="838">
        <f t="shared" si="56"/>
        <v>1</v>
      </c>
      <c r="K245" s="838">
        <f t="shared" si="56"/>
        <v>1</v>
      </c>
      <c r="L245" s="838">
        <f t="shared" si="56"/>
        <v>1</v>
      </c>
      <c r="M245" s="839">
        <f>M239/M$239</f>
        <v>1</v>
      </c>
      <c r="N245" s="840"/>
      <c r="O245" s="838">
        <f t="shared" si="57"/>
        <v>1</v>
      </c>
      <c r="P245" s="838">
        <f t="shared" si="57"/>
        <v>1</v>
      </c>
      <c r="Q245" s="838">
        <f t="shared" si="57"/>
        <v>1</v>
      </c>
      <c r="R245" s="838">
        <f t="shared" si="57"/>
        <v>1</v>
      </c>
      <c r="S245" s="839">
        <f>S239/S$239</f>
        <v>1</v>
      </c>
      <c r="T245" s="840"/>
      <c r="U245" s="838">
        <f t="shared" si="58"/>
        <v>1</v>
      </c>
      <c r="V245" s="838">
        <f t="shared" si="58"/>
        <v>1</v>
      </c>
      <c r="W245" s="838">
        <f t="shared" si="58"/>
        <v>1</v>
      </c>
      <c r="X245" s="838">
        <f t="shared" si="58"/>
        <v>1</v>
      </c>
      <c r="Y245" s="839">
        <f>Y239/Y$239</f>
        <v>1</v>
      </c>
      <c r="Z245" s="840"/>
      <c r="AA245" s="838">
        <f t="shared" si="59"/>
        <v>1</v>
      </c>
      <c r="AB245" s="838">
        <f t="shared" si="59"/>
        <v>1</v>
      </c>
      <c r="AC245" s="838">
        <f t="shared" si="59"/>
        <v>1</v>
      </c>
      <c r="AD245" s="838">
        <f t="shared" si="59"/>
        <v>1</v>
      </c>
      <c r="AE245" s="839">
        <f>AE239/AE$239</f>
        <v>1</v>
      </c>
      <c r="AF245" s="840"/>
      <c r="AG245" s="838">
        <f t="shared" si="60"/>
        <v>1</v>
      </c>
      <c r="AH245" s="838">
        <f t="shared" si="60"/>
        <v>1</v>
      </c>
      <c r="AI245" s="838">
        <f t="shared" si="60"/>
        <v>1</v>
      </c>
      <c r="AJ245" s="838">
        <f t="shared" si="60"/>
        <v>1</v>
      </c>
      <c r="AK245" s="839">
        <f>AK239/AK$239</f>
        <v>1</v>
      </c>
      <c r="AL245" s="840"/>
      <c r="AM245" s="838">
        <f t="shared" si="61"/>
        <v>1</v>
      </c>
      <c r="AN245" s="838">
        <f t="shared" si="61"/>
        <v>1</v>
      </c>
      <c r="AO245" s="838">
        <f t="shared" si="61"/>
        <v>1</v>
      </c>
      <c r="AP245" s="838">
        <f t="shared" si="61"/>
        <v>1</v>
      </c>
      <c r="AQ245" s="839">
        <f>AQ239/AQ$239</f>
        <v>1</v>
      </c>
      <c r="AR245" s="840"/>
      <c r="AS245" s="838">
        <f t="shared" si="62"/>
        <v>1</v>
      </c>
      <c r="AT245" s="838">
        <f t="shared" si="62"/>
        <v>1</v>
      </c>
      <c r="AU245" s="838">
        <f t="shared" si="62"/>
        <v>1</v>
      </c>
      <c r="AV245" s="838">
        <f t="shared" si="62"/>
        <v>1</v>
      </c>
      <c r="AW245" s="839">
        <f>AW239/AW$239</f>
        <v>1</v>
      </c>
      <c r="AX245" s="840"/>
      <c r="AY245" s="838">
        <f t="shared" si="63"/>
        <v>1</v>
      </c>
      <c r="AZ245" s="838">
        <f t="shared" si="63"/>
        <v>1</v>
      </c>
      <c r="BA245" s="838">
        <f t="shared" si="63"/>
        <v>1</v>
      </c>
      <c r="BB245" s="838">
        <f t="shared" si="63"/>
        <v>1</v>
      </c>
      <c r="BC245" s="839">
        <f>BC239/BC$239</f>
        <v>1</v>
      </c>
      <c r="BD245" s="840"/>
      <c r="BE245" s="838">
        <f>+BF245</f>
        <v>1</v>
      </c>
      <c r="BF245" s="838">
        <f>+BG245</f>
        <v>1</v>
      </c>
      <c r="BG245" s="838">
        <f>+BH245</f>
        <v>1</v>
      </c>
      <c r="BH245" s="838">
        <f>+BI245</f>
        <v>1</v>
      </c>
      <c r="BI245" s="839">
        <f>BI239/BI$239</f>
        <v>1</v>
      </c>
      <c r="BJ245" s="843"/>
      <c r="BK245" s="846">
        <f>BI245</f>
        <v>1</v>
      </c>
      <c r="BL245" s="838">
        <f t="shared" si="65"/>
        <v>1</v>
      </c>
      <c r="BM245" s="838">
        <f t="shared" si="65"/>
        <v>1</v>
      </c>
      <c r="BN245" s="838">
        <f t="shared" si="65"/>
        <v>1</v>
      </c>
      <c r="BO245" s="839">
        <f>BO239/BO$239</f>
        <v>1</v>
      </c>
      <c r="BP245" s="278"/>
      <c r="BQ245" s="846">
        <f>BO245</f>
        <v>1</v>
      </c>
      <c r="BR245" s="838">
        <f t="shared" si="66"/>
        <v>1</v>
      </c>
      <c r="BS245" s="838">
        <f t="shared" si="66"/>
        <v>1</v>
      </c>
      <c r="BT245" s="838">
        <f t="shared" si="66"/>
        <v>1</v>
      </c>
      <c r="BU245" s="839">
        <f>BU239/BU$239</f>
        <v>1</v>
      </c>
      <c r="BV245" s="278"/>
      <c r="BW245" s="846">
        <f>BU245</f>
        <v>1</v>
      </c>
      <c r="BX245" s="838">
        <f t="shared" si="67"/>
        <v>1</v>
      </c>
      <c r="BY245" s="838">
        <f t="shared" si="67"/>
        <v>1</v>
      </c>
      <c r="BZ245" s="838">
        <f t="shared" si="67"/>
        <v>1</v>
      </c>
      <c r="CA245" s="839">
        <f>CA239/CA$239</f>
        <v>1</v>
      </c>
      <c r="CB245" s="278"/>
      <c r="CC245" s="846">
        <f>CA245</f>
        <v>1</v>
      </c>
      <c r="CD245" s="838">
        <f t="shared" si="68"/>
        <v>1</v>
      </c>
      <c r="CE245" s="838">
        <f t="shared" si="68"/>
        <v>1</v>
      </c>
      <c r="CF245" s="838">
        <f t="shared" si="68"/>
        <v>1</v>
      </c>
      <c r="CG245" s="839">
        <f>CG239/CG$239</f>
        <v>1</v>
      </c>
    </row>
    <row r="246" spans="1:85" ht="11.25" customHeight="1" outlineLevel="1" x14ac:dyDescent="0.2">
      <c r="A246" s="78"/>
      <c r="BJ246" s="11"/>
      <c r="BK246" s="15"/>
      <c r="BQ246" s="15"/>
      <c r="BW246" s="15"/>
      <c r="CC246" s="15"/>
    </row>
    <row r="247" spans="1:85" ht="11.25" customHeight="1" outlineLevel="1" x14ac:dyDescent="0.2"/>
    <row r="248" spans="1:85" ht="11.25" customHeight="1" outlineLevel="1" x14ac:dyDescent="0.2">
      <c r="B248" s="812" t="s">
        <v>471</v>
      </c>
      <c r="C248" s="813"/>
      <c r="D248" s="813"/>
      <c r="E248" s="813"/>
      <c r="F248" s="813"/>
      <c r="G248" s="813"/>
      <c r="H248" s="812"/>
      <c r="I248" s="813"/>
      <c r="J248" s="813"/>
      <c r="K248" s="813"/>
      <c r="L248" s="813"/>
      <c r="M248" s="813"/>
      <c r="N248" s="812"/>
      <c r="O248" s="813"/>
      <c r="P248" s="813"/>
      <c r="Q248" s="813"/>
      <c r="R248" s="813"/>
      <c r="S248" s="813"/>
      <c r="T248" s="812"/>
      <c r="U248" s="813"/>
      <c r="V248" s="813"/>
      <c r="W248" s="813"/>
      <c r="X248" s="813"/>
      <c r="Y248" s="813"/>
      <c r="Z248" s="812"/>
      <c r="AA248" s="813"/>
      <c r="AB248" s="813"/>
      <c r="AC248" s="813"/>
      <c r="AD248" s="813"/>
      <c r="AE248" s="813"/>
      <c r="AF248" s="812"/>
      <c r="AG248" s="813"/>
      <c r="AH248" s="813"/>
      <c r="AI248" s="813"/>
      <c r="AJ248" s="813"/>
      <c r="AK248" s="813"/>
      <c r="AL248" s="812"/>
      <c r="AM248" s="813"/>
      <c r="AN248" s="813"/>
      <c r="AO248" s="813"/>
      <c r="AP248" s="813"/>
      <c r="AQ248" s="813"/>
      <c r="AR248" s="812"/>
      <c r="AS248" s="813"/>
      <c r="AT248" s="813"/>
      <c r="AU248" s="813"/>
      <c r="AV248" s="813"/>
      <c r="AW248" s="813"/>
      <c r="AX248" s="812"/>
      <c r="AY248" s="813"/>
      <c r="AZ248" s="813"/>
      <c r="BA248" s="813"/>
      <c r="BB248" s="813"/>
      <c r="BC248" s="813"/>
      <c r="BD248" s="812"/>
      <c r="BE248" s="813"/>
      <c r="BF248" s="813"/>
      <c r="BG248" s="813"/>
      <c r="BH248" s="813"/>
      <c r="BI248" s="813"/>
      <c r="BJ248" s="812"/>
      <c r="BK248" s="813"/>
      <c r="BL248" s="813"/>
      <c r="BM248" s="813"/>
      <c r="BN248" s="813"/>
      <c r="BO248" s="813"/>
      <c r="BP248" s="812"/>
      <c r="BQ248" s="813"/>
      <c r="BR248" s="813"/>
      <c r="BS248" s="813"/>
      <c r="BT248" s="813"/>
      <c r="BU248" s="813"/>
      <c r="BV248" s="812"/>
      <c r="BW248" s="813"/>
      <c r="BX248" s="813"/>
      <c r="BY248" s="813"/>
      <c r="BZ248" s="813"/>
      <c r="CA248" s="813"/>
      <c r="CB248" s="812"/>
      <c r="CC248" s="813"/>
      <c r="CD248" s="813"/>
      <c r="CE248" s="813"/>
      <c r="CF248" s="813"/>
      <c r="CG248" s="814"/>
    </row>
    <row r="249" spans="1:85" ht="11.25" customHeight="1" outlineLevel="1" x14ac:dyDescent="0.2">
      <c r="A249" s="830"/>
      <c r="B249" s="773" t="s">
        <v>303</v>
      </c>
      <c r="C249" s="844"/>
      <c r="D249" s="831"/>
      <c r="E249" s="831"/>
      <c r="F249" s="850"/>
      <c r="G249" s="456"/>
      <c r="H249" s="830"/>
      <c r="I249" s="844"/>
      <c r="J249" s="831"/>
      <c r="K249" s="831"/>
      <c r="L249" s="850"/>
      <c r="M249" s="456"/>
      <c r="N249" s="830"/>
      <c r="O249" s="844"/>
      <c r="P249" s="831"/>
      <c r="Q249" s="831"/>
      <c r="R249" s="850"/>
      <c r="S249" s="456"/>
      <c r="T249" s="830"/>
      <c r="U249" s="844"/>
      <c r="V249" s="831"/>
      <c r="W249" s="831"/>
      <c r="X249" s="850"/>
      <c r="Y249" s="456"/>
      <c r="Z249" s="830"/>
      <c r="AA249" s="844"/>
      <c r="AB249" s="831"/>
      <c r="AC249" s="831"/>
      <c r="AD249" s="850"/>
      <c r="AE249" s="456"/>
      <c r="AF249" s="830"/>
      <c r="AG249" s="844">
        <f>'P&amp;L'!AG8*AG256</f>
        <v>1364.3623499999999</v>
      </c>
      <c r="AH249" s="831">
        <f>'P&amp;L'!AH8*AH256</f>
        <v>1430.9438000000002</v>
      </c>
      <c r="AI249" s="831">
        <f>'P&amp;L'!AI8*AI256</f>
        <v>1450.1876999999999</v>
      </c>
      <c r="AJ249" s="850">
        <f>'P&amp;L'!AJ8*AJ256</f>
        <v>1565.4847000000007</v>
      </c>
      <c r="AK249" s="456">
        <f>SUM(AG249:AJ249)</f>
        <v>5810.9785500000016</v>
      </c>
      <c r="AL249" s="830"/>
      <c r="AM249" s="844">
        <f>'P&amp;L'!AM8*AM256</f>
        <v>1467.8470400000001</v>
      </c>
      <c r="AN249" s="831">
        <f>'P&amp;L'!AN8*AN256</f>
        <v>1530.7583999999999</v>
      </c>
      <c r="AO249" s="831">
        <f>'P&amp;L'!AO8*AO256</f>
        <v>1503.3318400000001</v>
      </c>
      <c r="AP249" s="850">
        <f>'P&amp;L'!AP8*AP256</f>
        <v>1616.8768000000005</v>
      </c>
      <c r="AQ249" s="456">
        <f>SUM(AM249:AP249)</f>
        <v>6118.8140800000001</v>
      </c>
      <c r="AR249" s="830"/>
      <c r="AS249" s="844">
        <f>'P&amp;L'!AS8*AS256</f>
        <v>1555.3017600000001</v>
      </c>
      <c r="AT249" s="831">
        <f>'P&amp;L'!AT8*AT256</f>
        <v>1673.8598400000001</v>
      </c>
      <c r="AU249" s="831">
        <f>'P&amp;L'!AU8*AU256</f>
        <v>1679.1865599999999</v>
      </c>
      <c r="AV249" s="850">
        <f>'P&amp;L'!AV8*AV256</f>
        <v>1729.3414399999997</v>
      </c>
      <c r="AW249" s="456">
        <f>SUM(AS249:AV249)</f>
        <v>6637.6895999999997</v>
      </c>
      <c r="AX249" s="830"/>
      <c r="AY249" s="844">
        <f>'P&amp;L'!AY8*AY256</f>
        <v>1650.6428200000003</v>
      </c>
      <c r="AZ249" s="831">
        <f>'P&amp;L'!AZ8*AZ256</f>
        <v>1761.6444000000001</v>
      </c>
      <c r="BA249" s="831">
        <f>'P&amp;L'!BA8*BA256</f>
        <v>1799.5094500000002</v>
      </c>
      <c r="BB249" s="850">
        <f>'P&amp;L'!BB8*BB256</f>
        <v>1910.1150599999992</v>
      </c>
      <c r="BC249" s="456">
        <f>SUM(AY249:BB249)</f>
        <v>7121.9117299999998</v>
      </c>
      <c r="BD249" s="830"/>
      <c r="BE249" s="844">
        <f>'P&amp;L'!BE8*BE256</f>
        <v>1844.8100800000002</v>
      </c>
      <c r="BF249" s="831">
        <f>'P&amp;L'!BF8*BF256</f>
        <v>1953.3884000000003</v>
      </c>
      <c r="BG249" s="831">
        <f>'P&amp;L'!BG8*BG256</f>
        <v>1948.3006400000002</v>
      </c>
      <c r="BH249" s="850">
        <f>'P&amp;L'!BH8*BH256</f>
        <v>2122.2351200000003</v>
      </c>
      <c r="BI249" s="456">
        <f>SUM(BE249:BH249)</f>
        <v>7868.7342400000007</v>
      </c>
      <c r="BJ249" s="832"/>
      <c r="BK249" s="844">
        <f>'P&amp;L'!BK8*BK256</f>
        <v>1987.60464</v>
      </c>
      <c r="BL249" s="831">
        <f>'P&amp;L'!BL8*BL256</f>
        <v>2080.4314400000003</v>
      </c>
      <c r="BM249" s="831">
        <f>'P&amp;L'!BM8*BM256</f>
        <v>2149.5364400000003</v>
      </c>
      <c r="BN249" s="850">
        <f>'P&amp;L'!BN8*BN256</f>
        <v>2256.2767200000003</v>
      </c>
      <c r="BO249" s="456">
        <f>SUM(BK249:BN249)</f>
        <v>8473.8492400000014</v>
      </c>
      <c r="BP249" s="62"/>
      <c r="BQ249" s="844">
        <f>'P&amp;L'!BQ8*BQ256</f>
        <v>2058.3481473800002</v>
      </c>
      <c r="BR249" s="831">
        <f>'P&amp;L'!BR8*BR256</f>
        <v>2190.7794938000002</v>
      </c>
      <c r="BS249" s="831">
        <f>'P&amp;L'!BS8*BS256</f>
        <v>2237.9481771999999</v>
      </c>
      <c r="BT249" s="850">
        <f>'P&amp;L'!BT8*BT256</f>
        <v>2320.4823818</v>
      </c>
      <c r="BU249" s="456">
        <f>SUM(BQ249:BT249)</f>
        <v>8807.5582001800012</v>
      </c>
      <c r="BV249" s="62"/>
      <c r="BW249" s="844">
        <f>'P&amp;L'!BW8*BW256</f>
        <v>2163.7322307623003</v>
      </c>
      <c r="BX249" s="831">
        <f>'P&amp;L'!BX8*BX256</f>
        <v>2285.3984760385001</v>
      </c>
      <c r="BY249" s="831">
        <f>'P&amp;L'!BY8*BY256</f>
        <v>2334.8236815835007</v>
      </c>
      <c r="BZ249" s="850">
        <f>'P&amp;L'!BZ8*BZ256</f>
        <v>2419.1472549490009</v>
      </c>
      <c r="CA249" s="456">
        <f>SUM(BW249:BZ249)</f>
        <v>9203.1016433333025</v>
      </c>
      <c r="CB249" s="62"/>
      <c r="CC249" s="844">
        <f>'P&amp;L'!CC8*CC256</f>
        <v>2249.3100030426972</v>
      </c>
      <c r="CD249" s="831">
        <f>'P&amp;L'!CD8*CD256</f>
        <v>2376.4646278746882</v>
      </c>
      <c r="CE249" s="831">
        <f>'P&amp;L'!CE8*CE256</f>
        <v>2427.7516955215524</v>
      </c>
      <c r="CF249" s="850">
        <f>'P&amp;L'!CF8*CF256</f>
        <v>2514.420474661305</v>
      </c>
      <c r="CG249" s="456">
        <f>SUM(CC249:CF249)</f>
        <v>9567.9468011002427</v>
      </c>
    </row>
    <row r="250" spans="1:85" ht="11.25" customHeight="1" outlineLevel="1" x14ac:dyDescent="0.2">
      <c r="A250" s="830"/>
      <c r="B250" s="773" t="s">
        <v>474</v>
      </c>
      <c r="C250" s="845"/>
      <c r="D250" s="145"/>
      <c r="E250" s="145"/>
      <c r="F250" s="480"/>
      <c r="G250" s="456"/>
      <c r="H250" s="830"/>
      <c r="I250" s="845"/>
      <c r="J250" s="145"/>
      <c r="K250" s="145"/>
      <c r="L250" s="480"/>
      <c r="M250" s="456"/>
      <c r="N250" s="830"/>
      <c r="O250" s="845"/>
      <c r="P250" s="145"/>
      <c r="Q250" s="145"/>
      <c r="R250" s="480"/>
      <c r="S250" s="456"/>
      <c r="T250" s="830"/>
      <c r="U250" s="845"/>
      <c r="V250" s="145"/>
      <c r="W250" s="145"/>
      <c r="X250" s="480"/>
      <c r="Y250" s="456"/>
      <c r="Z250" s="830"/>
      <c r="AA250" s="845"/>
      <c r="AB250" s="145"/>
      <c r="AC250" s="145"/>
      <c r="AD250" s="480"/>
      <c r="AE250" s="456"/>
      <c r="AF250" s="830"/>
      <c r="AG250" s="845">
        <f>'P&amp;L'!AG8*AG257</f>
        <v>587.72532000000001</v>
      </c>
      <c r="AH250" s="145">
        <f>'P&amp;L'!AH8*AH257</f>
        <v>616.40656000000013</v>
      </c>
      <c r="AI250" s="145">
        <f>'P&amp;L'!AI8*AI257</f>
        <v>624.6962400000001</v>
      </c>
      <c r="AJ250" s="480">
        <f>'P&amp;L'!AJ8*AJ257</f>
        <v>674.3626400000004</v>
      </c>
      <c r="AK250" s="456">
        <f>SUM(AG250:AJ250)</f>
        <v>2503.1907600000004</v>
      </c>
      <c r="AL250" s="830"/>
      <c r="AM250" s="845">
        <f>'P&amp;L'!AM8*AM257</f>
        <v>665.11818999999991</v>
      </c>
      <c r="AN250" s="145">
        <f>'P&amp;L'!AN8*AN257</f>
        <v>693.62489999999991</v>
      </c>
      <c r="AO250" s="145">
        <f>'P&amp;L'!AO8*AO257</f>
        <v>681.19723999999997</v>
      </c>
      <c r="AP250" s="480">
        <f>'P&amp;L'!AP8*AP257</f>
        <v>732.6473000000002</v>
      </c>
      <c r="AQ250" s="456">
        <f>SUM(AM250:AP250)</f>
        <v>2772.58763</v>
      </c>
      <c r="AR250" s="830"/>
      <c r="AS250" s="845">
        <f>'P&amp;L'!AS8*AS257</f>
        <v>704.74610999999993</v>
      </c>
      <c r="AT250" s="145">
        <f>'P&amp;L'!AT8*AT257</f>
        <v>758.46773999999994</v>
      </c>
      <c r="AU250" s="145">
        <f>'P&amp;L'!AU8*AU257</f>
        <v>760.88140999999985</v>
      </c>
      <c r="AV250" s="480">
        <f>'P&amp;L'!AV8*AV257</f>
        <v>783.60783999999978</v>
      </c>
      <c r="AW250" s="456">
        <f>SUM(AS250:AV250)</f>
        <v>3007.7030999999993</v>
      </c>
      <c r="AX250" s="830"/>
      <c r="AY250" s="845">
        <f>'P&amp;L'!AY8*AY257</f>
        <v>665.18442000000005</v>
      </c>
      <c r="AZ250" s="145">
        <f>'P&amp;L'!AZ8*AZ257</f>
        <v>709.91640000000007</v>
      </c>
      <c r="BA250" s="145">
        <f>'P&amp;L'!BA8*BA257</f>
        <v>725.17545000000007</v>
      </c>
      <c r="BB250" s="480">
        <f>'P&amp;L'!BB8*BB257</f>
        <v>769.74785999999972</v>
      </c>
      <c r="BC250" s="456">
        <f>SUM(AY250:BB250)</f>
        <v>2870.0241299999998</v>
      </c>
      <c r="BD250" s="830"/>
      <c r="BE250" s="845">
        <f>'P&amp;L'!BE8*BE257</f>
        <v>705.36856</v>
      </c>
      <c r="BF250" s="145">
        <f>'P&amp;L'!BF8*BF257</f>
        <v>746.88380000000006</v>
      </c>
      <c r="BG250" s="145">
        <f>'P&amp;L'!BG8*BG257</f>
        <v>744.93848000000003</v>
      </c>
      <c r="BH250" s="480">
        <f>'P&amp;L'!BH8*BH257</f>
        <v>811.44284000000005</v>
      </c>
      <c r="BI250" s="456">
        <f>SUM(BE250:BH250)</f>
        <v>3008.6336800000004</v>
      </c>
      <c r="BJ250" s="832"/>
      <c r="BK250" s="845">
        <f>'P&amp;L'!BK8*BK257</f>
        <v>759.96648000000005</v>
      </c>
      <c r="BL250" s="145">
        <f>'P&amp;L'!BL8*BL257</f>
        <v>795.45908000000009</v>
      </c>
      <c r="BM250" s="145">
        <f>'P&amp;L'!BM8*BM257</f>
        <v>821.8815800000001</v>
      </c>
      <c r="BN250" s="480">
        <f>'P&amp;L'!BN8*BN257</f>
        <v>862.69404000000009</v>
      </c>
      <c r="BO250" s="456">
        <f>SUM(BK250:BN250)</f>
        <v>3240.0011800000002</v>
      </c>
      <c r="BP250" s="62"/>
      <c r="BQ250" s="845">
        <f>'P&amp;L'!BQ8*BQ257</f>
        <v>768.04035350000004</v>
      </c>
      <c r="BR250" s="145">
        <f>'P&amp;L'!BR8*BR257</f>
        <v>817.45503500000007</v>
      </c>
      <c r="BS250" s="145">
        <f>'P&amp;L'!BS8*BS257</f>
        <v>835.0552899999999</v>
      </c>
      <c r="BT250" s="480">
        <f>'P&amp;L'!BT8*BT257</f>
        <v>865.85163499999999</v>
      </c>
      <c r="BU250" s="456">
        <f>SUM(BQ250:BT250)</f>
        <v>3286.4023134999998</v>
      </c>
      <c r="BV250" s="62"/>
      <c r="BW250" s="845">
        <f>'P&amp;L'!BW8*BW257</f>
        <v>807.3627726725</v>
      </c>
      <c r="BX250" s="145">
        <f>'P&amp;L'!BX8*BX257</f>
        <v>852.76062538749989</v>
      </c>
      <c r="BY250" s="145">
        <f>'P&amp;L'!BY8*BY257</f>
        <v>871.20286626250004</v>
      </c>
      <c r="BZ250" s="480">
        <f>'P&amp;L'!BZ8*BZ257</f>
        <v>902.66688617500006</v>
      </c>
      <c r="CA250" s="456">
        <f>SUM(BW250:BZ250)</f>
        <v>3433.9931504974998</v>
      </c>
      <c r="CB250" s="62"/>
      <c r="CC250" s="845">
        <f>'P&amp;L'!CC8*CC257</f>
        <v>839.29477725473748</v>
      </c>
      <c r="CD250" s="145">
        <f>'P&amp;L'!CD8*CD257</f>
        <v>886.7405327890624</v>
      </c>
      <c r="CE250" s="145">
        <f>'P&amp;L'!CE8*CE257</f>
        <v>905.87749832893712</v>
      </c>
      <c r="CF250" s="480">
        <f>'P&amp;L'!CF8*CF257</f>
        <v>938.21659502287469</v>
      </c>
      <c r="CG250" s="456">
        <f>SUM(CC250:CF250)</f>
        <v>3570.1294033956115</v>
      </c>
    </row>
    <row r="251" spans="1:85" ht="11.25" customHeight="1" outlineLevel="1" x14ac:dyDescent="0.2">
      <c r="A251" s="830"/>
      <c r="B251" s="773" t="s">
        <v>475</v>
      </c>
      <c r="C251" s="845"/>
      <c r="D251" s="145"/>
      <c r="E251" s="145"/>
      <c r="F251" s="480"/>
      <c r="G251" s="456"/>
      <c r="H251" s="830"/>
      <c r="I251" s="845"/>
      <c r="J251" s="145"/>
      <c r="K251" s="145"/>
      <c r="L251" s="480"/>
      <c r="M251" s="456"/>
      <c r="N251" s="830"/>
      <c r="O251" s="845"/>
      <c r="P251" s="145"/>
      <c r="Q251" s="145"/>
      <c r="R251" s="480"/>
      <c r="S251" s="456"/>
      <c r="T251" s="830"/>
      <c r="U251" s="845"/>
      <c r="V251" s="145"/>
      <c r="W251" s="145"/>
      <c r="X251" s="480"/>
      <c r="Y251" s="456"/>
      <c r="Z251" s="830"/>
      <c r="AA251" s="845"/>
      <c r="AB251" s="145"/>
      <c r="AC251" s="145"/>
      <c r="AD251" s="480"/>
      <c r="AE251" s="456"/>
      <c r="AF251" s="830"/>
      <c r="AG251" s="845">
        <f>'P&amp;L'!AG8*AG258</f>
        <v>146.93133</v>
      </c>
      <c r="AH251" s="145">
        <f>'P&amp;L'!AH8*AH258</f>
        <v>154.10164000000003</v>
      </c>
      <c r="AI251" s="145">
        <f>'P&amp;L'!AI8*AI258</f>
        <v>156.17406000000003</v>
      </c>
      <c r="AJ251" s="480">
        <f>'P&amp;L'!AJ8*AJ258</f>
        <v>168.5906600000001</v>
      </c>
      <c r="AK251" s="456">
        <f>SUM(AG251:AJ251)</f>
        <v>625.7976900000001</v>
      </c>
      <c r="AL251" s="830"/>
      <c r="AM251" s="845">
        <f>'P&amp;L'!AM8*AM258</f>
        <v>160.54577</v>
      </c>
      <c r="AN251" s="145">
        <f>'P&amp;L'!AN8*AN258</f>
        <v>167.42670000000001</v>
      </c>
      <c r="AO251" s="145">
        <f>'P&amp;L'!AO8*AO258</f>
        <v>164.42692000000002</v>
      </c>
      <c r="AP251" s="480">
        <f>'P&amp;L'!AP8*AP258</f>
        <v>176.84590000000009</v>
      </c>
      <c r="AQ251" s="456">
        <f>SUM(AM251:AP251)</f>
        <v>669.24529000000007</v>
      </c>
      <c r="AR251" s="830"/>
      <c r="AS251" s="845">
        <f>'P&amp;L'!AS8*AS258</f>
        <v>170.11113000000003</v>
      </c>
      <c r="AT251" s="145">
        <f>'P&amp;L'!AT8*AT258</f>
        <v>183.07842000000002</v>
      </c>
      <c r="AU251" s="145">
        <f>'P&amp;L'!AU8*AU258</f>
        <v>183.66103000000001</v>
      </c>
      <c r="AV251" s="480">
        <f>'P&amp;L'!AV8*AV258</f>
        <v>189.14671999999999</v>
      </c>
      <c r="AW251" s="456">
        <f>SUM(AS251:AV251)</f>
        <v>725.9973</v>
      </c>
      <c r="AX251" s="830"/>
      <c r="AY251" s="845">
        <f>'P&amp;L'!AY8*AY258</f>
        <v>147.81876</v>
      </c>
      <c r="AZ251" s="145">
        <f>'P&amp;L'!AZ8*AZ258</f>
        <v>157.75919999999999</v>
      </c>
      <c r="BA251" s="145">
        <f>'P&amp;L'!BA8*BA258</f>
        <v>161.15010000000001</v>
      </c>
      <c r="BB251" s="480">
        <f>'P&amp;L'!BB8*BB258</f>
        <v>171.05507999999992</v>
      </c>
      <c r="BC251" s="456">
        <f>SUM(AY251:BB251)</f>
        <v>637.78313999999989</v>
      </c>
      <c r="BD251" s="830"/>
      <c r="BE251" s="845">
        <f>'P&amp;L'!BE8*BE258</f>
        <v>162.77736000000002</v>
      </c>
      <c r="BF251" s="145">
        <f>'P&amp;L'!BF8*BF258</f>
        <v>172.3578</v>
      </c>
      <c r="BG251" s="145">
        <f>'P&amp;L'!BG8*BG258</f>
        <v>171.90888000000001</v>
      </c>
      <c r="BH251" s="480">
        <f>'P&amp;L'!BH8*BH258</f>
        <v>187.25604000000001</v>
      </c>
      <c r="BI251" s="456">
        <f>SUM(BE251:BH251)</f>
        <v>694.30008000000009</v>
      </c>
      <c r="BJ251" s="832"/>
      <c r="BK251" s="845">
        <f>'P&amp;L'!BK8*BK258</f>
        <v>175.37687999999997</v>
      </c>
      <c r="BL251" s="145">
        <f>'P&amp;L'!BL8*BL258</f>
        <v>183.56747999999999</v>
      </c>
      <c r="BM251" s="145">
        <f>'P&amp;L'!BM8*BM258</f>
        <v>189.66497999999999</v>
      </c>
      <c r="BN251" s="480">
        <f>'P&amp;L'!BN8*BN258</f>
        <v>199.08323999999999</v>
      </c>
      <c r="BO251" s="456">
        <f>SUM(BK251:BN251)</f>
        <v>747.69257999999991</v>
      </c>
      <c r="BP251" s="62"/>
      <c r="BQ251" s="845">
        <f>'P&amp;L'!BQ8*BQ258</f>
        <v>245.77291312000003</v>
      </c>
      <c r="BR251" s="145">
        <f>'P&amp;L'!BR8*BR258</f>
        <v>261.58561120000002</v>
      </c>
      <c r="BS251" s="145">
        <f>'P&amp;L'!BS8*BS258</f>
        <v>267.21769279999995</v>
      </c>
      <c r="BT251" s="480">
        <f>'P&amp;L'!BT8*BT258</f>
        <v>277.07252319999998</v>
      </c>
      <c r="BU251" s="456">
        <f>SUM(BQ251:BT251)</f>
        <v>1051.6487403199999</v>
      </c>
      <c r="BV251" s="62"/>
      <c r="BW251" s="845">
        <f>'P&amp;L'!BW8*BW258</f>
        <v>258.35608725520001</v>
      </c>
      <c r="BX251" s="145">
        <f>'P&amp;L'!BX8*BX258</f>
        <v>272.88340012399999</v>
      </c>
      <c r="BY251" s="145">
        <f>'P&amp;L'!BY8*BY258</f>
        <v>278.78491720400001</v>
      </c>
      <c r="BZ251" s="480">
        <f>'P&amp;L'!BZ8*BZ258</f>
        <v>288.85340357600001</v>
      </c>
      <c r="CA251" s="456">
        <f>SUM(BW251:BZ251)</f>
        <v>1098.8778081592</v>
      </c>
      <c r="CB251" s="62"/>
      <c r="CC251" s="845">
        <f>'P&amp;L'!CC8*CC258</f>
        <v>268.574328721516</v>
      </c>
      <c r="CD251" s="145">
        <f>'P&amp;L'!CD8*CD258</f>
        <v>283.75697049249999</v>
      </c>
      <c r="CE251" s="145">
        <f>'P&amp;L'!CE8*CE258</f>
        <v>289.88079946525988</v>
      </c>
      <c r="CF251" s="480">
        <f>'P&amp;L'!CF8*CF258</f>
        <v>300.22931040731987</v>
      </c>
      <c r="CG251" s="456">
        <f>SUM(CC251:CF251)</f>
        <v>1142.4414090865957</v>
      </c>
    </row>
    <row r="252" spans="1:85" ht="11.25" customHeight="1" outlineLevel="1" x14ac:dyDescent="0.2">
      <c r="A252" s="448"/>
      <c r="B252" s="833" t="s">
        <v>324</v>
      </c>
      <c r="C252" s="833"/>
      <c r="D252" s="834"/>
      <c r="E252" s="834"/>
      <c r="F252" s="851"/>
      <c r="G252" s="835"/>
      <c r="H252" s="835"/>
      <c r="I252" s="833"/>
      <c r="J252" s="834"/>
      <c r="K252" s="834"/>
      <c r="L252" s="851"/>
      <c r="M252" s="835"/>
      <c r="N252" s="835"/>
      <c r="O252" s="833"/>
      <c r="P252" s="834"/>
      <c r="Q252" s="834"/>
      <c r="R252" s="851"/>
      <c r="S252" s="835"/>
      <c r="T252" s="835"/>
      <c r="U252" s="833"/>
      <c r="V252" s="834"/>
      <c r="W252" s="834"/>
      <c r="X252" s="851"/>
      <c r="Y252" s="835"/>
      <c r="Z252" s="835"/>
      <c r="AA252" s="833"/>
      <c r="AB252" s="834"/>
      <c r="AC252" s="834"/>
      <c r="AD252" s="851"/>
      <c r="AE252" s="835"/>
      <c r="AF252" s="835"/>
      <c r="AG252" s="833">
        <f>+SUM(AG249:AG251)</f>
        <v>2099.0189999999998</v>
      </c>
      <c r="AH252" s="834">
        <f>+SUM(AH249:AH251)</f>
        <v>2201.4520000000002</v>
      </c>
      <c r="AI252" s="834">
        <f>+SUM(AI249:AI251)</f>
        <v>2231.058</v>
      </c>
      <c r="AJ252" s="851">
        <f>+SUM(AJ249:AJ251)</f>
        <v>2408.4380000000015</v>
      </c>
      <c r="AK252" s="835">
        <f>SUM(AK249:AK251)</f>
        <v>8939.9670000000006</v>
      </c>
      <c r="AL252" s="835"/>
      <c r="AM252" s="833">
        <f>+SUM(AM249:AM251)</f>
        <v>2293.511</v>
      </c>
      <c r="AN252" s="834">
        <f>+SUM(AN249:AN251)</f>
        <v>2391.81</v>
      </c>
      <c r="AO252" s="834">
        <f>+SUM(AO249:AO251)</f>
        <v>2348.9560000000001</v>
      </c>
      <c r="AP252" s="851">
        <f>+SUM(AP249:AP251)</f>
        <v>2526.3700000000008</v>
      </c>
      <c r="AQ252" s="835">
        <f>SUM(AQ249:AQ251)</f>
        <v>9560.6470000000008</v>
      </c>
      <c r="AR252" s="835"/>
      <c r="AS252" s="833">
        <f>+SUM(AS249:AS251)</f>
        <v>2430.1590000000001</v>
      </c>
      <c r="AT252" s="834">
        <f>+SUM(AT249:AT251)</f>
        <v>2615.4059999999999</v>
      </c>
      <c r="AU252" s="834">
        <f>+SUM(AU249:AU251)</f>
        <v>2623.7289999999998</v>
      </c>
      <c r="AV252" s="851">
        <f>+SUM(AV249:AV251)</f>
        <v>2702.0959999999995</v>
      </c>
      <c r="AW252" s="835">
        <f>SUM(AW249:AW251)</f>
        <v>10371.39</v>
      </c>
      <c r="AX252" s="835"/>
      <c r="AY252" s="833">
        <f>+SUM(AY249:AY251)</f>
        <v>2463.6460000000006</v>
      </c>
      <c r="AZ252" s="834">
        <f>+SUM(AZ249:AZ251)</f>
        <v>2629.32</v>
      </c>
      <c r="BA252" s="834">
        <f>+SUM(BA249:BA251)</f>
        <v>2685.835</v>
      </c>
      <c r="BB252" s="851">
        <f>+SUM(BB249:BB251)</f>
        <v>2850.9179999999988</v>
      </c>
      <c r="BC252" s="835">
        <f>SUM(BC249:BC251)</f>
        <v>10629.718999999999</v>
      </c>
      <c r="BD252" s="835"/>
      <c r="BE252" s="833">
        <f>+SUM(BE249:BE251)</f>
        <v>2712.9560000000001</v>
      </c>
      <c r="BF252" s="834">
        <f>+SUM(BF249:BF251)</f>
        <v>2872.63</v>
      </c>
      <c r="BG252" s="834">
        <f>+SUM(BG249:BG251)</f>
        <v>2865.1480000000001</v>
      </c>
      <c r="BH252" s="851">
        <f>+SUM(BH249:BH251)</f>
        <v>3120.9340000000007</v>
      </c>
      <c r="BI252" s="835">
        <f>SUM(BI249:BI251)</f>
        <v>11571.668000000001</v>
      </c>
      <c r="BJ252" s="768"/>
      <c r="BK252" s="833">
        <f>+SUM(BK249:BK251)</f>
        <v>2922.9479999999999</v>
      </c>
      <c r="BL252" s="834">
        <f>+SUM(BL249:BL251)</f>
        <v>3059.4580000000005</v>
      </c>
      <c r="BM252" s="834">
        <f>+SUM(BM249:BM251)</f>
        <v>3161.0830000000005</v>
      </c>
      <c r="BN252" s="851">
        <f>+SUM(BN249:BN251)</f>
        <v>3318.0540000000001</v>
      </c>
      <c r="BO252" s="835">
        <f>SUM(BO249:BO251)</f>
        <v>12461.543000000001</v>
      </c>
      <c r="BP252" s="153"/>
      <c r="BQ252" s="833">
        <f>+SUM(BQ249:BQ251)</f>
        <v>3072.1614140000001</v>
      </c>
      <c r="BR252" s="834">
        <f>+SUM(BR249:BR251)</f>
        <v>3269.8201400000003</v>
      </c>
      <c r="BS252" s="834">
        <f>+SUM(BS249:BS251)</f>
        <v>3340.2211599999996</v>
      </c>
      <c r="BT252" s="851">
        <f>+SUM(BT249:BT251)</f>
        <v>3463.4065399999999</v>
      </c>
      <c r="BU252" s="835">
        <f>SUM(BU249:BU251)</f>
        <v>13145.609254000003</v>
      </c>
      <c r="BV252" s="153"/>
      <c r="BW252" s="833">
        <f>+SUM(BW249:BW251)</f>
        <v>3229.4510906900005</v>
      </c>
      <c r="BX252" s="834">
        <f>+SUM(BX249:BX251)</f>
        <v>3411.0425015500005</v>
      </c>
      <c r="BY252" s="834">
        <f>+SUM(BY249:BY251)</f>
        <v>3484.8114650500006</v>
      </c>
      <c r="BZ252" s="851">
        <f>+SUM(BZ249:BZ251)</f>
        <v>3610.6675447000007</v>
      </c>
      <c r="CA252" s="835">
        <f>SUM(CA249:CA251)</f>
        <v>13735.972601990001</v>
      </c>
      <c r="CB252" s="153"/>
      <c r="CC252" s="833">
        <f>+SUM(CC249:CC251)</f>
        <v>3357.1791090189504</v>
      </c>
      <c r="CD252" s="834">
        <f>+SUM(CD249:CD251)</f>
        <v>3546.9621311562505</v>
      </c>
      <c r="CE252" s="834">
        <f>+SUM(CE249:CE251)</f>
        <v>3623.5099933157494</v>
      </c>
      <c r="CF252" s="851">
        <f>+SUM(CF249:CF251)</f>
        <v>3752.8663800914992</v>
      </c>
      <c r="CG252" s="835">
        <f>SUM(CG249:CG251)</f>
        <v>14280.517613582449</v>
      </c>
    </row>
    <row r="253" spans="1:85" ht="11.25" customHeight="1" outlineLevel="1" x14ac:dyDescent="0.2">
      <c r="A253" s="148"/>
      <c r="B253" s="849" t="s">
        <v>44</v>
      </c>
      <c r="C253" s="848"/>
      <c r="D253" s="847"/>
      <c r="E253" s="847"/>
      <c r="F253" s="847"/>
      <c r="G253" s="847"/>
      <c r="H253" s="148"/>
      <c r="I253" s="848"/>
      <c r="J253" s="847"/>
      <c r="K253" s="847"/>
      <c r="L253" s="847"/>
      <c r="M253" s="847"/>
      <c r="N253" s="148"/>
      <c r="O253" s="848"/>
      <c r="P253" s="847"/>
      <c r="Q253" s="847"/>
      <c r="R253" s="847"/>
      <c r="S253" s="847"/>
      <c r="T253" s="148"/>
      <c r="U253" s="848"/>
      <c r="V253" s="847"/>
      <c r="W253" s="847"/>
      <c r="X253" s="847"/>
      <c r="Y253" s="847"/>
      <c r="Z253" s="148"/>
      <c r="AA253" s="848"/>
      <c r="AB253" s="847"/>
      <c r="AC253" s="847"/>
      <c r="AD253" s="847"/>
      <c r="AE253" s="847"/>
      <c r="AF253" s="148"/>
      <c r="AG253" s="848">
        <f>'P&amp;L'!AG8-AG252</f>
        <v>0</v>
      </c>
      <c r="AH253" s="847">
        <f>'P&amp;L'!AH8-AH252</f>
        <v>0</v>
      </c>
      <c r="AI253" s="847">
        <f>'P&amp;L'!AI8-AI252</f>
        <v>0</v>
      </c>
      <c r="AJ253" s="847">
        <f>'P&amp;L'!AJ8-AJ252</f>
        <v>0</v>
      </c>
      <c r="AK253" s="847">
        <f>'P&amp;L'!AK8-AK252</f>
        <v>0</v>
      </c>
      <c r="AL253" s="148"/>
      <c r="AM253" s="848">
        <f>'P&amp;L'!AM8-AM252</f>
        <v>0</v>
      </c>
      <c r="AN253" s="847">
        <f>'P&amp;L'!AN8-AN252</f>
        <v>0</v>
      </c>
      <c r="AO253" s="847">
        <f>'P&amp;L'!AO8-AO252</f>
        <v>0</v>
      </c>
      <c r="AP253" s="847">
        <f>'P&amp;L'!AP8-AP252</f>
        <v>0</v>
      </c>
      <c r="AQ253" s="847">
        <f>'P&amp;L'!AQ8-AQ252</f>
        <v>0</v>
      </c>
      <c r="AR253" s="148"/>
      <c r="AS253" s="848">
        <f>'P&amp;L'!AS8-AS252</f>
        <v>0</v>
      </c>
      <c r="AT253" s="847">
        <f>'P&amp;L'!AT8-AT252</f>
        <v>0</v>
      </c>
      <c r="AU253" s="847">
        <f>'P&amp;L'!AU8-AU252</f>
        <v>0</v>
      </c>
      <c r="AV253" s="847">
        <f>'P&amp;L'!AV8-AV252</f>
        <v>0</v>
      </c>
      <c r="AW253" s="847">
        <f>'P&amp;L'!AW8-AW252</f>
        <v>0</v>
      </c>
      <c r="AX253" s="148"/>
      <c r="AY253" s="848">
        <f>'P&amp;L'!AY8-AY252</f>
        <v>0</v>
      </c>
      <c r="AZ253" s="847">
        <f>'P&amp;L'!AZ8-AZ252</f>
        <v>0</v>
      </c>
      <c r="BA253" s="847">
        <f>'P&amp;L'!BA8-BA252</f>
        <v>0</v>
      </c>
      <c r="BB253" s="847">
        <f>'P&amp;L'!BB8-BB252</f>
        <v>0</v>
      </c>
      <c r="BC253" s="847">
        <f>'P&amp;L'!BC8-BC252</f>
        <v>0</v>
      </c>
      <c r="BD253" s="148"/>
      <c r="BE253" s="848">
        <f>'P&amp;L'!BE8-BE252</f>
        <v>0</v>
      </c>
      <c r="BF253" s="847">
        <f>'P&amp;L'!BF8-BF252</f>
        <v>0</v>
      </c>
      <c r="BG253" s="847">
        <f>'P&amp;L'!BG8-BG252</f>
        <v>0</v>
      </c>
      <c r="BH253" s="847">
        <f>'P&amp;L'!BH8-BH252</f>
        <v>0</v>
      </c>
      <c r="BI253" s="847">
        <f>'P&amp;L'!BI8-BI252</f>
        <v>0</v>
      </c>
      <c r="BJ253" s="148"/>
      <c r="BK253" s="848">
        <f>'P&amp;L'!BK8-BK252</f>
        <v>0</v>
      </c>
      <c r="BL253" s="847">
        <f>'P&amp;L'!BL8-BL252</f>
        <v>0</v>
      </c>
      <c r="BM253" s="847">
        <f>'P&amp;L'!BM8-BM252</f>
        <v>0</v>
      </c>
      <c r="BN253" s="847">
        <f>'P&amp;L'!BN8-BN252</f>
        <v>0</v>
      </c>
      <c r="BO253" s="847">
        <f>'P&amp;L'!BO8-BO252</f>
        <v>0</v>
      </c>
      <c r="BP253" s="153"/>
      <c r="BQ253" s="848">
        <f>'P&amp;L'!BQ8-BQ252</f>
        <v>0</v>
      </c>
      <c r="BR253" s="847">
        <f>'P&amp;L'!BR8-BR252</f>
        <v>0</v>
      </c>
      <c r="BS253" s="847">
        <f>'P&amp;L'!BS8-BS252</f>
        <v>0</v>
      </c>
      <c r="BT253" s="847">
        <f>'P&amp;L'!BT8-BT252</f>
        <v>0</v>
      </c>
      <c r="BU253" s="847">
        <f>'P&amp;L'!BU8-BU252</f>
        <v>0</v>
      </c>
      <c r="BV253" s="153"/>
      <c r="BW253" s="848">
        <f>'P&amp;L'!BW8-BW252</f>
        <v>0</v>
      </c>
      <c r="BX253" s="847">
        <f>'P&amp;L'!BX8-BX252</f>
        <v>0</v>
      </c>
      <c r="BY253" s="847">
        <f>'P&amp;L'!BY8-BY252</f>
        <v>0</v>
      </c>
      <c r="BZ253" s="847">
        <f>'P&amp;L'!BZ8-BZ252</f>
        <v>0</v>
      </c>
      <c r="CA253" s="847">
        <f>'P&amp;L'!CA8-CA252</f>
        <v>0</v>
      </c>
      <c r="CB253" s="153"/>
      <c r="CC253" s="848">
        <f>'P&amp;L'!CC8-CC252</f>
        <v>0</v>
      </c>
      <c r="CD253" s="847">
        <f>'P&amp;L'!CD8-CD252</f>
        <v>0</v>
      </c>
      <c r="CE253" s="847">
        <f>'P&amp;L'!CE8-CE252</f>
        <v>0</v>
      </c>
      <c r="CF253" s="847">
        <f>'P&amp;L'!CF8-CF252</f>
        <v>0</v>
      </c>
      <c r="CG253" s="847">
        <f>'P&amp;L'!CG8-CG252</f>
        <v>0</v>
      </c>
    </row>
    <row r="254" spans="1:85" ht="11.25" customHeight="1" outlineLevel="1" x14ac:dyDescent="0.2">
      <c r="A254" s="78"/>
    </row>
    <row r="255" spans="1:85" ht="11.25" customHeight="1" outlineLevel="1" x14ac:dyDescent="0.2">
      <c r="B255" s="812" t="s">
        <v>472</v>
      </c>
      <c r="C255" s="813"/>
      <c r="D255" s="813"/>
      <c r="E255" s="813"/>
      <c r="F255" s="813"/>
      <c r="G255" s="813"/>
      <c r="H255" s="812"/>
      <c r="I255" s="813"/>
      <c r="J255" s="813"/>
      <c r="K255" s="813"/>
      <c r="L255" s="813"/>
      <c r="M255" s="813"/>
      <c r="N255" s="812"/>
      <c r="O255" s="813"/>
      <c r="P255" s="813"/>
      <c r="Q255" s="813"/>
      <c r="R255" s="813"/>
      <c r="S255" s="813"/>
      <c r="T255" s="812"/>
      <c r="U255" s="813"/>
      <c r="V255" s="813"/>
      <c r="W255" s="813"/>
      <c r="X255" s="813"/>
      <c r="Y255" s="813"/>
      <c r="Z255" s="812"/>
      <c r="AA255" s="813"/>
      <c r="AB255" s="813"/>
      <c r="AC255" s="813"/>
      <c r="AD255" s="813"/>
      <c r="AE255" s="813"/>
      <c r="AF255" s="812"/>
      <c r="AG255" s="813"/>
      <c r="AH255" s="813"/>
      <c r="AI255" s="813"/>
      <c r="AJ255" s="813"/>
      <c r="AK255" s="813"/>
      <c r="AL255" s="812"/>
      <c r="AM255" s="813"/>
      <c r="AN255" s="813"/>
      <c r="AO255" s="813"/>
      <c r="AP255" s="813"/>
      <c r="AQ255" s="813"/>
      <c r="AR255" s="812"/>
      <c r="AS255" s="813"/>
      <c r="AT255" s="813"/>
      <c r="AU255" s="813"/>
      <c r="AV255" s="813"/>
      <c r="AW255" s="813"/>
      <c r="AX255" s="812"/>
      <c r="AY255" s="813"/>
      <c r="AZ255" s="813"/>
      <c r="BA255" s="813"/>
      <c r="BB255" s="813"/>
      <c r="BC255" s="813"/>
      <c r="BD255" s="812"/>
      <c r="BE255" s="813"/>
      <c r="BF255" s="813"/>
      <c r="BG255" s="813"/>
      <c r="BH255" s="813"/>
      <c r="BI255" s="813"/>
      <c r="BJ255" s="812"/>
      <c r="BK255" s="813"/>
      <c r="BL255" s="813"/>
      <c r="BM255" s="813"/>
      <c r="BN255" s="813"/>
      <c r="BO255" s="813"/>
      <c r="BP255" s="812"/>
      <c r="BQ255" s="813"/>
      <c r="BR255" s="813"/>
      <c r="BS255" s="813"/>
      <c r="BT255" s="813"/>
      <c r="BU255" s="813"/>
      <c r="BV255" s="812"/>
      <c r="BW255" s="813"/>
      <c r="BX255" s="813"/>
      <c r="BY255" s="813"/>
      <c r="BZ255" s="813"/>
      <c r="CA255" s="813"/>
      <c r="CB255" s="812"/>
      <c r="CC255" s="813"/>
      <c r="CD255" s="813"/>
      <c r="CE255" s="813"/>
      <c r="CF255" s="813"/>
      <c r="CG255" s="813"/>
    </row>
    <row r="256" spans="1:85" ht="11.25" customHeight="1" outlineLevel="1" x14ac:dyDescent="0.2">
      <c r="B256" s="773" t="s">
        <v>303</v>
      </c>
      <c r="C256" s="278"/>
      <c r="D256" s="278"/>
      <c r="E256" s="278"/>
      <c r="F256" s="278"/>
      <c r="G256" s="852"/>
      <c r="H256" s="836"/>
      <c r="I256" s="278"/>
      <c r="J256" s="278"/>
      <c r="K256" s="278"/>
      <c r="L256" s="278"/>
      <c r="M256" s="852"/>
      <c r="N256" s="836"/>
      <c r="O256" s="278"/>
      <c r="P256" s="278"/>
      <c r="Q256" s="278"/>
      <c r="R256" s="278"/>
      <c r="S256" s="852"/>
      <c r="T256" s="836"/>
      <c r="U256" s="278"/>
      <c r="V256" s="278"/>
      <c r="W256" s="278"/>
      <c r="X256" s="278"/>
      <c r="Y256" s="852"/>
      <c r="Z256" s="836"/>
      <c r="AA256" s="278"/>
      <c r="AB256" s="278"/>
      <c r="AC256" s="278"/>
      <c r="AD256" s="278"/>
      <c r="AE256" s="852"/>
      <c r="AF256" s="836"/>
      <c r="AG256" s="278">
        <f t="shared" ref="AG256:AJ258" si="69">AH256</f>
        <v>0.65</v>
      </c>
      <c r="AH256" s="278">
        <f t="shared" si="69"/>
        <v>0.65</v>
      </c>
      <c r="AI256" s="278">
        <f t="shared" si="69"/>
        <v>0.65</v>
      </c>
      <c r="AJ256" s="278">
        <f t="shared" si="69"/>
        <v>0.65</v>
      </c>
      <c r="AK256" s="852">
        <v>0.65</v>
      </c>
      <c r="AL256" s="836"/>
      <c r="AM256" s="278">
        <f t="shared" ref="AM256:AP258" si="70">AN256</f>
        <v>0.64</v>
      </c>
      <c r="AN256" s="278">
        <f t="shared" si="70"/>
        <v>0.64</v>
      </c>
      <c r="AO256" s="278">
        <f t="shared" si="70"/>
        <v>0.64</v>
      </c>
      <c r="AP256" s="278">
        <f t="shared" si="70"/>
        <v>0.64</v>
      </c>
      <c r="AQ256" s="852">
        <v>0.64</v>
      </c>
      <c r="AR256" s="836"/>
      <c r="AS256" s="278">
        <f t="shared" ref="AS256:AV258" si="71">AT256</f>
        <v>0.64</v>
      </c>
      <c r="AT256" s="278">
        <f t="shared" si="71"/>
        <v>0.64</v>
      </c>
      <c r="AU256" s="278">
        <f t="shared" si="71"/>
        <v>0.64</v>
      </c>
      <c r="AV256" s="278">
        <f t="shared" si="71"/>
        <v>0.64</v>
      </c>
      <c r="AW256" s="852">
        <v>0.64</v>
      </c>
      <c r="AX256" s="836"/>
      <c r="AY256" s="278">
        <f t="shared" ref="AY256:BB258" si="72">AZ256</f>
        <v>0.67</v>
      </c>
      <c r="AZ256" s="278">
        <f t="shared" si="72"/>
        <v>0.67</v>
      </c>
      <c r="BA256" s="278">
        <f t="shared" si="72"/>
        <v>0.67</v>
      </c>
      <c r="BB256" s="278">
        <f t="shared" si="72"/>
        <v>0.67</v>
      </c>
      <c r="BC256" s="852">
        <v>0.67</v>
      </c>
      <c r="BD256" s="836"/>
      <c r="BE256" s="278">
        <f t="shared" ref="BE256:BH258" si="73">BF256</f>
        <v>0.68</v>
      </c>
      <c r="BF256" s="278">
        <f t="shared" si="73"/>
        <v>0.68</v>
      </c>
      <c r="BG256" s="278">
        <f t="shared" si="73"/>
        <v>0.68</v>
      </c>
      <c r="BH256" s="278">
        <f t="shared" si="73"/>
        <v>0.68</v>
      </c>
      <c r="BI256" s="852">
        <v>0.68</v>
      </c>
      <c r="BJ256" s="842"/>
      <c r="BK256" s="743">
        <f>BI256</f>
        <v>0.68</v>
      </c>
      <c r="BL256" s="278">
        <f t="shared" ref="BL256:BN259" si="74">BK256</f>
        <v>0.68</v>
      </c>
      <c r="BM256" s="278">
        <f t="shared" si="74"/>
        <v>0.68</v>
      </c>
      <c r="BN256" s="278">
        <f t="shared" si="74"/>
        <v>0.68</v>
      </c>
      <c r="BO256" s="852">
        <v>0.67</v>
      </c>
      <c r="BP256" s="278"/>
      <c r="BQ256" s="743">
        <f>BO256</f>
        <v>0.67</v>
      </c>
      <c r="BR256" s="278">
        <f t="shared" ref="BR256:BT259" si="75">BQ256</f>
        <v>0.67</v>
      </c>
      <c r="BS256" s="278">
        <f t="shared" si="75"/>
        <v>0.67</v>
      </c>
      <c r="BT256" s="278">
        <f t="shared" si="75"/>
        <v>0.67</v>
      </c>
      <c r="BU256" s="793">
        <f>BU249/BU$239</f>
        <v>0.67000000000000015</v>
      </c>
      <c r="BV256" s="278"/>
      <c r="BW256" s="743">
        <f>BU256</f>
        <v>0.67000000000000015</v>
      </c>
      <c r="BX256" s="278">
        <f t="shared" ref="BX256:BZ259" si="76">BW256</f>
        <v>0.67000000000000015</v>
      </c>
      <c r="BY256" s="278">
        <f t="shared" si="76"/>
        <v>0.67000000000000015</v>
      </c>
      <c r="BZ256" s="278">
        <f t="shared" si="76"/>
        <v>0.67000000000000015</v>
      </c>
      <c r="CA256" s="793">
        <f>CA249/CA$239</f>
        <v>0.67000000000000015</v>
      </c>
      <c r="CB256" s="278"/>
      <c r="CC256" s="743">
        <f>CA256</f>
        <v>0.67000000000000015</v>
      </c>
      <c r="CD256" s="278">
        <f t="shared" ref="CD256:CF259" si="77">CC256</f>
        <v>0.67000000000000015</v>
      </c>
      <c r="CE256" s="278">
        <f t="shared" si="77"/>
        <v>0.67000000000000015</v>
      </c>
      <c r="CF256" s="278">
        <f t="shared" si="77"/>
        <v>0.67000000000000015</v>
      </c>
      <c r="CG256" s="793">
        <f>CG249/CG$239</f>
        <v>0.67000000000000015</v>
      </c>
    </row>
    <row r="257" spans="1:85" ht="11.25" customHeight="1" outlineLevel="1" x14ac:dyDescent="0.2">
      <c r="B257" s="773" t="s">
        <v>474</v>
      </c>
      <c r="C257" s="278"/>
      <c r="D257" s="278"/>
      <c r="E257" s="278"/>
      <c r="F257" s="278"/>
      <c r="G257" s="852"/>
      <c r="H257" s="836"/>
      <c r="I257" s="278"/>
      <c r="J257" s="278"/>
      <c r="K257" s="278"/>
      <c r="L257" s="278"/>
      <c r="M257" s="852"/>
      <c r="N257" s="836"/>
      <c r="O257" s="278"/>
      <c r="P257" s="278"/>
      <c r="Q257" s="278"/>
      <c r="R257" s="278"/>
      <c r="S257" s="852"/>
      <c r="T257" s="836"/>
      <c r="U257" s="278"/>
      <c r="V257" s="278"/>
      <c r="W257" s="278"/>
      <c r="X257" s="278"/>
      <c r="Y257" s="852"/>
      <c r="Z257" s="836"/>
      <c r="AA257" s="278"/>
      <c r="AB257" s="278"/>
      <c r="AC257" s="278"/>
      <c r="AD257" s="278"/>
      <c r="AE257" s="852"/>
      <c r="AF257" s="836"/>
      <c r="AG257" s="278">
        <f t="shared" si="69"/>
        <v>0.28000000000000003</v>
      </c>
      <c r="AH257" s="278">
        <f t="shared" si="69"/>
        <v>0.28000000000000003</v>
      </c>
      <c r="AI257" s="278">
        <f t="shared" si="69"/>
        <v>0.28000000000000003</v>
      </c>
      <c r="AJ257" s="278">
        <f t="shared" si="69"/>
        <v>0.28000000000000003</v>
      </c>
      <c r="AK257" s="852">
        <v>0.28000000000000003</v>
      </c>
      <c r="AL257" s="836"/>
      <c r="AM257" s="278">
        <f t="shared" si="70"/>
        <v>0.28999999999999998</v>
      </c>
      <c r="AN257" s="278">
        <f t="shared" si="70"/>
        <v>0.28999999999999998</v>
      </c>
      <c r="AO257" s="278">
        <f t="shared" si="70"/>
        <v>0.28999999999999998</v>
      </c>
      <c r="AP257" s="278">
        <f t="shared" si="70"/>
        <v>0.28999999999999998</v>
      </c>
      <c r="AQ257" s="852">
        <v>0.28999999999999998</v>
      </c>
      <c r="AR257" s="836"/>
      <c r="AS257" s="278">
        <f t="shared" si="71"/>
        <v>0.28999999999999998</v>
      </c>
      <c r="AT257" s="278">
        <f t="shared" si="71"/>
        <v>0.28999999999999998</v>
      </c>
      <c r="AU257" s="278">
        <f t="shared" si="71"/>
        <v>0.28999999999999998</v>
      </c>
      <c r="AV257" s="278">
        <f t="shared" si="71"/>
        <v>0.28999999999999998</v>
      </c>
      <c r="AW257" s="852">
        <v>0.28999999999999998</v>
      </c>
      <c r="AX257" s="836"/>
      <c r="AY257" s="278">
        <f t="shared" si="72"/>
        <v>0.27</v>
      </c>
      <c r="AZ257" s="278">
        <f t="shared" si="72"/>
        <v>0.27</v>
      </c>
      <c r="BA257" s="278">
        <f t="shared" si="72"/>
        <v>0.27</v>
      </c>
      <c r="BB257" s="278">
        <f t="shared" si="72"/>
        <v>0.27</v>
      </c>
      <c r="BC257" s="852">
        <v>0.27</v>
      </c>
      <c r="BD257" s="836"/>
      <c r="BE257" s="278">
        <f t="shared" si="73"/>
        <v>0.26</v>
      </c>
      <c r="BF257" s="278">
        <f t="shared" si="73"/>
        <v>0.26</v>
      </c>
      <c r="BG257" s="278">
        <f t="shared" si="73"/>
        <v>0.26</v>
      </c>
      <c r="BH257" s="278">
        <f t="shared" si="73"/>
        <v>0.26</v>
      </c>
      <c r="BI257" s="852">
        <v>0.26</v>
      </c>
      <c r="BJ257" s="842"/>
      <c r="BK257" s="743">
        <f>BI257</f>
        <v>0.26</v>
      </c>
      <c r="BL257" s="278">
        <f t="shared" si="74"/>
        <v>0.26</v>
      </c>
      <c r="BM257" s="278">
        <f t="shared" si="74"/>
        <v>0.26</v>
      </c>
      <c r="BN257" s="278">
        <f t="shared" si="74"/>
        <v>0.26</v>
      </c>
      <c r="BO257" s="852">
        <v>0.25</v>
      </c>
      <c r="BP257" s="278"/>
      <c r="BQ257" s="743">
        <f>BO257</f>
        <v>0.25</v>
      </c>
      <c r="BR257" s="278">
        <f t="shared" si="75"/>
        <v>0.25</v>
      </c>
      <c r="BS257" s="278">
        <f t="shared" si="75"/>
        <v>0.25</v>
      </c>
      <c r="BT257" s="278">
        <f t="shared" si="75"/>
        <v>0.25</v>
      </c>
      <c r="BU257" s="793">
        <f>BU250/BU$239</f>
        <v>0.25</v>
      </c>
      <c r="BV257" s="278"/>
      <c r="BW257" s="743">
        <f>BU257</f>
        <v>0.25</v>
      </c>
      <c r="BX257" s="278">
        <f t="shared" si="76"/>
        <v>0.25</v>
      </c>
      <c r="BY257" s="278">
        <f t="shared" si="76"/>
        <v>0.25</v>
      </c>
      <c r="BZ257" s="278">
        <f t="shared" si="76"/>
        <v>0.25</v>
      </c>
      <c r="CA257" s="793">
        <f>CA250/CA$239</f>
        <v>0.24999999999999997</v>
      </c>
      <c r="CB257" s="278"/>
      <c r="CC257" s="743">
        <f>CA257</f>
        <v>0.24999999999999997</v>
      </c>
      <c r="CD257" s="278">
        <f t="shared" si="77"/>
        <v>0.24999999999999997</v>
      </c>
      <c r="CE257" s="278">
        <f t="shared" si="77"/>
        <v>0.24999999999999997</v>
      </c>
      <c r="CF257" s="278">
        <f t="shared" si="77"/>
        <v>0.24999999999999997</v>
      </c>
      <c r="CG257" s="793">
        <f>CG250/CG$239</f>
        <v>0.24999999999999997</v>
      </c>
    </row>
    <row r="258" spans="1:85" ht="11.25" customHeight="1" outlineLevel="1" x14ac:dyDescent="0.2">
      <c r="B258" s="773" t="s">
        <v>475</v>
      </c>
      <c r="C258" s="278"/>
      <c r="D258" s="278"/>
      <c r="E258" s="278"/>
      <c r="F258" s="278"/>
      <c r="G258" s="852"/>
      <c r="H258" s="836"/>
      <c r="I258" s="278"/>
      <c r="J258" s="278"/>
      <c r="K258" s="278"/>
      <c r="L258" s="278"/>
      <c r="M258" s="852"/>
      <c r="N258" s="836"/>
      <c r="O258" s="278"/>
      <c r="P258" s="278"/>
      <c r="Q258" s="278"/>
      <c r="R258" s="278"/>
      <c r="S258" s="852"/>
      <c r="T258" s="836"/>
      <c r="U258" s="278"/>
      <c r="V258" s="278"/>
      <c r="W258" s="278"/>
      <c r="X258" s="278"/>
      <c r="Y258" s="852"/>
      <c r="Z258" s="836"/>
      <c r="AA258" s="278"/>
      <c r="AB258" s="278"/>
      <c r="AC258" s="278"/>
      <c r="AD258" s="278"/>
      <c r="AE258" s="852"/>
      <c r="AF258" s="836"/>
      <c r="AG258" s="278">
        <f t="shared" si="69"/>
        <v>7.0000000000000007E-2</v>
      </c>
      <c r="AH258" s="278">
        <f t="shared" si="69"/>
        <v>7.0000000000000007E-2</v>
      </c>
      <c r="AI258" s="278">
        <f t="shared" si="69"/>
        <v>7.0000000000000007E-2</v>
      </c>
      <c r="AJ258" s="278">
        <f t="shared" si="69"/>
        <v>7.0000000000000007E-2</v>
      </c>
      <c r="AK258" s="852">
        <v>7.0000000000000007E-2</v>
      </c>
      <c r="AL258" s="836"/>
      <c r="AM258" s="278">
        <f t="shared" si="70"/>
        <v>7.0000000000000007E-2</v>
      </c>
      <c r="AN258" s="278">
        <f t="shared" si="70"/>
        <v>7.0000000000000007E-2</v>
      </c>
      <c r="AO258" s="278">
        <f t="shared" si="70"/>
        <v>7.0000000000000007E-2</v>
      </c>
      <c r="AP258" s="278">
        <f t="shared" si="70"/>
        <v>7.0000000000000007E-2</v>
      </c>
      <c r="AQ258" s="852">
        <v>7.0000000000000007E-2</v>
      </c>
      <c r="AR258" s="836"/>
      <c r="AS258" s="278">
        <f t="shared" si="71"/>
        <v>7.0000000000000007E-2</v>
      </c>
      <c r="AT258" s="278">
        <f t="shared" si="71"/>
        <v>7.0000000000000007E-2</v>
      </c>
      <c r="AU258" s="278">
        <f t="shared" si="71"/>
        <v>7.0000000000000007E-2</v>
      </c>
      <c r="AV258" s="278">
        <f t="shared" si="71"/>
        <v>7.0000000000000007E-2</v>
      </c>
      <c r="AW258" s="852">
        <v>7.0000000000000007E-2</v>
      </c>
      <c r="AX258" s="836"/>
      <c r="AY258" s="278">
        <f t="shared" si="72"/>
        <v>0.06</v>
      </c>
      <c r="AZ258" s="278">
        <f t="shared" si="72"/>
        <v>0.06</v>
      </c>
      <c r="BA258" s="278">
        <f t="shared" si="72"/>
        <v>0.06</v>
      </c>
      <c r="BB258" s="278">
        <f t="shared" si="72"/>
        <v>0.06</v>
      </c>
      <c r="BC258" s="852">
        <v>0.06</v>
      </c>
      <c r="BD258" s="836"/>
      <c r="BE258" s="278">
        <f t="shared" si="73"/>
        <v>0.06</v>
      </c>
      <c r="BF258" s="278">
        <f t="shared" si="73"/>
        <v>0.06</v>
      </c>
      <c r="BG258" s="278">
        <f t="shared" si="73"/>
        <v>0.06</v>
      </c>
      <c r="BH258" s="278">
        <f t="shared" si="73"/>
        <v>0.06</v>
      </c>
      <c r="BI258" s="852">
        <v>0.06</v>
      </c>
      <c r="BJ258" s="842"/>
      <c r="BK258" s="743">
        <f>BI258</f>
        <v>0.06</v>
      </c>
      <c r="BL258" s="278">
        <f t="shared" si="74"/>
        <v>0.06</v>
      </c>
      <c r="BM258" s="278">
        <f t="shared" si="74"/>
        <v>0.06</v>
      </c>
      <c r="BN258" s="278">
        <f t="shared" si="74"/>
        <v>0.06</v>
      </c>
      <c r="BO258" s="852">
        <v>0.08</v>
      </c>
      <c r="BP258" s="278"/>
      <c r="BQ258" s="743">
        <f>BO258</f>
        <v>0.08</v>
      </c>
      <c r="BR258" s="278">
        <f t="shared" si="75"/>
        <v>0.08</v>
      </c>
      <c r="BS258" s="278">
        <f t="shared" si="75"/>
        <v>0.08</v>
      </c>
      <c r="BT258" s="278">
        <f t="shared" si="75"/>
        <v>0.08</v>
      </c>
      <c r="BU258" s="793">
        <f>BU251/BU$239</f>
        <v>0.08</v>
      </c>
      <c r="BV258" s="278"/>
      <c r="BW258" s="743">
        <f>BU258</f>
        <v>0.08</v>
      </c>
      <c r="BX258" s="278">
        <f t="shared" si="76"/>
        <v>0.08</v>
      </c>
      <c r="BY258" s="278">
        <f t="shared" si="76"/>
        <v>0.08</v>
      </c>
      <c r="BZ258" s="278">
        <f t="shared" si="76"/>
        <v>0.08</v>
      </c>
      <c r="CA258" s="793">
        <f>CA251/CA$239</f>
        <v>7.9999999999999988E-2</v>
      </c>
      <c r="CB258" s="278"/>
      <c r="CC258" s="743">
        <f>CA258</f>
        <v>7.9999999999999988E-2</v>
      </c>
      <c r="CD258" s="278">
        <f t="shared" si="77"/>
        <v>7.9999999999999988E-2</v>
      </c>
      <c r="CE258" s="278">
        <f t="shared" si="77"/>
        <v>7.9999999999999988E-2</v>
      </c>
      <c r="CF258" s="278">
        <f t="shared" si="77"/>
        <v>7.9999999999999988E-2</v>
      </c>
      <c r="CG258" s="793">
        <f>CG251/CG$239</f>
        <v>0.08</v>
      </c>
    </row>
    <row r="259" spans="1:85" ht="11.25" customHeight="1" outlineLevel="1" x14ac:dyDescent="0.2">
      <c r="B259" s="837" t="s">
        <v>324</v>
      </c>
      <c r="C259" s="838"/>
      <c r="D259" s="838"/>
      <c r="E259" s="838"/>
      <c r="F259" s="838"/>
      <c r="G259" s="839"/>
      <c r="H259" s="840"/>
      <c r="I259" s="838"/>
      <c r="J259" s="838"/>
      <c r="K259" s="838"/>
      <c r="L259" s="838"/>
      <c r="M259" s="839"/>
      <c r="N259" s="840"/>
      <c r="O259" s="838"/>
      <c r="P259" s="838"/>
      <c r="Q259" s="838"/>
      <c r="R259" s="838"/>
      <c r="S259" s="839"/>
      <c r="T259" s="840"/>
      <c r="U259" s="838"/>
      <c r="V259" s="838"/>
      <c r="W259" s="838"/>
      <c r="X259" s="838"/>
      <c r="Y259" s="839"/>
      <c r="Z259" s="840"/>
      <c r="AA259" s="838"/>
      <c r="AB259" s="838"/>
      <c r="AC259" s="838"/>
      <c r="AD259" s="838"/>
      <c r="AE259" s="839"/>
      <c r="AF259" s="840"/>
      <c r="AG259" s="838">
        <f>SUM(AG256:AG258)</f>
        <v>1</v>
      </c>
      <c r="AH259" s="838">
        <f>SUM(AH256:AH258)</f>
        <v>1</v>
      </c>
      <c r="AI259" s="838">
        <f>SUM(AI256:AI258)</f>
        <v>1</v>
      </c>
      <c r="AJ259" s="838">
        <f>SUM(AJ256:AJ258)</f>
        <v>1</v>
      </c>
      <c r="AK259" s="839">
        <f>SUM(AK256:AK258)</f>
        <v>1</v>
      </c>
      <c r="AL259" s="840"/>
      <c r="AM259" s="838">
        <f>SUM(AM256:AM258)</f>
        <v>1</v>
      </c>
      <c r="AN259" s="838">
        <f>SUM(AN256:AN258)</f>
        <v>1</v>
      </c>
      <c r="AO259" s="838">
        <f>SUM(AO256:AO258)</f>
        <v>1</v>
      </c>
      <c r="AP259" s="838">
        <f>SUM(AP256:AP258)</f>
        <v>1</v>
      </c>
      <c r="AQ259" s="839">
        <f>SUM(AQ256:AQ258)</f>
        <v>1</v>
      </c>
      <c r="AR259" s="840"/>
      <c r="AS259" s="838">
        <f>SUM(AS256:AS258)</f>
        <v>1</v>
      </c>
      <c r="AT259" s="838">
        <f>SUM(AT256:AT258)</f>
        <v>1</v>
      </c>
      <c r="AU259" s="838">
        <f>SUM(AU256:AU258)</f>
        <v>1</v>
      </c>
      <c r="AV259" s="838">
        <f>SUM(AV256:AV258)</f>
        <v>1</v>
      </c>
      <c r="AW259" s="839">
        <f>SUM(AW256:AW258)</f>
        <v>1</v>
      </c>
      <c r="AX259" s="840"/>
      <c r="AY259" s="838">
        <f>SUM(AY256:AY258)</f>
        <v>1</v>
      </c>
      <c r="AZ259" s="838">
        <f>SUM(AZ256:AZ258)</f>
        <v>1</v>
      </c>
      <c r="BA259" s="838">
        <f>SUM(BA256:BA258)</f>
        <v>1</v>
      </c>
      <c r="BB259" s="838">
        <f>SUM(BB256:BB258)</f>
        <v>1</v>
      </c>
      <c r="BC259" s="839">
        <f>SUM(BC256:BC258)</f>
        <v>1</v>
      </c>
      <c r="BD259" s="840"/>
      <c r="BE259" s="838">
        <f>SUM(BE256:BE258)</f>
        <v>1</v>
      </c>
      <c r="BF259" s="838">
        <f>SUM(BF256:BF258)</f>
        <v>1</v>
      </c>
      <c r="BG259" s="838">
        <f>SUM(BG256:BG258)</f>
        <v>1</v>
      </c>
      <c r="BH259" s="838">
        <f>SUM(BH256:BH258)</f>
        <v>1</v>
      </c>
      <c r="BI259" s="839">
        <f>SUM(BI256:BI258)</f>
        <v>1</v>
      </c>
      <c r="BJ259" s="843"/>
      <c r="BK259" s="846">
        <f>BI259</f>
        <v>1</v>
      </c>
      <c r="BL259" s="838">
        <f t="shared" si="74"/>
        <v>1</v>
      </c>
      <c r="BM259" s="838">
        <f t="shared" si="74"/>
        <v>1</v>
      </c>
      <c r="BN259" s="838">
        <f t="shared" si="74"/>
        <v>1</v>
      </c>
      <c r="BO259" s="839">
        <f>SUM(BO256:BO258)</f>
        <v>1</v>
      </c>
      <c r="BP259" s="278"/>
      <c r="BQ259" s="846">
        <f>BO259</f>
        <v>1</v>
      </c>
      <c r="BR259" s="838">
        <f t="shared" si="75"/>
        <v>1</v>
      </c>
      <c r="BS259" s="838">
        <f t="shared" si="75"/>
        <v>1</v>
      </c>
      <c r="BT259" s="838">
        <f t="shared" si="75"/>
        <v>1</v>
      </c>
      <c r="BU259" s="839">
        <f>BU252/BU$239</f>
        <v>1.0000000000000002</v>
      </c>
      <c r="BV259" s="278"/>
      <c r="BW259" s="846">
        <f>BU259</f>
        <v>1.0000000000000002</v>
      </c>
      <c r="BX259" s="838">
        <f t="shared" si="76"/>
        <v>1.0000000000000002</v>
      </c>
      <c r="BY259" s="838">
        <f t="shared" si="76"/>
        <v>1.0000000000000002</v>
      </c>
      <c r="BZ259" s="838">
        <f t="shared" si="76"/>
        <v>1.0000000000000002</v>
      </c>
      <c r="CA259" s="839">
        <f>CA252/CA$239</f>
        <v>1</v>
      </c>
      <c r="CB259" s="278"/>
      <c r="CC259" s="846">
        <f>CA259</f>
        <v>1</v>
      </c>
      <c r="CD259" s="838">
        <f t="shared" si="77"/>
        <v>1</v>
      </c>
      <c r="CE259" s="838">
        <f t="shared" si="77"/>
        <v>1</v>
      </c>
      <c r="CF259" s="838">
        <f t="shared" si="77"/>
        <v>1</v>
      </c>
      <c r="CG259" s="839">
        <f>CG252/CG$239</f>
        <v>1.0000000000000002</v>
      </c>
    </row>
    <row r="260" spans="1:85" ht="11.25" customHeight="1" x14ac:dyDescent="0.2">
      <c r="A260" s="78"/>
      <c r="BJ260" s="11"/>
      <c r="BK260" s="15"/>
      <c r="BQ260" s="15"/>
      <c r="BW260" s="15"/>
      <c r="CC260" s="15"/>
    </row>
    <row r="261" spans="1:85" ht="11.25" customHeight="1" outlineLevel="1" x14ac:dyDescent="0.2">
      <c r="C261" s="395">
        <v>39172</v>
      </c>
      <c r="D261" s="2">
        <v>39263</v>
      </c>
      <c r="E261" s="2">
        <v>39355</v>
      </c>
      <c r="F261" s="390">
        <v>39447</v>
      </c>
      <c r="G261" s="1330" t="s">
        <v>32</v>
      </c>
      <c r="H261" s="71"/>
      <c r="I261" s="395">
        <v>39538</v>
      </c>
      <c r="J261" s="2">
        <v>39629</v>
      </c>
      <c r="K261" s="2">
        <v>39721</v>
      </c>
      <c r="L261" s="390">
        <v>39813</v>
      </c>
      <c r="M261" s="1330" t="s">
        <v>33</v>
      </c>
      <c r="N261" s="71"/>
      <c r="O261" s="397">
        <v>39903</v>
      </c>
      <c r="P261" s="72">
        <v>39994</v>
      </c>
      <c r="Q261" s="72">
        <v>40086</v>
      </c>
      <c r="R261" s="398">
        <v>40178</v>
      </c>
      <c r="S261" s="1330" t="s">
        <v>34</v>
      </c>
      <c r="T261" s="71"/>
      <c r="U261" s="399">
        <v>40268</v>
      </c>
      <c r="V261" s="72">
        <v>40359</v>
      </c>
      <c r="W261" s="72">
        <v>40451</v>
      </c>
      <c r="X261" s="72">
        <v>40543</v>
      </c>
      <c r="Y261" s="1329" t="s">
        <v>100</v>
      </c>
      <c r="Z261" s="71"/>
      <c r="AA261" s="72">
        <v>40633</v>
      </c>
      <c r="AB261" s="72">
        <v>40724</v>
      </c>
      <c r="AC261" s="72">
        <v>40816</v>
      </c>
      <c r="AD261" s="72">
        <v>40908</v>
      </c>
      <c r="AE261" s="1328" t="s">
        <v>130</v>
      </c>
      <c r="AF261" s="71"/>
      <c r="AG261" s="72">
        <v>40999</v>
      </c>
      <c r="AH261" s="72">
        <v>41090</v>
      </c>
      <c r="AI261" s="72">
        <v>41182</v>
      </c>
      <c r="AJ261" s="72">
        <v>41274</v>
      </c>
      <c r="AK261" s="1328" t="s">
        <v>131</v>
      </c>
      <c r="AL261" s="71"/>
      <c r="AM261" s="72">
        <v>41364</v>
      </c>
      <c r="AN261" s="72">
        <v>41455</v>
      </c>
      <c r="AO261" s="72">
        <v>41547</v>
      </c>
      <c r="AP261" s="72">
        <v>41639</v>
      </c>
      <c r="AQ261" s="1328" t="s">
        <v>132</v>
      </c>
      <c r="AR261" s="71"/>
      <c r="AS261" s="397">
        <v>41729</v>
      </c>
      <c r="AT261" s="72">
        <v>41820</v>
      </c>
      <c r="AU261" s="72">
        <v>41912</v>
      </c>
      <c r="AV261" s="72">
        <v>42004</v>
      </c>
      <c r="AW261" s="1328" t="s">
        <v>238</v>
      </c>
      <c r="AX261" s="71"/>
      <c r="AY261" s="397">
        <v>42094</v>
      </c>
      <c r="AZ261" s="72">
        <v>42185</v>
      </c>
      <c r="BA261" s="72">
        <v>42277</v>
      </c>
      <c r="BB261" s="72">
        <v>42369</v>
      </c>
      <c r="BC261" s="1328" t="s">
        <v>251</v>
      </c>
      <c r="BD261" s="71"/>
      <c r="BE261" s="397">
        <v>42460</v>
      </c>
      <c r="BF261" s="72">
        <v>42551</v>
      </c>
      <c r="BG261" s="72">
        <v>42643</v>
      </c>
      <c r="BH261" s="72">
        <v>42735</v>
      </c>
      <c r="BI261" s="1328" t="s">
        <v>449</v>
      </c>
      <c r="BJ261" s="71"/>
      <c r="BK261" s="397">
        <v>42825</v>
      </c>
      <c r="BL261" s="72">
        <v>42916</v>
      </c>
      <c r="BM261" s="72">
        <v>43008</v>
      </c>
      <c r="BN261" s="72">
        <v>43100</v>
      </c>
      <c r="BO261" s="1328" t="s">
        <v>678</v>
      </c>
      <c r="BP261" s="71"/>
      <c r="BQ261" s="401">
        <v>43190</v>
      </c>
      <c r="BR261" s="70">
        <v>43281</v>
      </c>
      <c r="BS261" s="70">
        <v>43373</v>
      </c>
      <c r="BT261" s="70">
        <v>43465</v>
      </c>
      <c r="BU261" s="404"/>
      <c r="BV261" s="71"/>
      <c r="BW261" s="401">
        <v>43555</v>
      </c>
      <c r="BX261" s="70">
        <v>43646</v>
      </c>
      <c r="BY261" s="70">
        <v>43738</v>
      </c>
      <c r="BZ261" s="70">
        <v>43830</v>
      </c>
      <c r="CA261" s="404"/>
      <c r="CB261" s="71"/>
      <c r="CC261" s="401">
        <v>43920</v>
      </c>
      <c r="CD261" s="70">
        <v>44011</v>
      </c>
      <c r="CE261" s="70">
        <v>44103</v>
      </c>
      <c r="CF261" s="70">
        <v>44195</v>
      </c>
      <c r="CG261" s="404"/>
    </row>
    <row r="262" spans="1:85" s="998" customFormat="1" outlineLevel="1" x14ac:dyDescent="0.2">
      <c r="A262" s="9"/>
      <c r="B262" s="1106" t="s">
        <v>576</v>
      </c>
      <c r="C262" s="1315"/>
      <c r="D262" s="1315"/>
      <c r="E262" s="1315"/>
      <c r="F262" s="1315"/>
      <c r="G262" s="1318">
        <v>0.08</v>
      </c>
      <c r="H262" s="1316"/>
      <c r="I262" s="1315"/>
      <c r="J262" s="1315"/>
      <c r="K262" s="1317"/>
      <c r="L262" s="1318"/>
      <c r="M262" s="1318">
        <v>0.09</v>
      </c>
      <c r="N262" s="1316"/>
      <c r="O262" s="1318">
        <v>0.09</v>
      </c>
      <c r="P262" s="1315"/>
      <c r="Q262" s="1315"/>
      <c r="R262" s="1315"/>
      <c r="S262" s="1323">
        <f>+AVERAGE(O262:R262)</f>
        <v>0.09</v>
      </c>
      <c r="T262" s="1316"/>
      <c r="U262" s="1315"/>
      <c r="V262" s="1321">
        <v>9.5000000000000001E-2</v>
      </c>
      <c r="W262" s="1315"/>
      <c r="X262" s="1315"/>
      <c r="Y262" s="1323">
        <f>+AVERAGE(U262:X262)</f>
        <v>9.5000000000000001E-2</v>
      </c>
      <c r="Z262" s="1316"/>
      <c r="AA262" s="1315"/>
      <c r="AB262" s="1315"/>
      <c r="AC262" s="1315"/>
      <c r="AD262" s="1315"/>
      <c r="AE262" s="1318">
        <v>0.1</v>
      </c>
      <c r="AF262" s="1316"/>
      <c r="AG262" s="1315"/>
      <c r="AH262" s="1315"/>
      <c r="AI262" s="1315"/>
      <c r="AJ262" s="1315"/>
      <c r="AK262" s="1318">
        <v>0.1</v>
      </c>
      <c r="AL262" s="1316"/>
      <c r="AM262" s="1315"/>
      <c r="AN262" s="1315"/>
      <c r="AO262" s="1315"/>
      <c r="AP262" s="1315"/>
      <c r="AQ262" s="1318">
        <v>0.1</v>
      </c>
      <c r="AR262" s="1316"/>
      <c r="AS262" s="1315"/>
      <c r="AT262" s="1324">
        <v>0.09</v>
      </c>
      <c r="AU262" s="1322">
        <v>9.5000000000000001E-2</v>
      </c>
      <c r="AV262" s="1315"/>
      <c r="AW262" s="1322">
        <v>9.5000000000000001E-2</v>
      </c>
      <c r="AX262" s="1316"/>
      <c r="AY262" s="1322">
        <v>9.5000000000000001E-2</v>
      </c>
      <c r="AZ262" s="1315"/>
      <c r="BA262" s="1315"/>
      <c r="BB262" s="1315"/>
      <c r="BC262" s="1322">
        <v>9.5000000000000001E-2</v>
      </c>
      <c r="BD262" s="1316"/>
      <c r="BE262" s="1315"/>
      <c r="BF262" s="1315"/>
      <c r="BG262" s="1315"/>
      <c r="BH262" s="1315"/>
      <c r="BI262" s="1318">
        <v>0.1</v>
      </c>
      <c r="BJ262" s="1316"/>
      <c r="BK262" s="1315"/>
      <c r="BL262" s="1315"/>
      <c r="BM262" s="1315"/>
      <c r="BN262" s="1315"/>
      <c r="BO262" s="1318">
        <v>0.1</v>
      </c>
      <c r="BP262" s="1318"/>
      <c r="BQ262" s="1315"/>
      <c r="BR262" s="1315"/>
      <c r="BS262" s="1315"/>
      <c r="BT262" s="1315"/>
      <c r="BU262" s="1315"/>
      <c r="BV262" s="1316"/>
      <c r="BW262" s="1315"/>
      <c r="BX262" s="1315"/>
      <c r="BY262" s="1315"/>
      <c r="BZ262" s="1315"/>
      <c r="CA262" s="1315"/>
      <c r="CB262" s="1316"/>
      <c r="CC262" s="1315"/>
      <c r="CD262" s="1315"/>
      <c r="CE262" s="1315"/>
      <c r="CF262" s="1315"/>
      <c r="CG262" s="1319"/>
    </row>
    <row r="263" spans="1:85" s="998" customFormat="1" outlineLevel="1" x14ac:dyDescent="0.2">
      <c r="A263" s="279"/>
      <c r="B263" s="1106" t="s">
        <v>682</v>
      </c>
      <c r="C263" s="1315"/>
      <c r="D263" s="1315"/>
      <c r="E263" s="1315"/>
      <c r="F263" s="1315"/>
      <c r="G263" s="1315"/>
      <c r="H263" s="1316"/>
      <c r="I263" s="1315"/>
      <c r="J263" s="1315"/>
      <c r="K263" s="1320">
        <v>0.2</v>
      </c>
      <c r="L263" s="1318">
        <v>7.0000000000000007E-2</v>
      </c>
      <c r="M263" s="1315"/>
      <c r="N263" s="1316"/>
      <c r="O263" s="1318">
        <v>0.15</v>
      </c>
      <c r="P263" s="1318">
        <v>0.18</v>
      </c>
      <c r="Q263" s="1315"/>
      <c r="R263" s="1315"/>
      <c r="S263" s="1315"/>
      <c r="T263" s="1316"/>
      <c r="U263" s="1315"/>
      <c r="V263" s="1317"/>
      <c r="W263" s="1315"/>
      <c r="X263" s="1315"/>
      <c r="Y263" s="1315"/>
      <c r="Z263" s="1316"/>
      <c r="AA263" s="1315"/>
      <c r="AB263" s="1315"/>
      <c r="AC263" s="1315"/>
      <c r="AD263" s="1315"/>
      <c r="AE263" s="1315"/>
      <c r="AF263" s="1316"/>
      <c r="AG263" s="1315"/>
      <c r="AH263" s="1315"/>
      <c r="AI263" s="1315"/>
      <c r="AJ263" s="1315"/>
      <c r="AK263" s="1315"/>
      <c r="AL263" s="1316"/>
      <c r="AM263" s="1315"/>
      <c r="AN263" s="1315"/>
      <c r="AO263" s="1315"/>
      <c r="AP263" s="1315"/>
      <c r="AQ263" s="1315"/>
      <c r="AR263" s="1316"/>
      <c r="AS263" s="1315"/>
      <c r="AT263" s="1317"/>
      <c r="AU263" s="1318" t="s">
        <v>691</v>
      </c>
      <c r="AV263" s="1315"/>
      <c r="AW263" s="1315"/>
      <c r="AX263" s="1316"/>
      <c r="AY263" s="1318"/>
      <c r="AZ263" s="1315"/>
      <c r="BA263" s="1315"/>
      <c r="BB263" s="1315"/>
      <c r="BC263" s="1315"/>
      <c r="BD263" s="1316"/>
      <c r="BE263" s="1315"/>
      <c r="BF263" s="1315"/>
      <c r="BG263" s="1315"/>
      <c r="BH263" s="1315"/>
      <c r="BI263" s="1315"/>
      <c r="BJ263" s="1316"/>
      <c r="BK263" s="1315"/>
      <c r="BL263" s="1315"/>
      <c r="BM263" s="1315"/>
      <c r="BN263" s="1315"/>
      <c r="BO263" s="1315"/>
      <c r="BP263" s="1316"/>
      <c r="BQ263" s="1315"/>
      <c r="BR263" s="1315"/>
      <c r="BS263" s="1315"/>
      <c r="BT263" s="1315"/>
      <c r="BU263" s="1315"/>
      <c r="BV263" s="1316"/>
      <c r="BW263" s="1315"/>
      <c r="BX263" s="1315"/>
      <c r="BY263" s="1315"/>
      <c r="BZ263" s="1315"/>
      <c r="CA263" s="1315"/>
      <c r="CB263" s="1316"/>
      <c r="CC263" s="1315"/>
      <c r="CD263" s="1315"/>
      <c r="CE263" s="1315"/>
      <c r="CF263" s="1315"/>
      <c r="CG263" s="1319"/>
    </row>
    <row r="264" spans="1:85" outlineLevel="1" x14ac:dyDescent="0.2">
      <c r="A264" s="279"/>
      <c r="B264" s="1309" t="s">
        <v>707</v>
      </c>
      <c r="C264" s="1310"/>
      <c r="D264" s="1310"/>
      <c r="E264" s="1310"/>
      <c r="F264" s="1310"/>
      <c r="G264" s="1310">
        <f>+G262*G174</f>
        <v>472.35327999999993</v>
      </c>
      <c r="H264" s="1311"/>
      <c r="I264" s="1310"/>
      <c r="J264" s="1310"/>
      <c r="K264" s="1310"/>
      <c r="L264" s="1310"/>
      <c r="M264" s="1310">
        <f>+M262*M174</f>
        <v>574.23716999999999</v>
      </c>
      <c r="N264" s="1311"/>
      <c r="O264" s="1310"/>
      <c r="P264" s="1310"/>
      <c r="Q264" s="1310"/>
      <c r="R264" s="1310"/>
      <c r="S264" s="1310">
        <f>+S262*S174</f>
        <v>588.45024000000001</v>
      </c>
      <c r="T264" s="1311"/>
      <c r="U264" s="1310"/>
      <c r="V264" s="1310"/>
      <c r="W264" s="1310"/>
      <c r="X264" s="1310"/>
      <c r="Y264" s="1310">
        <f>+Y262*Y174</f>
        <v>715.04505000000006</v>
      </c>
      <c r="Z264" s="1311"/>
      <c r="AA264" s="1310"/>
      <c r="AB264" s="1310"/>
      <c r="AC264" s="1310"/>
      <c r="AD264" s="1310"/>
      <c r="AE264" s="1310">
        <f>+AE262*AE174</f>
        <v>853.02419999999984</v>
      </c>
      <c r="AF264" s="1311"/>
      <c r="AG264" s="1310"/>
      <c r="AH264" s="1310"/>
      <c r="AI264" s="1310"/>
      <c r="AJ264" s="1310"/>
      <c r="AK264" s="1310">
        <f>+AK262*AK174</f>
        <v>893.99670000000015</v>
      </c>
      <c r="AL264" s="1311"/>
      <c r="AM264" s="1310"/>
      <c r="AN264" s="1310"/>
      <c r="AO264" s="1310"/>
      <c r="AP264" s="1310"/>
      <c r="AQ264" s="1310">
        <f>+AQ262*AQ174</f>
        <v>956.06470000000013</v>
      </c>
      <c r="AR264" s="1311"/>
      <c r="AS264" s="1310"/>
      <c r="AT264" s="1310"/>
      <c r="AU264" s="1310"/>
      <c r="AV264" s="1310"/>
      <c r="AW264" s="1310">
        <f>+AW262*AW174</f>
        <v>985.28205000000014</v>
      </c>
      <c r="AX264" s="1311"/>
      <c r="AY264" s="1310"/>
      <c r="AZ264" s="1310"/>
      <c r="BA264" s="1310"/>
      <c r="BB264" s="1310"/>
      <c r="BC264" s="1310">
        <f>+BC262*BC174</f>
        <v>1009.8233049999999</v>
      </c>
      <c r="BD264" s="1311"/>
      <c r="BE264" s="1310"/>
      <c r="BF264" s="1310"/>
      <c r="BG264" s="1310"/>
      <c r="BH264" s="1310"/>
      <c r="BI264" s="1310">
        <f>+BI262*BI174</f>
        <v>1157.1650999999999</v>
      </c>
      <c r="BJ264" s="1311"/>
      <c r="BK264" s="1310"/>
      <c r="BL264" s="1310"/>
      <c r="BM264" s="1310"/>
      <c r="BN264" s="1310"/>
      <c r="BO264" s="1310">
        <f>+BO262*BO174</f>
        <v>1246.1583000000001</v>
      </c>
      <c r="BP264" s="1311"/>
      <c r="BQ264" s="1310"/>
      <c r="BR264" s="1310"/>
      <c r="BS264" s="1310"/>
      <c r="BT264" s="1310"/>
      <c r="BU264" s="1310"/>
      <c r="BV264" s="1311"/>
      <c r="BW264" s="1310"/>
      <c r="BX264" s="1310"/>
      <c r="BY264" s="1310"/>
      <c r="BZ264" s="1310"/>
      <c r="CA264" s="1310"/>
      <c r="CB264" s="1311"/>
      <c r="CC264" s="1310"/>
      <c r="CD264" s="1310"/>
      <c r="CE264" s="1310"/>
      <c r="CF264" s="1310"/>
      <c r="CG264" s="1310"/>
    </row>
    <row r="265" spans="1:85" s="1350" customFormat="1" outlineLevel="1" x14ac:dyDescent="0.2">
      <c r="A265" s="865"/>
      <c r="B265" s="1351" t="s">
        <v>695</v>
      </c>
      <c r="C265" s="1343"/>
      <c r="D265" s="1343"/>
      <c r="E265" s="1343"/>
      <c r="F265" s="1343" t="s">
        <v>687</v>
      </c>
      <c r="G265" s="1344">
        <v>0.2</v>
      </c>
      <c r="H265" s="1343"/>
      <c r="I265" s="1343"/>
      <c r="J265" s="1345"/>
      <c r="K265" s="1346"/>
      <c r="L265" s="1343" t="s">
        <v>684</v>
      </c>
      <c r="M265" s="1344">
        <v>0.2</v>
      </c>
      <c r="N265" s="1346"/>
      <c r="O265" s="1346"/>
      <c r="P265" s="1343"/>
      <c r="Q265" s="1343"/>
      <c r="R265" s="1343" t="s">
        <v>686</v>
      </c>
      <c r="S265" s="1344">
        <f>20%+5%</f>
        <v>0.25</v>
      </c>
      <c r="T265" s="1347"/>
      <c r="U265" s="1343"/>
      <c r="V265" s="1348"/>
      <c r="W265" s="1343"/>
      <c r="X265" s="1343" t="s">
        <v>698</v>
      </c>
      <c r="Y265" s="1344">
        <f>+S265+5%</f>
        <v>0.3</v>
      </c>
      <c r="Z265" s="1347"/>
      <c r="AA265" s="1343"/>
      <c r="AB265" s="1343"/>
      <c r="AC265" s="1343"/>
      <c r="AD265" s="1343"/>
      <c r="AE265" s="1344">
        <f>+Y265+5%</f>
        <v>0.35</v>
      </c>
      <c r="AF265" s="1347"/>
      <c r="AG265" s="1343"/>
      <c r="AH265" s="1343"/>
      <c r="AI265" s="1343"/>
      <c r="AJ265" s="1343"/>
      <c r="AK265" s="1344">
        <f>+AE265+5%</f>
        <v>0.39999999999999997</v>
      </c>
      <c r="AL265" s="1347"/>
      <c r="AM265" s="1343"/>
      <c r="AN265" s="1343" t="s">
        <v>688</v>
      </c>
      <c r="AO265" s="1343"/>
      <c r="AP265" s="1343"/>
      <c r="AQ265" s="1349">
        <f>+AK265+5%</f>
        <v>0.44999999999999996</v>
      </c>
      <c r="AR265" s="1347"/>
      <c r="AS265" s="1343"/>
      <c r="AT265" s="1348"/>
      <c r="AU265" s="1346"/>
      <c r="AV265" s="1343"/>
      <c r="AW265" s="1349">
        <f>+AQ265+5%</f>
        <v>0.49999999999999994</v>
      </c>
      <c r="AX265" s="1347"/>
      <c r="AY265" s="1346" t="s">
        <v>692</v>
      </c>
      <c r="AZ265" s="1343"/>
      <c r="BA265" s="1343"/>
      <c r="BB265" s="1343"/>
      <c r="BC265" s="1349">
        <f>+AW265+5%</f>
        <v>0.54999999999999993</v>
      </c>
      <c r="BD265" s="1347"/>
      <c r="BE265" s="1343"/>
      <c r="BF265" s="1343"/>
      <c r="BG265" s="1343"/>
      <c r="BH265" s="1343"/>
      <c r="BI265" s="1349">
        <f>+BC265+5%</f>
        <v>0.6</v>
      </c>
      <c r="BJ265" s="1347"/>
      <c r="BK265" s="1343"/>
      <c r="BL265" s="1343"/>
      <c r="BM265" s="1343"/>
      <c r="BN265" s="1343"/>
      <c r="BO265" s="1349">
        <f>+BI265+5%</f>
        <v>0.65</v>
      </c>
      <c r="BP265" s="1347"/>
      <c r="BQ265" s="1343"/>
      <c r="BR265" s="1343"/>
      <c r="BS265" s="1343"/>
      <c r="BT265" s="1343"/>
      <c r="BU265" s="1343"/>
      <c r="BV265" s="1347"/>
      <c r="BW265" s="1343"/>
      <c r="BX265" s="1343"/>
      <c r="BY265" s="1343"/>
      <c r="BZ265" s="1343"/>
      <c r="CA265" s="1343"/>
      <c r="CB265" s="1347"/>
      <c r="CC265" s="1343"/>
      <c r="CD265" s="1343"/>
      <c r="CE265" s="1343"/>
      <c r="CF265" s="1343"/>
      <c r="CG265" s="1343"/>
    </row>
    <row r="266" spans="1:85" s="1350" customFormat="1" outlineLevel="1" x14ac:dyDescent="0.2">
      <c r="A266" s="865"/>
      <c r="B266" s="1351" t="s">
        <v>696</v>
      </c>
      <c r="C266" s="1343"/>
      <c r="D266" s="1343"/>
      <c r="E266" s="1343"/>
      <c r="F266" s="1343"/>
      <c r="G266" s="1344">
        <v>0</v>
      </c>
      <c r="H266" s="1343"/>
      <c r="I266" s="1343"/>
      <c r="J266" s="1345"/>
      <c r="K266" s="1346"/>
      <c r="L266" s="1343"/>
      <c r="M266" s="1344">
        <v>0</v>
      </c>
      <c r="N266" s="1346"/>
      <c r="O266" s="1346"/>
      <c r="P266" s="1343"/>
      <c r="Q266" s="1343"/>
      <c r="R266" s="1343"/>
      <c r="S266" s="1344">
        <v>0</v>
      </c>
      <c r="T266" s="1347"/>
      <c r="U266" s="1343"/>
      <c r="V266" s="1348"/>
      <c r="W266" s="1343"/>
      <c r="X266" s="1343"/>
      <c r="Y266" s="1344">
        <v>0</v>
      </c>
      <c r="Z266" s="1347"/>
      <c r="AA266" s="1343"/>
      <c r="AB266" s="1343"/>
      <c r="AC266" s="1343"/>
      <c r="AD266" s="1343" t="s">
        <v>683</v>
      </c>
      <c r="AE266" s="1344">
        <v>0.05</v>
      </c>
      <c r="AF266" s="1347"/>
      <c r="AG266" s="1343"/>
      <c r="AH266" s="1343"/>
      <c r="AI266" s="1343"/>
      <c r="AJ266" s="1343"/>
      <c r="AK266" s="1344">
        <v>0.05</v>
      </c>
      <c r="AL266" s="1347"/>
      <c r="AM266" s="1343"/>
      <c r="AN266" s="1343" t="s">
        <v>689</v>
      </c>
      <c r="AO266" s="1343"/>
      <c r="AP266" s="1343"/>
      <c r="AQ266" s="1349">
        <v>0.05</v>
      </c>
      <c r="AR266" s="1347"/>
      <c r="AS266" s="1343"/>
      <c r="AT266" s="1348"/>
      <c r="AU266" s="1346"/>
      <c r="AV266" s="1343"/>
      <c r="AW266" s="1349">
        <v>0.05</v>
      </c>
      <c r="AX266" s="1347"/>
      <c r="AY266" s="1346" t="s">
        <v>694</v>
      </c>
      <c r="AZ266" s="1343"/>
      <c r="BA266" s="1343"/>
      <c r="BB266" s="1343"/>
      <c r="BC266" s="1349">
        <v>0.05</v>
      </c>
      <c r="BD266" s="1347"/>
      <c r="BE266" s="1343"/>
      <c r="BF266" s="1343"/>
      <c r="BG266" s="1343"/>
      <c r="BH266" s="1343"/>
      <c r="BI266" s="1349">
        <v>0.05</v>
      </c>
      <c r="BJ266" s="1347"/>
      <c r="BK266" s="1343"/>
      <c r="BL266" s="1343"/>
      <c r="BM266" s="1343"/>
      <c r="BN266" s="1343"/>
      <c r="BO266" s="1349">
        <v>0.05</v>
      </c>
      <c r="BP266" s="1347"/>
      <c r="BQ266" s="1343"/>
      <c r="BR266" s="1343"/>
      <c r="BS266" s="1343"/>
      <c r="BT266" s="1343"/>
      <c r="BU266" s="1343"/>
      <c r="BV266" s="1347"/>
      <c r="BW266" s="1343"/>
      <c r="BX266" s="1343"/>
      <c r="BY266" s="1343"/>
      <c r="BZ266" s="1343"/>
      <c r="CA266" s="1343"/>
      <c r="CB266" s="1347"/>
      <c r="CC266" s="1343"/>
      <c r="CD266" s="1343"/>
      <c r="CE266" s="1343"/>
      <c r="CF266" s="1343"/>
      <c r="CG266" s="1343"/>
    </row>
    <row r="267" spans="1:85" s="1350" customFormat="1" outlineLevel="1" x14ac:dyDescent="0.2">
      <c r="A267" s="865"/>
      <c r="B267" s="1351" t="s">
        <v>697</v>
      </c>
      <c r="C267" s="1343"/>
      <c r="D267" s="1343"/>
      <c r="E267" s="1343"/>
      <c r="F267" s="1343"/>
      <c r="G267" s="1344">
        <v>0.8</v>
      </c>
      <c r="H267" s="1343"/>
      <c r="I267" s="1343"/>
      <c r="J267" s="1345"/>
      <c r="K267" s="1346"/>
      <c r="L267" s="1343" t="s">
        <v>685</v>
      </c>
      <c r="M267" s="1344">
        <f>100%-M265-M266</f>
        <v>0.8</v>
      </c>
      <c r="N267" s="1346"/>
      <c r="O267" s="1346"/>
      <c r="P267" s="1343"/>
      <c r="Q267" s="1343"/>
      <c r="R267" s="1343"/>
      <c r="S267" s="1344">
        <f>100%-S265-S266</f>
        <v>0.75</v>
      </c>
      <c r="T267" s="1347"/>
      <c r="U267" s="1343"/>
      <c r="V267" s="1348"/>
      <c r="W267" s="1343"/>
      <c r="X267" s="1343"/>
      <c r="Y267" s="1344">
        <f>100%-Y265-Y266</f>
        <v>0.7</v>
      </c>
      <c r="Z267" s="1347"/>
      <c r="AA267" s="1343"/>
      <c r="AB267" s="1343"/>
      <c r="AC267" s="1343"/>
      <c r="AD267" s="1343"/>
      <c r="AE267" s="1344">
        <f>100%-AE265-AE266</f>
        <v>0.6</v>
      </c>
      <c r="AF267" s="1347"/>
      <c r="AG267" s="1343"/>
      <c r="AH267" s="1343"/>
      <c r="AI267" s="1343"/>
      <c r="AJ267" s="1343"/>
      <c r="AK267" s="1344">
        <f>100%-AK265-AK266</f>
        <v>0.55000000000000004</v>
      </c>
      <c r="AL267" s="1347"/>
      <c r="AM267" s="1343"/>
      <c r="AN267" s="1343" t="s">
        <v>690</v>
      </c>
      <c r="AO267" s="1343"/>
      <c r="AP267" s="1343"/>
      <c r="AQ267" s="1349">
        <f>100%-AQ265-AQ266</f>
        <v>0.5</v>
      </c>
      <c r="AR267" s="1347"/>
      <c r="AS267" s="1343"/>
      <c r="AT267" s="1348"/>
      <c r="AU267" s="1346"/>
      <c r="AV267" s="1343"/>
      <c r="AW267" s="1349">
        <f>100%-AW265-AW266</f>
        <v>0.45</v>
      </c>
      <c r="AX267" s="1347"/>
      <c r="AY267" s="1346" t="s">
        <v>693</v>
      </c>
      <c r="AZ267" s="1343"/>
      <c r="BA267" s="1343"/>
      <c r="BB267" s="1343"/>
      <c r="BC267" s="1349">
        <f>100%-BC265-BC266</f>
        <v>0.40000000000000008</v>
      </c>
      <c r="BD267" s="1347"/>
      <c r="BE267" s="1343"/>
      <c r="BF267" s="1343"/>
      <c r="BG267" s="1343"/>
      <c r="BH267" s="1343"/>
      <c r="BI267" s="1349">
        <f>100%-BI265-BI266</f>
        <v>0.35000000000000003</v>
      </c>
      <c r="BJ267" s="1347"/>
      <c r="BK267" s="1343"/>
      <c r="BL267" s="1343"/>
      <c r="BM267" s="1343"/>
      <c r="BN267" s="1343"/>
      <c r="BO267" s="1349">
        <f>100%-BO265-BO266</f>
        <v>0.3</v>
      </c>
      <c r="BP267" s="1347"/>
      <c r="BQ267" s="1343"/>
      <c r="BR267" s="1343"/>
      <c r="BS267" s="1343"/>
      <c r="BT267" s="1343"/>
      <c r="BU267" s="1343"/>
      <c r="BV267" s="1347"/>
      <c r="BW267" s="1343"/>
      <c r="BX267" s="1343"/>
      <c r="BY267" s="1343"/>
      <c r="BZ267" s="1343"/>
      <c r="CA267" s="1343"/>
      <c r="CB267" s="1347"/>
      <c r="CC267" s="1343"/>
      <c r="CD267" s="1343"/>
      <c r="CE267" s="1343"/>
      <c r="CF267" s="1343"/>
      <c r="CG267" s="1343"/>
    </row>
    <row r="268" spans="1:85" outlineLevel="1" x14ac:dyDescent="0.2">
      <c r="A268" s="7"/>
      <c r="B268" s="1325"/>
      <c r="C268" s="1326"/>
      <c r="D268" s="1326"/>
      <c r="E268" s="1326"/>
      <c r="F268" s="1326"/>
      <c r="G268" s="1326"/>
      <c r="H268" s="1327"/>
      <c r="I268" s="1326"/>
      <c r="J268" s="1326"/>
      <c r="K268" s="1326"/>
      <c r="L268" s="1326"/>
      <c r="M268" s="1326"/>
      <c r="N268" s="1327"/>
      <c r="O268" s="1326"/>
      <c r="P268" s="1326"/>
      <c r="Q268" s="1326"/>
      <c r="R268" s="1326"/>
      <c r="S268" s="1326"/>
      <c r="T268" s="1327"/>
      <c r="U268" s="1326"/>
      <c r="V268" s="1326"/>
      <c r="W268" s="1326"/>
      <c r="X268" s="1326"/>
      <c r="Y268" s="1326"/>
      <c r="Z268" s="1327"/>
      <c r="AA268" s="1326"/>
      <c r="AB268" s="1326"/>
      <c r="AC268" s="1326"/>
      <c r="AD268" s="1326"/>
      <c r="AE268" s="1326"/>
      <c r="AF268" s="1327"/>
      <c r="AG268" s="1326"/>
      <c r="AH268" s="1326"/>
      <c r="AI268" s="1326"/>
      <c r="AJ268" s="1326"/>
      <c r="AK268" s="1326"/>
      <c r="AL268" s="1327"/>
      <c r="AM268" s="1326"/>
      <c r="AN268" s="1326"/>
      <c r="AO268" s="1326"/>
      <c r="AP268" s="1326"/>
      <c r="AQ268" s="1326"/>
      <c r="AR268" s="1327"/>
      <c r="AS268" s="1326"/>
      <c r="AT268" s="1326"/>
      <c r="AU268" s="1326"/>
      <c r="AV268" s="1326"/>
      <c r="AW268" s="1326"/>
      <c r="AX268" s="1327"/>
      <c r="AY268" s="1326"/>
      <c r="AZ268" s="1326"/>
      <c r="BA268" s="1326"/>
      <c r="BB268" s="1326"/>
      <c r="BC268" s="1326"/>
      <c r="BD268" s="1327"/>
      <c r="BE268" s="1326"/>
      <c r="BF268" s="1326"/>
      <c r="BG268" s="1326"/>
      <c r="BH268" s="1326"/>
      <c r="BI268" s="1326"/>
      <c r="BJ268" s="1327"/>
      <c r="BK268" s="1326"/>
      <c r="BL268" s="1326"/>
      <c r="BM268" s="1326"/>
      <c r="BN268" s="1326"/>
      <c r="BO268" s="1326"/>
      <c r="BP268" s="1327"/>
      <c r="BQ268" s="1326"/>
      <c r="BR268" s="1326"/>
      <c r="BS268" s="1326"/>
      <c r="BT268" s="1326"/>
      <c r="BU268" s="1326"/>
      <c r="BV268" s="1327"/>
      <c r="BW268" s="1326"/>
      <c r="BX268" s="1326"/>
      <c r="BY268" s="1326"/>
      <c r="BZ268" s="1326"/>
      <c r="CA268" s="1326"/>
      <c r="CB268" s="1327"/>
      <c r="CC268" s="1326"/>
      <c r="CD268" s="1326"/>
      <c r="CE268" s="1326"/>
      <c r="CF268" s="1326"/>
      <c r="CG268" s="1326"/>
    </row>
    <row r="269" spans="1:85" outlineLevel="1" x14ac:dyDescent="0.2">
      <c r="A269" s="279"/>
      <c r="B269" s="1312" t="s">
        <v>704</v>
      </c>
      <c r="C269" s="1308"/>
      <c r="D269" s="1308"/>
      <c r="E269" s="1308"/>
      <c r="F269" s="1308"/>
      <c r="G269" s="1308">
        <f>G264*G265</f>
        <v>94.470655999999991</v>
      </c>
      <c r="H269" s="1313"/>
      <c r="I269" s="1308"/>
      <c r="J269" s="1308"/>
      <c r="K269" s="1308"/>
      <c r="L269" s="1308"/>
      <c r="M269" s="1308">
        <f>M264*M265</f>
        <v>114.84743400000001</v>
      </c>
      <c r="N269" s="1313"/>
      <c r="O269" s="1308"/>
      <c r="P269" s="1308"/>
      <c r="Q269" s="1308"/>
      <c r="R269" s="1308"/>
      <c r="S269" s="1308">
        <f>S264*S265</f>
        <v>147.11256</v>
      </c>
      <c r="T269" s="1313"/>
      <c r="U269" s="1308"/>
      <c r="V269" s="1308"/>
      <c r="W269" s="1308"/>
      <c r="X269" s="1308"/>
      <c r="Y269" s="1308">
        <f>Y264*Y265</f>
        <v>214.51351500000001</v>
      </c>
      <c r="Z269" s="1313"/>
      <c r="AA269" s="1308"/>
      <c r="AB269" s="1308"/>
      <c r="AC269" s="1308"/>
      <c r="AD269" s="1308"/>
      <c r="AE269" s="1308">
        <f>AE264*AE265</f>
        <v>298.55846999999994</v>
      </c>
      <c r="AF269" s="1313"/>
      <c r="AG269" s="1308"/>
      <c r="AH269" s="1308"/>
      <c r="AI269" s="1308"/>
      <c r="AJ269" s="1308"/>
      <c r="AK269" s="1308">
        <f>AK264*AK265</f>
        <v>357.59868</v>
      </c>
      <c r="AL269" s="1313"/>
      <c r="AM269" s="1308"/>
      <c r="AN269" s="1308"/>
      <c r="AO269" s="1308"/>
      <c r="AP269" s="1308"/>
      <c r="AQ269" s="1308">
        <f>AQ264*AQ265</f>
        <v>430.22911500000004</v>
      </c>
      <c r="AR269" s="1313"/>
      <c r="AS269" s="1308"/>
      <c r="AT269" s="1308"/>
      <c r="AU269" s="1308"/>
      <c r="AV269" s="1308"/>
      <c r="AW269" s="1308">
        <f>AW264*AW265</f>
        <v>492.64102500000001</v>
      </c>
      <c r="AX269" s="1313"/>
      <c r="AY269" s="1308"/>
      <c r="AZ269" s="1308"/>
      <c r="BA269" s="1308"/>
      <c r="BB269" s="1308"/>
      <c r="BC269" s="1308">
        <f>BC264*BC265</f>
        <v>555.40281774999983</v>
      </c>
      <c r="BD269" s="1313"/>
      <c r="BE269" s="1308"/>
      <c r="BF269" s="1308"/>
      <c r="BG269" s="1308"/>
      <c r="BH269" s="1308"/>
      <c r="BI269" s="1308">
        <f>BI264*BI265</f>
        <v>694.29905999999994</v>
      </c>
      <c r="BJ269" s="1313"/>
      <c r="BK269" s="1308"/>
      <c r="BL269" s="1308"/>
      <c r="BM269" s="1308"/>
      <c r="BN269" s="1308"/>
      <c r="BO269" s="1308">
        <f>BO264*BO265</f>
        <v>810.00289500000008</v>
      </c>
      <c r="BP269" s="1313"/>
      <c r="BQ269" s="1308"/>
      <c r="BR269" s="1308"/>
      <c r="BS269" s="1308"/>
      <c r="BT269" s="1308"/>
      <c r="BU269" s="1308"/>
      <c r="BV269" s="1313"/>
      <c r="BW269" s="1308"/>
      <c r="BX269" s="1308"/>
      <c r="BY269" s="1308"/>
      <c r="BZ269" s="1308"/>
      <c r="CA269" s="1308"/>
      <c r="CB269" s="1313"/>
      <c r="CC269" s="1308"/>
      <c r="CD269" s="1308"/>
      <c r="CE269" s="1308"/>
      <c r="CF269" s="1308"/>
      <c r="CG269" s="1308"/>
    </row>
    <row r="270" spans="1:85" outlineLevel="1" x14ac:dyDescent="0.2">
      <c r="A270" s="279"/>
      <c r="B270" s="1312" t="s">
        <v>705</v>
      </c>
      <c r="C270" s="1308"/>
      <c r="D270" s="1308"/>
      <c r="E270" s="1308"/>
      <c r="F270" s="1308"/>
      <c r="G270" s="1333">
        <v>75</v>
      </c>
      <c r="H270" s="1313"/>
      <c r="I270" s="1308"/>
      <c r="J270" s="1308"/>
      <c r="K270" s="1308"/>
      <c r="L270" s="1308"/>
      <c r="M270" s="1308">
        <f>+G270*1.05</f>
        <v>78.75</v>
      </c>
      <c r="N270" s="1313"/>
      <c r="O270" s="1308"/>
      <c r="P270" s="1308"/>
      <c r="Q270" s="1308"/>
      <c r="R270" s="1308"/>
      <c r="S270" s="1308">
        <f>+M270*1.2+35</f>
        <v>129.5</v>
      </c>
      <c r="T270" s="1313"/>
      <c r="U270" s="1308"/>
      <c r="V270" s="1308"/>
      <c r="W270" s="1308"/>
      <c r="X270" s="1308"/>
      <c r="Y270" s="1308">
        <f>+S270*1.5</f>
        <v>194.25</v>
      </c>
      <c r="Z270" s="1313"/>
      <c r="AA270" s="1308"/>
      <c r="AB270" s="1308"/>
      <c r="AC270" s="1308"/>
      <c r="AD270" s="1308"/>
      <c r="AE270" s="1308">
        <f>+Y270*1.6</f>
        <v>310.8</v>
      </c>
      <c r="AF270" s="1313"/>
      <c r="AG270" s="1308"/>
      <c r="AH270" s="1308"/>
      <c r="AI270" s="1308"/>
      <c r="AJ270" s="1308"/>
      <c r="AK270" s="1308">
        <f>+AE270*1.25</f>
        <v>388.5</v>
      </c>
      <c r="AL270" s="1313"/>
      <c r="AM270" s="1308"/>
      <c r="AN270" s="1308" t="s">
        <v>699</v>
      </c>
      <c r="AO270" s="1308"/>
      <c r="AP270" s="1308"/>
      <c r="AQ270" s="1308">
        <f>+AK270+115</f>
        <v>503.5</v>
      </c>
      <c r="AR270" s="1313"/>
      <c r="AS270" s="1308"/>
      <c r="AT270" s="1308"/>
      <c r="AU270" s="1308"/>
      <c r="AV270" s="1308"/>
      <c r="AW270" s="1308">
        <f>+AQ270*1.05</f>
        <v>528.67500000000007</v>
      </c>
      <c r="AX270" s="1313"/>
      <c r="AY270" s="1308"/>
      <c r="AZ270" s="1308"/>
      <c r="BA270" s="1308"/>
      <c r="BB270" s="1308"/>
      <c r="BC270" s="1333">
        <v>600</v>
      </c>
      <c r="BD270" s="1313"/>
      <c r="BE270" s="1308"/>
      <c r="BF270" s="1308"/>
      <c r="BG270" s="1308"/>
      <c r="BH270" s="1308"/>
      <c r="BI270" s="1334">
        <f>+BC270*1.05</f>
        <v>630</v>
      </c>
      <c r="BJ270" s="1313"/>
      <c r="BK270" s="1308"/>
      <c r="BL270" s="1308" t="s">
        <v>700</v>
      </c>
      <c r="BM270" s="1308"/>
      <c r="BN270" s="1308"/>
      <c r="BO270" s="1333">
        <v>700</v>
      </c>
      <c r="BP270" s="1313"/>
      <c r="BQ270" s="1308"/>
      <c r="BR270" s="1308"/>
      <c r="BS270" s="1308"/>
      <c r="BT270" s="1308"/>
      <c r="BU270" s="1308"/>
      <c r="BV270" s="1313"/>
      <c r="BW270" s="1308"/>
      <c r="BX270" s="1308"/>
      <c r="BY270" s="1308"/>
      <c r="BZ270" s="1308"/>
      <c r="CA270" s="1308"/>
      <c r="CB270" s="1313"/>
      <c r="CC270" s="1308"/>
      <c r="CD270" s="1308"/>
      <c r="CE270" s="1308"/>
      <c r="CF270" s="1308"/>
      <c r="CG270" s="1308"/>
    </row>
    <row r="271" spans="1:85" outlineLevel="1" x14ac:dyDescent="0.2">
      <c r="A271" s="279"/>
      <c r="B271" s="1309" t="s">
        <v>706</v>
      </c>
      <c r="C271" s="1314"/>
      <c r="D271" s="1314"/>
      <c r="E271" s="1314"/>
      <c r="F271" s="1314"/>
      <c r="G271" s="1331">
        <f>RevBuild!G8+60%*RevBuild!G101</f>
        <v>3524.3015999999998</v>
      </c>
      <c r="H271" s="1332"/>
      <c r="I271" s="1331"/>
      <c r="J271" s="1331"/>
      <c r="K271" s="1331"/>
      <c r="L271" s="1331"/>
      <c r="M271" s="1331">
        <f>RevBuild!M8+60%*RevBuild!M101</f>
        <v>3899.7191999999995</v>
      </c>
      <c r="N271" s="1332"/>
      <c r="O271" s="1331"/>
      <c r="P271" s="1331"/>
      <c r="Q271" s="1331"/>
      <c r="R271" s="1331"/>
      <c r="S271" s="1331">
        <f>RevBuild!S8+60%*RevBuild!S101</f>
        <v>3948.7839999999997</v>
      </c>
      <c r="T271" s="1332"/>
      <c r="U271" s="1331"/>
      <c r="V271" s="1331"/>
      <c r="W271" s="1331"/>
      <c r="X271" s="1331"/>
      <c r="Y271" s="1331">
        <f>RevBuild!Y8+60%*RevBuild!Y101</f>
        <v>4159.7961999999998</v>
      </c>
      <c r="Z271" s="1332"/>
      <c r="AA271" s="1331"/>
      <c r="AB271" s="1331"/>
      <c r="AC271" s="1331"/>
      <c r="AD271" s="1331"/>
      <c r="AE271" s="1331">
        <f>RevBuild!AE8+RevBuild!AE67</f>
        <v>4764.8980000000001</v>
      </c>
      <c r="AF271" s="1332"/>
      <c r="AG271" s="1331"/>
      <c r="AH271" s="1331"/>
      <c r="AI271" s="1331"/>
      <c r="AJ271" s="1331"/>
      <c r="AK271" s="1331">
        <f>RevBuild!AK8+RevBuild!AK67</f>
        <v>4774.482</v>
      </c>
      <c r="AL271" s="1332"/>
      <c r="AM271" s="1331"/>
      <c r="AN271" s="1331"/>
      <c r="AO271" s="1331"/>
      <c r="AP271" s="1331"/>
      <c r="AQ271" s="1331">
        <f>RevBuild!AQ8+RevBuild!AQ67</f>
        <v>4997.9719999999998</v>
      </c>
      <c r="AR271" s="1332"/>
      <c r="AS271" s="1331"/>
      <c r="AT271" s="1331"/>
      <c r="AU271" s="1331"/>
      <c r="AV271" s="1331"/>
      <c r="AW271" s="1331">
        <f>RevBuild!AW8+RevBuild!AW67</f>
        <v>5381.2150000000001</v>
      </c>
      <c r="AX271" s="1332"/>
      <c r="AY271" s="1331"/>
      <c r="AZ271" s="1331"/>
      <c r="BA271" s="1331"/>
      <c r="BB271" s="1331"/>
      <c r="BC271" s="1331">
        <f>RevBuild!BC8+RevBuild!BC67</f>
        <v>5276.4069999999992</v>
      </c>
      <c r="BD271" s="1332"/>
      <c r="BE271" s="1331"/>
      <c r="BF271" s="1331"/>
      <c r="BG271" s="1331"/>
      <c r="BH271" s="1331"/>
      <c r="BI271" s="1331">
        <f>RevBuild!BI8+RevBuild!BI67</f>
        <v>5555.299</v>
      </c>
      <c r="BJ271" s="1332"/>
      <c r="BK271" s="1331"/>
      <c r="BL271" s="1331"/>
      <c r="BM271" s="1331"/>
      <c r="BN271" s="1331"/>
      <c r="BO271" s="1331">
        <f>RevBuild!BO8+RevBuild!BO67</f>
        <v>6048.853000000001</v>
      </c>
      <c r="BP271" s="1311"/>
      <c r="BQ271" s="1314"/>
      <c r="BR271" s="1314"/>
      <c r="BS271" s="1314"/>
      <c r="BT271" s="1314"/>
      <c r="BU271" s="1314"/>
      <c r="BV271" s="1311"/>
      <c r="BW271" s="1314"/>
      <c r="BX271" s="1314"/>
      <c r="BY271" s="1314"/>
      <c r="BZ271" s="1314"/>
      <c r="CA271" s="1314"/>
      <c r="CB271" s="1311"/>
      <c r="CC271" s="1314"/>
      <c r="CD271" s="1314"/>
      <c r="CE271" s="1314"/>
      <c r="CF271" s="1314"/>
      <c r="CG271" s="1314"/>
    </row>
    <row r="272" spans="1:85" outlineLevel="1" x14ac:dyDescent="0.2">
      <c r="A272" s="279"/>
      <c r="B272" s="1309"/>
      <c r="C272" s="1314"/>
      <c r="D272" s="1314"/>
      <c r="E272" s="1314"/>
      <c r="F272" s="1314"/>
      <c r="G272" s="1331"/>
      <c r="H272" s="1332"/>
      <c r="I272" s="1331"/>
      <c r="J272" s="1331"/>
      <c r="K272" s="1331"/>
      <c r="L272" s="1331"/>
      <c r="M272" s="1331"/>
      <c r="N272" s="1332"/>
      <c r="O272" s="1331"/>
      <c r="P272" s="1331"/>
      <c r="Q272" s="1331"/>
      <c r="R272" s="1331"/>
      <c r="S272" s="1331"/>
      <c r="T272" s="1332"/>
      <c r="U272" s="1331"/>
      <c r="V272" s="1331"/>
      <c r="W272" s="1331"/>
      <c r="X272" s="1331"/>
      <c r="Y272" s="1331"/>
      <c r="Z272" s="1332"/>
      <c r="AA272" s="1331"/>
      <c r="AB272" s="1331"/>
      <c r="AC272" s="1331"/>
      <c r="AD272" s="1331"/>
      <c r="AE272" s="1331"/>
      <c r="AF272" s="1332"/>
      <c r="AG272" s="1331"/>
      <c r="AH272" s="1331"/>
      <c r="AI272" s="1331"/>
      <c r="AJ272" s="1331"/>
      <c r="AK272" s="1331"/>
      <c r="AL272" s="1332"/>
      <c r="AM272" s="1331"/>
      <c r="AN272" s="1331"/>
      <c r="AO272" s="1331"/>
      <c r="AP272" s="1331"/>
      <c r="AQ272" s="1331"/>
      <c r="AR272" s="1332"/>
      <c r="AS272" s="1331"/>
      <c r="AT272" s="1331"/>
      <c r="AU272" s="1331"/>
      <c r="AV272" s="1331"/>
      <c r="AW272" s="1331"/>
      <c r="AX272" s="1332"/>
      <c r="AY272" s="1331"/>
      <c r="AZ272" s="1331"/>
      <c r="BA272" s="1331"/>
      <c r="BB272" s="1331"/>
      <c r="BC272" s="1331"/>
      <c r="BD272" s="1332"/>
      <c r="BE272" s="1331"/>
      <c r="BF272" s="1331"/>
      <c r="BG272" s="1331"/>
      <c r="BH272" s="1331"/>
      <c r="BI272" s="1331"/>
      <c r="BJ272" s="1332"/>
      <c r="BK272" s="1331"/>
      <c r="BL272" s="1331"/>
      <c r="BM272" s="1331"/>
      <c r="BN272" s="1331"/>
      <c r="BO272" s="1331"/>
      <c r="BP272" s="1311"/>
      <c r="BQ272" s="1314"/>
      <c r="BR272" s="1314"/>
      <c r="BS272" s="1314"/>
      <c r="BT272" s="1314"/>
      <c r="BU272" s="1314"/>
      <c r="BV272" s="1311"/>
      <c r="BW272" s="1314"/>
      <c r="BX272" s="1314"/>
      <c r="BY272" s="1314"/>
      <c r="BZ272" s="1314"/>
      <c r="CA272" s="1314"/>
      <c r="CB272" s="1311"/>
      <c r="CC272" s="1314"/>
      <c r="CD272" s="1314"/>
      <c r="CE272" s="1314"/>
      <c r="CF272" s="1314"/>
      <c r="CG272" s="1314"/>
    </row>
    <row r="273" spans="1:87" outlineLevel="1" x14ac:dyDescent="0.2">
      <c r="A273" s="279"/>
      <c r="B273" s="1338" t="s">
        <v>701</v>
      </c>
      <c r="C273" s="1308"/>
      <c r="D273" s="1308"/>
      <c r="E273" s="1308"/>
      <c r="F273" s="1308"/>
      <c r="G273" s="1342">
        <f>+G269/G$271</f>
        <v>2.6805497009677038E-2</v>
      </c>
      <c r="H273" s="1313"/>
      <c r="I273" s="1308"/>
      <c r="J273" s="1308"/>
      <c r="K273" s="1308"/>
      <c r="L273" s="1308"/>
      <c r="M273" s="1342">
        <f>+M269/M$271</f>
        <v>2.9450180412989739E-2</v>
      </c>
      <c r="N273" s="1313"/>
      <c r="O273" s="1308"/>
      <c r="P273" s="1308"/>
      <c r="Q273" s="1308"/>
      <c r="R273" s="1308"/>
      <c r="S273" s="1342">
        <f>+S269/S$271</f>
        <v>3.7255155004679928E-2</v>
      </c>
      <c r="T273" s="1313"/>
      <c r="U273" s="1308"/>
      <c r="V273" s="1308"/>
      <c r="W273" s="1308"/>
      <c r="X273" s="1308"/>
      <c r="Y273" s="1342">
        <f>+Y269/Y$271</f>
        <v>5.1568275147710368E-2</v>
      </c>
      <c r="Z273" s="1313"/>
      <c r="AA273" s="1308"/>
      <c r="AB273" s="1308"/>
      <c r="AC273" s="1308"/>
      <c r="AD273" s="1308"/>
      <c r="AE273" s="1342">
        <f>+AE269/AE$271</f>
        <v>6.2657893201491399E-2</v>
      </c>
      <c r="AF273" s="1313"/>
      <c r="AG273" s="1308"/>
      <c r="AH273" s="1308"/>
      <c r="AI273" s="1308"/>
      <c r="AJ273" s="1308"/>
      <c r="AK273" s="1342">
        <f>+AK269/AK$271</f>
        <v>7.4897900966010553E-2</v>
      </c>
      <c r="AL273" s="1313"/>
      <c r="AM273" s="1308"/>
      <c r="AN273" s="1308"/>
      <c r="AO273" s="1308"/>
      <c r="AP273" s="1308"/>
      <c r="AQ273" s="1342">
        <f>+AQ269/AQ$271</f>
        <v>8.6080737347067976E-2</v>
      </c>
      <c r="AR273" s="1313"/>
      <c r="AS273" s="1308"/>
      <c r="AT273" s="1308"/>
      <c r="AU273" s="1308"/>
      <c r="AV273" s="1308"/>
      <c r="AW273" s="1342">
        <f>+AW269/AW$271</f>
        <v>9.1548288815815754E-2</v>
      </c>
      <c r="AX273" s="1313"/>
      <c r="AY273" s="1308"/>
      <c r="AZ273" s="1308"/>
      <c r="BA273" s="1308"/>
      <c r="BB273" s="1308"/>
      <c r="BC273" s="1342">
        <f>+BC269/BC$271</f>
        <v>0.10526155729647085</v>
      </c>
      <c r="BD273" s="1313"/>
      <c r="BE273" s="1308"/>
      <c r="BF273" s="1308"/>
      <c r="BG273" s="1308"/>
      <c r="BH273" s="1308"/>
      <c r="BI273" s="1342">
        <f>+BI269/BI$271</f>
        <v>0.12497960235803689</v>
      </c>
      <c r="BJ273" s="1313"/>
      <c r="BK273" s="1308"/>
      <c r="BL273" s="1308"/>
      <c r="BM273" s="1308"/>
      <c r="BN273" s="1308"/>
      <c r="BO273" s="1342">
        <f>+BO269/BO$271</f>
        <v>0.13391016362936906</v>
      </c>
      <c r="BP273" s="1313"/>
      <c r="BQ273" s="1308"/>
      <c r="BR273" s="1308"/>
      <c r="BS273" s="1308"/>
      <c r="BT273" s="1308"/>
      <c r="BU273" s="1308"/>
      <c r="BV273" s="1313"/>
      <c r="BW273" s="1308"/>
      <c r="BX273" s="1308"/>
      <c r="BY273" s="1308"/>
      <c r="BZ273" s="1308"/>
      <c r="CA273" s="1308"/>
      <c r="CB273" s="1313"/>
      <c r="CC273" s="1308"/>
      <c r="CD273" s="1308"/>
      <c r="CE273" s="1308"/>
      <c r="CF273" s="1308"/>
      <c r="CG273" s="1308"/>
    </row>
    <row r="274" spans="1:87" outlineLevel="1" x14ac:dyDescent="0.2">
      <c r="A274" s="279"/>
      <c r="B274" s="1338" t="s">
        <v>702</v>
      </c>
      <c r="C274" s="1308"/>
      <c r="D274" s="1308"/>
      <c r="E274" s="1308"/>
      <c r="F274" s="1308"/>
      <c r="G274" s="1342">
        <f>+G270/G$271</f>
        <v>2.1280812062168575E-2</v>
      </c>
      <c r="H274" s="1313"/>
      <c r="I274" s="1308"/>
      <c r="J274" s="1308"/>
      <c r="K274" s="1308"/>
      <c r="L274" s="1308"/>
      <c r="M274" s="1342">
        <f>+M270/M$271</f>
        <v>2.0193761643146003E-2</v>
      </c>
      <c r="N274" s="1313"/>
      <c r="O274" s="1308"/>
      <c r="P274" s="1308"/>
      <c r="Q274" s="1308"/>
      <c r="R274" s="1308"/>
      <c r="S274" s="1342">
        <f>+S270/S$271</f>
        <v>3.279490597611822E-2</v>
      </c>
      <c r="T274" s="1313"/>
      <c r="U274" s="1308"/>
      <c r="V274" s="1308"/>
      <c r="W274" s="1308"/>
      <c r="X274" s="1308"/>
      <c r="Y274" s="1342">
        <f>+Y270/Y$271</f>
        <v>4.6696999242414813E-2</v>
      </c>
      <c r="Z274" s="1313"/>
      <c r="AA274" s="1308"/>
      <c r="AB274" s="1308"/>
      <c r="AC274" s="1308"/>
      <c r="AD274" s="1308"/>
      <c r="AE274" s="1342">
        <f>+AE270/AE$271</f>
        <v>6.5226999612583519E-2</v>
      </c>
      <c r="AF274" s="1313"/>
      <c r="AG274" s="1308"/>
      <c r="AH274" s="1308"/>
      <c r="AI274" s="1308"/>
      <c r="AJ274" s="1308"/>
      <c r="AK274" s="1342">
        <f>+AK270/AK$271</f>
        <v>8.1370083707510046E-2</v>
      </c>
      <c r="AL274" s="1313"/>
      <c r="AM274" s="1308"/>
      <c r="AN274" s="1308"/>
      <c r="AO274" s="1308"/>
      <c r="AP274" s="1308"/>
      <c r="AQ274" s="1342">
        <f>+AQ270/AQ$271</f>
        <v>0.10074086049301598</v>
      </c>
      <c r="AR274" s="1313"/>
      <c r="AS274" s="1308"/>
      <c r="AT274" s="1308"/>
      <c r="AU274" s="1308"/>
      <c r="AV274" s="1308"/>
      <c r="AW274" s="1342">
        <f>+AW270/AW$271</f>
        <v>9.8244541427911738E-2</v>
      </c>
      <c r="AX274" s="1313"/>
      <c r="AY274" s="1308"/>
      <c r="AZ274" s="1308"/>
      <c r="BA274" s="1308"/>
      <c r="BB274" s="1308"/>
      <c r="BC274" s="1342">
        <f>+BC270/BC$271</f>
        <v>0.11371374497835365</v>
      </c>
      <c r="BD274" s="1313"/>
      <c r="BE274" s="1308"/>
      <c r="BF274" s="1308"/>
      <c r="BG274" s="1308"/>
      <c r="BH274" s="1308"/>
      <c r="BI274" s="1342">
        <f>+BI270/BI$271</f>
        <v>0.11340523705384714</v>
      </c>
      <c r="BJ274" s="1313"/>
      <c r="BK274" s="1308"/>
      <c r="BL274" s="1308"/>
      <c r="BM274" s="1308"/>
      <c r="BN274" s="1308"/>
      <c r="BO274" s="1342">
        <f>+BO270/BO$271</f>
        <v>0.11572441915847514</v>
      </c>
      <c r="BP274" s="1313"/>
      <c r="BQ274" s="1308"/>
      <c r="BR274" s="1308"/>
      <c r="BS274" s="1308"/>
      <c r="BT274" s="1308"/>
      <c r="BU274" s="1308"/>
      <c r="BV274" s="1313"/>
      <c r="BW274" s="1308"/>
      <c r="BX274" s="1308"/>
      <c r="BY274" s="1308"/>
      <c r="BZ274" s="1308"/>
      <c r="CA274" s="1308"/>
      <c r="CB274" s="1313"/>
      <c r="CC274" s="1308"/>
      <c r="CD274" s="1308"/>
      <c r="CE274" s="1308"/>
      <c r="CF274" s="1308"/>
      <c r="CG274" s="1308"/>
    </row>
    <row r="275" spans="1:87" s="186" customFormat="1" outlineLevel="1" x14ac:dyDescent="0.2">
      <c r="A275" s="865"/>
      <c r="B275" s="1341" t="s">
        <v>703</v>
      </c>
      <c r="C275" s="1339"/>
      <c r="D275" s="1339"/>
      <c r="E275" s="1339"/>
      <c r="F275" s="1339"/>
      <c r="G275" s="1340">
        <f>(G269+G270)/G271</f>
        <v>4.8086309071845613E-2</v>
      </c>
      <c r="H275" s="1340"/>
      <c r="I275" s="1340"/>
      <c r="J275" s="1340"/>
      <c r="K275" s="1340"/>
      <c r="L275" s="1340"/>
      <c r="M275" s="1340">
        <f>(M269+M270)/M271</f>
        <v>4.9643942056135745E-2</v>
      </c>
      <c r="N275" s="1340"/>
      <c r="O275" s="1340"/>
      <c r="P275" s="1340"/>
      <c r="Q275" s="1340"/>
      <c r="R275" s="1340"/>
      <c r="S275" s="1340">
        <f>(S269+S270)/S271</f>
        <v>7.0050060980798148E-2</v>
      </c>
      <c r="T275" s="1340"/>
      <c r="U275" s="1340"/>
      <c r="V275" s="1340"/>
      <c r="W275" s="1340"/>
      <c r="X275" s="1340"/>
      <c r="Y275" s="1340">
        <f>(Y269+Y270)/Y271</f>
        <v>9.8265274390125168E-2</v>
      </c>
      <c r="Z275" s="1340"/>
      <c r="AA275" s="1340"/>
      <c r="AB275" s="1340"/>
      <c r="AC275" s="1340"/>
      <c r="AD275" s="1340"/>
      <c r="AE275" s="1340">
        <f>(AE269+AE270)/AE271</f>
        <v>0.12788489281407489</v>
      </c>
      <c r="AF275" s="1340"/>
      <c r="AG275" s="1340"/>
      <c r="AH275" s="1340"/>
      <c r="AI275" s="1340"/>
      <c r="AJ275" s="1340"/>
      <c r="AK275" s="1340">
        <f>(AK269+AK270)/AK271</f>
        <v>0.15626798467352063</v>
      </c>
      <c r="AL275" s="1340"/>
      <c r="AM275" s="1340"/>
      <c r="AN275" s="1340"/>
      <c r="AO275" s="1340"/>
      <c r="AP275" s="1340"/>
      <c r="AQ275" s="1340">
        <f>(AQ269+AQ270)/AQ271</f>
        <v>0.18682159784008395</v>
      </c>
      <c r="AR275" s="1340"/>
      <c r="AS275" s="1340"/>
      <c r="AT275" s="1340"/>
      <c r="AU275" s="1340"/>
      <c r="AV275" s="1340"/>
      <c r="AW275" s="1340">
        <f>(AW269+AW270)/AW271</f>
        <v>0.18979283024372751</v>
      </c>
      <c r="AX275" s="1340"/>
      <c r="AY275" s="1340"/>
      <c r="AZ275" s="1340"/>
      <c r="BA275" s="1340"/>
      <c r="BB275" s="1340"/>
      <c r="BC275" s="1340">
        <f>(BC269+BC270)/BC271</f>
        <v>0.21897530227482453</v>
      </c>
      <c r="BD275" s="1340"/>
      <c r="BE275" s="1340"/>
      <c r="BF275" s="1340"/>
      <c r="BG275" s="1340"/>
      <c r="BH275" s="1340"/>
      <c r="BI275" s="1340">
        <f>(BI269+BI270)/BI271</f>
        <v>0.23838483941188401</v>
      </c>
      <c r="BJ275" s="1340"/>
      <c r="BK275" s="1340"/>
      <c r="BL275" s="1340"/>
      <c r="BM275" s="1340"/>
      <c r="BN275" s="1340"/>
      <c r="BO275" s="1340">
        <f>(BO269+BO270)/BO271</f>
        <v>0.2496345827878442</v>
      </c>
      <c r="BP275" s="1340"/>
      <c r="BQ275" s="1340"/>
      <c r="BR275" s="1340"/>
      <c r="BS275" s="1340"/>
      <c r="BT275" s="1340"/>
      <c r="BU275" s="1340"/>
      <c r="BV275" s="1340"/>
      <c r="BW275" s="1340"/>
      <c r="BX275" s="1340"/>
      <c r="BY275" s="1340"/>
      <c r="BZ275" s="1340"/>
      <c r="CA275" s="1340"/>
      <c r="CB275" s="1340"/>
      <c r="CC275" s="1340"/>
      <c r="CD275" s="1340"/>
      <c r="CE275" s="1340"/>
      <c r="CF275" s="1340"/>
      <c r="CG275" s="1340"/>
    </row>
    <row r="276" spans="1:87" x14ac:dyDescent="0.2">
      <c r="A276" s="279"/>
      <c r="B276" s="187"/>
      <c r="C276" s="15"/>
      <c r="D276" s="15"/>
      <c r="E276" s="15"/>
      <c r="F276" s="15"/>
      <c r="G276" s="15"/>
      <c r="H276" s="11"/>
      <c r="I276" s="15"/>
      <c r="J276" s="15"/>
      <c r="K276" s="15"/>
      <c r="L276" s="1306"/>
      <c r="M276" s="15"/>
      <c r="N276" s="11"/>
      <c r="O276" s="1306"/>
      <c r="P276" s="15"/>
      <c r="Q276" s="15"/>
      <c r="R276" s="15"/>
      <c r="S276" s="15"/>
      <c r="T276" s="11"/>
      <c r="U276" s="15"/>
      <c r="V276" s="1307"/>
      <c r="W276" s="15"/>
      <c r="X276" s="15"/>
      <c r="Y276" s="15"/>
      <c r="Z276" s="11"/>
      <c r="AA276" s="15"/>
      <c r="AB276" s="15"/>
      <c r="AC276" s="15"/>
      <c r="AD276" s="15"/>
      <c r="AE276" s="1335"/>
      <c r="AF276" s="11"/>
      <c r="AG276" s="15"/>
      <c r="AH276" s="15"/>
      <c r="AI276" s="15"/>
      <c r="AJ276" s="15"/>
      <c r="AK276" s="15"/>
      <c r="AL276" s="11"/>
      <c r="AM276" s="15"/>
      <c r="AN276" s="15"/>
      <c r="AO276" s="15"/>
      <c r="AP276" s="15"/>
      <c r="AQ276" s="15"/>
      <c r="AR276" s="11"/>
      <c r="AS276" s="15"/>
      <c r="AT276" s="1307"/>
      <c r="AU276" s="1306"/>
      <c r="AV276" s="15"/>
      <c r="AW276" s="15"/>
      <c r="AX276" s="11"/>
      <c r="AY276" s="1306"/>
      <c r="AZ276" s="15"/>
      <c r="BA276" s="15"/>
      <c r="BB276" s="15"/>
      <c r="BC276" s="15"/>
      <c r="BD276" s="11"/>
      <c r="BE276" s="15"/>
      <c r="BF276" s="15"/>
      <c r="BG276" s="15"/>
      <c r="BH276" s="15"/>
      <c r="BI276" s="15"/>
      <c r="BJ276" s="11"/>
      <c r="BK276" s="15"/>
      <c r="BL276" s="15"/>
      <c r="BM276" s="15"/>
      <c r="BN276" s="15"/>
      <c r="BO276" s="15"/>
      <c r="BP276" s="11"/>
      <c r="BQ276" s="15"/>
      <c r="BR276" s="15"/>
      <c r="BS276" s="15"/>
      <c r="BT276" s="15"/>
      <c r="BU276" s="15"/>
      <c r="BV276" s="11"/>
      <c r="BW276" s="15"/>
      <c r="BX276" s="15"/>
      <c r="BY276" s="15"/>
      <c r="BZ276" s="15"/>
      <c r="CA276" s="15"/>
      <c r="CB276" s="11"/>
      <c r="CC276" s="15"/>
      <c r="CD276" s="15"/>
      <c r="CE276" s="15"/>
      <c r="CF276" s="15"/>
      <c r="CG276" s="15"/>
    </row>
    <row r="277" spans="1:87" ht="11.25" customHeight="1" x14ac:dyDescent="0.2">
      <c r="B277" s="812" t="s">
        <v>542</v>
      </c>
      <c r="C277" s="813"/>
      <c r="D277" s="813"/>
      <c r="E277" s="813"/>
      <c r="F277" s="813"/>
      <c r="G277" s="813"/>
      <c r="H277" s="812"/>
      <c r="I277" s="813"/>
      <c r="J277" s="813"/>
      <c r="K277" s="813"/>
      <c r="L277" s="813"/>
      <c r="M277" s="813"/>
      <c r="N277" s="812"/>
      <c r="O277" s="813"/>
      <c r="P277" s="813"/>
      <c r="Q277" s="813"/>
      <c r="R277" s="813"/>
      <c r="S277" s="813"/>
      <c r="T277" s="812"/>
      <c r="U277" s="813"/>
      <c r="V277" s="813"/>
      <c r="W277" s="813"/>
      <c r="X277" s="813"/>
      <c r="Y277" s="813"/>
      <c r="Z277" s="812"/>
      <c r="AA277" s="813"/>
      <c r="AB277" s="813"/>
      <c r="AC277" s="813"/>
      <c r="AD277" s="813"/>
      <c r="AE277" s="813"/>
      <c r="AF277" s="812"/>
      <c r="AG277" s="813"/>
      <c r="AH277" s="813"/>
      <c r="AI277" s="813"/>
      <c r="AJ277" s="813"/>
      <c r="AK277" s="813"/>
      <c r="AL277" s="812"/>
      <c r="AM277" s="813"/>
      <c r="AN277" s="813"/>
      <c r="AO277" s="813"/>
      <c r="AP277" s="813"/>
      <c r="AQ277" s="813"/>
      <c r="AR277" s="812"/>
      <c r="AS277" s="813"/>
      <c r="AT277" s="813"/>
      <c r="AU277" s="813"/>
      <c r="AV277" s="813"/>
      <c r="AW277" s="813"/>
      <c r="AX277" s="812"/>
      <c r="AY277" s="813"/>
      <c r="AZ277" s="813"/>
      <c r="BA277" s="813"/>
      <c r="BB277" s="813"/>
      <c r="BC277" s="813"/>
      <c r="BD277" s="812"/>
      <c r="BE277" s="813"/>
      <c r="BF277" s="813"/>
      <c r="BG277" s="813"/>
      <c r="BH277" s="813"/>
      <c r="BI277" s="813"/>
      <c r="BJ277" s="812"/>
      <c r="BK277" s="813"/>
      <c r="BL277" s="813"/>
      <c r="BM277" s="813"/>
      <c r="BN277" s="813"/>
      <c r="BO277" s="813"/>
      <c r="BP277" s="812"/>
      <c r="BQ277" s="813"/>
      <c r="BR277" s="813"/>
      <c r="BS277" s="813"/>
      <c r="BT277" s="813"/>
      <c r="BU277" s="813"/>
      <c r="BV277" s="812"/>
      <c r="BW277" s="813"/>
      <c r="BX277" s="813"/>
      <c r="BY277" s="813"/>
      <c r="BZ277" s="813"/>
      <c r="CA277" s="813"/>
      <c r="CB277" s="812"/>
      <c r="CC277" s="813"/>
      <c r="CD277" s="813"/>
      <c r="CE277" s="813"/>
      <c r="CF277" s="813"/>
      <c r="CG277" s="814"/>
    </row>
    <row r="278" spans="1:87" ht="11.25" customHeight="1" x14ac:dyDescent="0.2">
      <c r="B278" s="894" t="s">
        <v>486</v>
      </c>
      <c r="C278" s="895"/>
      <c r="D278" s="896"/>
      <c r="E278" s="896"/>
      <c r="F278" s="896"/>
      <c r="G278" s="973">
        <v>550000</v>
      </c>
      <c r="H278" s="974"/>
      <c r="I278" s="975"/>
      <c r="J278" s="976"/>
      <c r="K278" s="976"/>
      <c r="L278" s="976"/>
      <c r="M278" s="973">
        <v>575000</v>
      </c>
      <c r="N278" s="974"/>
      <c r="O278" s="975"/>
      <c r="P278" s="976"/>
      <c r="Q278" s="976"/>
      <c r="R278" s="976"/>
      <c r="S278" s="973">
        <v>600000</v>
      </c>
      <c r="T278" s="974"/>
      <c r="U278" s="975"/>
      <c r="V278" s="976"/>
      <c r="W278" s="976"/>
      <c r="X278" s="976"/>
      <c r="Y278" s="973">
        <v>700000</v>
      </c>
      <c r="Z278" s="974"/>
      <c r="AA278" s="975"/>
      <c r="AB278" s="976"/>
      <c r="AC278" s="976"/>
      <c r="AD278" s="976"/>
      <c r="AE278" s="973">
        <v>775000</v>
      </c>
      <c r="AF278" s="974"/>
      <c r="AG278" s="975"/>
      <c r="AH278" s="976"/>
      <c r="AI278" s="976"/>
      <c r="AJ278" s="976"/>
      <c r="AK278" s="973">
        <v>775000</v>
      </c>
      <c r="AL278" s="974"/>
      <c r="AM278" s="975"/>
      <c r="AN278" s="976"/>
      <c r="AO278" s="976"/>
      <c r="AP278" s="976"/>
      <c r="AQ278" s="973">
        <v>800000</v>
      </c>
      <c r="AR278" s="897"/>
      <c r="AS278" s="898"/>
      <c r="AT278" s="899"/>
      <c r="AU278" s="899"/>
      <c r="AV278" s="899"/>
      <c r="AW278" s="988">
        <v>1000000</v>
      </c>
      <c r="AX278" s="897"/>
      <c r="AY278" s="898"/>
      <c r="AZ278" s="899"/>
      <c r="BA278" s="899"/>
      <c r="BB278" s="899"/>
      <c r="BC278" s="988">
        <v>1050000</v>
      </c>
      <c r="BD278" s="897"/>
      <c r="BE278" s="898"/>
      <c r="BF278" s="899"/>
      <c r="BG278" s="899"/>
      <c r="BH278" s="899"/>
      <c r="BI278" s="988">
        <v>1100000</v>
      </c>
      <c r="BJ278" s="897"/>
      <c r="BK278" s="898"/>
      <c r="BL278" s="899"/>
      <c r="BM278" s="899"/>
      <c r="BN278" s="899"/>
      <c r="BO278" s="988">
        <v>1100000</v>
      </c>
      <c r="BP278" s="897"/>
      <c r="BQ278" s="898"/>
      <c r="BR278" s="899"/>
      <c r="BS278" s="899"/>
      <c r="BT278" s="899"/>
      <c r="BU278" s="852"/>
      <c r="BV278" s="897"/>
      <c r="BW278" s="898"/>
      <c r="BX278" s="899"/>
      <c r="BY278" s="899"/>
      <c r="BZ278" s="899"/>
      <c r="CA278" s="852"/>
      <c r="CB278" s="897"/>
      <c r="CC278" s="898"/>
      <c r="CD278" s="899"/>
      <c r="CE278" s="899"/>
      <c r="CF278" s="899"/>
      <c r="CG278" s="852"/>
    </row>
    <row r="279" spans="1:87" ht="11.25" customHeight="1" x14ac:dyDescent="0.2">
      <c r="B279" s="923" t="s">
        <v>485</v>
      </c>
      <c r="C279" s="924"/>
      <c r="D279" s="226"/>
      <c r="E279" s="226"/>
      <c r="F279" s="226"/>
      <c r="G279" s="854"/>
      <c r="H279" s="884"/>
      <c r="I279" s="924"/>
      <c r="J279" s="226"/>
      <c r="K279" s="226"/>
      <c r="L279" s="226"/>
      <c r="M279" s="854">
        <f>+M278/G278-1</f>
        <v>4.5454545454545414E-2</v>
      </c>
      <c r="N279" s="884"/>
      <c r="O279" s="924"/>
      <c r="P279" s="226"/>
      <c r="Q279" s="226"/>
      <c r="R279" s="226"/>
      <c r="S279" s="854">
        <f>+S278/M278-1</f>
        <v>4.3478260869565188E-2</v>
      </c>
      <c r="T279" s="884"/>
      <c r="U279" s="924"/>
      <c r="V279" s="226"/>
      <c r="W279" s="226"/>
      <c r="X279" s="226"/>
      <c r="Y279" s="854">
        <f>+Y278/S278-1</f>
        <v>0.16666666666666674</v>
      </c>
      <c r="Z279" s="884"/>
      <c r="AA279" s="924"/>
      <c r="AB279" s="226"/>
      <c r="AC279" s="226"/>
      <c r="AD279" s="226"/>
      <c r="AE279" s="854">
        <f>+AE278/Y278-1</f>
        <v>0.10714285714285721</v>
      </c>
      <c r="AF279" s="884"/>
      <c r="AG279" s="924"/>
      <c r="AH279" s="226"/>
      <c r="AI279" s="226"/>
      <c r="AJ279" s="226"/>
      <c r="AK279" s="854">
        <f>+AK278/AE278-1</f>
        <v>0</v>
      </c>
      <c r="AL279" s="884"/>
      <c r="AM279" s="924"/>
      <c r="AN279" s="226"/>
      <c r="AO279" s="226"/>
      <c r="AP279" s="226"/>
      <c r="AQ279" s="854">
        <f>+AQ278/AK278-1</f>
        <v>3.2258064516129004E-2</v>
      </c>
      <c r="AR279" s="884"/>
      <c r="AS279" s="924"/>
      <c r="AT279" s="226"/>
      <c r="AU279" s="226"/>
      <c r="AV279" s="226"/>
      <c r="AW279" s="854">
        <f>+AW278/AQ278-1</f>
        <v>0.25</v>
      </c>
      <c r="AX279" s="884"/>
      <c r="AY279" s="924"/>
      <c r="AZ279" s="226"/>
      <c r="BA279" s="226"/>
      <c r="BB279" s="226"/>
      <c r="BC279" s="854">
        <f>+BC278/AW278-1</f>
        <v>5.0000000000000044E-2</v>
      </c>
      <c r="BD279" s="884"/>
      <c r="BE279" s="924"/>
      <c r="BF279" s="226"/>
      <c r="BG279" s="226"/>
      <c r="BH279" s="226"/>
      <c r="BI279" s="854">
        <f>+BI278/BC278-1</f>
        <v>4.7619047619047672E-2</v>
      </c>
      <c r="BJ279" s="884"/>
      <c r="BK279" s="924"/>
      <c r="BL279" s="226"/>
      <c r="BM279" s="226"/>
      <c r="BN279" s="226"/>
      <c r="BO279" s="854">
        <f>+BO278/BI278-1</f>
        <v>0</v>
      </c>
      <c r="BP279" s="884"/>
      <c r="BQ279" s="924"/>
      <c r="BR279" s="226"/>
      <c r="BS279" s="226"/>
      <c r="BT279" s="226"/>
      <c r="BU279" s="854"/>
      <c r="BV279" s="884"/>
      <c r="BW279" s="924"/>
      <c r="BX279" s="226"/>
      <c r="BY279" s="226"/>
      <c r="BZ279" s="226"/>
      <c r="CA279" s="854"/>
      <c r="CB279" s="884"/>
      <c r="CC279" s="924"/>
      <c r="CD279" s="226"/>
      <c r="CE279" s="226"/>
      <c r="CF279" s="226"/>
      <c r="CG279" s="854"/>
    </row>
    <row r="280" spans="1:87" ht="11.25" customHeight="1" x14ac:dyDescent="0.2">
      <c r="B280" s="891" t="s">
        <v>521</v>
      </c>
      <c r="C280" s="792"/>
      <c r="D280" s="278"/>
      <c r="E280" s="278"/>
      <c r="F280" s="278"/>
      <c r="G280" s="910">
        <v>115600</v>
      </c>
      <c r="H280" s="911"/>
      <c r="I280" s="912"/>
      <c r="J280" s="868"/>
      <c r="K280" s="868"/>
      <c r="L280" s="868"/>
      <c r="M280" s="910">
        <v>123838.09734793342</v>
      </c>
      <c r="N280" s="911"/>
      <c r="O280" s="912"/>
      <c r="P280" s="868"/>
      <c r="Q280" s="868"/>
      <c r="R280" s="868"/>
      <c r="S280" s="910">
        <v>124449.16766883981</v>
      </c>
      <c r="T280" s="911"/>
      <c r="U280" s="912"/>
      <c r="V280" s="868"/>
      <c r="W280" s="868"/>
      <c r="X280" s="868"/>
      <c r="Y280" s="910">
        <v>125729.41325400342</v>
      </c>
      <c r="Z280" s="911"/>
      <c r="AA280" s="912"/>
      <c r="AB280" s="868"/>
      <c r="AC280" s="868"/>
      <c r="AD280" s="868"/>
      <c r="AE280" s="910">
        <v>127035.80606367491</v>
      </c>
      <c r="AF280" s="911"/>
      <c r="AG280" s="912"/>
      <c r="AH280" s="868"/>
      <c r="AI280" s="868"/>
      <c r="AJ280" s="868"/>
      <c r="AK280" s="910">
        <v>128902.91157668206</v>
      </c>
      <c r="AL280" s="911"/>
      <c r="AM280" s="912"/>
      <c r="AN280" s="868"/>
      <c r="AO280" s="868"/>
      <c r="AP280" s="868"/>
      <c r="AQ280" s="910">
        <v>129450.06645990252</v>
      </c>
      <c r="AR280" s="897"/>
      <c r="AS280" s="898"/>
      <c r="AT280" s="899"/>
      <c r="AU280" s="899"/>
      <c r="AV280" s="899"/>
      <c r="AW280" s="910">
        <v>130152.16785872524</v>
      </c>
      <c r="AX280" s="897"/>
      <c r="AY280" s="898"/>
      <c r="AZ280" s="899"/>
      <c r="BA280" s="899"/>
      <c r="BB280" s="899"/>
      <c r="BC280" s="910">
        <v>130802.92869801886</v>
      </c>
      <c r="BD280" s="897"/>
      <c r="BE280" s="898"/>
      <c r="BF280" s="899"/>
      <c r="BG280" s="899"/>
      <c r="BH280" s="899"/>
      <c r="BI280" s="910">
        <v>131326.14041281093</v>
      </c>
      <c r="BJ280" s="897"/>
      <c r="BK280" s="898"/>
      <c r="BL280" s="899"/>
      <c r="BM280" s="899"/>
      <c r="BN280" s="899"/>
      <c r="BO280" s="910">
        <v>131720.11883404932</v>
      </c>
      <c r="BP280" s="897"/>
      <c r="BQ280" s="898"/>
      <c r="BR280" s="899"/>
      <c r="BS280" s="899"/>
      <c r="BT280" s="899"/>
      <c r="BU280" s="852"/>
      <c r="BV280" s="897"/>
      <c r="BW280" s="898"/>
      <c r="BX280" s="899"/>
      <c r="BY280" s="899"/>
      <c r="BZ280" s="899"/>
      <c r="CA280" s="852"/>
      <c r="CB280" s="897"/>
      <c r="CC280" s="898"/>
      <c r="CD280" s="899"/>
      <c r="CE280" s="899"/>
      <c r="CF280" s="899"/>
      <c r="CG280" s="852"/>
    </row>
    <row r="281" spans="1:87" s="1121" customFormat="1" ht="11.25" customHeight="1" x14ac:dyDescent="0.2">
      <c r="A281" s="858"/>
      <c r="B281" s="901" t="s">
        <v>589</v>
      </c>
      <c r="C281" s="886"/>
      <c r="D281" s="887"/>
      <c r="E281" s="887"/>
      <c r="F281" s="887"/>
      <c r="G281" s="910">
        <v>20250</v>
      </c>
      <c r="H281" s="911"/>
      <c r="I281" s="912"/>
      <c r="J281" s="868"/>
      <c r="K281" s="868"/>
      <c r="L281" s="868"/>
      <c r="M281" s="910">
        <v>19982.899999999998</v>
      </c>
      <c r="N281" s="911"/>
      <c r="O281" s="912"/>
      <c r="P281" s="868"/>
      <c r="Q281" s="868"/>
      <c r="R281" s="868"/>
      <c r="S281" s="910">
        <v>21518.25</v>
      </c>
      <c r="T281" s="911"/>
      <c r="U281" s="912"/>
      <c r="V281" s="868"/>
      <c r="W281" s="868"/>
      <c r="X281" s="868"/>
      <c r="Y281" s="910">
        <v>21782.25</v>
      </c>
      <c r="Z281" s="911"/>
      <c r="AA281" s="912"/>
      <c r="AB281" s="868"/>
      <c r="AC281" s="868"/>
      <c r="AD281" s="868"/>
      <c r="AE281" s="910">
        <v>22066.5</v>
      </c>
      <c r="AF281" s="911"/>
      <c r="AG281" s="912"/>
      <c r="AH281" s="868"/>
      <c r="AI281" s="868"/>
      <c r="AJ281" s="868"/>
      <c r="AK281" s="910">
        <v>24084.800000000003</v>
      </c>
      <c r="AL281" s="911"/>
      <c r="AM281" s="912"/>
      <c r="AN281" s="868"/>
      <c r="AO281" s="868"/>
      <c r="AP281" s="868"/>
      <c r="AQ281" s="910">
        <v>22760.25</v>
      </c>
      <c r="AR281" s="889"/>
      <c r="AS281" s="886"/>
      <c r="AT281" s="887"/>
      <c r="AU281" s="887"/>
      <c r="AV281" s="887"/>
      <c r="AW281" s="910">
        <v>22958.25</v>
      </c>
      <c r="AX281" s="889"/>
      <c r="AY281" s="886"/>
      <c r="AZ281" s="887"/>
      <c r="BA281" s="887"/>
      <c r="BB281" s="887"/>
      <c r="BC281" s="910">
        <v>23187.8325</v>
      </c>
      <c r="BD281" s="889"/>
      <c r="BE281" s="886"/>
      <c r="BF281" s="887"/>
      <c r="BG281" s="887"/>
      <c r="BH281" s="887"/>
      <c r="BI281" s="910">
        <v>24981.024880000001</v>
      </c>
      <c r="BJ281" s="889"/>
      <c r="BK281" s="886"/>
      <c r="BL281" s="887"/>
      <c r="BM281" s="887"/>
      <c r="BN281" s="887"/>
      <c r="BO281" s="910">
        <v>25230.835128800001</v>
      </c>
      <c r="BP281" s="889"/>
      <c r="BQ281" s="886"/>
      <c r="BR281" s="887"/>
      <c r="BS281" s="887"/>
      <c r="BT281" s="887"/>
      <c r="BU281" s="888"/>
      <c r="BV281" s="889"/>
      <c r="BW281" s="886"/>
      <c r="BX281" s="887"/>
      <c r="BY281" s="887"/>
      <c r="BZ281" s="887"/>
      <c r="CA281" s="888"/>
      <c r="CB281" s="889"/>
      <c r="CC281" s="886"/>
      <c r="CD281" s="887"/>
      <c r="CE281" s="887"/>
      <c r="CF281" s="887"/>
      <c r="CG281" s="888"/>
      <c r="CI281" s="921"/>
    </row>
    <row r="282" spans="1:87" s="186" customFormat="1" ht="11.25" customHeight="1" x14ac:dyDescent="0.2">
      <c r="A282" s="865"/>
      <c r="B282" s="98" t="s">
        <v>590</v>
      </c>
      <c r="C282" s="908"/>
      <c r="D282" s="909"/>
      <c r="E282" s="909"/>
      <c r="F282" s="909"/>
      <c r="G282" s="910">
        <v>112500</v>
      </c>
      <c r="H282" s="911"/>
      <c r="I282" s="912"/>
      <c r="J282" s="868"/>
      <c r="K282" s="868"/>
      <c r="L282" s="868"/>
      <c r="M282" s="910">
        <v>110231</v>
      </c>
      <c r="N282" s="911"/>
      <c r="O282" s="912"/>
      <c r="P282" s="868"/>
      <c r="Q282" s="868"/>
      <c r="R282" s="868"/>
      <c r="S282" s="910">
        <v>110612.5</v>
      </c>
      <c r="T282" s="911"/>
      <c r="U282" s="912"/>
      <c r="V282" s="868"/>
      <c r="W282" s="868"/>
      <c r="X282" s="868"/>
      <c r="Y282" s="910">
        <v>111898.5</v>
      </c>
      <c r="Z282" s="911"/>
      <c r="AA282" s="912"/>
      <c r="AB282" s="868"/>
      <c r="AC282" s="868"/>
      <c r="AD282" s="868"/>
      <c r="AE282" s="910">
        <v>111314</v>
      </c>
      <c r="AF282" s="911"/>
      <c r="AG282" s="912"/>
      <c r="AH282" s="868"/>
      <c r="AI282" s="868"/>
      <c r="AJ282" s="868"/>
      <c r="AK282" s="910">
        <v>110943</v>
      </c>
      <c r="AL282" s="911"/>
      <c r="AM282" s="912"/>
      <c r="AN282" s="868"/>
      <c r="AO282" s="868"/>
      <c r="AP282" s="868"/>
      <c r="AQ282" s="910">
        <v>110348</v>
      </c>
      <c r="AR282" s="39"/>
      <c r="AS282" s="146"/>
      <c r="AT282" s="145"/>
      <c r="AU282" s="145"/>
      <c r="AV282" s="145"/>
      <c r="AW282" s="910">
        <v>110715.5</v>
      </c>
      <c r="AX282" s="39"/>
      <c r="AY282" s="146"/>
      <c r="AZ282" s="145"/>
      <c r="BA282" s="145"/>
      <c r="BB282" s="145"/>
      <c r="BC282" s="910">
        <v>121847.94352500001</v>
      </c>
      <c r="BD282" s="39"/>
      <c r="BE282" s="146"/>
      <c r="BF282" s="145"/>
      <c r="BG282" s="145"/>
      <c r="BH282" s="145"/>
      <c r="BI282" s="910">
        <v>121908.86749676251</v>
      </c>
      <c r="BJ282" s="39"/>
      <c r="BK282" s="146"/>
      <c r="BL282" s="145"/>
      <c r="BM282" s="145"/>
      <c r="BN282" s="145"/>
      <c r="BO282" s="910">
        <v>121969.82193051088</v>
      </c>
      <c r="BP282" s="39"/>
      <c r="BQ282" s="146"/>
      <c r="BR282" s="145"/>
      <c r="BS282" s="145"/>
      <c r="BT282" s="145"/>
      <c r="BU282" s="456"/>
      <c r="BV282" s="39"/>
      <c r="BW282" s="146"/>
      <c r="BX282" s="145"/>
      <c r="BY282" s="145"/>
      <c r="BZ282" s="145"/>
      <c r="CA282" s="456"/>
      <c r="CB282" s="39"/>
      <c r="CC282" s="146"/>
      <c r="CD282" s="145"/>
      <c r="CE282" s="145"/>
      <c r="CF282" s="145"/>
      <c r="CG282" s="456"/>
    </row>
    <row r="283" spans="1:87" s="1001" customFormat="1" ht="11.25" customHeight="1" x14ac:dyDescent="0.2">
      <c r="A283" s="857"/>
      <c r="B283" s="99" t="s">
        <v>310</v>
      </c>
      <c r="C283" s="259"/>
      <c r="D283" s="265"/>
      <c r="E283" s="265"/>
      <c r="F283" s="265"/>
      <c r="G283" s="910">
        <v>240000</v>
      </c>
      <c r="H283" s="911"/>
      <c r="I283" s="912"/>
      <c r="J283" s="913"/>
      <c r="K283" s="913"/>
      <c r="L283" s="913"/>
      <c r="M283" s="904">
        <f>+M278-M280-M281-M282-M284</f>
        <v>260948.00265206653</v>
      </c>
      <c r="N283" s="911"/>
      <c r="O283" s="912"/>
      <c r="P283" s="913"/>
      <c r="Q283" s="913"/>
      <c r="R283" s="913"/>
      <c r="S283" s="904">
        <f>+S278-S280-S281-S282-S284</f>
        <v>278420.0823311602</v>
      </c>
      <c r="T283" s="911"/>
      <c r="U283" s="912"/>
      <c r="V283" s="868"/>
      <c r="W283" s="868"/>
      <c r="X283" s="868"/>
      <c r="Y283" s="904">
        <f>+Y278-Y280-Y281-Y282-Y284</f>
        <v>370589.83674599661</v>
      </c>
      <c r="Z283" s="911"/>
      <c r="AA283" s="912"/>
      <c r="AB283" s="868"/>
      <c r="AC283" s="868"/>
      <c r="AD283" s="868"/>
      <c r="AE283" s="904">
        <f>+AE278-AE280-AE281-AE282-AE284</f>
        <v>444583.69393632514</v>
      </c>
      <c r="AF283" s="911"/>
      <c r="AG283" s="912"/>
      <c r="AH283" s="868"/>
      <c r="AI283" s="868"/>
      <c r="AJ283" s="868"/>
      <c r="AK283" s="904">
        <f>+AK278-AK280-AK281-AK282-AK284</f>
        <v>436069.28842331795</v>
      </c>
      <c r="AL283" s="911"/>
      <c r="AM283" s="912"/>
      <c r="AN283" s="868"/>
      <c r="AO283" s="868"/>
      <c r="AP283" s="868"/>
      <c r="AQ283" s="904">
        <f>+AQ278-AQ280-AQ281-AQ282-AQ284</f>
        <v>457441.68354009744</v>
      </c>
      <c r="AR283" s="43"/>
      <c r="AS283" s="259"/>
      <c r="AT283" s="260"/>
      <c r="AU283" s="260"/>
      <c r="AV283" s="260"/>
      <c r="AW283" s="904">
        <f>+AW278-AW280-AW281-AW282-AW284</f>
        <v>646174.08214127482</v>
      </c>
      <c r="AX283" s="43"/>
      <c r="AY283" s="259"/>
      <c r="AZ283" s="260"/>
      <c r="BA283" s="260"/>
      <c r="BB283" s="260"/>
      <c r="BC283" s="904">
        <f>+BC278-BC280-BC281-BC282-BC284</f>
        <v>684161.29527698108</v>
      </c>
      <c r="BD283" s="43"/>
      <c r="BE283" s="259"/>
      <c r="BF283" s="260"/>
      <c r="BG283" s="260"/>
      <c r="BH283" s="260"/>
      <c r="BI283" s="904">
        <f>+BI278-BI280-BI281-BI282-BI284</f>
        <v>726783.96721042646</v>
      </c>
      <c r="BJ283" s="43"/>
      <c r="BK283" s="259"/>
      <c r="BL283" s="260"/>
      <c r="BM283" s="260"/>
      <c r="BN283" s="260"/>
      <c r="BO283" s="904">
        <f>+BO278-BO280-BO281-BO282-BO284</f>
        <v>724079.22410663974</v>
      </c>
      <c r="BP283" s="43"/>
      <c r="BQ283" s="259"/>
      <c r="BR283" s="260"/>
      <c r="BS283" s="260"/>
      <c r="BT283" s="260"/>
      <c r="BU283" s="449"/>
      <c r="BV283" s="43"/>
      <c r="BW283" s="259"/>
      <c r="BX283" s="260"/>
      <c r="BY283" s="260"/>
      <c r="BZ283" s="260"/>
      <c r="CA283" s="449"/>
      <c r="CB283" s="43"/>
      <c r="CC283" s="259"/>
      <c r="CD283" s="260"/>
      <c r="CE283" s="260"/>
      <c r="CF283" s="260"/>
      <c r="CG283" s="449"/>
    </row>
    <row r="284" spans="1:87" s="969" customFormat="1" ht="11.25" customHeight="1" x14ac:dyDescent="0.2">
      <c r="A284" s="963"/>
      <c r="B284" s="99" t="s">
        <v>487</v>
      </c>
      <c r="C284" s="261"/>
      <c r="D284" s="266"/>
      <c r="E284" s="266"/>
      <c r="F284" s="267"/>
      <c r="G284" s="904">
        <f>+G288</f>
        <v>52000</v>
      </c>
      <c r="H284" s="903"/>
      <c r="I284" s="905"/>
      <c r="J284" s="907"/>
      <c r="K284" s="907"/>
      <c r="L284" s="903"/>
      <c r="M284" s="904">
        <f>+M288</f>
        <v>60000</v>
      </c>
      <c r="N284" s="903"/>
      <c r="O284" s="905"/>
      <c r="P284" s="907"/>
      <c r="Q284" s="907"/>
      <c r="R284" s="903"/>
      <c r="S284" s="904">
        <f>+S288</f>
        <v>65000</v>
      </c>
      <c r="T284" s="903"/>
      <c r="U284" s="905"/>
      <c r="V284" s="906"/>
      <c r="W284" s="906"/>
      <c r="X284" s="906"/>
      <c r="Y284" s="904">
        <f>+Y288</f>
        <v>70000</v>
      </c>
      <c r="Z284" s="903"/>
      <c r="AA284" s="905"/>
      <c r="AB284" s="906"/>
      <c r="AC284" s="906"/>
      <c r="AD284" s="906"/>
      <c r="AE284" s="904">
        <f>+AE288</f>
        <v>70000</v>
      </c>
      <c r="AF284" s="903"/>
      <c r="AG284" s="905"/>
      <c r="AH284" s="906"/>
      <c r="AI284" s="906"/>
      <c r="AJ284" s="906"/>
      <c r="AK284" s="904">
        <f>+AK288</f>
        <v>75000</v>
      </c>
      <c r="AL284" s="903"/>
      <c r="AM284" s="905"/>
      <c r="AN284" s="906"/>
      <c r="AO284" s="906"/>
      <c r="AP284" s="906"/>
      <c r="AQ284" s="904">
        <f>+AQ288</f>
        <v>80000</v>
      </c>
      <c r="AR284" s="43"/>
      <c r="AS284" s="261"/>
      <c r="AT284" s="258"/>
      <c r="AU284" s="258"/>
      <c r="AV284" s="258"/>
      <c r="AW284" s="904">
        <f>+AW288</f>
        <v>90000</v>
      </c>
      <c r="AX284" s="43"/>
      <c r="AY284" s="261"/>
      <c r="AZ284" s="258"/>
      <c r="BA284" s="258"/>
      <c r="BB284" s="258"/>
      <c r="BC284" s="904">
        <f>+BC288</f>
        <v>90000</v>
      </c>
      <c r="BD284" s="43"/>
      <c r="BE284" s="261"/>
      <c r="BF284" s="258"/>
      <c r="BG284" s="258"/>
      <c r="BH284" s="260"/>
      <c r="BI284" s="904">
        <f>+BI288</f>
        <v>95000</v>
      </c>
      <c r="BJ284" s="43"/>
      <c r="BK284" s="259"/>
      <c r="BL284" s="260"/>
      <c r="BM284" s="260"/>
      <c r="BN284" s="260"/>
      <c r="BO284" s="904">
        <f>+BO288</f>
        <v>97000</v>
      </c>
      <c r="BP284" s="43"/>
      <c r="BQ284" s="259"/>
      <c r="BR284" s="260"/>
      <c r="BS284" s="260"/>
      <c r="BT284" s="260"/>
      <c r="BU284" s="449"/>
      <c r="BV284" s="43"/>
      <c r="BW284" s="259"/>
      <c r="BX284" s="260"/>
      <c r="BY284" s="260"/>
      <c r="BZ284" s="260"/>
      <c r="CA284" s="449"/>
      <c r="CB284" s="43"/>
      <c r="CC284" s="259"/>
      <c r="CD284" s="260"/>
      <c r="CE284" s="260"/>
      <c r="CF284" s="260"/>
      <c r="CG284" s="449"/>
    </row>
    <row r="285" spans="1:87" s="1165" customFormat="1" ht="11.25" customHeight="1" x14ac:dyDescent="0.2">
      <c r="A285" s="876"/>
      <c r="B285" s="780" t="s">
        <v>488</v>
      </c>
      <c r="C285" s="259"/>
      <c r="D285" s="265"/>
      <c r="E285" s="265"/>
      <c r="F285" s="265"/>
      <c r="G285" s="904">
        <f>+SUM(G280:G284)</f>
        <v>540350</v>
      </c>
      <c r="H285" s="903"/>
      <c r="I285" s="905"/>
      <c r="J285" s="907"/>
      <c r="K285" s="907"/>
      <c r="L285" s="907"/>
      <c r="M285" s="904">
        <f>+SUM(M280:M284)</f>
        <v>575000</v>
      </c>
      <c r="N285" s="903"/>
      <c r="O285" s="905"/>
      <c r="P285" s="907"/>
      <c r="Q285" s="907"/>
      <c r="R285" s="907"/>
      <c r="S285" s="904">
        <f>+SUM(S280:S284)</f>
        <v>600000</v>
      </c>
      <c r="T285" s="903"/>
      <c r="U285" s="905"/>
      <c r="V285" s="906"/>
      <c r="W285" s="906"/>
      <c r="X285" s="906"/>
      <c r="Y285" s="904">
        <f>+SUM(Y280:Y284)</f>
        <v>700000</v>
      </c>
      <c r="Z285" s="903"/>
      <c r="AA285" s="905"/>
      <c r="AB285" s="906"/>
      <c r="AC285" s="906"/>
      <c r="AD285" s="906"/>
      <c r="AE285" s="904">
        <f>+SUM(AE280:AE284)</f>
        <v>775000</v>
      </c>
      <c r="AF285" s="903"/>
      <c r="AG285" s="905"/>
      <c r="AH285" s="906"/>
      <c r="AI285" s="906"/>
      <c r="AJ285" s="906"/>
      <c r="AK285" s="904">
        <f>+SUM(AK280:AK284)</f>
        <v>775000</v>
      </c>
      <c r="AL285" s="903"/>
      <c r="AM285" s="905"/>
      <c r="AN285" s="906"/>
      <c r="AO285" s="906"/>
      <c r="AP285" s="906"/>
      <c r="AQ285" s="904">
        <f>+SUM(AQ280:AQ284)</f>
        <v>800000</v>
      </c>
      <c r="AR285" s="43"/>
      <c r="AS285" s="259"/>
      <c r="AT285" s="260"/>
      <c r="AU285" s="260"/>
      <c r="AV285" s="260"/>
      <c r="AW285" s="904">
        <f>+SUM(AW280:AW284)</f>
        <v>1000000</v>
      </c>
      <c r="AX285" s="43"/>
      <c r="AY285" s="259"/>
      <c r="AZ285" s="260"/>
      <c r="BA285" s="260"/>
      <c r="BB285" s="260"/>
      <c r="BC285" s="904">
        <f>+SUM(BC280:BC284)</f>
        <v>1050000</v>
      </c>
      <c r="BD285" s="43"/>
      <c r="BE285" s="259"/>
      <c r="BF285" s="260"/>
      <c r="BG285" s="260"/>
      <c r="BH285" s="258"/>
      <c r="BI285" s="904">
        <f>+SUM(BI280:BI284)</f>
        <v>1100000</v>
      </c>
      <c r="BJ285" s="43"/>
      <c r="BK285" s="259"/>
      <c r="BL285" s="260"/>
      <c r="BM285" s="260"/>
      <c r="BN285" s="260"/>
      <c r="BO285" s="904">
        <f>+SUM(BO280:BO284)</f>
        <v>1100000</v>
      </c>
      <c r="BP285" s="43"/>
      <c r="BQ285" s="259"/>
      <c r="BR285" s="260"/>
      <c r="BS285" s="260"/>
      <c r="BT285" s="260"/>
      <c r="BU285" s="449"/>
      <c r="BV285" s="43"/>
      <c r="BW285" s="259"/>
      <c r="BX285" s="260"/>
      <c r="BY285" s="260"/>
      <c r="BZ285" s="260"/>
      <c r="CA285" s="449"/>
      <c r="CB285" s="43"/>
      <c r="CC285" s="259"/>
      <c r="CD285" s="260"/>
      <c r="CE285" s="260"/>
      <c r="CF285" s="260"/>
      <c r="CG285" s="449"/>
    </row>
    <row r="286" spans="1:87" s="969" customFormat="1" ht="11.25" customHeight="1" x14ac:dyDescent="0.2">
      <c r="A286" s="963"/>
      <c r="B286" s="990" t="s">
        <v>519</v>
      </c>
      <c r="C286" s="372"/>
      <c r="D286" s="265"/>
      <c r="E286" s="265"/>
      <c r="F286" s="265"/>
      <c r="G286" s="904"/>
      <c r="H286" s="903"/>
      <c r="I286" s="989"/>
      <c r="J286" s="907"/>
      <c r="K286" s="907"/>
      <c r="L286" s="907"/>
      <c r="M286" s="904"/>
      <c r="N286" s="903"/>
      <c r="O286" s="989"/>
      <c r="P286" s="907"/>
      <c r="Q286" s="907"/>
      <c r="R286" s="907"/>
      <c r="S286" s="991">
        <v>0.9</v>
      </c>
      <c r="T286" s="903"/>
      <c r="U286" s="989"/>
      <c r="V286" s="906"/>
      <c r="W286" s="906"/>
      <c r="X286" s="906"/>
      <c r="Y286" s="991">
        <v>0.9</v>
      </c>
      <c r="Z286" s="903"/>
      <c r="AA286" s="989"/>
      <c r="AB286" s="906"/>
      <c r="AC286" s="906"/>
      <c r="AD286" s="906"/>
      <c r="AE286" s="991">
        <v>0.9</v>
      </c>
      <c r="AF286" s="903"/>
      <c r="AG286" s="989"/>
      <c r="AH286" s="906"/>
      <c r="AI286" s="906"/>
      <c r="AJ286" s="906"/>
      <c r="AK286" s="991">
        <v>0.9</v>
      </c>
      <c r="AL286" s="903"/>
      <c r="AM286" s="989"/>
      <c r="AN286" s="906"/>
      <c r="AO286" s="906"/>
      <c r="AP286" s="906"/>
      <c r="AQ286" s="991">
        <v>0.9</v>
      </c>
      <c r="AR286" s="43"/>
      <c r="AS286" s="372"/>
      <c r="AT286" s="260"/>
      <c r="AU286" s="260"/>
      <c r="AV286" s="260"/>
      <c r="AW286" s="991">
        <v>0.9</v>
      </c>
      <c r="AX286" s="43"/>
      <c r="AY286" s="372"/>
      <c r="AZ286" s="260"/>
      <c r="BA286" s="260"/>
      <c r="BB286" s="260"/>
      <c r="BC286" s="991">
        <v>0.9</v>
      </c>
      <c r="BD286" s="43"/>
      <c r="BE286" s="372"/>
      <c r="BF286" s="260"/>
      <c r="BG286" s="260"/>
      <c r="BH286" s="258"/>
      <c r="BI286" s="904"/>
      <c r="BJ286" s="43"/>
      <c r="BK286" s="372"/>
      <c r="BL286" s="260"/>
      <c r="BM286" s="260"/>
      <c r="BN286" s="260"/>
      <c r="BO286" s="449"/>
      <c r="BP286" s="43"/>
      <c r="BQ286" s="372"/>
      <c r="BR286" s="260"/>
      <c r="BS286" s="260"/>
      <c r="BT286" s="260"/>
      <c r="BU286" s="449"/>
      <c r="BV286" s="43"/>
      <c r="BW286" s="372"/>
      <c r="BX286" s="260"/>
      <c r="BY286" s="260"/>
      <c r="BZ286" s="260"/>
      <c r="CA286" s="449"/>
      <c r="CB286" s="43"/>
      <c r="CC286" s="372"/>
      <c r="CD286" s="260"/>
      <c r="CE286" s="260"/>
      <c r="CF286" s="260"/>
      <c r="CG286" s="449"/>
    </row>
    <row r="287" spans="1:87" s="1165" customFormat="1" ht="11.25" customHeight="1" x14ac:dyDescent="0.2">
      <c r="A287" s="876"/>
      <c r="B287" s="99"/>
      <c r="C287" s="261"/>
      <c r="D287" s="266"/>
      <c r="E287" s="266"/>
      <c r="F287" s="267"/>
      <c r="G287" s="453"/>
      <c r="H287" s="43"/>
      <c r="I287" s="261"/>
      <c r="J287" s="266"/>
      <c r="K287" s="266"/>
      <c r="L287" s="267"/>
      <c r="M287" s="453"/>
      <c r="N287" s="43"/>
      <c r="O287" s="261"/>
      <c r="P287" s="266"/>
      <c r="Q287" s="266"/>
      <c r="R287" s="267"/>
      <c r="S287" s="453"/>
      <c r="T287" s="43"/>
      <c r="U287" s="261"/>
      <c r="V287" s="258"/>
      <c r="W287" s="258"/>
      <c r="X287" s="258"/>
      <c r="Y287" s="449"/>
      <c r="Z287" s="43"/>
      <c r="AA287" s="261"/>
      <c r="AB287" s="258"/>
      <c r="AC287" s="258"/>
      <c r="AD287" s="258"/>
      <c r="AE287" s="449"/>
      <c r="AF287" s="43"/>
      <c r="AG287" s="261"/>
      <c r="AH287" s="258"/>
      <c r="AI287" s="258"/>
      <c r="AJ287" s="258"/>
      <c r="AK287" s="449"/>
      <c r="AL287" s="43"/>
      <c r="AM287" s="261"/>
      <c r="AN287" s="258"/>
      <c r="AO287" s="258"/>
      <c r="AP287" s="258"/>
      <c r="AQ287" s="449"/>
      <c r="AR287" s="43"/>
      <c r="AS287" s="261"/>
      <c r="AT287" s="258"/>
      <c r="AU287" s="258"/>
      <c r="AV287" s="258"/>
      <c r="AW287" s="449"/>
      <c r="AX287" s="43"/>
      <c r="AY287" s="261"/>
      <c r="AZ287" s="258"/>
      <c r="BA287" s="258"/>
      <c r="BB287" s="258"/>
      <c r="BC287" s="449"/>
      <c r="BD287" s="43"/>
      <c r="BE287" s="261"/>
      <c r="BF287" s="258"/>
      <c r="BG287" s="258"/>
      <c r="BH287" s="258"/>
      <c r="BI287" s="1300"/>
      <c r="BJ287" s="43"/>
      <c r="BK287" s="261"/>
      <c r="BL287" s="260"/>
      <c r="BM287" s="260"/>
      <c r="BN287" s="260"/>
      <c r="BO287" s="1151">
        <f>438*60%</f>
        <v>262.8</v>
      </c>
      <c r="BP287" s="43"/>
      <c r="BQ287" s="259"/>
      <c r="BR287" s="260"/>
      <c r="BS287" s="260"/>
      <c r="BT287" s="260"/>
      <c r="BU287" s="449"/>
      <c r="BV287" s="43"/>
      <c r="BW287" s="259"/>
      <c r="BX287" s="260"/>
      <c r="BY287" s="260"/>
      <c r="BZ287" s="260"/>
      <c r="CA287" s="449"/>
      <c r="CB287" s="43"/>
      <c r="CC287" s="259"/>
      <c r="CD287" s="260"/>
      <c r="CE287" s="260"/>
      <c r="CF287" s="260"/>
      <c r="CG287" s="449"/>
    </row>
    <row r="288" spans="1:87" s="969" customFormat="1" ht="11.25" customHeight="1" x14ac:dyDescent="0.2">
      <c r="A288" s="963"/>
      <c r="B288" s="917" t="s">
        <v>491</v>
      </c>
      <c r="C288" s="920"/>
      <c r="D288" s="921"/>
      <c r="E288" s="921"/>
      <c r="F288" s="921"/>
      <c r="G288" s="922">
        <v>52000</v>
      </c>
      <c r="H288" s="921"/>
      <c r="I288" s="920"/>
      <c r="J288" s="921"/>
      <c r="K288" s="921"/>
      <c r="L288" s="921"/>
      <c r="M288" s="922">
        <v>60000</v>
      </c>
      <c r="N288" s="921"/>
      <c r="O288" s="920"/>
      <c r="P288" s="921"/>
      <c r="Q288" s="921"/>
      <c r="R288" s="921"/>
      <c r="S288" s="922">
        <v>65000</v>
      </c>
      <c r="T288" s="921"/>
      <c r="U288" s="920"/>
      <c r="V288" s="921"/>
      <c r="W288" s="921"/>
      <c r="X288" s="921"/>
      <c r="Y288" s="922">
        <v>70000</v>
      </c>
      <c r="Z288" s="921"/>
      <c r="AA288" s="920"/>
      <c r="AB288" s="921"/>
      <c r="AC288" s="921"/>
      <c r="AD288" s="921"/>
      <c r="AE288" s="922">
        <v>70000</v>
      </c>
      <c r="AF288" s="921"/>
      <c r="AG288" s="920"/>
      <c r="AH288" s="921"/>
      <c r="AI288" s="921"/>
      <c r="AJ288" s="921"/>
      <c r="AK288" s="922">
        <v>75000</v>
      </c>
      <c r="AL288" s="921"/>
      <c r="AM288" s="920"/>
      <c r="AN288" s="921"/>
      <c r="AO288" s="921"/>
      <c r="AP288" s="921"/>
      <c r="AQ288" s="922">
        <v>80000</v>
      </c>
      <c r="AR288" s="921"/>
      <c r="AS288" s="920"/>
      <c r="AT288" s="921"/>
      <c r="AU288" s="921"/>
      <c r="AV288" s="921"/>
      <c r="AW288" s="922">
        <v>90000</v>
      </c>
      <c r="AX288" s="921"/>
      <c r="AY288" s="920"/>
      <c r="AZ288" s="921"/>
      <c r="BA288" s="921"/>
      <c r="BB288" s="921"/>
      <c r="BC288" s="922">
        <v>90000</v>
      </c>
      <c r="BD288" s="921"/>
      <c r="BE288" s="920"/>
      <c r="BF288" s="921"/>
      <c r="BG288" s="921"/>
      <c r="BH288" s="921"/>
      <c r="BI288" s="922">
        <v>95000</v>
      </c>
      <c r="BJ288" s="921"/>
      <c r="BK288" s="920"/>
      <c r="BL288" s="921"/>
      <c r="BM288" s="921"/>
      <c r="BN288" s="921"/>
      <c r="BO288" s="922">
        <v>97000</v>
      </c>
      <c r="BP288" s="921"/>
      <c r="BQ288" s="920"/>
      <c r="BR288" s="921"/>
      <c r="BS288" s="921"/>
      <c r="BT288" s="921"/>
      <c r="BU288" s="922"/>
      <c r="BV288" s="921"/>
      <c r="BW288" s="920"/>
      <c r="BX288" s="921"/>
      <c r="BY288" s="921"/>
      <c r="BZ288" s="921"/>
      <c r="CA288" s="922"/>
      <c r="CB288" s="921"/>
      <c r="CC288" s="920"/>
      <c r="CD288" s="921"/>
      <c r="CE288" s="921"/>
      <c r="CF288" s="921"/>
      <c r="CG288" s="922"/>
    </row>
    <row r="289" spans="1:85" s="1165" customFormat="1" ht="11.25" customHeight="1" x14ac:dyDescent="0.2">
      <c r="A289" s="876"/>
      <c r="B289" s="923" t="s">
        <v>485</v>
      </c>
      <c r="C289" s="924"/>
      <c r="D289" s="226"/>
      <c r="E289" s="226"/>
      <c r="F289" s="226"/>
      <c r="G289" s="854"/>
      <c r="H289" s="884"/>
      <c r="I289" s="924"/>
      <c r="J289" s="226"/>
      <c r="K289" s="226"/>
      <c r="L289" s="226"/>
      <c r="M289" s="854">
        <f>+M288/G288-1</f>
        <v>0.15384615384615374</v>
      </c>
      <c r="N289" s="884"/>
      <c r="O289" s="924"/>
      <c r="P289" s="226"/>
      <c r="Q289" s="226"/>
      <c r="R289" s="226"/>
      <c r="S289" s="854">
        <f>+S288/M288-1</f>
        <v>8.3333333333333259E-2</v>
      </c>
      <c r="T289" s="884"/>
      <c r="U289" s="924"/>
      <c r="V289" s="226"/>
      <c r="W289" s="226"/>
      <c r="X289" s="226"/>
      <c r="Y289" s="854">
        <f>+Y288/S288-1</f>
        <v>7.6923076923076872E-2</v>
      </c>
      <c r="Z289" s="884"/>
      <c r="AA289" s="924"/>
      <c r="AB289" s="226"/>
      <c r="AC289" s="226"/>
      <c r="AD289" s="226"/>
      <c r="AE289" s="854">
        <f>+AE288/Y288-1</f>
        <v>0</v>
      </c>
      <c r="AF289" s="884"/>
      <c r="AG289" s="924"/>
      <c r="AH289" s="226"/>
      <c r="AI289" s="226"/>
      <c r="AJ289" s="226"/>
      <c r="AK289" s="854">
        <f>+AK288/AE288-1</f>
        <v>7.1428571428571397E-2</v>
      </c>
      <c r="AL289" s="884"/>
      <c r="AM289" s="924"/>
      <c r="AN289" s="226"/>
      <c r="AO289" s="226"/>
      <c r="AP289" s="226"/>
      <c r="AQ289" s="854">
        <f>+AQ288/AK288-1</f>
        <v>6.6666666666666652E-2</v>
      </c>
      <c r="AR289" s="884"/>
      <c r="AS289" s="924"/>
      <c r="AT289" s="226"/>
      <c r="AU289" s="226"/>
      <c r="AV289" s="226"/>
      <c r="AW289" s="854">
        <f>+AW288/AQ288-1</f>
        <v>0.125</v>
      </c>
      <c r="AX289" s="884"/>
      <c r="AY289" s="924"/>
      <c r="AZ289" s="226"/>
      <c r="BA289" s="226"/>
      <c r="BB289" s="226"/>
      <c r="BC289" s="854">
        <f>+BC288/AW288-1</f>
        <v>0</v>
      </c>
      <c r="BD289" s="884"/>
      <c r="BE289" s="924"/>
      <c r="BF289" s="226"/>
      <c r="BG289" s="226"/>
      <c r="BH289" s="226"/>
      <c r="BI289" s="854">
        <f>+BI288/BC288-1</f>
        <v>5.555555555555558E-2</v>
      </c>
      <c r="BJ289" s="884"/>
      <c r="BK289" s="924"/>
      <c r="BL289" s="226"/>
      <c r="BM289" s="226"/>
      <c r="BN289" s="226"/>
      <c r="BO289" s="854">
        <f>+BO288/BI288-1</f>
        <v>2.1052631578947434E-2</v>
      </c>
      <c r="BP289" s="884"/>
      <c r="BQ289" s="924"/>
      <c r="BR289" s="226"/>
      <c r="BS289" s="226"/>
      <c r="BT289" s="226"/>
      <c r="BU289" s="854"/>
      <c r="BV289" s="884"/>
      <c r="BW289" s="924"/>
      <c r="BX289" s="226"/>
      <c r="BY289" s="226"/>
      <c r="BZ289" s="226"/>
      <c r="CA289" s="854"/>
      <c r="CB289" s="884"/>
      <c r="CC289" s="924"/>
      <c r="CD289" s="226"/>
      <c r="CE289" s="226"/>
      <c r="CF289" s="226"/>
      <c r="CG289" s="854"/>
    </row>
    <row r="290" spans="1:85" s="969" customFormat="1" ht="11.25" customHeight="1" x14ac:dyDescent="0.2">
      <c r="A290" s="963"/>
      <c r="B290" s="917" t="s">
        <v>591</v>
      </c>
      <c r="C290" s="920"/>
      <c r="D290" s="921"/>
      <c r="E290" s="921"/>
      <c r="F290" s="921"/>
      <c r="G290" s="777">
        <v>40000</v>
      </c>
      <c r="H290" s="902"/>
      <c r="I290" s="920"/>
      <c r="J290" s="921"/>
      <c r="K290" s="921"/>
      <c r="L290" s="921"/>
      <c r="M290" s="777">
        <v>46000</v>
      </c>
      <c r="N290" s="902"/>
      <c r="O290" s="920"/>
      <c r="P290" s="921"/>
      <c r="Q290" s="921"/>
      <c r="R290" s="921"/>
      <c r="S290" s="777">
        <v>47547.96</v>
      </c>
      <c r="T290" s="902"/>
      <c r="U290" s="872"/>
      <c r="V290" s="776"/>
      <c r="W290" s="776"/>
      <c r="X290" s="776"/>
      <c r="Y290" s="777">
        <v>49335.4</v>
      </c>
      <c r="Z290" s="902"/>
      <c r="AA290" s="918"/>
      <c r="AB290" s="919"/>
      <c r="AC290" s="776"/>
      <c r="AD290" s="776"/>
      <c r="AE290" s="777">
        <v>48536.229999999996</v>
      </c>
      <c r="AF290" s="902"/>
      <c r="AG290" s="872"/>
      <c r="AH290" s="776"/>
      <c r="AI290" s="776"/>
      <c r="AJ290" s="776"/>
      <c r="AK290" s="777">
        <v>53242.8</v>
      </c>
      <c r="AL290" s="902"/>
      <c r="AM290" s="872"/>
      <c r="AN290" s="776"/>
      <c r="AO290" s="776"/>
      <c r="AP290" s="776"/>
      <c r="AQ290" s="777">
        <v>53468.800000000003</v>
      </c>
      <c r="AR290" s="902"/>
      <c r="AS290" s="872"/>
      <c r="AT290" s="776"/>
      <c r="AU290" s="776"/>
      <c r="AV290" s="776"/>
      <c r="AW290" s="777">
        <v>53758.8</v>
      </c>
      <c r="AX290" s="902"/>
      <c r="AY290" s="872"/>
      <c r="AZ290" s="776"/>
      <c r="BA290" s="776"/>
      <c r="BB290" s="776"/>
      <c r="BC290" s="777">
        <v>54027.593999999997</v>
      </c>
      <c r="BD290" s="902"/>
      <c r="BE290" s="872"/>
      <c r="BF290" s="776"/>
      <c r="BG290" s="776"/>
      <c r="BH290" s="776"/>
      <c r="BI290" s="777">
        <v>54243.704375999994</v>
      </c>
      <c r="BJ290" s="902"/>
      <c r="BK290" s="872"/>
      <c r="BL290" s="776"/>
      <c r="BM290" s="776"/>
      <c r="BN290" s="776"/>
      <c r="BO290" s="777">
        <v>54406.435489127987</v>
      </c>
      <c r="BP290" s="902"/>
      <c r="BQ290" s="872"/>
      <c r="BR290" s="776"/>
      <c r="BS290" s="776"/>
      <c r="BT290" s="776"/>
      <c r="BU290" s="777"/>
      <c r="BV290" s="902"/>
      <c r="BW290" s="872"/>
      <c r="BX290" s="776"/>
      <c r="BY290" s="776"/>
      <c r="BZ290" s="776"/>
      <c r="CA290" s="777"/>
      <c r="CB290" s="902"/>
      <c r="CC290" s="872"/>
      <c r="CD290" s="776"/>
      <c r="CE290" s="776"/>
      <c r="CF290" s="776"/>
      <c r="CG290" s="777"/>
    </row>
    <row r="291" spans="1:85" ht="11.25" customHeight="1" x14ac:dyDescent="0.2">
      <c r="B291" s="964" t="s">
        <v>498</v>
      </c>
      <c r="C291" s="965"/>
      <c r="D291" s="969"/>
      <c r="E291" s="969"/>
      <c r="F291" s="969"/>
      <c r="G291" s="967">
        <v>0.31280058180908216</v>
      </c>
      <c r="H291" s="968"/>
      <c r="I291" s="965"/>
      <c r="J291" s="969"/>
      <c r="K291" s="969"/>
      <c r="L291" s="969"/>
      <c r="M291" s="967">
        <v>0.35972066908044448</v>
      </c>
      <c r="N291" s="968"/>
      <c r="O291" s="965"/>
      <c r="P291" s="969"/>
      <c r="Q291" s="969"/>
      <c r="R291" s="969"/>
      <c r="S291" s="970">
        <v>0.37</v>
      </c>
      <c r="T291" s="968"/>
      <c r="U291" s="965"/>
      <c r="V291" s="966"/>
      <c r="W291" s="966"/>
      <c r="X291" s="966"/>
      <c r="Y291" s="970">
        <v>0.38</v>
      </c>
      <c r="Z291" s="968"/>
      <c r="AA291" s="965"/>
      <c r="AB291" s="966"/>
      <c r="AC291" s="966"/>
      <c r="AD291" s="966"/>
      <c r="AE291" s="970">
        <v>0.37</v>
      </c>
      <c r="AF291" s="968"/>
      <c r="AG291" s="965"/>
      <c r="AH291" s="966"/>
      <c r="AI291" s="966"/>
      <c r="AJ291" s="966"/>
      <c r="AK291" s="970">
        <v>0.4</v>
      </c>
      <c r="AL291" s="968"/>
      <c r="AM291" s="965"/>
      <c r="AN291" s="966"/>
      <c r="AO291" s="966"/>
      <c r="AP291" s="966"/>
      <c r="AQ291" s="970">
        <v>0.4</v>
      </c>
      <c r="AR291" s="968"/>
      <c r="AS291" s="965"/>
      <c r="AT291" s="966"/>
      <c r="AU291" s="966"/>
      <c r="AV291" s="966"/>
      <c r="AW291" s="970">
        <v>0.4</v>
      </c>
      <c r="AX291" s="968"/>
      <c r="AY291" s="965"/>
      <c r="AZ291" s="966"/>
      <c r="BA291" s="966"/>
      <c r="BB291" s="966"/>
      <c r="BC291" s="970">
        <v>0.4</v>
      </c>
      <c r="BD291" s="968"/>
      <c r="BE291" s="965"/>
      <c r="BF291" s="966"/>
      <c r="BG291" s="966"/>
      <c r="BH291" s="966"/>
      <c r="BI291" s="970">
        <v>0.4</v>
      </c>
      <c r="BJ291" s="968"/>
      <c r="BK291" s="965"/>
      <c r="BL291" s="966"/>
      <c r="BM291" s="966"/>
      <c r="BN291" s="966"/>
      <c r="BO291" s="970">
        <v>0.4</v>
      </c>
      <c r="BP291" s="968"/>
      <c r="BQ291" s="965"/>
      <c r="BR291" s="966"/>
      <c r="BS291" s="966"/>
      <c r="BT291" s="966"/>
      <c r="BU291" s="967"/>
      <c r="BV291" s="968"/>
      <c r="BW291" s="965"/>
      <c r="BX291" s="966"/>
      <c r="BY291" s="966"/>
      <c r="BZ291" s="966"/>
      <c r="CA291" s="967"/>
      <c r="CB291" s="968"/>
      <c r="CC291" s="965"/>
      <c r="CD291" s="966"/>
      <c r="CE291" s="966"/>
      <c r="CF291" s="966"/>
      <c r="CG291" s="967"/>
    </row>
    <row r="292" spans="1:85" s="1121" customFormat="1" ht="11.25" customHeight="1" x14ac:dyDescent="0.2">
      <c r="A292" s="858"/>
      <c r="B292" s="925" t="s">
        <v>592</v>
      </c>
      <c r="C292" s="926"/>
      <c r="D292" s="927"/>
      <c r="E292" s="927"/>
      <c r="F292" s="928"/>
      <c r="G292" s="954">
        <v>4000</v>
      </c>
      <c r="H292" s="958"/>
      <c r="I292" s="956"/>
      <c r="J292" s="959"/>
      <c r="K292" s="959"/>
      <c r="L292" s="960"/>
      <c r="M292" s="954">
        <v>5000</v>
      </c>
      <c r="N292" s="958"/>
      <c r="O292" s="956"/>
      <c r="P292" s="959"/>
      <c r="Q292" s="959"/>
      <c r="R292" s="960"/>
      <c r="S292" s="954">
        <v>10000</v>
      </c>
      <c r="T292" s="930"/>
      <c r="U292" s="926"/>
      <c r="V292" s="931"/>
      <c r="W292" s="931"/>
      <c r="X292" s="931"/>
      <c r="Y292" s="929">
        <v>14521.5</v>
      </c>
      <c r="Z292" s="930"/>
      <c r="AA292" s="926"/>
      <c r="AB292" s="931"/>
      <c r="AC292" s="931"/>
      <c r="AD292" s="931"/>
      <c r="AE292" s="929">
        <v>16182.100000000002</v>
      </c>
      <c r="AF292" s="930"/>
      <c r="AG292" s="926"/>
      <c r="AH292" s="931"/>
      <c r="AI292" s="931"/>
      <c r="AJ292" s="931"/>
      <c r="AK292" s="929">
        <v>16558.300000000003</v>
      </c>
      <c r="AL292" s="930"/>
      <c r="AM292" s="926"/>
      <c r="AN292" s="931"/>
      <c r="AO292" s="931"/>
      <c r="AP292" s="931"/>
      <c r="AQ292" s="929">
        <v>16690.850000000002</v>
      </c>
      <c r="AR292" s="930"/>
      <c r="AS292" s="926"/>
      <c r="AT292" s="931"/>
      <c r="AU292" s="931"/>
      <c r="AV292" s="931"/>
      <c r="AW292" s="929">
        <v>16836.050000000003</v>
      </c>
      <c r="AX292" s="930"/>
      <c r="AY292" s="926"/>
      <c r="AZ292" s="931"/>
      <c r="BA292" s="931"/>
      <c r="BB292" s="931"/>
      <c r="BC292" s="929">
        <v>17004.410500000002</v>
      </c>
      <c r="BD292" s="930"/>
      <c r="BE292" s="926"/>
      <c r="BF292" s="931"/>
      <c r="BG292" s="931"/>
      <c r="BH292" s="932"/>
      <c r="BI292" s="929">
        <v>17174.454605000003</v>
      </c>
      <c r="BJ292" s="930"/>
      <c r="BK292" s="933"/>
      <c r="BL292" s="932"/>
      <c r="BM292" s="932"/>
      <c r="BN292" s="932"/>
      <c r="BO292" s="929">
        <v>17346.199151050001</v>
      </c>
      <c r="BP292" s="930"/>
      <c r="BQ292" s="933"/>
      <c r="BR292" s="932"/>
      <c r="BS292" s="932"/>
      <c r="BT292" s="932"/>
      <c r="BU292" s="929"/>
      <c r="BV292" s="930"/>
      <c r="BW292" s="933"/>
      <c r="BX292" s="932"/>
      <c r="BY292" s="932"/>
      <c r="BZ292" s="932"/>
      <c r="CA292" s="929"/>
      <c r="CB292" s="930"/>
      <c r="CC292" s="933"/>
      <c r="CD292" s="932"/>
      <c r="CE292" s="932"/>
      <c r="CF292" s="932"/>
      <c r="CG292" s="929"/>
    </row>
    <row r="293" spans="1:85" s="1150" customFormat="1" ht="11.25" customHeight="1" x14ac:dyDescent="0.2">
      <c r="A293" s="867"/>
      <c r="B293" s="964" t="s">
        <v>498</v>
      </c>
      <c r="C293" s="965"/>
      <c r="D293" s="969"/>
      <c r="E293" s="969"/>
      <c r="F293" s="969"/>
      <c r="G293" s="967">
        <v>0.14814814814814814</v>
      </c>
      <c r="H293" s="968"/>
      <c r="I293" s="965"/>
      <c r="J293" s="969"/>
      <c r="K293" s="969"/>
      <c r="L293" s="969"/>
      <c r="M293" s="967">
        <v>0.17514975303884822</v>
      </c>
      <c r="N293" s="968"/>
      <c r="O293" s="965"/>
      <c r="P293" s="969"/>
      <c r="Q293" s="969"/>
      <c r="R293" s="969"/>
      <c r="S293" s="967">
        <v>0.34854135443170331</v>
      </c>
      <c r="T293" s="968"/>
      <c r="U293" s="965"/>
      <c r="V293" s="966"/>
      <c r="W293" s="966"/>
      <c r="X293" s="966"/>
      <c r="Y293" s="970">
        <v>0.5</v>
      </c>
      <c r="Z293" s="968"/>
      <c r="AA293" s="965"/>
      <c r="AB293" s="966"/>
      <c r="AC293" s="966"/>
      <c r="AD293" s="966"/>
      <c r="AE293" s="970">
        <v>0.55000000000000004</v>
      </c>
      <c r="AF293" s="968"/>
      <c r="AG293" s="965"/>
      <c r="AH293" s="966"/>
      <c r="AI293" s="966"/>
      <c r="AJ293" s="966"/>
      <c r="AK293" s="970">
        <v>0.55000000000000004</v>
      </c>
      <c r="AL293" s="968"/>
      <c r="AM293" s="965"/>
      <c r="AN293" s="966"/>
      <c r="AO293" s="966"/>
      <c r="AP293" s="966"/>
      <c r="AQ293" s="970">
        <v>0.55000000000000004</v>
      </c>
      <c r="AR293" s="968"/>
      <c r="AS293" s="965"/>
      <c r="AT293" s="966"/>
      <c r="AU293" s="966"/>
      <c r="AV293" s="966"/>
      <c r="AW293" s="970">
        <v>0.55000000000000004</v>
      </c>
      <c r="AX293" s="968"/>
      <c r="AY293" s="965"/>
      <c r="AZ293" s="966"/>
      <c r="BA293" s="966"/>
      <c r="BB293" s="966"/>
      <c r="BC293" s="970">
        <v>0.55000000000000004</v>
      </c>
      <c r="BD293" s="968"/>
      <c r="BE293" s="965"/>
      <c r="BF293" s="966"/>
      <c r="BG293" s="966"/>
      <c r="BH293" s="966"/>
      <c r="BI293" s="970">
        <v>0.55000000000000004</v>
      </c>
      <c r="BJ293" s="968"/>
      <c r="BK293" s="965"/>
      <c r="BL293" s="966"/>
      <c r="BM293" s="966"/>
      <c r="BN293" s="966"/>
      <c r="BO293" s="970">
        <v>0.55000000000000004</v>
      </c>
      <c r="BP293" s="968"/>
      <c r="BQ293" s="965"/>
      <c r="BR293" s="966"/>
      <c r="BS293" s="966"/>
      <c r="BT293" s="966"/>
      <c r="BU293" s="967"/>
      <c r="BV293" s="968"/>
      <c r="BW293" s="965"/>
      <c r="BX293" s="966"/>
      <c r="BY293" s="966"/>
      <c r="BZ293" s="966"/>
      <c r="CA293" s="967"/>
      <c r="CB293" s="968"/>
      <c r="CC293" s="965"/>
      <c r="CD293" s="966"/>
      <c r="CE293" s="966"/>
      <c r="CF293" s="966"/>
      <c r="CG293" s="967"/>
    </row>
    <row r="294" spans="1:85" s="1121" customFormat="1" ht="11.25" customHeight="1" x14ac:dyDescent="0.2">
      <c r="A294" s="858"/>
      <c r="B294" s="925" t="s">
        <v>593</v>
      </c>
      <c r="C294" s="926"/>
      <c r="D294" s="927"/>
      <c r="E294" s="927"/>
      <c r="F294" s="928"/>
      <c r="G294" s="954">
        <v>3000</v>
      </c>
      <c r="H294" s="930"/>
      <c r="I294" s="933"/>
      <c r="J294" s="961"/>
      <c r="K294" s="961"/>
      <c r="L294" s="962"/>
      <c r="M294" s="954">
        <v>3000</v>
      </c>
      <c r="N294" s="930"/>
      <c r="O294" s="926"/>
      <c r="P294" s="927"/>
      <c r="Q294" s="927"/>
      <c r="R294" s="928"/>
      <c r="S294" s="954">
        <v>1500</v>
      </c>
      <c r="T294" s="930"/>
      <c r="U294" s="933"/>
      <c r="V294" s="932"/>
      <c r="W294" s="932"/>
      <c r="X294" s="932"/>
      <c r="Y294" s="954">
        <v>1500</v>
      </c>
      <c r="Z294" s="930"/>
      <c r="AA294" s="933"/>
      <c r="AB294" s="932"/>
      <c r="AC294" s="932"/>
      <c r="AD294" s="932"/>
      <c r="AE294" s="954">
        <v>1000</v>
      </c>
      <c r="AF294" s="930"/>
      <c r="AG294" s="926"/>
      <c r="AH294" s="931"/>
      <c r="AI294" s="931"/>
      <c r="AJ294" s="931"/>
      <c r="AK294" s="954">
        <v>1000</v>
      </c>
      <c r="AL294" s="930"/>
      <c r="AM294" s="926"/>
      <c r="AN294" s="931"/>
      <c r="AO294" s="931"/>
      <c r="AP294" s="931"/>
      <c r="AQ294" s="954">
        <v>2000</v>
      </c>
      <c r="AR294" s="930"/>
      <c r="AS294" s="926"/>
      <c r="AT294" s="931"/>
      <c r="AU294" s="931"/>
      <c r="AV294" s="931"/>
      <c r="AW294" s="954">
        <v>2000</v>
      </c>
      <c r="AX294" s="930"/>
      <c r="AY294" s="926"/>
      <c r="AZ294" s="931"/>
      <c r="BA294" s="931"/>
      <c r="BB294" s="931"/>
      <c r="BC294" s="954">
        <v>2000</v>
      </c>
      <c r="BD294" s="930"/>
      <c r="BE294" s="926"/>
      <c r="BF294" s="931"/>
      <c r="BG294" s="931"/>
      <c r="BH294" s="931"/>
      <c r="BI294" s="954">
        <v>2000</v>
      </c>
      <c r="BJ294" s="930"/>
      <c r="BK294" s="926"/>
      <c r="BL294" s="932"/>
      <c r="BM294" s="932"/>
      <c r="BN294" s="932"/>
      <c r="BO294" s="954">
        <v>2000</v>
      </c>
      <c r="BP294" s="930"/>
      <c r="BQ294" s="933"/>
      <c r="BR294" s="932"/>
      <c r="BS294" s="932"/>
      <c r="BT294" s="932"/>
      <c r="BU294" s="929"/>
      <c r="BV294" s="930"/>
      <c r="BW294" s="933"/>
      <c r="BX294" s="932"/>
      <c r="BY294" s="932"/>
      <c r="BZ294" s="932"/>
      <c r="CA294" s="929"/>
      <c r="CB294" s="930"/>
      <c r="CC294" s="933"/>
      <c r="CD294" s="932"/>
      <c r="CE294" s="932"/>
      <c r="CF294" s="932"/>
      <c r="CG294" s="929"/>
    </row>
    <row r="295" spans="1:85" s="1150" customFormat="1" ht="11.25" customHeight="1" x14ac:dyDescent="0.2">
      <c r="A295" s="867"/>
      <c r="B295" s="964" t="s">
        <v>498</v>
      </c>
      <c r="C295" s="965"/>
      <c r="D295" s="966"/>
      <c r="E295" s="966"/>
      <c r="F295" s="966"/>
      <c r="G295" s="967">
        <v>1.2E-2</v>
      </c>
      <c r="H295" s="966"/>
      <c r="I295" s="965"/>
      <c r="J295" s="966"/>
      <c r="K295" s="966"/>
      <c r="L295" s="966"/>
      <c r="M295" s="967">
        <v>1.3607787283069191E-2</v>
      </c>
      <c r="N295" s="966"/>
      <c r="O295" s="965"/>
      <c r="P295" s="966"/>
      <c r="Q295" s="966"/>
      <c r="R295" s="966"/>
      <c r="S295" s="967">
        <v>6.7804271669115153E-3</v>
      </c>
      <c r="T295" s="966"/>
      <c r="U295" s="965"/>
      <c r="V295" s="966"/>
      <c r="W295" s="966"/>
      <c r="X295" s="966"/>
      <c r="Y295" s="967">
        <v>6.7025027145135993E-3</v>
      </c>
      <c r="Z295" s="966"/>
      <c r="AA295" s="965"/>
      <c r="AB295" s="966"/>
      <c r="AC295" s="966"/>
      <c r="AD295" s="966"/>
      <c r="AE295" s="967">
        <v>4.491797976894191E-3</v>
      </c>
      <c r="AF295" s="966"/>
      <c r="AG295" s="965"/>
      <c r="AH295" s="966"/>
      <c r="AI295" s="966"/>
      <c r="AJ295" s="966"/>
      <c r="AK295" s="967">
        <v>4.5068188168699242E-3</v>
      </c>
      <c r="AL295" s="966"/>
      <c r="AM295" s="965"/>
      <c r="AN295" s="966"/>
      <c r="AO295" s="966"/>
      <c r="AP295" s="966"/>
      <c r="AQ295" s="967">
        <v>9.0622394606155073E-3</v>
      </c>
      <c r="AR295" s="966"/>
      <c r="AS295" s="965"/>
      <c r="AT295" s="966"/>
      <c r="AU295" s="966"/>
      <c r="AV295" s="966"/>
      <c r="AW295" s="967">
        <v>9.0321590021270742E-3</v>
      </c>
      <c r="AX295" s="966"/>
      <c r="AY295" s="965"/>
      <c r="AZ295" s="966"/>
      <c r="BA295" s="966"/>
      <c r="BB295" s="966"/>
      <c r="BC295" s="967">
        <v>9.027645179537306E-3</v>
      </c>
      <c r="BD295" s="966"/>
      <c r="BE295" s="965"/>
      <c r="BF295" s="966"/>
      <c r="BG295" s="966"/>
      <c r="BH295" s="966"/>
      <c r="BI295" s="967">
        <v>9.0231336127309398E-3</v>
      </c>
      <c r="BJ295" s="966"/>
      <c r="BK295" s="965"/>
      <c r="BL295" s="966"/>
      <c r="BM295" s="966"/>
      <c r="BN295" s="966"/>
      <c r="BO295" s="967">
        <v>9.01862430058065E-3</v>
      </c>
      <c r="BP295" s="966"/>
      <c r="BQ295" s="965"/>
      <c r="BR295" s="966"/>
      <c r="BS295" s="966"/>
      <c r="BT295" s="966"/>
      <c r="BU295" s="967"/>
      <c r="BV295" s="966"/>
      <c r="BW295" s="965"/>
      <c r="BX295" s="966"/>
      <c r="BY295" s="966"/>
      <c r="BZ295" s="966"/>
      <c r="CA295" s="967"/>
      <c r="CB295" s="966"/>
      <c r="CC295" s="965"/>
      <c r="CD295" s="966"/>
      <c r="CE295" s="966"/>
      <c r="CF295" s="966"/>
      <c r="CG295" s="967"/>
    </row>
    <row r="296" spans="1:85" s="1001" customFormat="1" ht="11.25" customHeight="1" x14ac:dyDescent="0.2">
      <c r="A296" s="857"/>
      <c r="B296" s="934" t="s">
        <v>513</v>
      </c>
      <c r="C296" s="933"/>
      <c r="D296" s="932"/>
      <c r="E296" s="932"/>
      <c r="F296" s="932"/>
      <c r="G296" s="929">
        <f>+G288-G290-G292-G294</f>
        <v>5000</v>
      </c>
      <c r="H296" s="935"/>
      <c r="I296" s="933"/>
      <c r="J296" s="932"/>
      <c r="K296" s="932"/>
      <c r="L296" s="932"/>
      <c r="M296" s="929">
        <f>+M288-M290-M292-M294</f>
        <v>6000</v>
      </c>
      <c r="N296" s="955"/>
      <c r="O296" s="956"/>
      <c r="P296" s="957"/>
      <c r="Q296" s="957"/>
      <c r="R296" s="957"/>
      <c r="S296" s="929">
        <f>+S288-S290-S292-S294</f>
        <v>5952.0400000000009</v>
      </c>
      <c r="T296" s="955"/>
      <c r="U296" s="956"/>
      <c r="V296" s="957"/>
      <c r="W296" s="957"/>
      <c r="X296" s="957"/>
      <c r="Y296" s="929">
        <f>+Y288-Y290-Y292-Y294</f>
        <v>4643.0999999999985</v>
      </c>
      <c r="Z296" s="955"/>
      <c r="AA296" s="956"/>
      <c r="AB296" s="957"/>
      <c r="AC296" s="957"/>
      <c r="AD296" s="957"/>
      <c r="AE296" s="929">
        <f>+AE288-AE290-AE292-AE294</f>
        <v>4281.6700000000019</v>
      </c>
      <c r="AF296" s="955"/>
      <c r="AG296" s="956"/>
      <c r="AH296" s="957"/>
      <c r="AI296" s="957"/>
      <c r="AJ296" s="957"/>
      <c r="AK296" s="929">
        <f>+AK288-AK290-AK292-AK294</f>
        <v>4198.8999999999942</v>
      </c>
      <c r="AL296" s="935"/>
      <c r="AM296" s="933"/>
      <c r="AN296" s="932"/>
      <c r="AO296" s="932"/>
      <c r="AP296" s="932"/>
      <c r="AQ296" s="929">
        <f>+AQ288-AQ290-AQ292-AQ294</f>
        <v>7840.3499999999949</v>
      </c>
      <c r="AR296" s="935"/>
      <c r="AS296" s="933"/>
      <c r="AT296" s="932"/>
      <c r="AU296" s="932"/>
      <c r="AV296" s="932"/>
      <c r="AW296" s="929">
        <f>+AW288-AW290-AW292-AW294</f>
        <v>17405.149999999994</v>
      </c>
      <c r="AX296" s="935"/>
      <c r="AY296" s="933"/>
      <c r="AZ296" s="932"/>
      <c r="BA296" s="932"/>
      <c r="BB296" s="932"/>
      <c r="BC296" s="929">
        <f>+BC288-BC290-BC292-BC294</f>
        <v>16967.995500000001</v>
      </c>
      <c r="BD296" s="935"/>
      <c r="BE296" s="933"/>
      <c r="BF296" s="932"/>
      <c r="BG296" s="932"/>
      <c r="BH296" s="932"/>
      <c r="BI296" s="929">
        <f>+BI288-BI290-BI292-BI294</f>
        <v>21581.841019000003</v>
      </c>
      <c r="BJ296" s="935"/>
      <c r="BK296" s="933"/>
      <c r="BL296" s="932"/>
      <c r="BM296" s="932"/>
      <c r="BN296" s="932"/>
      <c r="BO296" s="929">
        <f>+BO288-BO290-BO292-BO294</f>
        <v>23247.365359822012</v>
      </c>
      <c r="BP296" s="935"/>
      <c r="BQ296" s="933"/>
      <c r="BR296" s="932"/>
      <c r="BS296" s="932"/>
      <c r="BT296" s="932"/>
      <c r="BU296" s="929"/>
      <c r="BV296" s="935"/>
      <c r="BW296" s="933"/>
      <c r="BX296" s="932"/>
      <c r="BY296" s="932"/>
      <c r="BZ296" s="932"/>
      <c r="CA296" s="929"/>
      <c r="CB296" s="935"/>
      <c r="CC296" s="933"/>
      <c r="CD296" s="932"/>
      <c r="CE296" s="932"/>
      <c r="CF296" s="932"/>
      <c r="CG296" s="929"/>
    </row>
    <row r="297" spans="1:85" s="1150" customFormat="1" ht="11.25" customHeight="1" x14ac:dyDescent="0.2">
      <c r="A297" s="867"/>
      <c r="B297" s="964" t="s">
        <v>498</v>
      </c>
      <c r="C297" s="965"/>
      <c r="D297" s="966"/>
      <c r="E297" s="966"/>
      <c r="F297" s="966"/>
      <c r="G297" s="967">
        <v>4.4444444444444446E-2</v>
      </c>
      <c r="H297" s="968"/>
      <c r="I297" s="965"/>
      <c r="J297" s="966"/>
      <c r="K297" s="966"/>
      <c r="L297" s="966"/>
      <c r="M297" s="967">
        <v>5.4431149132276764E-2</v>
      </c>
      <c r="N297" s="968"/>
      <c r="O297" s="965"/>
      <c r="P297" s="966"/>
      <c r="Q297" s="966"/>
      <c r="R297" s="966"/>
      <c r="S297" s="967">
        <v>5.3809831619392026E-2</v>
      </c>
      <c r="T297" s="968"/>
      <c r="U297" s="965"/>
      <c r="V297" s="966"/>
      <c r="W297" s="966"/>
      <c r="X297" s="966"/>
      <c r="Y297" s="967">
        <v>4.1493853805010777E-2</v>
      </c>
      <c r="Z297" s="968"/>
      <c r="AA297" s="965"/>
      <c r="AB297" s="966"/>
      <c r="AC297" s="966"/>
      <c r="AD297" s="966"/>
      <c r="AE297" s="967">
        <v>3.8464793287457118E-2</v>
      </c>
      <c r="AF297" s="968"/>
      <c r="AG297" s="965"/>
      <c r="AH297" s="966"/>
      <c r="AI297" s="966"/>
      <c r="AJ297" s="966"/>
      <c r="AK297" s="967">
        <v>3.7847363060310196E-2</v>
      </c>
      <c r="AL297" s="968"/>
      <c r="AM297" s="965"/>
      <c r="AN297" s="966"/>
      <c r="AO297" s="966"/>
      <c r="AP297" s="966"/>
      <c r="AQ297" s="967">
        <v>7.1051129155036752E-2</v>
      </c>
      <c r="AR297" s="968"/>
      <c r="AS297" s="965"/>
      <c r="AT297" s="966"/>
      <c r="AU297" s="966"/>
      <c r="AV297" s="966"/>
      <c r="AW297" s="967">
        <v>0.15720608225587199</v>
      </c>
      <c r="AX297" s="968"/>
      <c r="AY297" s="965"/>
      <c r="AZ297" s="966"/>
      <c r="BA297" s="966"/>
      <c r="BB297" s="966"/>
      <c r="BC297" s="967">
        <v>0.13925549343816879</v>
      </c>
      <c r="BD297" s="968"/>
      <c r="BE297" s="965"/>
      <c r="BF297" s="966"/>
      <c r="BG297" s="966"/>
      <c r="BH297" s="966"/>
      <c r="BI297" s="967">
        <v>0.1770325773846857</v>
      </c>
      <c r="BJ297" s="968"/>
      <c r="BK297" s="965"/>
      <c r="BL297" s="966"/>
      <c r="BM297" s="966"/>
      <c r="BN297" s="966"/>
      <c r="BO297" s="967">
        <v>0.19059932196233417</v>
      </c>
      <c r="BP297" s="968"/>
      <c r="BQ297" s="965"/>
      <c r="BR297" s="966"/>
      <c r="BS297" s="966"/>
      <c r="BT297" s="966"/>
      <c r="BU297" s="967"/>
      <c r="BV297" s="968"/>
      <c r="BW297" s="965"/>
      <c r="BX297" s="966"/>
      <c r="BY297" s="966"/>
      <c r="BZ297" s="966"/>
      <c r="CA297" s="967"/>
      <c r="CB297" s="968"/>
      <c r="CC297" s="965"/>
      <c r="CD297" s="966"/>
      <c r="CE297" s="966"/>
      <c r="CF297" s="966"/>
      <c r="CG297" s="967"/>
    </row>
    <row r="298" spans="1:85" s="1121" customFormat="1" ht="11.25" customHeight="1" x14ac:dyDescent="0.2">
      <c r="A298" s="858"/>
      <c r="B298" s="99"/>
      <c r="C298" s="259"/>
      <c r="D298" s="260"/>
      <c r="E298" s="260"/>
      <c r="F298" s="260"/>
      <c r="G298" s="449"/>
      <c r="H298" s="43"/>
      <c r="I298" s="259"/>
      <c r="J298" s="260"/>
      <c r="K298" s="260"/>
      <c r="L298" s="260"/>
      <c r="M298" s="449"/>
      <c r="N298" s="43"/>
      <c r="O298" s="259"/>
      <c r="P298" s="260"/>
      <c r="Q298" s="260"/>
      <c r="R298" s="260"/>
      <c r="S298" s="449"/>
      <c r="T298" s="43"/>
      <c r="U298" s="259"/>
      <c r="V298" s="260"/>
      <c r="W298" s="260"/>
      <c r="X298" s="260"/>
      <c r="Y298" s="449"/>
      <c r="Z298" s="43"/>
      <c r="AA298" s="259"/>
      <c r="AB298" s="260"/>
      <c r="AC298" s="260"/>
      <c r="AD298" s="260"/>
      <c r="AE298" s="449"/>
      <c r="AF298" s="43"/>
      <c r="AG298" s="259"/>
      <c r="AH298" s="260"/>
      <c r="AI298" s="260"/>
      <c r="AJ298" s="260"/>
      <c r="AK298" s="449"/>
      <c r="AL298" s="43"/>
      <c r="AM298" s="259"/>
      <c r="AN298" s="260"/>
      <c r="AO298" s="260"/>
      <c r="AP298" s="260"/>
      <c r="AQ298" s="449"/>
      <c r="AR298" s="43"/>
      <c r="AS298" s="259"/>
      <c r="AT298" s="260"/>
      <c r="AU298" s="260"/>
      <c r="AV298" s="260"/>
      <c r="AW298" s="449"/>
      <c r="AX298" s="43"/>
      <c r="AY298" s="259"/>
      <c r="AZ298" s="260"/>
      <c r="BA298" s="260"/>
      <c r="BB298" s="260"/>
      <c r="BC298" s="449"/>
      <c r="BD298" s="43"/>
      <c r="BE298" s="259"/>
      <c r="BF298" s="260"/>
      <c r="BG298" s="260"/>
      <c r="BH298" s="260"/>
      <c r="BI298" s="449"/>
      <c r="BJ298" s="43"/>
      <c r="BK298" s="259"/>
      <c r="BL298" s="260"/>
      <c r="BM298" s="260"/>
      <c r="BN298" s="260"/>
      <c r="BO298" s="449"/>
      <c r="BP298" s="43"/>
      <c r="BQ298" s="259"/>
      <c r="BR298" s="260"/>
      <c r="BS298" s="260"/>
      <c r="BT298" s="260"/>
      <c r="BU298" s="449"/>
      <c r="BV298" s="43"/>
      <c r="BW298" s="259"/>
      <c r="BX298" s="260"/>
      <c r="BY298" s="260"/>
      <c r="BZ298" s="260"/>
      <c r="CA298" s="449"/>
      <c r="CB298" s="43"/>
      <c r="CC298" s="259"/>
      <c r="CD298" s="260"/>
      <c r="CE298" s="260"/>
      <c r="CF298" s="260"/>
      <c r="CG298" s="449"/>
    </row>
    <row r="299" spans="1:85" s="1150" customFormat="1" ht="11.25" customHeight="1" x14ac:dyDescent="0.2">
      <c r="A299" s="867"/>
      <c r="B299" s="917" t="s">
        <v>501</v>
      </c>
      <c r="C299" s="920"/>
      <c r="D299" s="921"/>
      <c r="E299" s="921"/>
      <c r="F299" s="921"/>
      <c r="G299" s="922"/>
      <c r="H299" s="936"/>
      <c r="I299" s="920"/>
      <c r="J299" s="921"/>
      <c r="K299" s="921"/>
      <c r="L299" s="921"/>
      <c r="M299" s="922">
        <v>28000</v>
      </c>
      <c r="N299" s="936"/>
      <c r="O299" s="920"/>
      <c r="P299" s="921"/>
      <c r="Q299" s="921"/>
      <c r="R299" s="921"/>
      <c r="S299" s="922">
        <v>36000</v>
      </c>
      <c r="T299" s="936"/>
      <c r="U299" s="920"/>
      <c r="V299" s="921">
        <f>+V301+V305+V307</f>
        <v>46000</v>
      </c>
      <c r="W299" s="921"/>
      <c r="X299" s="921"/>
      <c r="Y299" s="922">
        <f>+Y301+Y305+Y307</f>
        <v>46000</v>
      </c>
      <c r="Z299" s="936"/>
      <c r="AA299" s="920"/>
      <c r="AB299" s="921"/>
      <c r="AC299" s="921"/>
      <c r="AD299" s="921"/>
      <c r="AE299" s="777">
        <f>+AE301+AE305+AE307</f>
        <v>51000</v>
      </c>
      <c r="AF299" s="936"/>
      <c r="AG299" s="920"/>
      <c r="AH299" s="921"/>
      <c r="AI299" s="921"/>
      <c r="AJ299" s="921"/>
      <c r="AK299" s="777">
        <f>+AK301+AK305+AK307</f>
        <v>58100</v>
      </c>
      <c r="AL299" s="936"/>
      <c r="AM299" s="920"/>
      <c r="AN299" s="921"/>
      <c r="AO299" s="921"/>
      <c r="AP299" s="921"/>
      <c r="AQ299" s="777">
        <f>+AQ301+AQ305+AQ307</f>
        <v>59100</v>
      </c>
      <c r="AR299" s="936"/>
      <c r="AS299" s="920"/>
      <c r="AT299" s="921"/>
      <c r="AU299" s="921"/>
      <c r="AV299" s="921"/>
      <c r="AW299" s="922"/>
      <c r="AX299" s="936"/>
      <c r="AY299" s="920"/>
      <c r="AZ299" s="921"/>
      <c r="BA299" s="921"/>
      <c r="BB299" s="921"/>
      <c r="BC299" s="922"/>
      <c r="BD299" s="936"/>
      <c r="BE299" s="920"/>
      <c r="BF299" s="921"/>
      <c r="BG299" s="921"/>
      <c r="BH299" s="921"/>
      <c r="BI299" s="922"/>
      <c r="BJ299" s="936"/>
      <c r="BK299" s="920"/>
      <c r="BL299" s="921"/>
      <c r="BM299" s="921"/>
      <c r="BN299" s="921"/>
      <c r="BO299" s="922"/>
      <c r="BP299" s="936"/>
      <c r="BQ299" s="920"/>
      <c r="BR299" s="921"/>
      <c r="BS299" s="921"/>
      <c r="BT299" s="921"/>
      <c r="BU299" s="922"/>
      <c r="BV299" s="936"/>
      <c r="BW299" s="920"/>
      <c r="BX299" s="921"/>
      <c r="BY299" s="921"/>
      <c r="BZ299" s="921"/>
      <c r="CA299" s="922"/>
      <c r="CB299" s="936"/>
      <c r="CC299" s="920"/>
      <c r="CD299" s="921"/>
      <c r="CE299" s="921"/>
      <c r="CF299" s="921"/>
      <c r="CG299" s="922"/>
    </row>
    <row r="300" spans="1:85" s="1121" customFormat="1" ht="11.25" customHeight="1" x14ac:dyDescent="0.2">
      <c r="A300" s="858"/>
      <c r="B300" s="964" t="s">
        <v>502</v>
      </c>
      <c r="C300" s="942"/>
      <c r="D300" s="941"/>
      <c r="E300" s="941"/>
      <c r="F300" s="941"/>
      <c r="G300" s="937"/>
      <c r="H300" s="938"/>
      <c r="I300" s="942"/>
      <c r="J300" s="941"/>
      <c r="K300" s="941"/>
      <c r="L300" s="941"/>
      <c r="M300" s="937">
        <f>+M299/RevBuild!M278</f>
        <v>4.8695652173913043E-2</v>
      </c>
      <c r="N300" s="938"/>
      <c r="O300" s="942"/>
      <c r="P300" s="941"/>
      <c r="Q300" s="941"/>
      <c r="R300" s="941"/>
      <c r="S300" s="937">
        <f>+S299/RevBuild!S278</f>
        <v>0.06</v>
      </c>
      <c r="T300" s="938"/>
      <c r="U300" s="942"/>
      <c r="V300" s="941"/>
      <c r="W300" s="941"/>
      <c r="X300" s="941"/>
      <c r="Y300" s="937"/>
      <c r="Z300" s="938"/>
      <c r="AA300" s="942"/>
      <c r="AB300" s="941"/>
      <c r="AC300" s="941"/>
      <c r="AD300" s="941"/>
      <c r="AE300" s="937"/>
      <c r="AF300" s="938"/>
      <c r="AG300" s="942"/>
      <c r="AH300" s="941"/>
      <c r="AI300" s="941"/>
      <c r="AJ300" s="941"/>
      <c r="AK300" s="937"/>
      <c r="AL300" s="938"/>
      <c r="AM300" s="942"/>
      <c r="AN300" s="941"/>
      <c r="AO300" s="941"/>
      <c r="AP300" s="941"/>
      <c r="AQ300" s="937"/>
      <c r="AR300" s="938"/>
      <c r="AS300" s="942"/>
      <c r="AT300" s="941"/>
      <c r="AU300" s="941"/>
      <c r="AV300" s="941"/>
      <c r="AW300" s="937"/>
      <c r="AX300" s="938"/>
      <c r="AY300" s="942"/>
      <c r="AZ300" s="941"/>
      <c r="BA300" s="941"/>
      <c r="BB300" s="941"/>
      <c r="BC300" s="937"/>
      <c r="BD300" s="938"/>
      <c r="BE300" s="942"/>
      <c r="BF300" s="941"/>
      <c r="BG300" s="941"/>
      <c r="BH300" s="941"/>
      <c r="BI300" s="937"/>
      <c r="BJ300" s="938"/>
      <c r="BK300" s="942"/>
      <c r="BL300" s="941"/>
      <c r="BM300" s="941"/>
      <c r="BN300" s="941"/>
      <c r="BO300" s="937"/>
      <c r="BP300" s="938"/>
      <c r="BQ300" s="942"/>
      <c r="BR300" s="941"/>
      <c r="BS300" s="941"/>
      <c r="BT300" s="941"/>
      <c r="BU300" s="937"/>
      <c r="BV300" s="938"/>
      <c r="BW300" s="942"/>
      <c r="BX300" s="941"/>
      <c r="BY300" s="941"/>
      <c r="BZ300" s="941"/>
      <c r="CA300" s="937"/>
      <c r="CB300" s="938"/>
      <c r="CC300" s="942"/>
      <c r="CD300" s="941"/>
      <c r="CE300" s="941"/>
      <c r="CF300" s="941"/>
      <c r="CG300" s="937"/>
    </row>
    <row r="301" spans="1:85" s="1150" customFormat="1" ht="11.25" customHeight="1" x14ac:dyDescent="0.2">
      <c r="A301" s="867"/>
      <c r="B301" s="917" t="s">
        <v>509</v>
      </c>
      <c r="C301" s="920"/>
      <c r="D301" s="921"/>
      <c r="E301" s="921"/>
      <c r="F301" s="921"/>
      <c r="G301" s="922"/>
      <c r="H301" s="936"/>
      <c r="I301" s="920"/>
      <c r="J301" s="921"/>
      <c r="K301" s="921"/>
      <c r="L301" s="921"/>
      <c r="M301" s="922"/>
      <c r="N301" s="936"/>
      <c r="O301" s="920"/>
      <c r="P301" s="921"/>
      <c r="Q301" s="921"/>
      <c r="R301" s="921"/>
      <c r="S301" s="922">
        <v>20000</v>
      </c>
      <c r="T301" s="936"/>
      <c r="U301" s="920">
        <v>27000</v>
      </c>
      <c r="V301" s="921">
        <v>27000</v>
      </c>
      <c r="W301" s="921"/>
      <c r="X301" s="921"/>
      <c r="Y301" s="922">
        <v>27000</v>
      </c>
      <c r="Z301" s="936"/>
      <c r="AA301" s="920"/>
      <c r="AB301" s="921"/>
      <c r="AC301" s="921"/>
      <c r="AD301" s="921">
        <v>28000</v>
      </c>
      <c r="AE301" s="922">
        <v>28000</v>
      </c>
      <c r="AF301" s="936"/>
      <c r="AG301" s="920"/>
      <c r="AH301" s="921"/>
      <c r="AI301" s="921"/>
      <c r="AJ301" s="921"/>
      <c r="AK301" s="922">
        <v>28000</v>
      </c>
      <c r="AL301" s="936"/>
      <c r="AM301" s="920"/>
      <c r="AN301" s="921"/>
      <c r="AO301" s="921"/>
      <c r="AP301" s="921"/>
      <c r="AQ301" s="922">
        <v>28000</v>
      </c>
      <c r="AR301" s="936"/>
      <c r="AS301" s="920"/>
      <c r="AT301" s="921"/>
      <c r="AU301" s="921"/>
      <c r="AV301" s="921"/>
      <c r="AW301" s="922"/>
      <c r="AX301" s="936"/>
      <c r="AY301" s="920"/>
      <c r="AZ301" s="921"/>
      <c r="BA301" s="921"/>
      <c r="BB301" s="921"/>
      <c r="BC301" s="922"/>
      <c r="BD301" s="936"/>
      <c r="BE301" s="920"/>
      <c r="BF301" s="921"/>
      <c r="BG301" s="921"/>
      <c r="BH301" s="921"/>
      <c r="BI301" s="922"/>
      <c r="BJ301" s="936"/>
      <c r="BK301" s="920"/>
      <c r="BL301" s="921"/>
      <c r="BM301" s="921"/>
      <c r="BN301" s="921"/>
      <c r="BO301" s="922"/>
      <c r="BP301" s="936"/>
      <c r="BQ301" s="920"/>
      <c r="BR301" s="921"/>
      <c r="BS301" s="921"/>
      <c r="BT301" s="921"/>
      <c r="BU301" s="922"/>
      <c r="BV301" s="936"/>
      <c r="BW301" s="920"/>
      <c r="BX301" s="921"/>
      <c r="BY301" s="921"/>
      <c r="BZ301" s="921"/>
      <c r="CA301" s="922"/>
      <c r="CB301" s="936"/>
      <c r="CC301" s="920"/>
      <c r="CD301" s="921"/>
      <c r="CE301" s="921"/>
      <c r="CF301" s="921"/>
      <c r="CG301" s="922"/>
    </row>
    <row r="302" spans="1:85" ht="11.25" customHeight="1" x14ac:dyDescent="0.2">
      <c r="B302" s="964" t="s">
        <v>504</v>
      </c>
      <c r="C302" s="942"/>
      <c r="D302" s="941"/>
      <c r="E302" s="941"/>
      <c r="F302" s="941"/>
      <c r="G302" s="937"/>
      <c r="H302" s="941"/>
      <c r="I302" s="942"/>
      <c r="J302" s="941"/>
      <c r="K302" s="941"/>
      <c r="L302" s="941"/>
      <c r="M302" s="937"/>
      <c r="N302" s="941"/>
      <c r="O302" s="942"/>
      <c r="P302" s="941"/>
      <c r="Q302" s="941"/>
      <c r="R302" s="941"/>
      <c r="S302" s="937">
        <f>+S301/RevBuild!S280</f>
        <v>0.16070818611836885</v>
      </c>
      <c r="T302" s="941"/>
      <c r="U302" s="942"/>
      <c r="V302" s="992">
        <v>0.25</v>
      </c>
      <c r="W302" s="992"/>
      <c r="X302" s="992"/>
      <c r="Y302" s="970">
        <v>0.25</v>
      </c>
      <c r="Z302" s="992"/>
      <c r="AA302" s="993"/>
      <c r="AB302" s="992"/>
      <c r="AC302" s="992"/>
      <c r="AD302" s="992">
        <v>0.27</v>
      </c>
      <c r="AE302" s="970">
        <v>0.27</v>
      </c>
      <c r="AF302" s="941"/>
      <c r="AG302" s="942"/>
      <c r="AH302" s="941"/>
      <c r="AI302" s="941"/>
      <c r="AJ302" s="941"/>
      <c r="AK302" s="967">
        <f>+AK301/RevBuild!AK280</f>
        <v>0.2172177467329223</v>
      </c>
      <c r="AL302" s="941"/>
      <c r="AM302" s="942"/>
      <c r="AN302" s="941"/>
      <c r="AO302" s="941"/>
      <c r="AP302" s="941"/>
      <c r="AQ302" s="967">
        <f>+AQ301/RevBuild!AQ280</f>
        <v>0.21629961857665844</v>
      </c>
      <c r="AR302" s="941"/>
      <c r="AS302" s="942"/>
      <c r="AT302" s="941"/>
      <c r="AU302" s="941"/>
      <c r="AV302" s="941"/>
      <c r="AW302" s="937"/>
      <c r="AX302" s="941"/>
      <c r="AY302" s="942"/>
      <c r="AZ302" s="941"/>
      <c r="BA302" s="941"/>
      <c r="BB302" s="941"/>
      <c r="BC302" s="937"/>
      <c r="BD302" s="941"/>
      <c r="BE302" s="942"/>
      <c r="BF302" s="941"/>
      <c r="BG302" s="941"/>
      <c r="BH302" s="941"/>
      <c r="BI302" s="937"/>
      <c r="BJ302" s="941"/>
      <c r="BK302" s="942"/>
      <c r="BL302" s="941"/>
      <c r="BM302" s="941"/>
      <c r="BN302" s="941"/>
      <c r="BO302" s="937"/>
      <c r="BP302" s="941"/>
      <c r="BQ302" s="942"/>
      <c r="BR302" s="941"/>
      <c r="BS302" s="941"/>
      <c r="BT302" s="941"/>
      <c r="BU302" s="937"/>
      <c r="BV302" s="941"/>
      <c r="BW302" s="942"/>
      <c r="BX302" s="941"/>
      <c r="BY302" s="941"/>
      <c r="BZ302" s="941"/>
      <c r="CA302" s="937"/>
      <c r="CB302" s="941"/>
      <c r="CC302" s="942"/>
      <c r="CD302" s="941"/>
      <c r="CE302" s="941"/>
      <c r="CF302" s="941"/>
      <c r="CG302" s="937"/>
    </row>
    <row r="303" spans="1:85" ht="11.25" customHeight="1" x14ac:dyDescent="0.2">
      <c r="B303" s="917" t="s">
        <v>507</v>
      </c>
      <c r="C303" s="872"/>
      <c r="D303" s="776"/>
      <c r="E303" s="776"/>
      <c r="F303" s="776"/>
      <c r="G303" s="777"/>
      <c r="H303" s="776"/>
      <c r="I303" s="872"/>
      <c r="J303" s="776"/>
      <c r="K303" s="776"/>
      <c r="L303" s="776"/>
      <c r="M303" s="777"/>
      <c r="N303" s="776"/>
      <c r="O303" s="872"/>
      <c r="P303" s="776"/>
      <c r="Q303" s="776"/>
      <c r="R303" s="776"/>
      <c r="S303" s="777">
        <v>0</v>
      </c>
      <c r="T303" s="776"/>
      <c r="U303" s="872"/>
      <c r="V303" s="776">
        <v>0</v>
      </c>
      <c r="W303" s="776"/>
      <c r="X303" s="776"/>
      <c r="Y303" s="777">
        <v>0</v>
      </c>
      <c r="Z303" s="776"/>
      <c r="AA303" s="872"/>
      <c r="AB303" s="776"/>
      <c r="AC303" s="776"/>
      <c r="AD303" s="776">
        <v>0</v>
      </c>
      <c r="AE303" s="777">
        <v>0</v>
      </c>
      <c r="AF303" s="776"/>
      <c r="AG303" s="872"/>
      <c r="AH303" s="776"/>
      <c r="AI303" s="776"/>
      <c r="AJ303" s="776"/>
      <c r="AK303" s="777">
        <v>0</v>
      </c>
      <c r="AL303" s="776"/>
      <c r="AM303" s="872"/>
      <c r="AN303" s="776"/>
      <c r="AO303" s="776"/>
      <c r="AP303" s="776"/>
      <c r="AQ303" s="777">
        <v>0</v>
      </c>
      <c r="AR303" s="776"/>
      <c r="AS303" s="872"/>
      <c r="AT303" s="776"/>
      <c r="AU303" s="776"/>
      <c r="AV303" s="776"/>
      <c r="AW303" s="777"/>
      <c r="AX303" s="776"/>
      <c r="AY303" s="872"/>
      <c r="AZ303" s="776"/>
      <c r="BA303" s="776"/>
      <c r="BB303" s="776"/>
      <c r="BC303" s="777"/>
      <c r="BD303" s="776"/>
      <c r="BE303" s="872"/>
      <c r="BF303" s="776"/>
      <c r="BG303" s="776"/>
      <c r="BH303" s="776"/>
      <c r="BI303" s="777"/>
      <c r="BJ303" s="776"/>
      <c r="BK303" s="872"/>
      <c r="BL303" s="776"/>
      <c r="BM303" s="776"/>
      <c r="BN303" s="776"/>
      <c r="BO303" s="777"/>
      <c r="BP303" s="776"/>
      <c r="BQ303" s="872"/>
      <c r="BR303" s="776"/>
      <c r="BS303" s="776"/>
      <c r="BT303" s="776"/>
      <c r="BU303" s="777"/>
      <c r="BV303" s="776"/>
      <c r="BW303" s="872"/>
      <c r="BX303" s="776"/>
      <c r="BY303" s="776"/>
      <c r="BZ303" s="776"/>
      <c r="CA303" s="777"/>
      <c r="CB303" s="776"/>
      <c r="CC303" s="872"/>
      <c r="CD303" s="776"/>
      <c r="CE303" s="776"/>
      <c r="CF303" s="776"/>
      <c r="CG303" s="777"/>
    </row>
    <row r="304" spans="1:85" s="14" customFormat="1" ht="11.25" customHeight="1" x14ac:dyDescent="0.2">
      <c r="A304" s="978"/>
      <c r="B304" s="964" t="s">
        <v>505</v>
      </c>
      <c r="C304" s="939"/>
      <c r="D304" s="940"/>
      <c r="E304" s="940"/>
      <c r="F304" s="940"/>
      <c r="G304" s="937"/>
      <c r="H304" s="938"/>
      <c r="I304" s="939"/>
      <c r="J304" s="940"/>
      <c r="K304" s="940"/>
      <c r="L304" s="940"/>
      <c r="M304" s="937"/>
      <c r="N304" s="938"/>
      <c r="O304" s="939"/>
      <c r="P304" s="940"/>
      <c r="Q304" s="940"/>
      <c r="R304" s="940"/>
      <c r="S304" s="937">
        <f>+S303/RevBuild!S281</f>
        <v>0</v>
      </c>
      <c r="T304" s="938"/>
      <c r="U304" s="939"/>
      <c r="V304" s="940"/>
      <c r="W304" s="940"/>
      <c r="X304" s="940"/>
      <c r="Y304" s="937"/>
      <c r="Z304" s="938"/>
      <c r="AA304" s="939"/>
      <c r="AB304" s="940"/>
      <c r="AC304" s="941"/>
      <c r="AD304" s="941"/>
      <c r="AE304" s="937"/>
      <c r="AF304" s="938"/>
      <c r="AG304" s="942"/>
      <c r="AH304" s="941"/>
      <c r="AI304" s="941"/>
      <c r="AJ304" s="941"/>
      <c r="AK304" s="937"/>
      <c r="AL304" s="938"/>
      <c r="AM304" s="942"/>
      <c r="AN304" s="941"/>
      <c r="AO304" s="941"/>
      <c r="AP304" s="941"/>
      <c r="AQ304" s="937"/>
      <c r="AR304" s="938"/>
      <c r="AS304" s="942"/>
      <c r="AT304" s="941"/>
      <c r="AU304" s="941"/>
      <c r="AV304" s="941"/>
      <c r="AW304" s="937"/>
      <c r="AX304" s="938"/>
      <c r="AY304" s="942"/>
      <c r="AZ304" s="941"/>
      <c r="BA304" s="941"/>
      <c r="BB304" s="941"/>
      <c r="BC304" s="937"/>
      <c r="BD304" s="938"/>
      <c r="BE304" s="942"/>
      <c r="BF304" s="941"/>
      <c r="BG304" s="941"/>
      <c r="BH304" s="941"/>
      <c r="BI304" s="937"/>
      <c r="BJ304" s="938"/>
      <c r="BK304" s="942"/>
      <c r="BL304" s="941"/>
      <c r="BM304" s="941"/>
      <c r="BN304" s="941"/>
      <c r="BO304" s="937"/>
      <c r="BP304" s="938"/>
      <c r="BQ304" s="942"/>
      <c r="BR304" s="941"/>
      <c r="BS304" s="941"/>
      <c r="BT304" s="941"/>
      <c r="BU304" s="937"/>
      <c r="BV304" s="938"/>
      <c r="BW304" s="942"/>
      <c r="BX304" s="941"/>
      <c r="BY304" s="941"/>
      <c r="BZ304" s="941"/>
      <c r="CA304" s="937"/>
      <c r="CB304" s="938"/>
      <c r="CC304" s="942"/>
      <c r="CD304" s="941"/>
      <c r="CE304" s="941"/>
      <c r="CF304" s="941"/>
      <c r="CG304" s="937"/>
    </row>
    <row r="305" spans="1:87" ht="11.25" customHeight="1" x14ac:dyDescent="0.2">
      <c r="A305" s="78"/>
      <c r="B305" s="917" t="s">
        <v>508</v>
      </c>
      <c r="C305" s="920"/>
      <c r="D305" s="921"/>
      <c r="E305" s="921"/>
      <c r="F305" s="921"/>
      <c r="G305" s="922"/>
      <c r="H305" s="936"/>
      <c r="I305" s="920"/>
      <c r="J305" s="921"/>
      <c r="K305" s="921"/>
      <c r="L305" s="921"/>
      <c r="M305" s="922"/>
      <c r="N305" s="936"/>
      <c r="O305" s="920"/>
      <c r="P305" s="921"/>
      <c r="Q305" s="921"/>
      <c r="R305" s="921"/>
      <c r="S305" s="922">
        <v>10000</v>
      </c>
      <c r="T305" s="936"/>
      <c r="U305" s="920"/>
      <c r="V305" s="921">
        <v>11000</v>
      </c>
      <c r="W305" s="921"/>
      <c r="X305" s="921"/>
      <c r="Y305" s="922">
        <v>11000</v>
      </c>
      <c r="Z305" s="936"/>
      <c r="AA305" s="920"/>
      <c r="AB305" s="921"/>
      <c r="AC305" s="921"/>
      <c r="AD305" s="921">
        <v>11000</v>
      </c>
      <c r="AE305" s="922">
        <v>15000</v>
      </c>
      <c r="AF305" s="936"/>
      <c r="AG305" s="920"/>
      <c r="AH305" s="921"/>
      <c r="AI305" s="921"/>
      <c r="AJ305" s="921"/>
      <c r="AK305" s="922">
        <v>23000</v>
      </c>
      <c r="AL305" s="936"/>
      <c r="AM305" s="920"/>
      <c r="AN305" s="921"/>
      <c r="AO305" s="921"/>
      <c r="AP305" s="921"/>
      <c r="AQ305" s="922">
        <v>24000</v>
      </c>
      <c r="AR305" s="936"/>
      <c r="AS305" s="920"/>
      <c r="AT305" s="921"/>
      <c r="AU305" s="921"/>
      <c r="AV305" s="921"/>
      <c r="AW305" s="922"/>
      <c r="AX305" s="936"/>
      <c r="AY305" s="920"/>
      <c r="AZ305" s="921"/>
      <c r="BA305" s="921"/>
      <c r="BB305" s="921"/>
      <c r="BC305" s="922"/>
      <c r="BD305" s="936"/>
      <c r="BE305" s="920"/>
      <c r="BF305" s="921"/>
      <c r="BG305" s="921"/>
      <c r="BH305" s="921"/>
      <c r="BI305" s="922"/>
      <c r="BJ305" s="936"/>
      <c r="BK305" s="920"/>
      <c r="BL305" s="921"/>
      <c r="BM305" s="921"/>
      <c r="BN305" s="921"/>
      <c r="BO305" s="922"/>
      <c r="BP305" s="936"/>
      <c r="BQ305" s="920"/>
      <c r="BR305" s="921"/>
      <c r="BS305" s="921"/>
      <c r="BT305" s="921"/>
      <c r="BU305" s="922"/>
      <c r="BV305" s="936"/>
      <c r="BW305" s="920"/>
      <c r="BX305" s="921"/>
      <c r="BY305" s="921"/>
      <c r="BZ305" s="921"/>
      <c r="CA305" s="922"/>
      <c r="CB305" s="936"/>
      <c r="CC305" s="920"/>
      <c r="CD305" s="921"/>
      <c r="CE305" s="921"/>
      <c r="CF305" s="921"/>
      <c r="CG305" s="922"/>
    </row>
    <row r="306" spans="1:87" ht="11.25" customHeight="1" x14ac:dyDescent="0.2">
      <c r="B306" s="964" t="s">
        <v>506</v>
      </c>
      <c r="C306" s="939"/>
      <c r="D306" s="940"/>
      <c r="E306" s="940"/>
      <c r="F306" s="940"/>
      <c r="G306" s="972"/>
      <c r="H306" s="938"/>
      <c r="I306" s="939"/>
      <c r="J306" s="940"/>
      <c r="K306" s="940"/>
      <c r="L306" s="940"/>
      <c r="M306" s="937"/>
      <c r="N306" s="938"/>
      <c r="O306" s="939"/>
      <c r="P306" s="940"/>
      <c r="Q306" s="940"/>
      <c r="R306" s="940"/>
      <c r="S306" s="937">
        <f>+S305/RevBuild!S282</f>
        <v>9.0405695558820207E-2</v>
      </c>
      <c r="T306" s="938"/>
      <c r="U306" s="939"/>
      <c r="V306" s="940"/>
      <c r="W306" s="940"/>
      <c r="X306" s="940"/>
      <c r="Y306" s="937"/>
      <c r="Z306" s="938"/>
      <c r="AA306" s="939"/>
      <c r="AB306" s="940"/>
      <c r="AC306" s="940"/>
      <c r="AD306" s="940"/>
      <c r="AE306" s="937"/>
      <c r="AF306" s="938"/>
      <c r="AG306" s="939"/>
      <c r="AH306" s="940"/>
      <c r="AI306" s="940"/>
      <c r="AJ306" s="940"/>
      <c r="AK306" s="937"/>
      <c r="AL306" s="938"/>
      <c r="AM306" s="939"/>
      <c r="AN306" s="940"/>
      <c r="AO306" s="940"/>
      <c r="AP306" s="940"/>
      <c r="AQ306" s="937"/>
      <c r="AR306" s="938"/>
      <c r="AS306" s="939"/>
      <c r="AT306" s="940"/>
      <c r="AU306" s="940"/>
      <c r="AV306" s="940"/>
      <c r="AW306" s="937"/>
      <c r="AX306" s="938"/>
      <c r="AY306" s="939"/>
      <c r="AZ306" s="940"/>
      <c r="BA306" s="940"/>
      <c r="BB306" s="940"/>
      <c r="BC306" s="937"/>
      <c r="BD306" s="938"/>
      <c r="BE306" s="939"/>
      <c r="BF306" s="940"/>
      <c r="BG306" s="940"/>
      <c r="BH306" s="941"/>
      <c r="BI306" s="937"/>
      <c r="BJ306" s="938"/>
      <c r="BK306" s="942"/>
      <c r="BL306" s="941"/>
      <c r="BM306" s="941"/>
      <c r="BN306" s="941"/>
      <c r="BO306" s="937"/>
      <c r="BP306" s="938"/>
      <c r="BQ306" s="942"/>
      <c r="BR306" s="941"/>
      <c r="BS306" s="941"/>
      <c r="BT306" s="941"/>
      <c r="BU306" s="937"/>
      <c r="BV306" s="938"/>
      <c r="BW306" s="942"/>
      <c r="BX306" s="941"/>
      <c r="BY306" s="941"/>
      <c r="BZ306" s="941"/>
      <c r="CA306" s="937"/>
      <c r="CB306" s="938"/>
      <c r="CC306" s="942"/>
      <c r="CD306" s="941"/>
      <c r="CE306" s="941"/>
      <c r="CF306" s="941"/>
      <c r="CG306" s="937"/>
    </row>
    <row r="307" spans="1:87" ht="11.25" customHeight="1" x14ac:dyDescent="0.2">
      <c r="A307" s="78"/>
      <c r="B307" s="917" t="s">
        <v>510</v>
      </c>
      <c r="C307" s="920"/>
      <c r="D307" s="921"/>
      <c r="E307" s="921"/>
      <c r="F307" s="921"/>
      <c r="G307" s="922"/>
      <c r="H307" s="936"/>
      <c r="I307" s="920"/>
      <c r="J307" s="921"/>
      <c r="K307" s="921"/>
      <c r="L307" s="921"/>
      <c r="M307" s="922"/>
      <c r="N307" s="936"/>
      <c r="O307" s="920"/>
      <c r="P307" s="921"/>
      <c r="Q307" s="921"/>
      <c r="R307" s="921"/>
      <c r="S307" s="922">
        <v>6000</v>
      </c>
      <c r="T307" s="936"/>
      <c r="U307" s="920"/>
      <c r="V307" s="921">
        <v>8000</v>
      </c>
      <c r="W307" s="921"/>
      <c r="X307" s="921"/>
      <c r="Y307" s="922">
        <v>8000</v>
      </c>
      <c r="Z307" s="936"/>
      <c r="AA307" s="920"/>
      <c r="AB307" s="921"/>
      <c r="AC307" s="921"/>
      <c r="AD307" s="921">
        <v>8000</v>
      </c>
      <c r="AE307" s="922">
        <v>8000</v>
      </c>
      <c r="AF307" s="936"/>
      <c r="AG307" s="920"/>
      <c r="AH307" s="921"/>
      <c r="AI307" s="921"/>
      <c r="AJ307" s="921"/>
      <c r="AK307" s="922">
        <v>7100</v>
      </c>
      <c r="AL307" s="936"/>
      <c r="AM307" s="920"/>
      <c r="AN307" s="921"/>
      <c r="AO307" s="921"/>
      <c r="AP307" s="921"/>
      <c r="AQ307" s="922">
        <v>7100</v>
      </c>
      <c r="AR307" s="936"/>
      <c r="AS307" s="920"/>
      <c r="AT307" s="921"/>
      <c r="AU307" s="921"/>
      <c r="AV307" s="921"/>
      <c r="AW307" s="922"/>
      <c r="AX307" s="936"/>
      <c r="AY307" s="920"/>
      <c r="AZ307" s="921"/>
      <c r="BA307" s="921"/>
      <c r="BB307" s="921"/>
      <c r="BC307" s="922"/>
      <c r="BD307" s="936"/>
      <c r="BE307" s="920"/>
      <c r="BF307" s="921"/>
      <c r="BG307" s="921"/>
      <c r="BH307" s="921"/>
      <c r="BI307" s="922"/>
      <c r="BJ307" s="936"/>
      <c r="BK307" s="920"/>
      <c r="BL307" s="921"/>
      <c r="BM307" s="921"/>
      <c r="BN307" s="921"/>
      <c r="BO307" s="922"/>
      <c r="BP307" s="936"/>
      <c r="BQ307" s="920"/>
      <c r="BR307" s="921"/>
      <c r="BS307" s="921"/>
      <c r="BT307" s="921"/>
      <c r="BU307" s="922"/>
      <c r="BV307" s="936"/>
      <c r="BW307" s="920"/>
      <c r="BX307" s="921"/>
      <c r="BY307" s="921"/>
      <c r="BZ307" s="921"/>
      <c r="CA307" s="922"/>
      <c r="CB307" s="936"/>
      <c r="CC307" s="920"/>
      <c r="CD307" s="921"/>
      <c r="CE307" s="921"/>
      <c r="CF307" s="921"/>
      <c r="CG307" s="922"/>
      <c r="CH307" s="364"/>
      <c r="CI307" s="364"/>
    </row>
    <row r="308" spans="1:87" ht="11.25" customHeight="1" x14ac:dyDescent="0.2">
      <c r="A308" s="78"/>
      <c r="B308" s="964" t="s">
        <v>511</v>
      </c>
      <c r="C308" s="939"/>
      <c r="D308" s="940"/>
      <c r="E308" s="940"/>
      <c r="F308" s="940"/>
      <c r="G308" s="972"/>
      <c r="H308" s="938"/>
      <c r="I308" s="939"/>
      <c r="J308" s="940"/>
      <c r="K308" s="940"/>
      <c r="L308" s="940"/>
      <c r="M308" s="937"/>
      <c r="N308" s="938"/>
      <c r="O308" s="939"/>
      <c r="P308" s="940"/>
      <c r="Q308" s="940"/>
      <c r="R308" s="940"/>
      <c r="S308" s="937">
        <f>+S307/RevBuild!S283</f>
        <v>2.1550169620535638E-2</v>
      </c>
      <c r="T308" s="938"/>
      <c r="U308" s="939"/>
      <c r="V308" s="940"/>
      <c r="W308" s="940"/>
      <c r="X308" s="940"/>
      <c r="Y308" s="937"/>
      <c r="Z308" s="938"/>
      <c r="AA308" s="939"/>
      <c r="AB308" s="940"/>
      <c r="AC308" s="940"/>
      <c r="AD308" s="940"/>
      <c r="AE308" s="937"/>
      <c r="AF308" s="938"/>
      <c r="AG308" s="939"/>
      <c r="AH308" s="940"/>
      <c r="AI308" s="940"/>
      <c r="AJ308" s="940"/>
      <c r="AK308" s="937"/>
      <c r="AL308" s="938"/>
      <c r="AM308" s="939"/>
      <c r="AN308" s="940"/>
      <c r="AO308" s="940"/>
      <c r="AP308" s="940"/>
      <c r="AQ308" s="937"/>
      <c r="AR308" s="938"/>
      <c r="AS308" s="939"/>
      <c r="AT308" s="940"/>
      <c r="AU308" s="940"/>
      <c r="AV308" s="940"/>
      <c r="AW308" s="937"/>
      <c r="AX308" s="938"/>
      <c r="AY308" s="939"/>
      <c r="AZ308" s="940"/>
      <c r="BA308" s="940"/>
      <c r="BB308" s="940"/>
      <c r="BC308" s="937"/>
      <c r="BD308" s="938"/>
      <c r="BE308" s="939"/>
      <c r="BF308" s="940"/>
      <c r="BG308" s="940"/>
      <c r="BH308" s="941"/>
      <c r="BI308" s="937"/>
      <c r="BJ308" s="938"/>
      <c r="BK308" s="942"/>
      <c r="BL308" s="941"/>
      <c r="BM308" s="941"/>
      <c r="BN308" s="941"/>
      <c r="BO308" s="937"/>
      <c r="BP308" s="938"/>
      <c r="BQ308" s="942"/>
      <c r="BR308" s="941"/>
      <c r="BS308" s="941"/>
      <c r="BT308" s="941"/>
      <c r="BU308" s="937"/>
      <c r="BV308" s="938"/>
      <c r="BW308" s="942"/>
      <c r="BX308" s="941"/>
      <c r="BY308" s="941"/>
      <c r="BZ308" s="941"/>
      <c r="CA308" s="937"/>
      <c r="CB308" s="938"/>
      <c r="CC308" s="942"/>
      <c r="CD308" s="941"/>
      <c r="CE308" s="941"/>
      <c r="CF308" s="941"/>
      <c r="CG308" s="937"/>
      <c r="CH308" s="364"/>
      <c r="CI308" s="364"/>
    </row>
    <row r="309" spans="1:87" ht="11.25" customHeight="1" x14ac:dyDescent="0.2">
      <c r="A309" s="78"/>
      <c r="B309" s="98"/>
      <c r="C309" s="259"/>
      <c r="D309" s="260"/>
      <c r="E309" s="260"/>
      <c r="F309" s="260"/>
      <c r="G309" s="449"/>
      <c r="H309" s="264"/>
      <c r="I309" s="259"/>
      <c r="J309" s="260"/>
      <c r="K309" s="260"/>
      <c r="L309" s="260"/>
      <c r="M309" s="449"/>
      <c r="N309" s="264"/>
      <c r="O309" s="259"/>
      <c r="P309" s="260"/>
      <c r="Q309" s="260"/>
      <c r="R309" s="260"/>
      <c r="S309" s="449"/>
      <c r="T309" s="264"/>
      <c r="U309" s="259"/>
      <c r="V309" s="260"/>
      <c r="W309" s="260"/>
      <c r="X309" s="260"/>
      <c r="Y309" s="449"/>
      <c r="Z309" s="264"/>
      <c r="AA309" s="259"/>
      <c r="AB309" s="260"/>
      <c r="AC309" s="260"/>
      <c r="AD309" s="260"/>
      <c r="AE309" s="449"/>
      <c r="AF309" s="264"/>
      <c r="AG309" s="259"/>
      <c r="AH309" s="260"/>
      <c r="AI309" s="260"/>
      <c r="AJ309" s="260"/>
      <c r="AK309" s="449"/>
      <c r="AL309" s="264"/>
      <c r="AM309" s="259"/>
      <c r="AN309" s="260"/>
      <c r="AO309" s="260"/>
      <c r="AP309" s="260"/>
      <c r="AQ309" s="449"/>
      <c r="AR309" s="264"/>
      <c r="AS309" s="259"/>
      <c r="AT309" s="260"/>
      <c r="AU309" s="260"/>
      <c r="AV309" s="260"/>
      <c r="AW309" s="449"/>
      <c r="AX309" s="264"/>
      <c r="AY309" s="259"/>
      <c r="AZ309" s="260"/>
      <c r="BA309" s="260"/>
      <c r="BB309" s="260"/>
      <c r="BC309" s="449"/>
      <c r="BD309" s="264"/>
      <c r="BE309" s="259"/>
      <c r="BF309" s="260"/>
      <c r="BG309" s="260"/>
      <c r="BH309" s="260"/>
      <c r="BI309" s="449"/>
      <c r="BJ309" s="264"/>
      <c r="BK309" s="259"/>
      <c r="BL309" s="260"/>
      <c r="BM309" s="260"/>
      <c r="BN309" s="260"/>
      <c r="BO309" s="449"/>
      <c r="BP309" s="264"/>
      <c r="BQ309" s="259"/>
      <c r="BR309" s="260"/>
      <c r="BS309" s="260"/>
      <c r="BT309" s="260"/>
      <c r="BU309" s="449"/>
      <c r="BV309" s="264"/>
      <c r="BW309" s="259"/>
      <c r="BX309" s="260"/>
      <c r="BY309" s="260"/>
      <c r="BZ309" s="260"/>
      <c r="CA309" s="449"/>
      <c r="CB309" s="264"/>
      <c r="CC309" s="259"/>
      <c r="CD309" s="260"/>
      <c r="CE309" s="260"/>
      <c r="CF309" s="260"/>
      <c r="CG309" s="449"/>
      <c r="CH309" s="364"/>
      <c r="CI309" s="364"/>
    </row>
    <row r="310" spans="1:87" ht="11.25" customHeight="1" x14ac:dyDescent="0.2">
      <c r="A310" s="78"/>
      <c r="B310" s="110" t="s">
        <v>516</v>
      </c>
      <c r="C310" s="914"/>
      <c r="D310" s="915"/>
      <c r="E310" s="915"/>
      <c r="F310" s="915"/>
      <c r="G310" s="916"/>
      <c r="H310" s="239"/>
      <c r="I310" s="914"/>
      <c r="J310" s="915"/>
      <c r="K310" s="915"/>
      <c r="L310" s="915"/>
      <c r="M310" s="916"/>
      <c r="N310" s="239"/>
      <c r="O310" s="914"/>
      <c r="P310" s="915"/>
      <c r="Q310" s="915"/>
      <c r="R310" s="915"/>
      <c r="S310" s="916"/>
      <c r="T310" s="239"/>
      <c r="U310" s="914"/>
      <c r="V310" s="915"/>
      <c r="W310" s="915"/>
      <c r="X310" s="915"/>
      <c r="Y310" s="916"/>
      <c r="Z310" s="239"/>
      <c r="AA310" s="914"/>
      <c r="AB310" s="915"/>
      <c r="AC310" s="915"/>
      <c r="AD310" s="915"/>
      <c r="AE310" s="916"/>
      <c r="AF310" s="239"/>
      <c r="AG310" s="914"/>
      <c r="AH310" s="915"/>
      <c r="AI310" s="915"/>
      <c r="AJ310" s="915"/>
      <c r="AK310" s="916"/>
      <c r="AL310" s="239"/>
      <c r="AM310" s="914"/>
      <c r="AN310" s="915"/>
      <c r="AO310" s="915"/>
      <c r="AP310" s="915"/>
      <c r="AQ310" s="916"/>
      <c r="AR310" s="239"/>
      <c r="AS310" s="914"/>
      <c r="AT310" s="915"/>
      <c r="AU310" s="915"/>
      <c r="AV310" s="915"/>
      <c r="AW310" s="916"/>
      <c r="AX310" s="239"/>
      <c r="AY310" s="914"/>
      <c r="AZ310" s="915"/>
      <c r="BA310" s="915"/>
      <c r="BB310" s="915"/>
      <c r="BC310" s="916"/>
      <c r="BD310" s="239"/>
      <c r="BE310" s="914"/>
      <c r="BF310" s="915"/>
      <c r="BG310" s="915"/>
      <c r="BH310" s="915"/>
      <c r="BI310" s="916"/>
      <c r="BJ310" s="239"/>
      <c r="BK310" s="914"/>
      <c r="BL310" s="915"/>
      <c r="BM310" s="915"/>
      <c r="BN310" s="915"/>
      <c r="BO310" s="916"/>
      <c r="BP310" s="239"/>
      <c r="BQ310" s="914"/>
      <c r="BR310" s="915"/>
      <c r="BS310" s="915"/>
      <c r="BT310" s="915"/>
      <c r="BU310" s="916"/>
      <c r="BV310" s="239"/>
      <c r="BW310" s="914"/>
      <c r="BX310" s="915"/>
      <c r="BY310" s="915"/>
      <c r="BZ310" s="915"/>
      <c r="CA310" s="916"/>
      <c r="CB310" s="239"/>
      <c r="CC310" s="914"/>
      <c r="CD310" s="915"/>
      <c r="CE310" s="915"/>
      <c r="CF310" s="915"/>
      <c r="CG310" s="916"/>
      <c r="CH310" s="230"/>
      <c r="CI310" s="370"/>
    </row>
    <row r="311" spans="1:87" ht="11.25" customHeight="1" x14ac:dyDescent="0.2">
      <c r="A311" s="78"/>
      <c r="B311" s="979" t="s">
        <v>489</v>
      </c>
      <c r="C311" s="980"/>
      <c r="D311" s="981"/>
      <c r="E311" s="981"/>
      <c r="F311" s="981"/>
      <c r="G311" s="982">
        <v>25500</v>
      </c>
      <c r="H311" s="983"/>
      <c r="I311" s="984"/>
      <c r="J311" s="985"/>
      <c r="K311" s="985"/>
      <c r="L311" s="985"/>
      <c r="M311" s="982">
        <v>27500</v>
      </c>
      <c r="N311" s="983"/>
      <c r="O311" s="984"/>
      <c r="P311" s="985"/>
      <c r="Q311" s="985"/>
      <c r="R311" s="985"/>
      <c r="S311" s="982">
        <v>27500</v>
      </c>
      <c r="T311" s="983"/>
      <c r="U311" s="984"/>
      <c r="V311" s="985"/>
      <c r="W311" s="985"/>
      <c r="X311" s="985"/>
      <c r="Y311" s="982">
        <v>28000</v>
      </c>
      <c r="Z311" s="983"/>
      <c r="AA311" s="984"/>
      <c r="AB311" s="985"/>
      <c r="AC311" s="985"/>
      <c r="AD311" s="985"/>
      <c r="AE311" s="982">
        <v>28000</v>
      </c>
      <c r="AF311" s="986"/>
      <c r="AG311" s="980"/>
      <c r="AH311" s="981"/>
      <c r="AI311" s="981"/>
      <c r="AJ311" s="981"/>
      <c r="AK311" s="982">
        <v>30000</v>
      </c>
      <c r="AL311" s="983"/>
      <c r="AM311" s="984"/>
      <c r="AN311" s="985"/>
      <c r="AO311" s="985"/>
      <c r="AP311" s="985"/>
      <c r="AQ311" s="982">
        <v>45000</v>
      </c>
      <c r="AR311" s="952"/>
      <c r="AS311" s="953"/>
      <c r="AT311" s="947"/>
      <c r="AU311" s="947"/>
      <c r="AV311" s="947"/>
      <c r="AW311" s="982">
        <v>45000</v>
      </c>
      <c r="AX311" s="945"/>
      <c r="AY311" s="946"/>
      <c r="AZ311" s="947"/>
      <c r="BA311" s="947"/>
      <c r="BB311" s="947"/>
      <c r="BC311" s="982">
        <v>45000</v>
      </c>
      <c r="BD311" s="945"/>
      <c r="BE311" s="946"/>
      <c r="BF311" s="947"/>
      <c r="BG311" s="947"/>
      <c r="BH311" s="947"/>
      <c r="BI311" s="982">
        <v>45000</v>
      </c>
      <c r="BJ311" s="945"/>
      <c r="BK311" s="946"/>
      <c r="BL311" s="947"/>
      <c r="BM311" s="947"/>
      <c r="BN311" s="947"/>
      <c r="BO311" s="982">
        <v>45000</v>
      </c>
      <c r="BP311" s="945"/>
      <c r="BQ311" s="946"/>
      <c r="BR311" s="947"/>
      <c r="BS311" s="947"/>
      <c r="BT311" s="947"/>
      <c r="BU311" s="944"/>
      <c r="BV311" s="945"/>
      <c r="BW311" s="946"/>
      <c r="BX311" s="947"/>
      <c r="BY311" s="947"/>
      <c r="BZ311" s="949"/>
      <c r="CA311" s="951"/>
      <c r="CB311" s="950"/>
      <c r="CC311" s="948"/>
      <c r="CD311" s="949"/>
      <c r="CE311" s="949"/>
      <c r="CF311" s="949"/>
      <c r="CG311" s="951"/>
      <c r="CH311" s="371"/>
      <c r="CI311" s="370"/>
    </row>
    <row r="312" spans="1:87" ht="11.25" customHeight="1" x14ac:dyDescent="0.2">
      <c r="A312" s="78"/>
      <c r="B312" s="99" t="s">
        <v>588</v>
      </c>
      <c r="C312" s="261"/>
      <c r="D312" s="258"/>
      <c r="E312" s="258"/>
      <c r="F312" s="258"/>
      <c r="G312" s="943">
        <v>6000</v>
      </c>
      <c r="H312" s="43"/>
      <c r="I312" s="259"/>
      <c r="J312" s="260"/>
      <c r="K312" s="260"/>
      <c r="L312" s="260"/>
      <c r="M312" s="943">
        <v>0</v>
      </c>
      <c r="N312" s="43"/>
      <c r="O312" s="259"/>
      <c r="P312" s="260"/>
      <c r="Q312" s="260"/>
      <c r="R312" s="260"/>
      <c r="S312" s="943">
        <v>0</v>
      </c>
      <c r="T312" s="43"/>
      <c r="U312" s="259"/>
      <c r="V312" s="260"/>
      <c r="W312" s="260"/>
      <c r="X312" s="260"/>
      <c r="Y312" s="943">
        <v>0</v>
      </c>
      <c r="Z312" s="43"/>
      <c r="AA312" s="259"/>
      <c r="AB312" s="260"/>
      <c r="AC312" s="260"/>
      <c r="AD312" s="260"/>
      <c r="AE312" s="943">
        <v>0</v>
      </c>
      <c r="AF312" s="43"/>
      <c r="AG312" s="259"/>
      <c r="AH312" s="260"/>
      <c r="AI312" s="260"/>
      <c r="AJ312" s="260"/>
      <c r="AK312" s="449"/>
      <c r="AL312" s="43"/>
      <c r="AM312" s="259"/>
      <c r="AN312" s="260"/>
      <c r="AO312" s="260"/>
      <c r="AP312" s="260"/>
      <c r="AQ312" s="922">
        <v>26500</v>
      </c>
      <c r="AR312" s="43"/>
      <c r="AS312" s="259"/>
      <c r="AT312" s="260"/>
      <c r="AU312" s="260"/>
      <c r="AV312" s="260"/>
      <c r="AW312" s="922">
        <v>26500</v>
      </c>
      <c r="AX312" s="43"/>
      <c r="AY312" s="259"/>
      <c r="AZ312" s="260"/>
      <c r="BA312" s="260"/>
      <c r="BB312" s="260"/>
      <c r="BC312" s="922">
        <v>26500</v>
      </c>
      <c r="BD312" s="43"/>
      <c r="BE312" s="259"/>
      <c r="BF312" s="260"/>
      <c r="BG312" s="260"/>
      <c r="BH312" s="260"/>
      <c r="BI312" s="922">
        <v>26500</v>
      </c>
      <c r="BJ312" s="43"/>
      <c r="BK312" s="259"/>
      <c r="BL312" s="260"/>
      <c r="BM312" s="260"/>
      <c r="BN312" s="260"/>
      <c r="BO312" s="922">
        <v>26500</v>
      </c>
      <c r="BP312" s="43"/>
      <c r="BQ312" s="259"/>
      <c r="BR312" s="260"/>
      <c r="BS312" s="260"/>
      <c r="BT312" s="260"/>
      <c r="BU312" s="449"/>
      <c r="BV312" s="43"/>
      <c r="BW312" s="259"/>
      <c r="BX312" s="260"/>
      <c r="BY312" s="260"/>
      <c r="BZ312" s="260"/>
      <c r="CA312" s="449"/>
      <c r="CB312" s="43"/>
      <c r="CC312" s="259"/>
      <c r="CD312" s="260"/>
      <c r="CE312" s="260"/>
      <c r="CF312" s="260"/>
      <c r="CG312" s="449"/>
      <c r="CH312" s="371"/>
      <c r="CI312" s="370"/>
    </row>
    <row r="313" spans="1:87" ht="11.25" customHeight="1" x14ac:dyDescent="0.2">
      <c r="B313" s="99" t="s">
        <v>546</v>
      </c>
      <c r="C313" s="261"/>
      <c r="D313" s="258"/>
      <c r="E313" s="258"/>
      <c r="F313" s="258"/>
      <c r="G313" s="943">
        <v>9000</v>
      </c>
      <c r="H313" s="43"/>
      <c r="I313" s="261"/>
      <c r="J313" s="258"/>
      <c r="K313" s="258"/>
      <c r="L313" s="258"/>
      <c r="M313" s="943">
        <v>9000</v>
      </c>
      <c r="N313" s="43"/>
      <c r="O313" s="261"/>
      <c r="P313" s="258"/>
      <c r="Q313" s="258"/>
      <c r="R313" s="258"/>
      <c r="S313" s="943">
        <v>0</v>
      </c>
      <c r="T313" s="43"/>
      <c r="U313" s="261"/>
      <c r="V313" s="258"/>
      <c r="W313" s="258"/>
      <c r="X313" s="258"/>
      <c r="Y313" s="943">
        <v>0</v>
      </c>
      <c r="Z313" s="43"/>
      <c r="AA313" s="261"/>
      <c r="AB313" s="258"/>
      <c r="AC313" s="258"/>
      <c r="AD313" s="258"/>
      <c r="AE313" s="943">
        <v>0</v>
      </c>
      <c r="AF313" s="43"/>
      <c r="AG313" s="261"/>
      <c r="AH313" s="258"/>
      <c r="AI313" s="258"/>
      <c r="AJ313" s="258"/>
      <c r="AK313" s="449"/>
      <c r="AL313" s="43"/>
      <c r="AM313" s="261"/>
      <c r="AN313" s="258"/>
      <c r="AO313" s="258"/>
      <c r="AP313" s="258"/>
      <c r="AQ313" s="449"/>
      <c r="AR313" s="43"/>
      <c r="AS313" s="261"/>
      <c r="AT313" s="258"/>
      <c r="AU313" s="258"/>
      <c r="AV313" s="258"/>
      <c r="AW313" s="777">
        <f>+AW311-AW312-AW314</f>
        <v>8500</v>
      </c>
      <c r="AX313" s="43"/>
      <c r="AY313" s="261"/>
      <c r="AZ313" s="258"/>
      <c r="BA313" s="258"/>
      <c r="BB313" s="258"/>
      <c r="BC313" s="777">
        <f>+BC311-BC312-BC314</f>
        <v>8500</v>
      </c>
      <c r="BD313" s="43"/>
      <c r="BE313" s="261"/>
      <c r="BF313" s="258"/>
      <c r="BG313" s="258"/>
      <c r="BH313" s="258"/>
      <c r="BI313" s="777">
        <f>+BI311-BI312-BI314</f>
        <v>8500</v>
      </c>
      <c r="BJ313" s="43"/>
      <c r="BK313" s="261"/>
      <c r="BL313" s="260"/>
      <c r="BM313" s="260"/>
      <c r="BN313" s="260"/>
      <c r="BO313" s="777">
        <f>+BO311-BO312-BO314</f>
        <v>8500</v>
      </c>
      <c r="BP313" s="43"/>
      <c r="BQ313" s="259"/>
      <c r="BR313" s="260"/>
      <c r="BS313" s="260"/>
      <c r="BT313" s="260"/>
      <c r="BU313" s="449"/>
      <c r="BV313" s="43"/>
      <c r="BW313" s="259"/>
      <c r="BX313" s="260"/>
      <c r="BY313" s="260"/>
      <c r="BZ313" s="260"/>
      <c r="CA313" s="449"/>
      <c r="CB313" s="43"/>
      <c r="CC313" s="259"/>
      <c r="CD313" s="260"/>
      <c r="CE313" s="260"/>
      <c r="CF313" s="260"/>
      <c r="CG313" s="449"/>
    </row>
    <row r="314" spans="1:87" ht="11.25" customHeight="1" x14ac:dyDescent="0.2">
      <c r="A314" s="78"/>
      <c r="B314" s="113" t="s">
        <v>680</v>
      </c>
      <c r="C314" s="259"/>
      <c r="D314" s="260"/>
      <c r="E314" s="260"/>
      <c r="F314" s="260"/>
      <c r="G314" s="977" t="s">
        <v>490</v>
      </c>
      <c r="H314" s="43"/>
      <c r="I314" s="855"/>
      <c r="J314" s="856"/>
      <c r="K314" s="856"/>
      <c r="L314" s="856"/>
      <c r="M314" s="977" t="s">
        <v>490</v>
      </c>
      <c r="N314" s="43"/>
      <c r="O314" s="855"/>
      <c r="P314" s="856"/>
      <c r="Q314" s="856"/>
      <c r="R314" s="856"/>
      <c r="S314" s="977" t="s">
        <v>490</v>
      </c>
      <c r="T314" s="43"/>
      <c r="U314" s="855"/>
      <c r="V314" s="856"/>
      <c r="W314" s="856"/>
      <c r="X314" s="856"/>
      <c r="Y314" s="977" t="s">
        <v>490</v>
      </c>
      <c r="Z314" s="43"/>
      <c r="AA314" s="855"/>
      <c r="AB314" s="856"/>
      <c r="AC314" s="856"/>
      <c r="AD314" s="856"/>
      <c r="AE314" s="977" t="s">
        <v>490</v>
      </c>
      <c r="AF314" s="43"/>
      <c r="AG314" s="855"/>
      <c r="AH314" s="856"/>
      <c r="AI314" s="856"/>
      <c r="AJ314" s="856"/>
      <c r="AK314" s="766"/>
      <c r="AL314" s="43"/>
      <c r="AM314" s="855"/>
      <c r="AN314" s="856"/>
      <c r="AO314" s="856"/>
      <c r="AP314" s="856"/>
      <c r="AQ314" s="766"/>
      <c r="AR314" s="43"/>
      <c r="AS314" s="855"/>
      <c r="AT314" s="856"/>
      <c r="AU314" s="856"/>
      <c r="AV314" s="856"/>
      <c r="AW314" s="1036">
        <v>10000</v>
      </c>
      <c r="AX314" s="43"/>
      <c r="AY314" s="855"/>
      <c r="AZ314" s="856"/>
      <c r="BA314" s="856"/>
      <c r="BB314" s="856"/>
      <c r="BC314" s="1036">
        <v>10000</v>
      </c>
      <c r="BD314" s="43"/>
      <c r="BE314" s="855"/>
      <c r="BF314" s="856"/>
      <c r="BG314" s="856"/>
      <c r="BH314" s="856"/>
      <c r="BI314" s="1036">
        <v>10000</v>
      </c>
      <c r="BJ314" s="43"/>
      <c r="BK314" s="855"/>
      <c r="BL314" s="856"/>
      <c r="BM314" s="856"/>
      <c r="BN314" s="856"/>
      <c r="BO314" s="1036">
        <v>10000</v>
      </c>
      <c r="BP314" s="43"/>
      <c r="BQ314" s="259"/>
      <c r="BR314" s="260"/>
      <c r="BS314" s="260"/>
      <c r="BT314" s="260"/>
      <c r="BU314" s="449"/>
      <c r="BV314" s="43"/>
      <c r="BW314" s="259"/>
      <c r="BX314" s="260"/>
      <c r="BY314" s="260"/>
      <c r="BZ314" s="260"/>
      <c r="CA314" s="449"/>
      <c r="CB314" s="43"/>
      <c r="CC314" s="259"/>
      <c r="CD314" s="260"/>
      <c r="CE314" s="260"/>
      <c r="CF314" s="260"/>
      <c r="CG314" s="449"/>
      <c r="CH314" s="1164"/>
    </row>
    <row r="315" spans="1:87" ht="11.25" customHeight="1" x14ac:dyDescent="0.2">
      <c r="B315" s="113"/>
      <c r="C315" s="261"/>
      <c r="D315" s="258"/>
      <c r="E315" s="258"/>
      <c r="F315" s="258"/>
      <c r="G315" s="943">
        <v>10500</v>
      </c>
      <c r="H315" s="43"/>
      <c r="I315" s="261"/>
      <c r="J315" s="258"/>
      <c r="K315" s="258"/>
      <c r="L315" s="258"/>
      <c r="M315" s="943">
        <v>0</v>
      </c>
      <c r="N315" s="43"/>
      <c r="O315" s="261"/>
      <c r="P315" s="258"/>
      <c r="Q315" s="258"/>
      <c r="R315" s="258"/>
      <c r="S315" s="943">
        <v>0</v>
      </c>
      <c r="T315" s="43"/>
      <c r="U315" s="261"/>
      <c r="V315" s="258"/>
      <c r="W315" s="258"/>
      <c r="X315" s="258"/>
      <c r="Y315" s="943">
        <v>0</v>
      </c>
      <c r="Z315" s="43"/>
      <c r="AA315" s="261"/>
      <c r="AB315" s="258"/>
      <c r="AC315" s="258"/>
      <c r="AD315" s="258"/>
      <c r="AE315" s="943">
        <v>0</v>
      </c>
      <c r="AF315" s="43"/>
      <c r="AG315" s="261"/>
      <c r="AH315" s="258"/>
      <c r="AI315" s="258"/>
      <c r="AJ315" s="258"/>
      <c r="AK315" s="449"/>
      <c r="AL315" s="43"/>
      <c r="AM315" s="261"/>
      <c r="AN315" s="258"/>
      <c r="AO315" s="258"/>
      <c r="AP315" s="258"/>
      <c r="AQ315" s="449"/>
      <c r="AR315" s="43"/>
      <c r="AS315" s="261"/>
      <c r="AT315" s="258"/>
      <c r="AU315" s="258"/>
      <c r="AV315" s="258"/>
      <c r="AW315" s="449"/>
      <c r="AX315" s="43"/>
      <c r="AY315" s="261"/>
      <c r="AZ315" s="258"/>
      <c r="BA315" s="258"/>
      <c r="BB315" s="258"/>
      <c r="BC315" s="449"/>
      <c r="BD315" s="43"/>
      <c r="BE315" s="261"/>
      <c r="BF315" s="258"/>
      <c r="BG315" s="258"/>
      <c r="BH315" s="258"/>
      <c r="BI315" s="449"/>
      <c r="BJ315" s="43"/>
      <c r="BK315" s="259"/>
      <c r="BL315" s="260"/>
      <c r="BM315" s="260"/>
      <c r="BN315" s="260"/>
      <c r="BO315" s="449"/>
      <c r="BP315" s="43"/>
      <c r="BQ315" s="259"/>
      <c r="BR315" s="260"/>
      <c r="BS315" s="260"/>
      <c r="BT315" s="260"/>
      <c r="BU315" s="449"/>
      <c r="BV315" s="43"/>
      <c r="BW315" s="259"/>
      <c r="BX315" s="260"/>
      <c r="BY315" s="260"/>
      <c r="BZ315" s="260"/>
      <c r="CA315" s="449"/>
      <c r="CB315" s="43"/>
      <c r="CC315" s="259"/>
      <c r="CD315" s="260"/>
      <c r="CE315" s="260"/>
      <c r="CF315" s="260"/>
      <c r="CG315" s="449"/>
    </row>
    <row r="316" spans="1:87" ht="11.25" customHeight="1" x14ac:dyDescent="0.2">
      <c r="B316" s="275"/>
      <c r="C316" s="259"/>
      <c r="D316" s="260"/>
      <c r="E316" s="260"/>
      <c r="F316" s="260"/>
      <c r="G316" s="777">
        <f>+SUM(G312:G315)</f>
        <v>25500</v>
      </c>
      <c r="H316" s="264"/>
      <c r="I316" s="259"/>
      <c r="J316" s="260"/>
      <c r="K316" s="260"/>
      <c r="L316" s="260"/>
      <c r="M316" s="777">
        <f>+SUM(M312:M315)</f>
        <v>9000</v>
      </c>
      <c r="N316" s="776"/>
      <c r="O316" s="872"/>
      <c r="P316" s="776"/>
      <c r="Q316" s="776"/>
      <c r="R316" s="776"/>
      <c r="S316" s="777">
        <f>+SUM(S312:S315)</f>
        <v>0</v>
      </c>
      <c r="T316" s="264"/>
      <c r="U316" s="259"/>
      <c r="V316" s="260"/>
      <c r="W316" s="260"/>
      <c r="X316" s="260"/>
      <c r="Y316" s="449"/>
      <c r="Z316" s="264"/>
      <c r="AA316" s="259"/>
      <c r="AB316" s="260"/>
      <c r="AC316" s="260"/>
      <c r="AD316" s="260"/>
      <c r="AE316" s="449"/>
      <c r="AF316" s="264"/>
      <c r="AG316" s="259"/>
      <c r="AH316" s="260"/>
      <c r="AI316" s="260"/>
      <c r="AJ316" s="260"/>
      <c r="AK316" s="449"/>
      <c r="AL316" s="264"/>
      <c r="AM316" s="259"/>
      <c r="AN316" s="260"/>
      <c r="AO316" s="260"/>
      <c r="AP316" s="260"/>
      <c r="AQ316" s="449"/>
      <c r="AR316" s="264"/>
      <c r="AS316" s="259"/>
      <c r="AT316" s="260"/>
      <c r="AU316" s="260"/>
      <c r="AV316" s="260"/>
      <c r="AW316" s="449"/>
      <c r="AX316" s="264"/>
      <c r="AY316" s="259"/>
      <c r="AZ316" s="260"/>
      <c r="BA316" s="260"/>
      <c r="BB316" s="260"/>
      <c r="BC316" s="449"/>
      <c r="BD316" s="264"/>
      <c r="BE316" s="259"/>
      <c r="BF316" s="260"/>
      <c r="BG316" s="260"/>
      <c r="BH316" s="260"/>
      <c r="BI316" s="449"/>
      <c r="BJ316" s="264"/>
      <c r="BK316" s="259"/>
      <c r="BL316" s="260"/>
      <c r="BM316" s="260"/>
      <c r="BN316" s="260"/>
      <c r="BO316" s="449"/>
      <c r="BP316" s="264"/>
      <c r="BQ316" s="259"/>
      <c r="BR316" s="260"/>
      <c r="BS316" s="260"/>
      <c r="BT316" s="260"/>
      <c r="BU316" s="449"/>
      <c r="BV316" s="264"/>
      <c r="BW316" s="259"/>
      <c r="BX316" s="260"/>
      <c r="BY316" s="260"/>
      <c r="BZ316" s="260"/>
      <c r="CA316" s="449"/>
      <c r="CB316" s="264"/>
      <c r="CC316" s="259"/>
      <c r="CD316" s="260"/>
      <c r="CE316" s="260"/>
      <c r="CF316" s="260"/>
      <c r="CG316" s="449"/>
    </row>
    <row r="317" spans="1:87" ht="11.25" customHeight="1" x14ac:dyDescent="0.2">
      <c r="B317" s="837" t="s">
        <v>500</v>
      </c>
      <c r="C317" s="838"/>
      <c r="D317" s="838"/>
      <c r="E317" s="838"/>
      <c r="F317" s="838"/>
      <c r="G317" s="839"/>
      <c r="H317" s="840"/>
      <c r="I317" s="838"/>
      <c r="J317" s="838"/>
      <c r="K317" s="838"/>
      <c r="L317" s="838"/>
      <c r="M317" s="839">
        <f>+M174/M311</f>
        <v>0.23201501818181819</v>
      </c>
      <c r="N317" s="840"/>
      <c r="O317" s="838"/>
      <c r="P317" s="838"/>
      <c r="Q317" s="838"/>
      <c r="R317" s="838"/>
      <c r="S317" s="839">
        <f>+S174/S311</f>
        <v>0.23775767272727275</v>
      </c>
      <c r="T317" s="840"/>
      <c r="U317" s="838"/>
      <c r="V317" s="838"/>
      <c r="W317" s="838"/>
      <c r="X317" s="838"/>
      <c r="Y317" s="839">
        <f>+Y174/Y311</f>
        <v>0.26881392857142855</v>
      </c>
      <c r="Z317" s="840"/>
      <c r="AA317" s="838"/>
      <c r="AB317" s="838"/>
      <c r="AC317" s="838"/>
      <c r="AD317" s="838"/>
      <c r="AE317" s="839">
        <f>+AE174/AE311</f>
        <v>0.30465149999999996</v>
      </c>
      <c r="AF317" s="840"/>
      <c r="AG317" s="838"/>
      <c r="AH317" s="838"/>
      <c r="AI317" s="838"/>
      <c r="AJ317" s="838"/>
      <c r="AK317" s="839">
        <f>+AK174/AK311</f>
        <v>0.29799890000000001</v>
      </c>
      <c r="AL317" s="840"/>
      <c r="AM317" s="838"/>
      <c r="AN317" s="838"/>
      <c r="AO317" s="838"/>
      <c r="AP317" s="838"/>
      <c r="AQ317" s="839">
        <f>+AQ174/AQ311</f>
        <v>0.21245882222222223</v>
      </c>
      <c r="AR317" s="840"/>
      <c r="AS317" s="838"/>
      <c r="AT317" s="838"/>
      <c r="AU317" s="838"/>
      <c r="AV317" s="838"/>
      <c r="AW317" s="839">
        <f>+AW174/AW311</f>
        <v>0.23047533333333337</v>
      </c>
      <c r="AX317" s="840"/>
      <c r="AY317" s="838"/>
      <c r="AZ317" s="838"/>
      <c r="BA317" s="838"/>
      <c r="BB317" s="838"/>
      <c r="BC317" s="839">
        <f>+BC174/BC311</f>
        <v>0.23621597777777775</v>
      </c>
      <c r="BD317" s="840"/>
      <c r="BE317" s="838"/>
      <c r="BF317" s="838"/>
      <c r="BG317" s="838"/>
      <c r="BH317" s="838"/>
      <c r="BI317" s="839">
        <f>+BI174/BI311</f>
        <v>0.25714779999999998</v>
      </c>
      <c r="BJ317" s="843"/>
      <c r="BK317" s="846"/>
      <c r="BL317" s="838"/>
      <c r="BM317" s="838"/>
      <c r="BN317" s="838"/>
      <c r="BO317" s="839">
        <f>+BO174/BO311</f>
        <v>0.27692406666666664</v>
      </c>
      <c r="BP317" s="278"/>
      <c r="BQ317" s="846"/>
      <c r="BR317" s="838"/>
      <c r="BS317" s="838"/>
      <c r="BT317" s="838"/>
      <c r="BU317" s="839"/>
      <c r="BV317" s="278"/>
      <c r="BW317" s="846"/>
      <c r="BX317" s="838"/>
      <c r="BY317" s="838"/>
      <c r="BZ317" s="838"/>
      <c r="CA317" s="839"/>
      <c r="CB317" s="278"/>
      <c r="CC317" s="846"/>
      <c r="CD317" s="838"/>
      <c r="CE317" s="838"/>
      <c r="CF317" s="838"/>
      <c r="CG317" s="839"/>
    </row>
    <row r="318" spans="1:87" ht="11.25" customHeight="1" x14ac:dyDescent="0.2">
      <c r="A318" s="78"/>
      <c r="B318" s="7"/>
      <c r="C318" s="7"/>
      <c r="D318" s="7"/>
      <c r="E318" s="7"/>
      <c r="F318" s="7"/>
      <c r="G318" s="7"/>
      <c r="I318" s="7"/>
      <c r="J318" s="7"/>
      <c r="K318" s="7"/>
      <c r="L318" s="7"/>
      <c r="M318" s="7"/>
      <c r="O318" s="7"/>
      <c r="P318" s="7"/>
      <c r="Q318" s="7"/>
      <c r="R318" s="7"/>
      <c r="S318" s="280"/>
      <c r="U318" s="7"/>
      <c r="V318" s="7"/>
      <c r="W318" s="7"/>
      <c r="X318" s="7"/>
      <c r="Y318" s="280"/>
      <c r="AA318" s="7"/>
      <c r="AB318" s="7"/>
      <c r="AC318" s="7"/>
      <c r="AD318" s="7"/>
      <c r="AE318" s="280"/>
      <c r="AG318" s="7"/>
      <c r="AH318" s="7"/>
      <c r="AI318" s="7"/>
      <c r="AJ318" s="7"/>
      <c r="AK318" s="280"/>
      <c r="AM318" s="7"/>
      <c r="AN318" s="7"/>
      <c r="AO318" s="7"/>
      <c r="AP318" s="7"/>
      <c r="AQ318" s="280"/>
      <c r="AS318" s="7"/>
      <c r="AT318" s="7"/>
      <c r="AU318" s="7"/>
      <c r="AV318" s="7"/>
      <c r="AW318" s="7"/>
      <c r="AY318" s="7"/>
      <c r="AZ318" s="7"/>
      <c r="BA318" s="7"/>
      <c r="BB318" s="7"/>
      <c r="BC318" s="7"/>
      <c r="BE318" s="7"/>
      <c r="BF318" s="7"/>
      <c r="BG318" s="7"/>
      <c r="BH318" s="7"/>
      <c r="BI318" s="7"/>
      <c r="BK318" s="7"/>
      <c r="BL318" s="7"/>
      <c r="BM318" s="7"/>
      <c r="BN318" s="7"/>
      <c r="BO318" s="7"/>
      <c r="BQ318" s="7"/>
      <c r="BR318" s="7"/>
      <c r="BS318" s="7"/>
      <c r="BT318" s="7"/>
      <c r="BU318" s="7"/>
      <c r="BW318" s="7"/>
      <c r="BX318" s="7"/>
      <c r="BY318" s="7"/>
      <c r="BZ318" s="7"/>
      <c r="CA318" s="7"/>
      <c r="CC318" s="7"/>
      <c r="CD318" s="7"/>
      <c r="CE318" s="7"/>
      <c r="CF318" s="7"/>
      <c r="CG318" s="7"/>
      <c r="CH318" s="1164"/>
    </row>
    <row r="319" spans="1:87" ht="11.25" customHeight="1" x14ac:dyDescent="0.2">
      <c r="B319" s="7"/>
      <c r="C319" s="7"/>
      <c r="D319" s="7"/>
      <c r="E319" s="7"/>
      <c r="F319" s="7"/>
      <c r="G319" s="7"/>
      <c r="I319" s="7"/>
      <c r="J319" s="7"/>
      <c r="K319" s="7"/>
      <c r="L319" s="7"/>
      <c r="M319" s="7"/>
      <c r="O319" s="7"/>
      <c r="P319" s="7"/>
      <c r="Q319" s="7"/>
      <c r="R319" s="7"/>
      <c r="S319" s="7"/>
      <c r="U319" s="7"/>
      <c r="V319" s="7"/>
      <c r="W319" s="7"/>
      <c r="X319" s="7"/>
      <c r="Y319" s="7"/>
      <c r="AA319" s="7"/>
      <c r="AB319" s="7"/>
      <c r="AC319" s="7"/>
      <c r="AD319" s="7"/>
      <c r="AE319" s="7"/>
      <c r="AG319" s="7"/>
      <c r="AH319" s="7"/>
      <c r="AI319" s="7"/>
      <c r="AJ319" s="7"/>
      <c r="AK319" s="7"/>
      <c r="AM319" s="7"/>
      <c r="AN319" s="7"/>
      <c r="AO319" s="7"/>
      <c r="AP319" s="7"/>
      <c r="AQ319" s="7"/>
      <c r="AS319" s="7"/>
      <c r="AT319" s="7"/>
      <c r="AU319" s="7"/>
      <c r="AV319" s="7"/>
      <c r="AW319" s="7"/>
      <c r="AY319" s="7"/>
      <c r="AZ319" s="7"/>
      <c r="BA319" s="7"/>
      <c r="BB319" s="7"/>
      <c r="BC319" s="7"/>
      <c r="BE319" s="7"/>
      <c r="BF319" s="7"/>
      <c r="BG319" s="7"/>
      <c r="BH319" s="7"/>
      <c r="BI319" s="7"/>
      <c r="BK319" s="7"/>
      <c r="BL319" s="7"/>
      <c r="BM319" s="7"/>
      <c r="BN319" s="7"/>
      <c r="BO319" s="7"/>
      <c r="BQ319" s="7"/>
      <c r="BR319" s="7"/>
      <c r="BS319" s="7"/>
      <c r="BT319" s="7"/>
      <c r="BU319" s="7"/>
      <c r="BW319" s="7"/>
      <c r="BX319" s="7"/>
      <c r="BY319" s="7"/>
      <c r="BZ319" s="7"/>
      <c r="CA319" s="7"/>
      <c r="CC319" s="7"/>
      <c r="CD319" s="7"/>
      <c r="CE319" s="7"/>
      <c r="CF319" s="7"/>
      <c r="CG319" s="7"/>
    </row>
    <row r="320" spans="1:87" ht="11.25" customHeight="1" x14ac:dyDescent="0.2">
      <c r="B320" s="812" t="s">
        <v>595</v>
      </c>
      <c r="C320" s="813"/>
      <c r="D320" s="813"/>
      <c r="E320" s="813"/>
      <c r="F320" s="813"/>
      <c r="G320" s="813"/>
      <c r="H320" s="812"/>
      <c r="I320" s="813"/>
      <c r="J320" s="813"/>
      <c r="K320" s="813"/>
      <c r="L320" s="813"/>
      <c r="M320" s="813"/>
      <c r="N320" s="812"/>
      <c r="O320" s="813"/>
      <c r="P320" s="813"/>
      <c r="Q320" s="813"/>
      <c r="R320" s="813"/>
      <c r="S320" s="813"/>
      <c r="T320" s="812"/>
      <c r="U320" s="813"/>
      <c r="V320" s="813"/>
      <c r="W320" s="813"/>
      <c r="X320" s="813"/>
      <c r="Y320" s="813"/>
      <c r="Z320" s="812"/>
      <c r="AA320" s="813"/>
      <c r="AB320" s="813"/>
      <c r="AC320" s="813"/>
      <c r="AD320" s="813"/>
      <c r="AE320" s="813"/>
      <c r="AF320" s="812"/>
      <c r="AG320" s="813"/>
      <c r="AH320" s="813"/>
      <c r="AI320" s="813"/>
      <c r="AJ320" s="813"/>
      <c r="AK320" s="813"/>
      <c r="AL320" s="812"/>
      <c r="AM320" s="813"/>
      <c r="AN320" s="813"/>
      <c r="AO320" s="813"/>
      <c r="AP320" s="813"/>
      <c r="AQ320" s="813"/>
      <c r="AR320" s="812"/>
      <c r="AS320" s="813"/>
      <c r="AT320" s="813"/>
      <c r="AU320" s="813"/>
      <c r="AV320" s="813"/>
      <c r="AW320" s="813"/>
      <c r="AX320" s="812"/>
      <c r="AY320" s="813"/>
      <c r="AZ320" s="813"/>
      <c r="BA320" s="813"/>
      <c r="BB320" s="813"/>
      <c r="BC320" s="813"/>
      <c r="BD320" s="812"/>
      <c r="BE320" s="813"/>
      <c r="BF320" s="813"/>
      <c r="BG320" s="813"/>
      <c r="BH320" s="813"/>
      <c r="BI320" s="813"/>
      <c r="BJ320" s="812"/>
      <c r="BK320" s="813"/>
      <c r="BL320" s="813"/>
      <c r="BM320" s="813"/>
      <c r="BN320" s="813"/>
      <c r="BO320" s="813"/>
      <c r="BP320" s="812"/>
      <c r="BQ320" s="813"/>
      <c r="BR320" s="813"/>
      <c r="BS320" s="813"/>
      <c r="BT320" s="813"/>
      <c r="BU320" s="813"/>
      <c r="BV320" s="812"/>
      <c r="BW320" s="813"/>
      <c r="BX320" s="813"/>
      <c r="BY320" s="813"/>
      <c r="BZ320" s="813"/>
      <c r="CA320" s="813"/>
      <c r="CB320" s="812"/>
      <c r="CC320" s="813"/>
      <c r="CD320" s="813"/>
      <c r="CE320" s="813"/>
      <c r="CF320" s="813"/>
      <c r="CG320" s="814"/>
    </row>
    <row r="321" spans="1:86" ht="11.25" customHeight="1" x14ac:dyDescent="0.2">
      <c r="B321" s="706" t="s">
        <v>551</v>
      </c>
      <c r="C321" s="703"/>
      <c r="D321" s="704"/>
      <c r="E321" s="704"/>
      <c r="F321" s="704"/>
      <c r="G321" s="705"/>
      <c r="H321" s="1039"/>
      <c r="I321" s="703"/>
      <c r="J321" s="704"/>
      <c r="K321" s="704"/>
      <c r="L321" s="704"/>
      <c r="M321" s="705"/>
      <c r="N321" s="1039"/>
      <c r="O321" s="703"/>
      <c r="P321" s="704"/>
      <c r="Q321" s="704"/>
      <c r="R321" s="704"/>
      <c r="S321" s="705"/>
      <c r="T321" s="1039"/>
      <c r="U321" s="703"/>
      <c r="V321" s="704"/>
      <c r="W321" s="704"/>
      <c r="X321" s="704"/>
      <c r="Y321" s="705"/>
      <c r="Z321" s="1039"/>
      <c r="AA321" s="703"/>
      <c r="AB321" s="704"/>
      <c r="AC321" s="704"/>
      <c r="AD321" s="704"/>
      <c r="AE321" s="1104" t="s">
        <v>573</v>
      </c>
      <c r="AF321" s="1039" t="s">
        <v>448</v>
      </c>
      <c r="AG321" s="703" t="s">
        <v>448</v>
      </c>
      <c r="AH321" s="704"/>
      <c r="AI321" s="704"/>
      <c r="AJ321" s="704"/>
      <c r="AK321" s="1104" t="s">
        <v>574</v>
      </c>
      <c r="AL321" s="1039" t="s">
        <v>448</v>
      </c>
      <c r="AM321" s="703" t="s">
        <v>448</v>
      </c>
      <c r="AN321" s="704"/>
      <c r="AO321" s="704"/>
      <c r="AP321" s="704"/>
      <c r="AQ321" s="705"/>
      <c r="AR321" s="1039"/>
      <c r="AS321" s="703"/>
      <c r="AT321" s="704"/>
      <c r="AU321" s="704"/>
      <c r="AV321" s="704"/>
      <c r="AW321" s="705"/>
      <c r="AX321" s="1039"/>
      <c r="AY321" s="703"/>
      <c r="AZ321" s="704"/>
      <c r="BA321" s="704"/>
      <c r="BB321" s="704"/>
      <c r="BC321" s="705"/>
      <c r="BD321" s="1039"/>
      <c r="BE321" s="703"/>
      <c r="BF321" s="704"/>
      <c r="BG321" s="704"/>
      <c r="BH321" s="704"/>
      <c r="BI321" s="705"/>
      <c r="BJ321" s="1039"/>
      <c r="BK321" s="703"/>
      <c r="BL321" s="704"/>
      <c r="BM321" s="704"/>
      <c r="BN321" s="704"/>
      <c r="BO321" s="705"/>
      <c r="BP321" s="1039"/>
      <c r="BQ321" s="703"/>
      <c r="BR321" s="704"/>
      <c r="BS321" s="704"/>
      <c r="BT321" s="704"/>
      <c r="BU321" s="705"/>
      <c r="BV321" s="1039"/>
      <c r="BW321" s="703"/>
      <c r="BX321" s="704"/>
      <c r="BY321" s="704"/>
      <c r="BZ321" s="704"/>
      <c r="CA321" s="705"/>
      <c r="CB321" s="1039"/>
      <c r="CC321" s="703"/>
      <c r="CD321" s="704"/>
      <c r="CE321" s="704"/>
      <c r="CF321" s="704"/>
      <c r="CG321" s="705"/>
      <c r="CH321" s="11"/>
    </row>
    <row r="322" spans="1:86" ht="11.25" customHeight="1" x14ac:dyDescent="0.2">
      <c r="B322" s="773" t="s">
        <v>552</v>
      </c>
      <c r="C322" s="1040">
        <v>6.2E-2</v>
      </c>
      <c r="D322" s="1040">
        <v>6.8000000000000005E-2</v>
      </c>
      <c r="E322" s="1040">
        <v>0.06</v>
      </c>
      <c r="F322" s="1103">
        <v>4.7679694182513332E-2</v>
      </c>
      <c r="G322" s="1041">
        <v>5.8999999999999997E-2</v>
      </c>
      <c r="H322" s="1042"/>
      <c r="I322" s="1040">
        <v>4.2999999999999997E-2</v>
      </c>
      <c r="J322" s="1040">
        <v>6.3E-2</v>
      </c>
      <c r="K322" s="1040">
        <v>4.8000000000000001E-2</v>
      </c>
      <c r="L322" s="1103">
        <v>1.7219467034829294E-2</v>
      </c>
      <c r="M322" s="1041">
        <v>4.2000000000000003E-2</v>
      </c>
      <c r="N322" s="1042"/>
      <c r="O322" s="1040">
        <v>-2.4E-2</v>
      </c>
      <c r="P322" s="1040">
        <v>-1.7000000000000001E-2</v>
      </c>
      <c r="Q322" s="1040">
        <v>-1.7999999999999999E-2</v>
      </c>
      <c r="R322" s="1103">
        <v>9.5357474219566196E-3</v>
      </c>
      <c r="S322" s="1041">
        <v>-1.2E-2</v>
      </c>
      <c r="T322" s="1042"/>
      <c r="U322" s="1040">
        <v>1.2E-2</v>
      </c>
      <c r="V322" s="1040">
        <v>1.2999999999999999E-2</v>
      </c>
      <c r="W322" s="1040">
        <v>1.4999999999999999E-2</v>
      </c>
      <c r="X322" s="1103">
        <v>4.5016499796124661E-2</v>
      </c>
      <c r="Y322" s="1041">
        <v>2.1999999999999999E-2</v>
      </c>
      <c r="Z322" s="1042"/>
      <c r="AA322" s="1040">
        <v>3.3000000000000002E-2</v>
      </c>
      <c r="AB322" s="1040">
        <v>0.04</v>
      </c>
      <c r="AC322" s="1043">
        <v>2.8557555023459032E-2</v>
      </c>
      <c r="AD322" s="1103">
        <v>5.9519739901625152E-2</v>
      </c>
      <c r="AE322" s="1041">
        <v>4.1000000000000002E-2</v>
      </c>
      <c r="AF322" s="1042"/>
      <c r="AG322" s="1040">
        <v>8.2000000000000003E-2</v>
      </c>
      <c r="AH322" s="1040">
        <v>2.4E-2</v>
      </c>
      <c r="AI322" s="1040">
        <v>2.7E-2</v>
      </c>
      <c r="AJ322" s="51">
        <f>AJ138</f>
        <v>1.4140042771478843E-2</v>
      </c>
      <c r="AK322" s="1041">
        <v>2.7E-2</v>
      </c>
      <c r="AL322" s="1042"/>
      <c r="AM322" s="1040">
        <v>2E-3</v>
      </c>
      <c r="AN322" s="1040">
        <v>2.1999999999999999E-2</v>
      </c>
      <c r="AO322" s="1040">
        <v>1.9E-2</v>
      </c>
      <c r="AP322" s="51">
        <f>AP138</f>
        <v>3.2216051868832633E-2</v>
      </c>
      <c r="AQ322" s="1041">
        <v>1.7999999999999999E-2</v>
      </c>
      <c r="AR322" s="1042"/>
      <c r="AS322" s="1040">
        <v>1.9E-2</v>
      </c>
      <c r="AT322" s="1040">
        <v>2.3E-2</v>
      </c>
      <c r="AU322" s="1040">
        <v>4.7E-2</v>
      </c>
      <c r="AV322" s="51">
        <f>AV138</f>
        <v>4.1816451247622573E-2</v>
      </c>
      <c r="AW322" s="1041">
        <v>3.3000000000000002E-2</v>
      </c>
      <c r="AX322" s="1042"/>
      <c r="AY322" s="1040">
        <v>0.02</v>
      </c>
      <c r="AZ322" s="1040">
        <v>4.1000000000000002E-2</v>
      </c>
      <c r="BA322" s="1040">
        <v>3.5000000000000003E-2</v>
      </c>
      <c r="BB322" s="51">
        <f>BB138</f>
        <v>5.2760680769887415E-2</v>
      </c>
      <c r="BC322" s="1041">
        <v>3.7999999999999999E-2</v>
      </c>
      <c r="BD322" s="1042"/>
      <c r="BE322" s="1040">
        <v>3.5000000000000003E-2</v>
      </c>
      <c r="BF322" s="1040">
        <v>2.8000000000000001E-2</v>
      </c>
      <c r="BG322" s="1040">
        <v>2.1000000000000001E-2</v>
      </c>
      <c r="BH322" s="51">
        <f>BH138</f>
        <v>2.1180692990196419E-2</v>
      </c>
      <c r="BI322" s="1041">
        <v>2.5999999999999999E-2</v>
      </c>
      <c r="BJ322" s="1044"/>
      <c r="BK322" s="767">
        <v>4.3999999999999997E-2</v>
      </c>
      <c r="BL322" s="1040">
        <v>0.01</v>
      </c>
      <c r="BM322" s="1040">
        <v>0.02</v>
      </c>
      <c r="BN322" s="51">
        <f>BN138</f>
        <v>1.1452850020421583E-2</v>
      </c>
      <c r="BO322" s="1041">
        <v>1.9E-2</v>
      </c>
      <c r="BP322" s="278"/>
      <c r="BQ322" s="743"/>
      <c r="BR322" s="278"/>
      <c r="BS322" s="278"/>
      <c r="BT322" s="278"/>
      <c r="BU322" s="793"/>
      <c r="BV322" s="278"/>
      <c r="BW322" s="743"/>
      <c r="BX322" s="278"/>
      <c r="BY322" s="278"/>
      <c r="BZ322" s="278"/>
      <c r="CA322" s="793"/>
      <c r="CB322" s="278"/>
      <c r="CC322" s="743"/>
      <c r="CD322" s="278"/>
      <c r="CE322" s="278"/>
      <c r="CF322" s="278"/>
      <c r="CG322" s="793"/>
      <c r="CH322" s="11"/>
    </row>
    <row r="323" spans="1:86" ht="11.25" customHeight="1" x14ac:dyDescent="0.2">
      <c r="A323" s="78"/>
      <c r="B323" s="773" t="s">
        <v>553</v>
      </c>
      <c r="C323" s="1040">
        <v>0.23499999999999999</v>
      </c>
      <c r="D323" s="1040">
        <v>0.223</v>
      </c>
      <c r="E323" s="1040">
        <v>0.24099999999999999</v>
      </c>
      <c r="F323" s="1103">
        <v>0.1823502185353803</v>
      </c>
      <c r="G323" s="1041">
        <v>0.219</v>
      </c>
      <c r="H323" s="1042"/>
      <c r="I323" s="1040">
        <v>9.8000000000000004E-2</v>
      </c>
      <c r="J323" s="1040">
        <v>9.9000000000000005E-2</v>
      </c>
      <c r="K323" s="1040">
        <v>3.4000000000000002E-2</v>
      </c>
      <c r="L323" s="1103">
        <v>-6.8938047163734917E-2</v>
      </c>
      <c r="M323" s="1041">
        <v>3.5999999999999997E-2</v>
      </c>
      <c r="N323" s="1042"/>
      <c r="O323" s="1040">
        <v>-5.0999999999999997E-2</v>
      </c>
      <c r="P323" s="1040">
        <v>-0.18</v>
      </c>
      <c r="Q323" s="1040">
        <v>-0.13400000000000001</v>
      </c>
      <c r="R323" s="1103">
        <v>-8.2521110911157991E-2</v>
      </c>
      <c r="S323" s="1041">
        <v>-0.113</v>
      </c>
      <c r="T323" s="1042"/>
      <c r="U323" s="1040">
        <v>5.0000000000000001E-3</v>
      </c>
      <c r="V323" s="1040">
        <v>0.08</v>
      </c>
      <c r="W323" s="1040">
        <v>1.2999999999999999E-2</v>
      </c>
      <c r="X323" s="1103">
        <v>-2.9837340249036781E-3</v>
      </c>
      <c r="Y323" s="1041">
        <v>2.3E-2</v>
      </c>
      <c r="Z323" s="1042"/>
      <c r="AA323" s="1040">
        <v>1.2999999999999999E-2</v>
      </c>
      <c r="AB323" s="1040">
        <v>1.2999999999999999E-2</v>
      </c>
      <c r="AC323" s="1043">
        <v>-2.1000000000000001E-2</v>
      </c>
      <c r="AD323" s="1103">
        <v>-1.0080875681312218E-2</v>
      </c>
      <c r="AE323" s="1041">
        <v>-1E-3</v>
      </c>
      <c r="AF323" s="1042"/>
      <c r="AG323" s="1040">
        <v>-2E-3</v>
      </c>
      <c r="AH323" s="1040">
        <v>1.0999999999999999E-2</v>
      </c>
      <c r="AI323" s="1040">
        <v>8.0000000000000002E-3</v>
      </c>
      <c r="AJ323" s="51">
        <f>AJ144</f>
        <v>9.6034361390006165E-2</v>
      </c>
      <c r="AK323" s="1041">
        <v>3.1E-2</v>
      </c>
      <c r="AL323" s="1042"/>
      <c r="AM323" s="1040">
        <v>-0.02</v>
      </c>
      <c r="AN323" s="1040">
        <v>5.3999999999999999E-2</v>
      </c>
      <c r="AO323" s="1040">
        <v>6.3E-2</v>
      </c>
      <c r="AP323" s="51">
        <f>AP144</f>
        <v>1.8365510515300342E-2</v>
      </c>
      <c r="AQ323" s="1041">
        <v>0.03</v>
      </c>
      <c r="AR323" s="1042"/>
      <c r="AS323" s="1040">
        <v>9.4E-2</v>
      </c>
      <c r="AT323" s="1040">
        <v>3.5999999999999997E-2</v>
      </c>
      <c r="AU323" s="1040">
        <v>5.0999999999999997E-2</v>
      </c>
      <c r="AV323" s="51">
        <f>AV144</f>
        <v>-1.7866718948691546E-2</v>
      </c>
      <c r="AW323" s="1041">
        <v>3.3000000000000002E-2</v>
      </c>
      <c r="AX323" s="1042"/>
      <c r="AY323" s="1040">
        <v>4.9000000000000002E-2</v>
      </c>
      <c r="AZ323" s="1040">
        <v>4.1000000000000002E-2</v>
      </c>
      <c r="BA323" s="1040">
        <v>5.8999999999999997E-2</v>
      </c>
      <c r="BB323" s="51">
        <f>BB144</f>
        <v>9.7344315935473033E-2</v>
      </c>
      <c r="BC323" s="1041">
        <v>6.4000000000000001E-2</v>
      </c>
      <c r="BD323" s="1042"/>
      <c r="BE323" s="1040">
        <v>9.7000000000000003E-2</v>
      </c>
      <c r="BF323" s="1040">
        <v>2.9000000000000001E-2</v>
      </c>
      <c r="BG323" s="1040">
        <v>9.9000000000000005E-2</v>
      </c>
      <c r="BH323" s="51">
        <f>BH144</f>
        <v>3.0123771078393903E-3</v>
      </c>
      <c r="BI323" s="1041">
        <v>5.0999999999999997E-2</v>
      </c>
      <c r="BJ323" s="1044"/>
      <c r="BK323" s="767">
        <v>-2.1000000000000001E-2</v>
      </c>
      <c r="BL323" s="1040">
        <v>0.10299999999999999</v>
      </c>
      <c r="BM323" s="1040">
        <v>5.0000000000000001E-3</v>
      </c>
      <c r="BN323" s="51">
        <f>BN144</f>
        <v>0.14415683451937664</v>
      </c>
      <c r="BO323" s="1041">
        <v>6.5000000000000002E-2</v>
      </c>
      <c r="BP323" s="278"/>
      <c r="BQ323" s="743"/>
      <c r="BR323" s="278"/>
      <c r="BS323" s="278"/>
      <c r="BT323" s="278"/>
      <c r="BU323" s="793"/>
      <c r="BV323" s="278"/>
      <c r="BW323" s="743"/>
      <c r="BX323" s="278"/>
      <c r="BY323" s="278"/>
      <c r="BZ323" s="278"/>
      <c r="CA323" s="793"/>
      <c r="CB323" s="278"/>
      <c r="CC323" s="743"/>
      <c r="CD323" s="278"/>
      <c r="CE323" s="278"/>
      <c r="CF323" s="278"/>
      <c r="CG323" s="793"/>
      <c r="CH323" s="1164"/>
    </row>
    <row r="324" spans="1:86" ht="11.25" customHeight="1" x14ac:dyDescent="0.2">
      <c r="B324" s="773"/>
      <c r="C324" s="1040"/>
      <c r="D324" s="1040"/>
      <c r="E324" s="1040"/>
      <c r="F324" s="1040"/>
      <c r="G324" s="1041"/>
      <c r="H324" s="1042"/>
      <c r="I324" s="1040"/>
      <c r="J324" s="1040"/>
      <c r="K324" s="1040"/>
      <c r="L324" s="1040"/>
      <c r="M324" s="1041"/>
      <c r="N324" s="1042"/>
      <c r="O324" s="1040"/>
      <c r="P324" s="1040"/>
      <c r="Q324" s="1040"/>
      <c r="R324" s="1040"/>
      <c r="S324" s="1041"/>
      <c r="T324" s="1042"/>
      <c r="U324" s="1040"/>
      <c r="V324" s="1040"/>
      <c r="W324" s="1040"/>
      <c r="X324" s="1040"/>
      <c r="Y324" s="1041"/>
      <c r="Z324" s="1042"/>
      <c r="AA324" s="1040"/>
      <c r="AB324" s="1040"/>
      <c r="AC324" s="765">
        <f>SUMPRODUCT(AA322:AC322,AA126:AC126)/SUM(AA126:AC126)</f>
        <v>3.4000000000000002E-2</v>
      </c>
      <c r="AD324" s="1040"/>
      <c r="AE324" s="1041"/>
      <c r="AF324" s="1042"/>
      <c r="AG324" s="1040"/>
      <c r="AH324" s="1040"/>
      <c r="AI324" s="1040"/>
      <c r="AJ324" s="1040"/>
      <c r="AK324" s="1041"/>
      <c r="AL324" s="1042"/>
      <c r="AM324" s="1040"/>
      <c r="AN324" s="1040"/>
      <c r="AO324" s="1040"/>
      <c r="AP324" s="1040"/>
      <c r="AQ324" s="1041"/>
      <c r="AR324" s="1042"/>
      <c r="AS324" s="1040"/>
      <c r="AT324" s="1040"/>
      <c r="AU324" s="1040"/>
      <c r="AV324" s="1040"/>
      <c r="AW324" s="1041"/>
      <c r="AX324" s="1042"/>
      <c r="AY324" s="1040"/>
      <c r="AZ324" s="1040"/>
      <c r="BA324" s="1040"/>
      <c r="BB324" s="1040"/>
      <c r="BC324" s="1041"/>
      <c r="BD324" s="1042"/>
      <c r="BE324" s="1040"/>
      <c r="BF324" s="1040"/>
      <c r="BG324" s="1040"/>
      <c r="BH324" s="1040"/>
      <c r="BI324" s="1041"/>
      <c r="BJ324" s="1044"/>
      <c r="BK324" s="767"/>
      <c r="BL324" s="278"/>
      <c r="BM324" s="278"/>
      <c r="BN324" s="1040"/>
      <c r="BO324" s="793"/>
      <c r="BP324" s="278"/>
      <c r="BQ324" s="743"/>
      <c r="BR324" s="278"/>
      <c r="BS324" s="278"/>
      <c r="BT324" s="278"/>
      <c r="BU324" s="793"/>
      <c r="BV324" s="278"/>
      <c r="BW324" s="743"/>
      <c r="BX324" s="278"/>
      <c r="BY324" s="278"/>
      <c r="BZ324" s="278"/>
      <c r="CA324" s="793"/>
      <c r="CB324" s="278"/>
      <c r="CC324" s="743"/>
      <c r="CD324" s="278"/>
      <c r="CE324" s="278"/>
      <c r="CF324" s="278"/>
      <c r="CG324" s="793"/>
      <c r="CH324" s="11"/>
    </row>
    <row r="325" spans="1:86" ht="11.25" customHeight="1" x14ac:dyDescent="0.2">
      <c r="B325" s="706" t="s">
        <v>554</v>
      </c>
      <c r="C325" s="1045"/>
      <c r="D325" s="1046"/>
      <c r="E325" s="1046"/>
      <c r="F325" s="1046"/>
      <c r="G325" s="1047"/>
      <c r="H325" s="1048"/>
      <c r="I325" s="1045"/>
      <c r="J325" s="1046"/>
      <c r="K325" s="1046"/>
      <c r="L325" s="1046"/>
      <c r="M325" s="1047"/>
      <c r="N325" s="1048"/>
      <c r="O325" s="1045"/>
      <c r="P325" s="1046"/>
      <c r="Q325" s="1046"/>
      <c r="R325" s="1046"/>
      <c r="S325" s="1047"/>
      <c r="T325" s="1048"/>
      <c r="U325" s="1045"/>
      <c r="V325" s="1046"/>
      <c r="W325" s="1046"/>
      <c r="X325" s="1046"/>
      <c r="Y325" s="1047"/>
      <c r="Z325" s="1048"/>
      <c r="AA325" s="1045"/>
      <c r="AB325" s="1046"/>
      <c r="AC325" s="1046"/>
      <c r="AD325" s="1046"/>
      <c r="AE325" s="1047"/>
      <c r="AF325" s="1048"/>
      <c r="AG325" s="1045"/>
      <c r="AH325" s="1046"/>
      <c r="AI325" s="1046"/>
      <c r="AJ325" s="1046"/>
      <c r="AK325" s="1047"/>
      <c r="AL325" s="1048"/>
      <c r="AM325" s="1045"/>
      <c r="AN325" s="1046"/>
      <c r="AO325" s="1046"/>
      <c r="AP325" s="1046"/>
      <c r="AQ325" s="1047"/>
      <c r="AR325" s="1048"/>
      <c r="AS325" s="1045"/>
      <c r="AT325" s="1046"/>
      <c r="AU325" s="1046"/>
      <c r="AV325" s="1046"/>
      <c r="AW325" s="1047"/>
      <c r="AX325" s="1048"/>
      <c r="AY325" s="1045"/>
      <c r="AZ325" s="1046"/>
      <c r="BA325" s="1046"/>
      <c r="BB325" s="1046"/>
      <c r="BC325" s="1047"/>
      <c r="BD325" s="1048"/>
      <c r="BE325" s="1045"/>
      <c r="BF325" s="1046"/>
      <c r="BG325" s="1046"/>
      <c r="BH325" s="1046"/>
      <c r="BI325" s="1047"/>
      <c r="BJ325" s="1048"/>
      <c r="BK325" s="1045"/>
      <c r="BL325" s="704"/>
      <c r="BM325" s="704"/>
      <c r="BN325" s="704"/>
      <c r="BO325" s="705"/>
      <c r="BP325" s="1039"/>
      <c r="BQ325" s="703"/>
      <c r="BR325" s="704"/>
      <c r="BS325" s="704"/>
      <c r="BT325" s="704"/>
      <c r="BU325" s="705"/>
      <c r="BV325" s="1039"/>
      <c r="BW325" s="703"/>
      <c r="BX325" s="704"/>
      <c r="BY325" s="704"/>
      <c r="BZ325" s="704"/>
      <c r="CA325" s="705"/>
      <c r="CB325" s="1039"/>
      <c r="CC325" s="703"/>
      <c r="CD325" s="704"/>
      <c r="CE325" s="704"/>
      <c r="CF325" s="704"/>
      <c r="CG325" s="705"/>
      <c r="CH325" s="11"/>
    </row>
    <row r="326" spans="1:86" ht="11.25" customHeight="1" x14ac:dyDescent="0.2">
      <c r="B326" s="773" t="s">
        <v>555</v>
      </c>
      <c r="C326" s="1040">
        <v>0.14599999999999999</v>
      </c>
      <c r="D326" s="1040">
        <v>0.14699999999999999</v>
      </c>
      <c r="E326" s="1040">
        <v>9.9000000000000005E-2</v>
      </c>
      <c r="F326" s="1103" t="s">
        <v>151</v>
      </c>
      <c r="G326" s="1041">
        <v>0.11899999999999999</v>
      </c>
      <c r="H326" s="1042"/>
      <c r="I326" s="1040">
        <v>0.06</v>
      </c>
      <c r="J326" s="1040">
        <v>7.9000000000000001E-2</v>
      </c>
      <c r="K326" s="1040">
        <v>4.8000000000000001E-2</v>
      </c>
      <c r="L326" s="1103" t="s">
        <v>151</v>
      </c>
      <c r="M326" s="1041">
        <v>0.05</v>
      </c>
      <c r="N326" s="1042"/>
      <c r="O326" s="1040">
        <v>0.01</v>
      </c>
      <c r="P326" s="1040">
        <v>1.2999999999999999E-2</v>
      </c>
      <c r="Q326" s="1040">
        <v>1.2999999999999999E-2</v>
      </c>
      <c r="R326" s="1103" t="s">
        <v>151</v>
      </c>
      <c r="S326" s="1041">
        <v>1.9E-2</v>
      </c>
      <c r="T326" s="1042"/>
      <c r="U326" s="1040">
        <v>0.02</v>
      </c>
      <c r="V326" s="1040">
        <v>7.0999999999999994E-2</v>
      </c>
      <c r="W326" s="1040">
        <v>8.1000000000000003E-2</v>
      </c>
      <c r="X326" s="1103" t="s">
        <v>151</v>
      </c>
      <c r="Y326" s="1041">
        <v>6.7000000000000004E-2</v>
      </c>
      <c r="Z326" s="1042"/>
      <c r="AA326" s="1040">
        <v>8.8999999999999996E-2</v>
      </c>
      <c r="AB326" s="1040">
        <v>4.8000000000000001E-2</v>
      </c>
      <c r="AC326" s="1040">
        <v>2.9000000000000001E-2</v>
      </c>
      <c r="AD326" s="1103" t="s">
        <v>151</v>
      </c>
      <c r="AE326" s="1041">
        <v>6.2E-2</v>
      </c>
      <c r="AF326" s="1042"/>
      <c r="AG326" s="1040">
        <v>8.5000000000000006E-2</v>
      </c>
      <c r="AH326" s="1040">
        <v>0.03</v>
      </c>
      <c r="AI326" s="1040">
        <v>4.1000000000000002E-2</v>
      </c>
      <c r="AJ326" s="1103" t="s">
        <v>151</v>
      </c>
      <c r="AK326" s="1041">
        <v>3.3000000000000002E-2</v>
      </c>
      <c r="AL326" s="1042"/>
      <c r="AM326" s="1040">
        <v>3.9E-2</v>
      </c>
      <c r="AN326" s="1040">
        <v>0.06</v>
      </c>
      <c r="AO326" s="1040">
        <v>4.7E-2</v>
      </c>
      <c r="AP326" s="1103" t="s">
        <v>151</v>
      </c>
      <c r="AQ326" s="1041">
        <v>4.4999999999999998E-2</v>
      </c>
      <c r="AR326" s="1042"/>
      <c r="AS326" s="1040">
        <v>7.5999999999999998E-2</v>
      </c>
      <c r="AT326" s="1040">
        <v>7.5999999999999998E-2</v>
      </c>
      <c r="AU326" s="1040">
        <v>9.6000000000000002E-2</v>
      </c>
      <c r="AV326" s="1103" t="s">
        <v>151</v>
      </c>
      <c r="AW326" s="1041">
        <v>8.6999999999999994E-2</v>
      </c>
      <c r="AX326" s="1042"/>
      <c r="AY326" s="1040">
        <v>2.5000000000000001E-2</v>
      </c>
      <c r="AZ326" s="1040">
        <v>4.4999999999999998E-2</v>
      </c>
      <c r="BA326" s="1040">
        <v>0.04</v>
      </c>
      <c r="BB326" s="1103" t="s">
        <v>151</v>
      </c>
      <c r="BC326" s="1041">
        <v>4.3999999999999997E-2</v>
      </c>
      <c r="BD326" s="1042"/>
      <c r="BE326" s="1040">
        <v>4.9000000000000002E-2</v>
      </c>
      <c r="BF326" s="1040">
        <v>4.2000000000000003E-2</v>
      </c>
      <c r="BG326" s="1040">
        <v>3.6999999999999998E-2</v>
      </c>
      <c r="BH326" s="1103" t="s">
        <v>151</v>
      </c>
      <c r="BI326" s="1041">
        <v>5.2999999999999999E-2</v>
      </c>
      <c r="BJ326" s="1044"/>
      <c r="BK326" s="767">
        <v>0.109</v>
      </c>
      <c r="BL326" s="1040">
        <v>8.7999999999999995E-2</v>
      </c>
      <c r="BM326" s="1040">
        <v>0.12</v>
      </c>
      <c r="BN326" s="1103" t="s">
        <v>151</v>
      </c>
      <c r="BO326" s="1041">
        <v>0.09</v>
      </c>
      <c r="BP326" s="278"/>
      <c r="BQ326" s="743"/>
      <c r="BR326" s="278"/>
      <c r="BS326" s="278"/>
      <c r="BT326" s="278"/>
      <c r="BU326" s="793"/>
      <c r="BV326" s="278"/>
      <c r="BW326" s="743"/>
      <c r="BX326" s="278"/>
      <c r="BY326" s="278"/>
      <c r="BZ326" s="278"/>
      <c r="CA326" s="793"/>
      <c r="CB326" s="278"/>
      <c r="CC326" s="743"/>
      <c r="CD326" s="278"/>
      <c r="CE326" s="278"/>
      <c r="CF326" s="278"/>
      <c r="CG326" s="793"/>
      <c r="CH326" s="11"/>
    </row>
    <row r="327" spans="1:86" ht="11.25" customHeight="1" x14ac:dyDescent="0.2">
      <c r="B327" s="773" t="s">
        <v>556</v>
      </c>
      <c r="C327" s="1040">
        <v>0.25600000000000001</v>
      </c>
      <c r="D327" s="1040">
        <v>0.251</v>
      </c>
      <c r="E327" s="1040">
        <v>0.25900000000000001</v>
      </c>
      <c r="F327" s="1103" t="s">
        <v>151</v>
      </c>
      <c r="G327" s="1041">
        <v>0.25</v>
      </c>
      <c r="H327" s="1042"/>
      <c r="I327" s="1040">
        <v>0.111</v>
      </c>
      <c r="J327" s="1040">
        <v>0.11</v>
      </c>
      <c r="K327" s="1040">
        <v>3.4000000000000002E-2</v>
      </c>
      <c r="L327" s="1103" t="s">
        <v>151</v>
      </c>
      <c r="M327" s="1041">
        <v>4.2000000000000003E-2</v>
      </c>
      <c r="N327" s="1042"/>
      <c r="O327" s="1040">
        <v>-5.0999999999999997E-2</v>
      </c>
      <c r="P327" s="1040">
        <v>-0.17499999999999999</v>
      </c>
      <c r="Q327" s="1040">
        <v>-0.128</v>
      </c>
      <c r="R327" s="1103" t="s">
        <v>151</v>
      </c>
      <c r="S327" s="1041">
        <v>-0.106</v>
      </c>
      <c r="T327" s="1042"/>
      <c r="U327" s="1040">
        <v>8.0000000000000002E-3</v>
      </c>
      <c r="V327" s="1040">
        <v>8.5999999999999993E-2</v>
      </c>
      <c r="W327" s="1040">
        <v>1.4E-2</v>
      </c>
      <c r="X327" s="1103" t="s">
        <v>151</v>
      </c>
      <c r="Y327" s="1041">
        <v>2.5000000000000001E-2</v>
      </c>
      <c r="Z327" s="1042"/>
      <c r="AA327" s="1040">
        <v>1.2999999999999999E-2</v>
      </c>
      <c r="AB327" s="1040">
        <v>1.2999999999999999E-2</v>
      </c>
      <c r="AC327" s="1040">
        <v>-2.1000000000000001E-2</v>
      </c>
      <c r="AD327" s="1103" t="s">
        <v>151</v>
      </c>
      <c r="AE327" s="1041">
        <v>3.5999999999999997E-2</v>
      </c>
      <c r="AF327" s="1042"/>
      <c r="AG327" s="1040">
        <v>2E-3</v>
      </c>
      <c r="AH327" s="1040">
        <v>1.2999999999999999E-2</v>
      </c>
      <c r="AI327" s="1040">
        <v>0.01</v>
      </c>
      <c r="AJ327" s="1103" t="s">
        <v>151</v>
      </c>
      <c r="AK327" s="1041">
        <v>4.0000000000000001E-3</v>
      </c>
      <c r="AL327" s="1042"/>
      <c r="AM327" s="1040">
        <v>-7.0000000000000001E-3</v>
      </c>
      <c r="AN327" s="1040">
        <v>6.2E-2</v>
      </c>
      <c r="AO327" s="1040">
        <v>6.8000000000000005E-2</v>
      </c>
      <c r="AP327" s="1103" t="s">
        <v>151</v>
      </c>
      <c r="AQ327" s="1041">
        <v>3.5999999999999997E-2</v>
      </c>
      <c r="AR327" s="1042"/>
      <c r="AS327" s="1040">
        <v>0.124</v>
      </c>
      <c r="AT327" s="1040">
        <v>7.0999999999999994E-2</v>
      </c>
      <c r="AU327" s="1040">
        <v>8.6999999999999994E-2</v>
      </c>
      <c r="AV327" s="1103" t="s">
        <v>151</v>
      </c>
      <c r="AW327" s="1041">
        <v>6.8000000000000005E-2</v>
      </c>
      <c r="AX327" s="1042"/>
      <c r="AY327" s="1040">
        <v>6.3E-2</v>
      </c>
      <c r="AZ327" s="1040">
        <v>4.8000000000000001E-2</v>
      </c>
      <c r="BA327" s="1040">
        <v>6.2E-2</v>
      </c>
      <c r="BB327" s="1103" t="s">
        <v>151</v>
      </c>
      <c r="BC327" s="1041">
        <v>7.0000000000000007E-2</v>
      </c>
      <c r="BD327" s="1042"/>
      <c r="BE327" s="1040">
        <v>0.107</v>
      </c>
      <c r="BF327" s="1040">
        <v>3.7999999999999999E-2</v>
      </c>
      <c r="BG327" s="1040">
        <v>0.11799999999999999</v>
      </c>
      <c r="BH327" s="1103" t="s">
        <v>151</v>
      </c>
      <c r="BI327" s="1041">
        <v>0.09</v>
      </c>
      <c r="BJ327" s="1044"/>
      <c r="BK327" s="767">
        <v>-1.0999999999999999E-2</v>
      </c>
      <c r="BL327" s="1040">
        <v>0.112</v>
      </c>
      <c r="BM327" s="1040">
        <v>6.0000000000000001E-3</v>
      </c>
      <c r="BN327" s="1103" t="s">
        <v>151</v>
      </c>
      <c r="BO327" s="1041">
        <v>4.4999999999999998E-2</v>
      </c>
      <c r="BP327" s="278"/>
      <c r="BQ327" s="743"/>
      <c r="BR327" s="278"/>
      <c r="BS327" s="278"/>
      <c r="BT327" s="278"/>
      <c r="BU327" s="793"/>
      <c r="BV327" s="278"/>
      <c r="BW327" s="743"/>
      <c r="BX327" s="278"/>
      <c r="BY327" s="278"/>
      <c r="BZ327" s="278"/>
      <c r="CA327" s="793"/>
      <c r="CB327" s="278"/>
      <c r="CC327" s="743"/>
      <c r="CD327" s="278"/>
      <c r="CE327" s="278"/>
      <c r="CF327" s="278"/>
      <c r="CG327" s="793"/>
      <c r="CH327" s="11"/>
    </row>
    <row r="328" spans="1:86" ht="11.25" customHeight="1" x14ac:dyDescent="0.2">
      <c r="B328" s="772" t="s">
        <v>324</v>
      </c>
      <c r="C328" s="1049">
        <v>0.16900000000000001</v>
      </c>
      <c r="D328" s="1049">
        <v>0.17199999999999999</v>
      </c>
      <c r="E328" s="1049">
        <v>0.13800000000000001</v>
      </c>
      <c r="F328" s="1103" t="s">
        <v>151</v>
      </c>
      <c r="G328" s="1050">
        <v>0.14599999999999999</v>
      </c>
      <c r="H328" s="1051"/>
      <c r="I328" s="1049">
        <v>7.1999999999999995E-2</v>
      </c>
      <c r="J328" s="1049">
        <v>8.6999999999999994E-2</v>
      </c>
      <c r="K328" s="1049">
        <v>4.3999999999999997E-2</v>
      </c>
      <c r="L328" s="1103" t="s">
        <v>151</v>
      </c>
      <c r="M328" s="1050">
        <v>4.8000000000000001E-2</v>
      </c>
      <c r="N328" s="1051"/>
      <c r="O328" s="1049">
        <v>-4.0000000000000001E-3</v>
      </c>
      <c r="P328" s="1049">
        <v>-3.5999999999999997E-2</v>
      </c>
      <c r="Q328" s="1049">
        <v>-2.5000000000000001E-2</v>
      </c>
      <c r="R328" s="1103" t="s">
        <v>151</v>
      </c>
      <c r="S328" s="1050">
        <v>-1.6E-2</v>
      </c>
      <c r="T328" s="1051"/>
      <c r="U328" s="1049">
        <v>1.7999999999999999E-2</v>
      </c>
      <c r="V328" s="1049">
        <v>7.4999999999999997E-2</v>
      </c>
      <c r="W328" s="1049">
        <v>6.5000000000000002E-2</v>
      </c>
      <c r="X328" s="1103" t="s">
        <v>151</v>
      </c>
      <c r="Y328" s="1050">
        <v>5.7000000000000002E-2</v>
      </c>
      <c r="Z328" s="1051"/>
      <c r="AA328" s="1049">
        <v>7.1999999999999995E-2</v>
      </c>
      <c r="AB328" s="1049">
        <v>0.04</v>
      </c>
      <c r="AC328" s="1049">
        <v>1.7999999999999999E-2</v>
      </c>
      <c r="AD328" s="1103" t="s">
        <v>151</v>
      </c>
      <c r="AE328" s="1050">
        <v>5.5E-2</v>
      </c>
      <c r="AF328" s="1051"/>
      <c r="AG328" s="1049">
        <v>6.6000000000000003E-2</v>
      </c>
      <c r="AH328" s="1049">
        <v>2.5999999999999999E-2</v>
      </c>
      <c r="AI328" s="1049">
        <v>3.4000000000000002E-2</v>
      </c>
      <c r="AJ328" s="471">
        <f>AJ128</f>
        <v>-1.4999999999999999E-2</v>
      </c>
      <c r="AK328" s="1050">
        <v>2.5000000000000001E-2</v>
      </c>
      <c r="AL328" s="1051"/>
      <c r="AM328" s="1049">
        <v>2.9000000000000001E-2</v>
      </c>
      <c r="AN328" s="1049">
        <v>0.06</v>
      </c>
      <c r="AO328" s="1049">
        <v>5.1999999999999998E-2</v>
      </c>
      <c r="AP328" s="471">
        <f>AP128</f>
        <v>3.1E-2</v>
      </c>
      <c r="AQ328" s="1050">
        <v>4.2999999999999997E-2</v>
      </c>
      <c r="AR328" s="1051"/>
      <c r="AS328" s="1049">
        <v>8.5999999999999993E-2</v>
      </c>
      <c r="AT328" s="1049">
        <v>7.4999999999999997E-2</v>
      </c>
      <c r="AU328" s="1049">
        <v>9.4E-2</v>
      </c>
      <c r="AV328" s="471">
        <f>AV128</f>
        <v>7.4999999999999997E-2</v>
      </c>
      <c r="AW328" s="1050">
        <v>8.2000000000000003E-2</v>
      </c>
      <c r="AX328" s="1051"/>
      <c r="AY328" s="1049">
        <v>3.3000000000000002E-2</v>
      </c>
      <c r="AZ328" s="1049">
        <v>4.4999999999999998E-2</v>
      </c>
      <c r="BA328" s="1049">
        <v>4.5999999999999999E-2</v>
      </c>
      <c r="BB328" s="471">
        <f>BB128</f>
        <v>7.2999999999999995E-2</v>
      </c>
      <c r="BC328" s="1050">
        <v>0.05</v>
      </c>
      <c r="BD328" s="1051"/>
      <c r="BE328" s="1049">
        <v>6.0999999999999999E-2</v>
      </c>
      <c r="BF328" s="1049">
        <v>4.1000000000000002E-2</v>
      </c>
      <c r="BG328" s="1049">
        <v>5.6000000000000001E-2</v>
      </c>
      <c r="BH328" s="471">
        <f>BH128</f>
        <v>8.6817414383680611E-2</v>
      </c>
      <c r="BI328" s="1050">
        <v>6.2E-2</v>
      </c>
      <c r="BJ328" s="1052"/>
      <c r="BK328" s="1053">
        <v>8.2000000000000003E-2</v>
      </c>
      <c r="BL328" s="1049">
        <v>9.4E-2</v>
      </c>
      <c r="BM328" s="1049">
        <v>9.0999999999999998E-2</v>
      </c>
      <c r="BN328" s="471">
        <f>BN128</f>
        <v>5.1923851697378565E-2</v>
      </c>
      <c r="BO328" s="1050">
        <v>7.9000000000000001E-2</v>
      </c>
      <c r="BP328" s="278"/>
      <c r="BQ328" s="1056"/>
      <c r="BR328" s="1054"/>
      <c r="BS328" s="1054"/>
      <c r="BT328" s="1054"/>
      <c r="BU328" s="1055"/>
      <c r="BV328" s="278"/>
      <c r="BW328" s="1056"/>
      <c r="BX328" s="1054"/>
      <c r="BY328" s="1054"/>
      <c r="BZ328" s="1054"/>
      <c r="CA328" s="1055"/>
      <c r="CB328" s="278"/>
      <c r="CC328" s="1056"/>
      <c r="CD328" s="1054"/>
      <c r="CE328" s="1054"/>
      <c r="CF328" s="1054"/>
      <c r="CG328" s="1055"/>
      <c r="CH328" s="11"/>
    </row>
    <row r="329" spans="1:86" ht="11.25" customHeight="1" x14ac:dyDescent="0.2">
      <c r="A329" s="78"/>
      <c r="B329" s="772"/>
      <c r="C329" s="1049"/>
      <c r="D329" s="1049"/>
      <c r="E329" s="1049"/>
      <c r="F329" s="1049"/>
      <c r="G329" s="1050"/>
      <c r="H329" s="1051"/>
      <c r="I329" s="1049"/>
      <c r="J329" s="1049"/>
      <c r="K329" s="1049"/>
      <c r="L329" s="1049"/>
      <c r="M329" s="1050"/>
      <c r="N329" s="1051"/>
      <c r="O329" s="1049"/>
      <c r="P329" s="1049"/>
      <c r="Q329" s="1049"/>
      <c r="R329" s="1049"/>
      <c r="S329" s="1050"/>
      <c r="T329" s="1051"/>
      <c r="U329" s="1049"/>
      <c r="V329" s="1049"/>
      <c r="W329" s="1049"/>
      <c r="X329" s="1049"/>
      <c r="Y329" s="1050"/>
      <c r="Z329" s="1051"/>
      <c r="AA329" s="1049"/>
      <c r="AB329" s="1049"/>
      <c r="AC329" s="1049"/>
      <c r="AD329" s="1049"/>
      <c r="AE329" s="1050"/>
      <c r="AF329" s="1051"/>
      <c r="AG329" s="1049"/>
      <c r="AH329" s="1049"/>
      <c r="AI329" s="1049"/>
      <c r="AJ329" s="1049"/>
      <c r="AK329" s="1050"/>
      <c r="AL329" s="1051"/>
      <c r="AM329" s="1049"/>
      <c r="AN329" s="1049"/>
      <c r="AO329" s="1049"/>
      <c r="AP329" s="1049"/>
      <c r="AQ329" s="1050"/>
      <c r="AR329" s="1051"/>
      <c r="AS329" s="1049"/>
      <c r="AT329" s="1049"/>
      <c r="AU329" s="1049"/>
      <c r="AV329" s="1049"/>
      <c r="AW329" s="1050"/>
      <c r="AX329" s="1051"/>
      <c r="AY329" s="1049"/>
      <c r="AZ329" s="1049"/>
      <c r="BA329" s="1049"/>
      <c r="BB329" s="1049"/>
      <c r="BC329" s="1050"/>
      <c r="BD329" s="1051"/>
      <c r="BE329" s="1049"/>
      <c r="BF329" s="1049"/>
      <c r="BG329" s="1049"/>
      <c r="BH329" s="1049"/>
      <c r="BI329" s="1050"/>
      <c r="BJ329" s="1052"/>
      <c r="BK329" s="1053"/>
      <c r="BL329" s="1054"/>
      <c r="BM329" s="1054"/>
      <c r="BN329" s="1054"/>
      <c r="BO329" s="1055"/>
      <c r="BP329" s="278"/>
      <c r="BQ329" s="1056"/>
      <c r="BR329" s="1054"/>
      <c r="BS329" s="1054"/>
      <c r="BT329" s="1054"/>
      <c r="BU329" s="1055"/>
      <c r="BV329" s="278"/>
      <c r="BW329" s="1056"/>
      <c r="BX329" s="1054"/>
      <c r="BY329" s="1054"/>
      <c r="BZ329" s="1054"/>
      <c r="CA329" s="1055"/>
      <c r="CB329" s="278"/>
      <c r="CC329" s="1056"/>
      <c r="CD329" s="1054"/>
      <c r="CE329" s="1054"/>
      <c r="CF329" s="1054"/>
      <c r="CG329" s="1055"/>
      <c r="CH329" s="1164"/>
    </row>
    <row r="330" spans="1:86" ht="11.25" customHeight="1" x14ac:dyDescent="0.2">
      <c r="B330" s="706" t="s">
        <v>575</v>
      </c>
      <c r="C330" s="1045"/>
      <c r="D330" s="1046"/>
      <c r="E330" s="1046"/>
      <c r="F330" s="1046"/>
      <c r="G330" s="1047"/>
      <c r="H330" s="1048"/>
      <c r="I330" s="1045"/>
      <c r="J330" s="1046"/>
      <c r="K330" s="1046"/>
      <c r="L330" s="1046"/>
      <c r="M330" s="1047"/>
      <c r="N330" s="1048"/>
      <c r="O330" s="1045"/>
      <c r="P330" s="1046"/>
      <c r="Q330" s="1046"/>
      <c r="R330" s="1046"/>
      <c r="S330" s="1047"/>
      <c r="T330" s="1048"/>
      <c r="U330" s="1045"/>
      <c r="V330" s="1046"/>
      <c r="W330" s="1046"/>
      <c r="X330" s="1046"/>
      <c r="Y330" s="1047"/>
      <c r="Z330" s="1048"/>
      <c r="AA330" s="1045"/>
      <c r="AB330" s="1046"/>
      <c r="AC330" s="1046"/>
      <c r="AD330" s="1046"/>
      <c r="AE330" s="1047"/>
      <c r="AF330" s="1048"/>
      <c r="AG330" s="1045"/>
      <c r="AH330" s="1046"/>
      <c r="AI330" s="1046"/>
      <c r="AJ330" s="1046"/>
      <c r="AK330" s="1047"/>
      <c r="AL330" s="1048"/>
      <c r="AM330" s="1045"/>
      <c r="AN330" s="1046"/>
      <c r="AO330" s="1046"/>
      <c r="AP330" s="1046"/>
      <c r="AQ330" s="1047"/>
      <c r="AR330" s="1048"/>
      <c r="AS330" s="1045"/>
      <c r="AT330" s="1046"/>
      <c r="AU330" s="1046"/>
      <c r="AV330" s="1046"/>
      <c r="AW330" s="1047"/>
      <c r="AX330" s="1048"/>
      <c r="AY330" s="1045"/>
      <c r="AZ330" s="1046"/>
      <c r="BA330" s="1046"/>
      <c r="BB330" s="1046"/>
      <c r="BC330" s="1047"/>
      <c r="BD330" s="1048"/>
      <c r="BE330" s="1045"/>
      <c r="BF330" s="1046"/>
      <c r="BG330" s="1046"/>
      <c r="BH330" s="1046"/>
      <c r="BI330" s="1047"/>
      <c r="BJ330" s="1048"/>
      <c r="BK330" s="1045"/>
      <c r="BL330" s="704"/>
      <c r="BM330" s="704"/>
      <c r="BN330" s="704"/>
      <c r="BO330" s="705"/>
      <c r="BP330" s="1039"/>
      <c r="BQ330" s="703"/>
      <c r="BR330" s="704"/>
      <c r="BS330" s="704"/>
      <c r="BT330" s="704"/>
      <c r="BU330" s="705"/>
      <c r="BV330" s="1039"/>
      <c r="BW330" s="703"/>
      <c r="BX330" s="704"/>
      <c r="BY330" s="704"/>
      <c r="BZ330" s="704"/>
      <c r="CA330" s="705"/>
      <c r="CB330" s="1039"/>
      <c r="CC330" s="703"/>
      <c r="CD330" s="704"/>
      <c r="CE330" s="704"/>
      <c r="CF330" s="704"/>
      <c r="CG330" s="705"/>
    </row>
    <row r="331" spans="1:86" ht="11.25" customHeight="1" x14ac:dyDescent="0.2">
      <c r="B331" s="773" t="s">
        <v>555</v>
      </c>
      <c r="C331" s="1040"/>
      <c r="D331" s="1040"/>
      <c r="E331" s="1040"/>
      <c r="F331" s="1040"/>
      <c r="G331" s="1041"/>
      <c r="H331" s="1042"/>
      <c r="I331" s="61">
        <f t="shared" ref="I331:K332" si="78">I326+I11</f>
        <v>7.5418970104923502E-2</v>
      </c>
      <c r="J331" s="61">
        <f t="shared" si="78"/>
        <v>8.900657167046179E-2</v>
      </c>
      <c r="K331" s="61">
        <f t="shared" si="78"/>
        <v>4.3734380166360776E-2</v>
      </c>
      <c r="L331" s="51" t="s">
        <v>151</v>
      </c>
      <c r="M331" s="447">
        <f>M326+M11</f>
        <v>4.462950170425016E-2</v>
      </c>
      <c r="N331" s="1060"/>
      <c r="O331" s="61">
        <f t="shared" ref="O331:Q332" si="79">O326+O11</f>
        <v>-1.5139417080893071E-2</v>
      </c>
      <c r="P331" s="61">
        <f t="shared" si="79"/>
        <v>-7.5849782954456237E-3</v>
      </c>
      <c r="Q331" s="61">
        <f t="shared" si="79"/>
        <v>7.7234706237228837E-3</v>
      </c>
      <c r="R331" s="51" t="s">
        <v>151</v>
      </c>
      <c r="S331" s="447">
        <f>S326+S11</f>
        <v>1.268001771673795E-2</v>
      </c>
      <c r="T331" s="1042"/>
      <c r="U331" s="61">
        <f t="shared" ref="U331:W332" si="80">U326+U11</f>
        <v>3.6839281024183546E-2</v>
      </c>
      <c r="V331" s="61">
        <f t="shared" si="80"/>
        <v>8.4941353446294388E-2</v>
      </c>
      <c r="W331" s="61">
        <f t="shared" si="80"/>
        <v>8.6531214583684943E-2</v>
      </c>
      <c r="X331" s="51" t="s">
        <v>151</v>
      </c>
      <c r="Y331" s="447">
        <f>Y326+Y11</f>
        <v>7.7404516715864791E-2</v>
      </c>
      <c r="Z331" s="1042"/>
      <c r="AA331" s="1040"/>
      <c r="AB331" s="1040"/>
      <c r="AC331" s="1040"/>
      <c r="AD331" s="1040"/>
      <c r="AE331" s="1041"/>
      <c r="AF331" s="1042"/>
      <c r="AG331" s="61">
        <f>AG326+AG129</f>
        <v>7.4052019237440633E-2</v>
      </c>
      <c r="AH331" s="61">
        <f>AH326+AH129</f>
        <v>-8.7411706725805116E-3</v>
      </c>
      <c r="AI331" s="61">
        <f>AI326+AI129</f>
        <v>3.8023750223727878E-3</v>
      </c>
      <c r="AJ331" s="51" t="s">
        <v>151</v>
      </c>
      <c r="AK331" s="447">
        <f>AK326+AK129</f>
        <v>9.5062700187916495E-3</v>
      </c>
      <c r="AL331" s="1042"/>
      <c r="AM331" s="61">
        <f>AM326+AM129</f>
        <v>4.0397190883871378E-2</v>
      </c>
      <c r="AN331" s="61">
        <f>AN326+AN129</f>
        <v>6.2113854318886608E-2</v>
      </c>
      <c r="AO331" s="61">
        <f>AO326+AO129</f>
        <v>5.1967385187104205E-2</v>
      </c>
      <c r="AP331" s="51" t="s">
        <v>151</v>
      </c>
      <c r="AQ331" s="447">
        <f>AQ326+AQ129</f>
        <v>4.9166464341053089E-2</v>
      </c>
      <c r="AR331" s="1042"/>
      <c r="AS331" s="61">
        <f>AS326+AS129</f>
        <v>7.9127851561351617E-2</v>
      </c>
      <c r="AT331" s="61">
        <f>AT326+AT129</f>
        <v>8.7457321918955722E-2</v>
      </c>
      <c r="AU331" s="61">
        <f>AU326+AU129</f>
        <v>9.9321587794465982E-2</v>
      </c>
      <c r="AV331" s="51" t="s">
        <v>151</v>
      </c>
      <c r="AW331" s="447">
        <f>AW326+AW129</f>
        <v>8.1560901101486699E-2</v>
      </c>
      <c r="AX331" s="1042"/>
      <c r="AY331" s="61">
        <f>AY326+AY129</f>
        <v>-4.4127680179624533E-2</v>
      </c>
      <c r="AZ331" s="61">
        <f>AZ326+AZ129</f>
        <v>-3.4883933353842767E-2</v>
      </c>
      <c r="BA331" s="61">
        <f>BA326+BA129</f>
        <v>-3.0670505379126849E-2</v>
      </c>
      <c r="BB331" s="51" t="s">
        <v>151</v>
      </c>
      <c r="BC331" s="447">
        <f>BC326+BC129</f>
        <v>-2.5201212551440588E-2</v>
      </c>
      <c r="BD331" s="1042"/>
      <c r="BE331" s="61">
        <f>BE326+BE129</f>
        <v>2.9343185557963572E-2</v>
      </c>
      <c r="BF331" s="61">
        <f>BF326+BF129</f>
        <v>4.0708709415836597E-2</v>
      </c>
      <c r="BG331" s="61">
        <f>BG326+BG129</f>
        <v>3.1701204512915818E-2</v>
      </c>
      <c r="BH331" s="51" t="s">
        <v>151</v>
      </c>
      <c r="BI331" s="447">
        <f>BI326+BI129</f>
        <v>4.4020292407314393E-2</v>
      </c>
      <c r="BJ331" s="1044"/>
      <c r="BK331" s="625">
        <f>BK326+BK129</f>
        <v>0.10643353395992325</v>
      </c>
      <c r="BL331" s="61">
        <f>BL326+BL129</f>
        <v>7.7731433714829823E-2</v>
      </c>
      <c r="BM331" s="61">
        <f>BM326+BM129</f>
        <v>0.14038836173690825</v>
      </c>
      <c r="BN331" s="51" t="s">
        <v>151</v>
      </c>
      <c r="BO331" s="447">
        <f>BO326+BO129</f>
        <v>0.10011276764760989</v>
      </c>
      <c r="BP331" s="278"/>
      <c r="BQ331" s="743"/>
      <c r="BR331" s="278"/>
      <c r="BS331" s="278"/>
      <c r="BT331" s="278"/>
      <c r="BU331" s="793"/>
      <c r="BV331" s="278"/>
      <c r="BW331" s="743"/>
      <c r="BX331" s="278"/>
      <c r="BY331" s="278"/>
      <c r="BZ331" s="278"/>
      <c r="CA331" s="793"/>
      <c r="CB331" s="278"/>
      <c r="CC331" s="743"/>
      <c r="CD331" s="278"/>
      <c r="CE331" s="278"/>
      <c r="CF331" s="278"/>
      <c r="CG331" s="793"/>
    </row>
    <row r="332" spans="1:86" ht="11.25" customHeight="1" x14ac:dyDescent="0.2">
      <c r="B332" s="773" t="s">
        <v>556</v>
      </c>
      <c r="C332" s="1040"/>
      <c r="D332" s="1040"/>
      <c r="E332" s="1040"/>
      <c r="F332" s="1040"/>
      <c r="G332" s="1041"/>
      <c r="H332" s="1042"/>
      <c r="I332" s="61">
        <f t="shared" si="78"/>
        <v>0.128</v>
      </c>
      <c r="J332" s="61">
        <f t="shared" si="78"/>
        <v>0.125</v>
      </c>
      <c r="K332" s="61">
        <f t="shared" si="78"/>
        <v>3.4000000000000002E-2</v>
      </c>
      <c r="L332" s="51" t="s">
        <v>151</v>
      </c>
      <c r="M332" s="447">
        <f>M327+M12</f>
        <v>4.9546570726693322E-2</v>
      </c>
      <c r="N332" s="1060"/>
      <c r="O332" s="61">
        <f t="shared" si="79"/>
        <v>-2.4999999999999998E-2</v>
      </c>
      <c r="P332" s="61">
        <f t="shared" si="79"/>
        <v>-0.151</v>
      </c>
      <c r="Q332" s="61">
        <f t="shared" si="79"/>
        <v>-0.10400000000000001</v>
      </c>
      <c r="R332" s="51" t="s">
        <v>151</v>
      </c>
      <c r="S332" s="447">
        <f>S327+S12</f>
        <v>-8.0758764487367657E-2</v>
      </c>
      <c r="T332" s="1042"/>
      <c r="U332" s="61">
        <f t="shared" si="80"/>
        <v>1.6E-2</v>
      </c>
      <c r="V332" s="61">
        <f t="shared" si="80"/>
        <v>0.13300000000000001</v>
      </c>
      <c r="W332" s="61">
        <f t="shared" si="80"/>
        <v>6.4000000000000001E-2</v>
      </c>
      <c r="X332" s="51" t="s">
        <v>151</v>
      </c>
      <c r="Y332" s="447">
        <f>Y327+Y12</f>
        <v>6.0838334353949787E-2</v>
      </c>
      <c r="Z332" s="1042"/>
      <c r="AA332" s="1040"/>
      <c r="AB332" s="1040"/>
      <c r="AC332" s="1040"/>
      <c r="AD332" s="1040"/>
      <c r="AE332" s="1041"/>
      <c r="AF332" s="1042"/>
      <c r="AG332" s="61">
        <f>AG327+AG129</f>
        <v>-8.9479807625593728E-3</v>
      </c>
      <c r="AH332" s="61">
        <f>AH327+AH129</f>
        <v>-2.5741170672580513E-2</v>
      </c>
      <c r="AI332" s="61">
        <f>AI327+AI129</f>
        <v>-2.7197624977627212E-2</v>
      </c>
      <c r="AJ332" s="51" t="s">
        <v>151</v>
      </c>
      <c r="AK332" s="447">
        <f>AK327+AK129</f>
        <v>-1.9493729981208352E-2</v>
      </c>
      <c r="AL332" s="1042"/>
      <c r="AM332" s="61">
        <f>AM327+AM129</f>
        <v>-5.6028091161286183E-3</v>
      </c>
      <c r="AN332" s="61">
        <f>AN327+AN129</f>
        <v>6.4113854318886609E-2</v>
      </c>
      <c r="AO332" s="61">
        <f>AO327+AO129</f>
        <v>7.2967385187104217E-2</v>
      </c>
      <c r="AP332" s="51" t="s">
        <v>151</v>
      </c>
      <c r="AQ332" s="447">
        <f>AQ327+AQ129</f>
        <v>4.0166464341053087E-2</v>
      </c>
      <c r="AR332" s="1042"/>
      <c r="AS332" s="61">
        <f>AS327+AS129</f>
        <v>0.12712785156135162</v>
      </c>
      <c r="AT332" s="61">
        <f>AT327+AT129</f>
        <v>8.2457321918955717E-2</v>
      </c>
      <c r="AU332" s="61">
        <f>AU327+AU129</f>
        <v>9.0321587794465974E-2</v>
      </c>
      <c r="AV332" s="51" t="s">
        <v>151</v>
      </c>
      <c r="AW332" s="447">
        <f>AW327+AW129</f>
        <v>6.256090110148671E-2</v>
      </c>
      <c r="AX332" s="1042"/>
      <c r="AY332" s="61">
        <f>AY327+AY129</f>
        <v>-6.1276801796245339E-3</v>
      </c>
      <c r="AZ332" s="61">
        <f>AZ327+AZ129</f>
        <v>-3.1883933353842764E-2</v>
      </c>
      <c r="BA332" s="61">
        <f>BA327+BA129</f>
        <v>-8.6705053791268499E-3</v>
      </c>
      <c r="BB332" s="51" t="s">
        <v>151</v>
      </c>
      <c r="BC332" s="447">
        <f>BC327+BC129</f>
        <v>7.9878744855942097E-4</v>
      </c>
      <c r="BD332" s="1042"/>
      <c r="BE332" s="61">
        <f>BE327+BE129</f>
        <v>8.7343185557963568E-2</v>
      </c>
      <c r="BF332" s="61">
        <f>BF327+BF129</f>
        <v>3.6708709415836593E-2</v>
      </c>
      <c r="BG332" s="61">
        <f>BG327+BG129</f>
        <v>0.11270120451291582</v>
      </c>
      <c r="BH332" s="51" t="s">
        <v>151</v>
      </c>
      <c r="BI332" s="447">
        <f>BI327+BI129</f>
        <v>8.1020292407314398E-2</v>
      </c>
      <c r="BJ332" s="1044"/>
      <c r="BK332" s="625">
        <f>BK327+BK129</f>
        <v>-1.356646604007675E-2</v>
      </c>
      <c r="BL332" s="61">
        <f>BL327+BL129</f>
        <v>0.10173143371482983</v>
      </c>
      <c r="BM332" s="61">
        <f>BM327+BM129</f>
        <v>2.6388361736908249E-2</v>
      </c>
      <c r="BN332" s="51" t="s">
        <v>151</v>
      </c>
      <c r="BO332" s="447">
        <f>BO327+BO129</f>
        <v>5.5112767647609889E-2</v>
      </c>
      <c r="BP332" s="278"/>
      <c r="BQ332" s="743"/>
      <c r="BR332" s="278"/>
      <c r="BS332" s="278"/>
      <c r="BT332" s="278"/>
      <c r="BU332" s="793"/>
      <c r="BV332" s="278"/>
      <c r="BW332" s="743"/>
      <c r="BX332" s="278"/>
      <c r="BY332" s="278"/>
      <c r="BZ332" s="278"/>
      <c r="CA332" s="793"/>
      <c r="CB332" s="278"/>
      <c r="CC332" s="743"/>
      <c r="CD332" s="278"/>
      <c r="CE332" s="278"/>
      <c r="CF332" s="278"/>
      <c r="CG332" s="793"/>
      <c r="CH332" s="11"/>
    </row>
    <row r="333" spans="1:86" ht="11.25" customHeight="1" x14ac:dyDescent="0.2">
      <c r="B333" s="773" t="s">
        <v>324</v>
      </c>
      <c r="C333" s="1040"/>
      <c r="D333" s="1040"/>
      <c r="E333" s="1040"/>
      <c r="F333" s="1040"/>
      <c r="G333" s="1041"/>
      <c r="H333" s="1042"/>
      <c r="I333" s="61">
        <f>I9</f>
        <v>8.7418970104923499E-2</v>
      </c>
      <c r="J333" s="61">
        <f>J9</f>
        <v>9.7006571670461783E-2</v>
      </c>
      <c r="K333" s="61">
        <f>K9</f>
        <v>3.9734380166360772E-2</v>
      </c>
      <c r="L333" s="61">
        <f>L9</f>
        <v>-4.0094896733047114E-2</v>
      </c>
      <c r="M333" s="447">
        <f>M9</f>
        <v>4.2516304394175863E-2</v>
      </c>
      <c r="N333" s="1042"/>
      <c r="O333" s="61">
        <f>O9</f>
        <v>-2.9139417080893071E-2</v>
      </c>
      <c r="P333" s="61">
        <f>P9</f>
        <v>-5.658497829544562E-2</v>
      </c>
      <c r="Q333" s="61">
        <f>Q9</f>
        <v>-3.0276529376277117E-2</v>
      </c>
      <c r="R333" s="61">
        <f>R9</f>
        <v>2.6634874781239715E-2</v>
      </c>
      <c r="S333" s="447">
        <f>S9</f>
        <v>-2.2260060520501224E-2</v>
      </c>
      <c r="T333" s="1042"/>
      <c r="U333" s="61">
        <f>U9</f>
        <v>3.4839281024183544E-2</v>
      </c>
      <c r="V333" s="61">
        <f>V9</f>
        <v>8.8941353446294391E-2</v>
      </c>
      <c r="W333" s="61">
        <f>W9</f>
        <v>7.0531214583684942E-2</v>
      </c>
      <c r="X333" s="61">
        <f>X9</f>
        <v>7.2951296820961575E-2</v>
      </c>
      <c r="Y333" s="447">
        <f>Y9</f>
        <v>6.7296540409040873E-2</v>
      </c>
      <c r="Z333" s="1042"/>
      <c r="AA333" s="61"/>
      <c r="AB333" s="61"/>
      <c r="AC333" s="61"/>
      <c r="AD333" s="61"/>
      <c r="AE333" s="447"/>
      <c r="AF333" s="1042"/>
      <c r="AG333" s="61">
        <f>AG127</f>
        <v>5.505201923744063E-2</v>
      </c>
      <c r="AH333" s="61">
        <f>AH127</f>
        <v>-1.2741170672580515E-2</v>
      </c>
      <c r="AI333" s="61">
        <f>AI127</f>
        <v>-3.1976249776272114E-3</v>
      </c>
      <c r="AJ333" s="61">
        <f>AJ127</f>
        <v>-2.3654396936271582E-2</v>
      </c>
      <c r="AK333" s="447">
        <f>AK127</f>
        <v>2.0113756894692969E-3</v>
      </c>
      <c r="AL333" s="1042"/>
      <c r="AM333" s="61">
        <f>AM127</f>
        <v>3.0397190883871383E-2</v>
      </c>
      <c r="AN333" s="61">
        <f>AN127</f>
        <v>6.2113854318886608E-2</v>
      </c>
      <c r="AO333" s="61">
        <f>AO127</f>
        <v>5.6967385187104203E-2</v>
      </c>
      <c r="AP333" s="61">
        <f>AP127</f>
        <v>3.8773718715430228E-2</v>
      </c>
      <c r="AQ333" s="447">
        <f>AQ127</f>
        <v>4.6809266429321594E-2</v>
      </c>
      <c r="AR333" s="1042"/>
      <c r="AS333" s="61">
        <f>AS127</f>
        <v>8.9127851561351612E-2</v>
      </c>
      <c r="AT333" s="61">
        <f>AT127</f>
        <v>8.6457321918955721E-2</v>
      </c>
      <c r="AU333" s="61">
        <f>AU127</f>
        <v>9.732158779446598E-2</v>
      </c>
      <c r="AV333" s="61">
        <f>AV127</f>
        <v>3.8888298476614125E-2</v>
      </c>
      <c r="AW333" s="447">
        <f>AW127</f>
        <v>7.6679701286841873E-2</v>
      </c>
      <c r="AX333" s="1042"/>
      <c r="AY333" s="61">
        <f>AY127</f>
        <v>-3.6127680179624533E-2</v>
      </c>
      <c r="AZ333" s="61">
        <f>AZ127</f>
        <v>-3.4883933353842767E-2</v>
      </c>
      <c r="BA333" s="61">
        <f>BA127</f>
        <v>-2.467050537912685E-2</v>
      </c>
      <c r="BB333" s="61">
        <f>BB127</f>
        <v>1.5390975650708905E-2</v>
      </c>
      <c r="BC333" s="447">
        <f>BC127</f>
        <v>-1.9476642356791141E-2</v>
      </c>
      <c r="BD333" s="1042"/>
      <c r="BE333" s="61">
        <f>BE127</f>
        <v>4.1343185557963569E-2</v>
      </c>
      <c r="BF333" s="61">
        <f>BF127</f>
        <v>3.9708709415836596E-2</v>
      </c>
      <c r="BG333" s="61">
        <f>BG127</f>
        <v>5.0701204512915821E-2</v>
      </c>
      <c r="BH333" s="61">
        <f>BH127</f>
        <v>7.6817414383680616E-2</v>
      </c>
      <c r="BI333" s="447">
        <f>BI127</f>
        <v>5.2856422940838588E-2</v>
      </c>
      <c r="BJ333" s="1044"/>
      <c r="BK333" s="625">
        <f>BK127</f>
        <v>7.9433533959923253E-2</v>
      </c>
      <c r="BL333" s="61">
        <f>BL127</f>
        <v>8.3731433714829828E-2</v>
      </c>
      <c r="BM333" s="61">
        <f>BM127</f>
        <v>0.11138836173690825</v>
      </c>
      <c r="BN333" s="61">
        <f>BN127</f>
        <v>8.1923125811782072E-2</v>
      </c>
      <c r="BO333" s="447">
        <f>BO127</f>
        <v>8.8843822807737283E-2</v>
      </c>
      <c r="BP333" s="278"/>
      <c r="BQ333" s="743"/>
      <c r="BR333" s="278"/>
      <c r="BS333" s="278"/>
      <c r="BT333" s="278"/>
      <c r="BU333" s="793"/>
      <c r="BV333" s="278"/>
      <c r="BW333" s="743"/>
      <c r="BX333" s="278"/>
      <c r="BY333" s="278"/>
      <c r="BZ333" s="278"/>
      <c r="CA333" s="793"/>
      <c r="CB333" s="278"/>
      <c r="CC333" s="743"/>
      <c r="CD333" s="278"/>
      <c r="CE333" s="278"/>
      <c r="CF333" s="278"/>
      <c r="CG333" s="793"/>
    </row>
    <row r="334" spans="1:86" ht="11.25" customHeight="1" x14ac:dyDescent="0.2">
      <c r="A334" s="78"/>
      <c r="B334" s="772"/>
      <c r="C334" s="1049"/>
      <c r="D334" s="1049"/>
      <c r="E334" s="1049"/>
      <c r="F334" s="1049"/>
      <c r="G334" s="1050"/>
      <c r="H334" s="1051"/>
      <c r="I334" s="1049"/>
      <c r="J334" s="1049"/>
      <c r="K334" s="1049"/>
      <c r="L334" s="1049"/>
      <c r="M334" s="1050"/>
      <c r="N334" s="1051"/>
      <c r="O334" s="1049"/>
      <c r="P334" s="1049"/>
      <c r="Q334" s="1049"/>
      <c r="R334" s="1049"/>
      <c r="S334" s="1050"/>
      <c r="T334" s="1051"/>
      <c r="U334" s="1049"/>
      <c r="V334" s="1049"/>
      <c r="W334" s="1049"/>
      <c r="X334" s="1049"/>
      <c r="Y334" s="1050"/>
      <c r="Z334" s="1051"/>
      <c r="AA334" s="1049"/>
      <c r="AB334" s="1049"/>
      <c r="AC334" s="1049"/>
      <c r="AD334" s="1049"/>
      <c r="AE334" s="1050"/>
      <c r="AF334" s="1051"/>
      <c r="AG334" s="1049"/>
      <c r="AH334" s="1049"/>
      <c r="AI334" s="1049"/>
      <c r="AJ334" s="1049"/>
      <c r="AK334" s="1050"/>
      <c r="AL334" s="1051"/>
      <c r="AM334" s="1049"/>
      <c r="AN334" s="1049"/>
      <c r="AO334" s="1049"/>
      <c r="AP334" s="1049"/>
      <c r="AQ334" s="1050"/>
      <c r="AR334" s="1051"/>
      <c r="AS334" s="1049"/>
      <c r="AT334" s="1049"/>
      <c r="AU334" s="1049"/>
      <c r="AV334" s="1049"/>
      <c r="AW334" s="1050"/>
      <c r="AX334" s="1051"/>
      <c r="AY334" s="1049"/>
      <c r="AZ334" s="1049"/>
      <c r="BA334" s="1049"/>
      <c r="BB334" s="1049"/>
      <c r="BC334" s="1050"/>
      <c r="BD334" s="1051"/>
      <c r="BE334" s="1049"/>
      <c r="BF334" s="1049"/>
      <c r="BG334" s="1049"/>
      <c r="BH334" s="1049"/>
      <c r="BI334" s="1050"/>
      <c r="BJ334" s="1052"/>
      <c r="BK334" s="1053"/>
      <c r="BL334" s="1054"/>
      <c r="BM334" s="1054"/>
      <c r="BN334" s="1054"/>
      <c r="BO334" s="1055"/>
      <c r="BP334" s="278"/>
      <c r="BQ334" s="1056"/>
      <c r="BR334" s="1054"/>
      <c r="BS334" s="1054"/>
      <c r="BT334" s="1054"/>
      <c r="BU334" s="1055"/>
      <c r="BV334" s="278"/>
      <c r="BW334" s="1056"/>
      <c r="BX334" s="1054"/>
      <c r="BY334" s="1054"/>
      <c r="BZ334" s="1054"/>
      <c r="CA334" s="1055"/>
      <c r="CB334" s="278"/>
      <c r="CC334" s="1056"/>
      <c r="CD334" s="1054"/>
      <c r="CE334" s="1054"/>
      <c r="CF334" s="1054"/>
      <c r="CG334" s="1055"/>
      <c r="CH334" s="1164"/>
    </row>
    <row r="335" spans="1:86" ht="11.25" customHeight="1" x14ac:dyDescent="0.2">
      <c r="A335" s="78"/>
      <c r="B335" s="772"/>
      <c r="C335" s="1049"/>
      <c r="D335" s="1049"/>
      <c r="E335" s="1049"/>
      <c r="F335" s="1049"/>
      <c r="G335" s="1050"/>
      <c r="H335" s="1051"/>
      <c r="I335" s="1049"/>
      <c r="J335" s="1049"/>
      <c r="K335" s="1049"/>
      <c r="L335" s="1049"/>
      <c r="M335" s="1050"/>
      <c r="N335" s="1051"/>
      <c r="O335" s="1049"/>
      <c r="P335" s="1049"/>
      <c r="Q335" s="1049"/>
      <c r="R335" s="1049"/>
      <c r="S335" s="1050"/>
      <c r="T335" s="1051"/>
      <c r="U335" s="1049"/>
      <c r="V335" s="1049"/>
      <c r="W335" s="1049"/>
      <c r="X335" s="1049"/>
      <c r="Y335" s="1050"/>
      <c r="Z335" s="1051"/>
      <c r="AA335" s="1049"/>
      <c r="AB335" s="1049"/>
      <c r="AC335" s="1049"/>
      <c r="AD335" s="1049"/>
      <c r="AE335" s="1050"/>
      <c r="AF335" s="1051"/>
      <c r="AG335" s="1049"/>
      <c r="AH335" s="1049"/>
      <c r="AI335" s="1049"/>
      <c r="AJ335" s="1049"/>
      <c r="AK335" s="1050"/>
      <c r="AL335" s="1051"/>
      <c r="AM335" s="1049"/>
      <c r="AN335" s="1049"/>
      <c r="AO335" s="1049"/>
      <c r="AP335" s="1049"/>
      <c r="AQ335" s="1050"/>
      <c r="AR335" s="1051"/>
      <c r="AS335" s="1049"/>
      <c r="AT335" s="1049"/>
      <c r="AU335" s="1049"/>
      <c r="AV335" s="1049"/>
      <c r="AW335" s="1050"/>
      <c r="AX335" s="1051"/>
      <c r="AY335" s="1049"/>
      <c r="AZ335" s="1049"/>
      <c r="BA335" s="1049"/>
      <c r="BB335" s="1049"/>
      <c r="BC335" s="1050"/>
      <c r="BD335" s="1051"/>
      <c r="BE335" s="1049"/>
      <c r="BF335" s="1049"/>
      <c r="BG335" s="1049"/>
      <c r="BH335" s="1049"/>
      <c r="BI335" s="1050"/>
      <c r="BJ335" s="1052"/>
      <c r="BK335" s="1053"/>
      <c r="BL335" s="1054"/>
      <c r="BM335" s="1054"/>
      <c r="BN335" s="1054"/>
      <c r="BO335" s="1055"/>
      <c r="BP335" s="278"/>
      <c r="BQ335" s="1056"/>
      <c r="BR335" s="1054"/>
      <c r="BS335" s="1054"/>
      <c r="BT335" s="1054"/>
      <c r="BU335" s="1055"/>
      <c r="BV335" s="278"/>
      <c r="BW335" s="1056"/>
      <c r="BX335" s="1054"/>
      <c r="BY335" s="1054"/>
      <c r="BZ335" s="1054"/>
      <c r="CA335" s="1055"/>
      <c r="CB335" s="278"/>
      <c r="CC335" s="1056"/>
      <c r="CD335" s="1054"/>
      <c r="CE335" s="1054"/>
      <c r="CF335" s="1054"/>
      <c r="CG335" s="1055"/>
      <c r="CH335" s="11"/>
    </row>
    <row r="336" spans="1:86" ht="11.25" customHeight="1" x14ac:dyDescent="0.2">
      <c r="B336" s="706" t="s">
        <v>557</v>
      </c>
      <c r="C336" s="1045"/>
      <c r="D336" s="1046"/>
      <c r="E336" s="1046"/>
      <c r="F336" s="1046"/>
      <c r="G336" s="1047"/>
      <c r="H336" s="1048"/>
      <c r="I336" s="1045"/>
      <c r="J336" s="1046"/>
      <c r="K336" s="1046"/>
      <c r="L336" s="1046"/>
      <c r="M336" s="1047"/>
      <c r="N336" s="1048"/>
      <c r="O336" s="1045"/>
      <c r="P336" s="1046"/>
      <c r="Q336" s="1046"/>
      <c r="R336" s="1046"/>
      <c r="S336" s="1047"/>
      <c r="T336" s="1048"/>
      <c r="U336" s="1045"/>
      <c r="V336" s="1046"/>
      <c r="W336" s="1046"/>
      <c r="X336" s="1046"/>
      <c r="Y336" s="1047"/>
      <c r="Z336" s="1048"/>
      <c r="AA336" s="1045"/>
      <c r="AB336" s="1046"/>
      <c r="AC336" s="1046"/>
      <c r="AD336" s="1046"/>
      <c r="AE336" s="1047"/>
      <c r="AF336" s="1048"/>
      <c r="AG336" s="1045"/>
      <c r="AH336" s="1046"/>
      <c r="AI336" s="1046"/>
      <c r="AJ336" s="1046"/>
      <c r="AK336" s="1047"/>
      <c r="AL336" s="1048"/>
      <c r="AM336" s="1045"/>
      <c r="AN336" s="1046"/>
      <c r="AO336" s="1046"/>
      <c r="AP336" s="1046"/>
      <c r="AQ336" s="1047"/>
      <c r="AR336" s="1048"/>
      <c r="AS336" s="1045"/>
      <c r="AT336" s="1046"/>
      <c r="AU336" s="1046"/>
      <c r="AV336" s="1046"/>
      <c r="AW336" s="1047"/>
      <c r="AX336" s="1048"/>
      <c r="AY336" s="1045"/>
      <c r="AZ336" s="1046"/>
      <c r="BA336" s="1046"/>
      <c r="BB336" s="1046"/>
      <c r="BC336" s="1047"/>
      <c r="BD336" s="1048"/>
      <c r="BE336" s="1045"/>
      <c r="BF336" s="1046"/>
      <c r="BG336" s="1046"/>
      <c r="BH336" s="1046"/>
      <c r="BI336" s="1047"/>
      <c r="BJ336" s="1048"/>
      <c r="BK336" s="1045"/>
      <c r="BL336" s="704"/>
      <c r="BM336" s="704"/>
      <c r="BN336" s="704"/>
      <c r="BO336" s="705"/>
      <c r="BP336" s="1039"/>
      <c r="BQ336" s="703"/>
      <c r="BR336" s="704"/>
      <c r="BS336" s="704"/>
      <c r="BT336" s="704"/>
      <c r="BU336" s="705"/>
      <c r="BV336" s="1039"/>
      <c r="BW336" s="703"/>
      <c r="BX336" s="704"/>
      <c r="BY336" s="704"/>
      <c r="BZ336" s="704"/>
      <c r="CA336" s="705"/>
      <c r="CB336" s="1039"/>
      <c r="CC336" s="703"/>
      <c r="CD336" s="704"/>
      <c r="CE336" s="704"/>
      <c r="CF336" s="704"/>
      <c r="CG336" s="705"/>
    </row>
    <row r="337" spans="1:87" ht="11.25" customHeight="1" x14ac:dyDescent="0.2">
      <c r="B337" s="773" t="s">
        <v>555</v>
      </c>
      <c r="C337" s="61">
        <f>$G337</f>
        <v>0.79</v>
      </c>
      <c r="D337" s="61">
        <f t="shared" ref="D337:F338" si="81">$G337</f>
        <v>0.79</v>
      </c>
      <c r="E337" s="61">
        <f t="shared" si="81"/>
        <v>0.79</v>
      </c>
      <c r="F337" s="61">
        <f t="shared" si="81"/>
        <v>0.79</v>
      </c>
      <c r="G337" s="1063">
        <v>0.79</v>
      </c>
      <c r="H337" s="1060"/>
      <c r="I337" s="61">
        <f t="shared" ref="I337:M338" si="82">I343/I$345</f>
        <v>0.78197100220907612</v>
      </c>
      <c r="J337" s="61">
        <f t="shared" si="82"/>
        <v>0.78455453282166421</v>
      </c>
      <c r="K337" s="61">
        <f t="shared" si="82"/>
        <v>0.79155030135744531</v>
      </c>
      <c r="L337" s="61">
        <f t="shared" si="82"/>
        <v>0.79830216292189105</v>
      </c>
      <c r="M337" s="447">
        <f t="shared" si="82"/>
        <v>0.78921988014905597</v>
      </c>
      <c r="N337" s="1060"/>
      <c r="O337" s="61">
        <f t="shared" ref="O337:S338" si="83">O343/O$345</f>
        <v>0.78368173356684023</v>
      </c>
      <c r="P337" s="61">
        <f t="shared" si="83"/>
        <v>0.8097660055521857</v>
      </c>
      <c r="Q337" s="61">
        <f t="shared" si="83"/>
        <v>0.81027596741878039</v>
      </c>
      <c r="R337" s="61">
        <f t="shared" si="83"/>
        <v>0.81387984366474331</v>
      </c>
      <c r="S337" s="447">
        <f t="shared" si="83"/>
        <v>0.80487340524294637</v>
      </c>
      <c r="T337" s="1060"/>
      <c r="U337" s="61">
        <f t="shared" ref="U337:Y338" si="84">U343/U$345</f>
        <v>0.78710386375339958</v>
      </c>
      <c r="V337" s="61">
        <f t="shared" si="84"/>
        <v>0.80299943460906908</v>
      </c>
      <c r="W337" s="61">
        <f t="shared" si="84"/>
        <v>0.81347640753327655</v>
      </c>
      <c r="X337" s="61">
        <f t="shared" si="84"/>
        <v>0.822359410246018</v>
      </c>
      <c r="Y337" s="447">
        <f t="shared" si="84"/>
        <v>0.80729550846660547</v>
      </c>
      <c r="Z337" s="1060"/>
      <c r="AA337" s="61">
        <f t="shared" ref="AA337:AC338" si="85">AA354</f>
        <v>0.77631578947368407</v>
      </c>
      <c r="AB337" s="61">
        <f>AB354</f>
        <v>0.77142857142857124</v>
      </c>
      <c r="AC337" s="61">
        <f t="shared" si="85"/>
        <v>0.77999999999999992</v>
      </c>
      <c r="AD337" s="61">
        <f>AD343/AD345</f>
        <v>0.77618381915314238</v>
      </c>
      <c r="AE337" s="447">
        <f>AE354</f>
        <v>0.77591478696741845</v>
      </c>
      <c r="AF337" s="1060"/>
      <c r="AG337" s="61">
        <f t="shared" ref="AG337:AK338" si="86">AG343/AG$345</f>
        <v>0.78997102732144953</v>
      </c>
      <c r="AH337" s="61">
        <f t="shared" si="86"/>
        <v>0.77446445621694893</v>
      </c>
      <c r="AI337" s="61">
        <f t="shared" si="86"/>
        <v>0.78533570114504847</v>
      </c>
      <c r="AJ337" s="61">
        <f t="shared" si="86"/>
        <v>0.77511553461533367</v>
      </c>
      <c r="AK337" s="447">
        <f t="shared" si="86"/>
        <v>0.78094192622344039</v>
      </c>
      <c r="AL337" s="1060"/>
      <c r="AM337" s="61">
        <f t="shared" ref="AM337:AQ338" si="87">AM343/AM$345</f>
        <v>0.7973756139497038</v>
      </c>
      <c r="AN337" s="61">
        <f t="shared" si="87"/>
        <v>0.77413568710722747</v>
      </c>
      <c r="AO337" s="61">
        <f t="shared" si="87"/>
        <v>0.78198469599437759</v>
      </c>
      <c r="AP337" s="61">
        <f t="shared" si="87"/>
        <v>0.7773790087598802</v>
      </c>
      <c r="AQ337" s="447">
        <f t="shared" si="87"/>
        <v>0.78241218228134601</v>
      </c>
      <c r="AR337" s="1060"/>
      <c r="AS337" s="61">
        <f t="shared" ref="AS337:AW338" si="88">AS343/AS$345</f>
        <v>0.79025321462887743</v>
      </c>
      <c r="AT337" s="61">
        <f t="shared" si="88"/>
        <v>0.77494046073451672</v>
      </c>
      <c r="AU337" s="61">
        <f t="shared" si="88"/>
        <v>0.78338292670259535</v>
      </c>
      <c r="AV337" s="61">
        <f t="shared" si="88"/>
        <v>0.79290747824332519</v>
      </c>
      <c r="AW337" s="447">
        <f t="shared" si="88"/>
        <v>0.785414357490961</v>
      </c>
      <c r="AX337" s="1060"/>
      <c r="AY337" s="61">
        <f t="shared" ref="AY337:BC338" si="89">AY343/AY$345</f>
        <v>0.78371831352066612</v>
      </c>
      <c r="AZ337" s="61">
        <f t="shared" si="89"/>
        <v>0.77439870470626637</v>
      </c>
      <c r="BA337" s="61">
        <f t="shared" si="89"/>
        <v>0.77955037412650874</v>
      </c>
      <c r="BB337" s="61">
        <f t="shared" si="89"/>
        <v>0.7857398446914885</v>
      </c>
      <c r="BC337" s="447">
        <f t="shared" si="89"/>
        <v>0.78094464815973852</v>
      </c>
      <c r="BD337" s="1060"/>
      <c r="BE337" s="61">
        <f t="shared" ref="BE337:BI338" si="90">BE343/BE$345</f>
        <v>0.77428233597349427</v>
      </c>
      <c r="BF337" s="61">
        <f t="shared" si="90"/>
        <v>0.77507077353348552</v>
      </c>
      <c r="BG337" s="61">
        <f t="shared" si="90"/>
        <v>0.76628766388239111</v>
      </c>
      <c r="BH337" s="61">
        <f t="shared" si="90"/>
        <v>0.78270844038697351</v>
      </c>
      <c r="BI337" s="447">
        <f t="shared" si="90"/>
        <v>0.77492864072259648</v>
      </c>
      <c r="BJ337" s="1060"/>
      <c r="BK337" s="61">
        <f t="shared" ref="BK337:BM338" si="91">BK343/BK$345</f>
        <v>0.79371287682007052</v>
      </c>
      <c r="BL337" s="61">
        <f t="shared" si="91"/>
        <v>0.77120783308105201</v>
      </c>
      <c r="BM337" s="61">
        <f t="shared" si="91"/>
        <v>0.78461893134331462</v>
      </c>
      <c r="BN337" s="61">
        <f>BN343/BN$345</f>
        <v>0.77993430939141772</v>
      </c>
      <c r="BO337" s="447">
        <f>BO343/BO$345</f>
        <v>0.78212933073816393</v>
      </c>
      <c r="BP337" s="278"/>
      <c r="BQ337" s="743">
        <f>BO337</f>
        <v>0.78212933073816393</v>
      </c>
      <c r="BR337" s="278">
        <f t="shared" ref="BR337:BT339" si="92">BQ337</f>
        <v>0.78212933073816393</v>
      </c>
      <c r="BS337" s="278">
        <f t="shared" si="92"/>
        <v>0.78212933073816393</v>
      </c>
      <c r="BT337" s="278">
        <f t="shared" si="92"/>
        <v>0.78212933073816393</v>
      </c>
      <c r="BU337" s="793">
        <f>BU134/BU$126</f>
        <v>0.78212933073816393</v>
      </c>
      <c r="BV337" s="278"/>
      <c r="BW337" s="743">
        <f>BT337</f>
        <v>0.78212933073816393</v>
      </c>
      <c r="BX337" s="278">
        <f>BW337</f>
        <v>0.78212933073816393</v>
      </c>
      <c r="BY337" s="278">
        <f>BX337</f>
        <v>0.78212933073816393</v>
      </c>
      <c r="BZ337" s="278">
        <f>BY337</f>
        <v>0.78212933073816393</v>
      </c>
      <c r="CA337" s="793">
        <f>CA134/CA$126</f>
        <v>0.78212933073816393</v>
      </c>
      <c r="CB337" s="278"/>
      <c r="CC337" s="743">
        <f>BZ337</f>
        <v>0.78212933073816393</v>
      </c>
      <c r="CD337" s="278">
        <f>CC337</f>
        <v>0.78212933073816393</v>
      </c>
      <c r="CE337" s="278">
        <f>CD337</f>
        <v>0.78212933073816393</v>
      </c>
      <c r="CF337" s="278">
        <f>CE337</f>
        <v>0.78212933073816393</v>
      </c>
      <c r="CG337" s="793">
        <f>CG134/CG$126</f>
        <v>0.78212933073816404</v>
      </c>
    </row>
    <row r="338" spans="1:87" ht="11.25" customHeight="1" x14ac:dyDescent="0.2">
      <c r="B338" s="773" t="s">
        <v>556</v>
      </c>
      <c r="C338" s="61">
        <f>$G338</f>
        <v>0.21</v>
      </c>
      <c r="D338" s="61">
        <f t="shared" si="81"/>
        <v>0.21</v>
      </c>
      <c r="E338" s="61">
        <f t="shared" si="81"/>
        <v>0.21</v>
      </c>
      <c r="F338" s="61">
        <f t="shared" si="81"/>
        <v>0.21</v>
      </c>
      <c r="G338" s="1063">
        <v>0.21</v>
      </c>
      <c r="H338" s="1060"/>
      <c r="I338" s="61">
        <f t="shared" si="82"/>
        <v>0.21802899779092391</v>
      </c>
      <c r="J338" s="61">
        <f t="shared" si="82"/>
        <v>0.21544546717833579</v>
      </c>
      <c r="K338" s="61">
        <f t="shared" si="82"/>
        <v>0.20844969864255466</v>
      </c>
      <c r="L338" s="61">
        <f t="shared" si="82"/>
        <v>0.20169783707810895</v>
      </c>
      <c r="M338" s="447">
        <f t="shared" si="82"/>
        <v>0.21078011985094397</v>
      </c>
      <c r="N338" s="1060"/>
      <c r="O338" s="61">
        <f t="shared" si="83"/>
        <v>0.21631826643315985</v>
      </c>
      <c r="P338" s="61">
        <f t="shared" si="83"/>
        <v>0.1902339944478143</v>
      </c>
      <c r="Q338" s="61">
        <f t="shared" si="83"/>
        <v>0.18972403258121956</v>
      </c>
      <c r="R338" s="61">
        <f t="shared" si="83"/>
        <v>0.18612015633525672</v>
      </c>
      <c r="S338" s="447">
        <f t="shared" si="83"/>
        <v>0.19512659475705357</v>
      </c>
      <c r="T338" s="1060"/>
      <c r="U338" s="61">
        <f t="shared" si="84"/>
        <v>0.21289613624660056</v>
      </c>
      <c r="V338" s="61">
        <f t="shared" si="84"/>
        <v>0.19700056539093089</v>
      </c>
      <c r="W338" s="61">
        <f t="shared" si="84"/>
        <v>0.1865235924667234</v>
      </c>
      <c r="X338" s="61">
        <f t="shared" si="84"/>
        <v>0.17764058975398206</v>
      </c>
      <c r="Y338" s="447">
        <f t="shared" si="84"/>
        <v>0.1927044915333945</v>
      </c>
      <c r="Z338" s="1060"/>
      <c r="AA338" s="61">
        <f t="shared" si="85"/>
        <v>0.22368421052631599</v>
      </c>
      <c r="AB338" s="61">
        <f t="shared" si="85"/>
        <v>0.22857142857142873</v>
      </c>
      <c r="AC338" s="61">
        <f t="shared" si="85"/>
        <v>0.22000000000000008</v>
      </c>
      <c r="AD338" s="61">
        <f>AD344/AD345</f>
        <v>0.22381618084685759</v>
      </c>
      <c r="AE338" s="447">
        <f>AE355</f>
        <v>0.22408521303258158</v>
      </c>
      <c r="AF338" s="1060"/>
      <c r="AG338" s="61">
        <f t="shared" si="86"/>
        <v>0.21002897267855045</v>
      </c>
      <c r="AH338" s="61">
        <f t="shared" si="86"/>
        <v>0.2255355437830511</v>
      </c>
      <c r="AI338" s="61">
        <f t="shared" si="86"/>
        <v>0.21466429885495161</v>
      </c>
      <c r="AJ338" s="61">
        <f t="shared" si="86"/>
        <v>0.22488446538466625</v>
      </c>
      <c r="AK338" s="447">
        <f t="shared" si="86"/>
        <v>0.21905807377655961</v>
      </c>
      <c r="AL338" s="1060"/>
      <c r="AM338" s="61">
        <f t="shared" si="87"/>
        <v>0.20262438605029609</v>
      </c>
      <c r="AN338" s="61">
        <f t="shared" si="87"/>
        <v>0.22586431289277248</v>
      </c>
      <c r="AO338" s="61">
        <f t="shared" si="87"/>
        <v>0.21801530400562238</v>
      </c>
      <c r="AP338" s="61">
        <f t="shared" si="87"/>
        <v>0.22262099124011972</v>
      </c>
      <c r="AQ338" s="447">
        <f t="shared" si="87"/>
        <v>0.21758781771865407</v>
      </c>
      <c r="AR338" s="1060"/>
      <c r="AS338" s="61">
        <f t="shared" si="88"/>
        <v>0.20974678537112265</v>
      </c>
      <c r="AT338" s="61">
        <f t="shared" si="88"/>
        <v>0.22505953926548319</v>
      </c>
      <c r="AU338" s="61">
        <f t="shared" si="88"/>
        <v>0.21661707329740459</v>
      </c>
      <c r="AV338" s="61">
        <f t="shared" si="88"/>
        <v>0.20709252175667475</v>
      </c>
      <c r="AW338" s="447">
        <f t="shared" si="88"/>
        <v>0.21458564250903903</v>
      </c>
      <c r="AX338" s="1060"/>
      <c r="AY338" s="61">
        <f t="shared" si="89"/>
        <v>0.21628168647933391</v>
      </c>
      <c r="AZ338" s="61">
        <f t="shared" si="89"/>
        <v>0.22560129529373366</v>
      </c>
      <c r="BA338" s="61">
        <f t="shared" si="89"/>
        <v>0.22044962587349121</v>
      </c>
      <c r="BB338" s="61">
        <f t="shared" si="89"/>
        <v>0.21426015530851153</v>
      </c>
      <c r="BC338" s="447">
        <f t="shared" si="89"/>
        <v>0.21905535184026143</v>
      </c>
      <c r="BD338" s="1060"/>
      <c r="BE338" s="61">
        <f t="shared" si="90"/>
        <v>0.22571766402650578</v>
      </c>
      <c r="BF338" s="61">
        <f t="shared" si="90"/>
        <v>0.22492922646651448</v>
      </c>
      <c r="BG338" s="61">
        <f t="shared" si="90"/>
        <v>0.2337123361176088</v>
      </c>
      <c r="BH338" s="61">
        <f t="shared" si="90"/>
        <v>0.21729155961302654</v>
      </c>
      <c r="BI338" s="447">
        <f t="shared" si="90"/>
        <v>0.22507135927740349</v>
      </c>
      <c r="BJ338" s="1060"/>
      <c r="BK338" s="61">
        <f t="shared" si="91"/>
        <v>0.20628712317992948</v>
      </c>
      <c r="BL338" s="61">
        <f t="shared" si="91"/>
        <v>0.22879216691894794</v>
      </c>
      <c r="BM338" s="61">
        <f t="shared" si="91"/>
        <v>0.21538106865668533</v>
      </c>
      <c r="BN338" s="61">
        <f>BN344/BN$345</f>
        <v>0.2200656906085823</v>
      </c>
      <c r="BO338" s="447">
        <f>BO344/BO$345</f>
        <v>0.2178706692618361</v>
      </c>
      <c r="BP338" s="278"/>
      <c r="BQ338" s="743">
        <f>BO338</f>
        <v>0.2178706692618361</v>
      </c>
      <c r="BR338" s="278">
        <f t="shared" si="92"/>
        <v>0.2178706692618361</v>
      </c>
      <c r="BS338" s="278">
        <f t="shared" si="92"/>
        <v>0.2178706692618361</v>
      </c>
      <c r="BT338" s="278">
        <f t="shared" si="92"/>
        <v>0.2178706692618361</v>
      </c>
      <c r="BU338" s="793">
        <f>BU140/BU$126</f>
        <v>0.21787066926183607</v>
      </c>
      <c r="BV338" s="278"/>
      <c r="BW338" s="743">
        <f>BT338</f>
        <v>0.2178706692618361</v>
      </c>
      <c r="BX338" s="278">
        <f t="shared" ref="BX338:BZ339" si="93">BW338</f>
        <v>0.2178706692618361</v>
      </c>
      <c r="BY338" s="278">
        <f t="shared" si="93"/>
        <v>0.2178706692618361</v>
      </c>
      <c r="BZ338" s="278">
        <f t="shared" si="93"/>
        <v>0.2178706692618361</v>
      </c>
      <c r="CA338" s="793">
        <f>CA140/CA$126</f>
        <v>0.21787066926183613</v>
      </c>
      <c r="CB338" s="278"/>
      <c r="CC338" s="743">
        <f>BZ338</f>
        <v>0.2178706692618361</v>
      </c>
      <c r="CD338" s="278">
        <f t="shared" ref="CD338:CF339" si="94">CC338</f>
        <v>0.2178706692618361</v>
      </c>
      <c r="CE338" s="278">
        <f t="shared" si="94"/>
        <v>0.2178706692618361</v>
      </c>
      <c r="CF338" s="278">
        <f t="shared" si="94"/>
        <v>0.2178706692618361</v>
      </c>
      <c r="CG338" s="793">
        <f>CG140/CG$126</f>
        <v>0.2178706692618361</v>
      </c>
    </row>
    <row r="339" spans="1:87" ht="11.25" customHeight="1" outlineLevel="1" x14ac:dyDescent="0.2">
      <c r="A339" s="78"/>
      <c r="B339" s="772" t="s">
        <v>324</v>
      </c>
      <c r="C339" s="1057">
        <f>SUM(C337:C338)</f>
        <v>1</v>
      </c>
      <c r="D339" s="1057">
        <f>SUM(D337:D338)</f>
        <v>1</v>
      </c>
      <c r="E339" s="1057">
        <f>SUM(E337:E338)</f>
        <v>1</v>
      </c>
      <c r="F339" s="1057">
        <f>SUM(F337:F338)</f>
        <v>1</v>
      </c>
      <c r="G339" s="1058">
        <f>SUM(G337:G338)</f>
        <v>1</v>
      </c>
      <c r="H339" s="1059"/>
      <c r="I339" s="1057">
        <f>SUM(I337:I338)</f>
        <v>1</v>
      </c>
      <c r="J339" s="1057">
        <f>SUM(J337:J338)</f>
        <v>1</v>
      </c>
      <c r="K339" s="1057">
        <f>SUM(K337:K338)</f>
        <v>1</v>
      </c>
      <c r="L339" s="1057">
        <f>SUM(L337:L338)</f>
        <v>1</v>
      </c>
      <c r="M339" s="1058">
        <f>SUM(M337:M338)</f>
        <v>1</v>
      </c>
      <c r="N339" s="1059"/>
      <c r="O339" s="1057">
        <f>SUM(O337:O338)</f>
        <v>1</v>
      </c>
      <c r="P339" s="1057">
        <f>SUM(P337:P338)</f>
        <v>1</v>
      </c>
      <c r="Q339" s="1057">
        <f>SUM(Q337:Q338)</f>
        <v>1</v>
      </c>
      <c r="R339" s="1057">
        <f>SUM(R337:R338)</f>
        <v>1</v>
      </c>
      <c r="S339" s="1058">
        <f>SUM(S337:S338)</f>
        <v>1</v>
      </c>
      <c r="T339" s="1059"/>
      <c r="U339" s="1057">
        <f>SUM(U337:U338)</f>
        <v>1.0000000000000002</v>
      </c>
      <c r="V339" s="1057">
        <f>SUM(V337:V338)</f>
        <v>1</v>
      </c>
      <c r="W339" s="1057">
        <f>SUM(W337:W338)</f>
        <v>1</v>
      </c>
      <c r="X339" s="1057">
        <f>SUM(X337:X338)</f>
        <v>1</v>
      </c>
      <c r="Y339" s="1058">
        <f>SUM(Y337:Y338)</f>
        <v>1</v>
      </c>
      <c r="Z339" s="1059"/>
      <c r="AA339" s="1057">
        <f>SUM(AA337:AA338)</f>
        <v>1</v>
      </c>
      <c r="AB339" s="1057">
        <f>SUM(AB337:AB338)</f>
        <v>1</v>
      </c>
      <c r="AC339" s="1057">
        <f>SUM(AC337:AC338)</f>
        <v>1</v>
      </c>
      <c r="AD339" s="1057">
        <f>SUM(AD337:AD338)</f>
        <v>1</v>
      </c>
      <c r="AE339" s="1058">
        <f>SUM(AE337:AE338)</f>
        <v>1</v>
      </c>
      <c r="AF339" s="1059"/>
      <c r="AG339" s="1057">
        <f>SUM(AG337:AG338)</f>
        <v>1</v>
      </c>
      <c r="AH339" s="1057">
        <f>SUM(AH337:AH338)</f>
        <v>1</v>
      </c>
      <c r="AI339" s="1057">
        <f>SUM(AI337:AI338)</f>
        <v>1</v>
      </c>
      <c r="AJ339" s="1057">
        <f>SUM(AJ337:AJ338)</f>
        <v>0.99999999999999989</v>
      </c>
      <c r="AK339" s="1058">
        <f>SUM(AK337:AK338)</f>
        <v>1</v>
      </c>
      <c r="AL339" s="1059"/>
      <c r="AM339" s="1057">
        <f>SUM(AM337:AM338)</f>
        <v>0.99999999999999989</v>
      </c>
      <c r="AN339" s="1057">
        <f>SUM(AN337:AN338)</f>
        <v>1</v>
      </c>
      <c r="AO339" s="1057">
        <f>SUM(AO337:AO338)</f>
        <v>1</v>
      </c>
      <c r="AP339" s="1057">
        <f>SUM(AP337:AP338)</f>
        <v>0.99999999999999989</v>
      </c>
      <c r="AQ339" s="1058">
        <f>SUM(AQ337:AQ338)</f>
        <v>1</v>
      </c>
      <c r="AR339" s="1059"/>
      <c r="AS339" s="1057">
        <f>SUM(AS337:AS338)</f>
        <v>1</v>
      </c>
      <c r="AT339" s="1057">
        <f>SUM(AT337:AT338)</f>
        <v>0.99999999999999989</v>
      </c>
      <c r="AU339" s="1057">
        <f>SUM(AU337:AU338)</f>
        <v>1</v>
      </c>
      <c r="AV339" s="1057">
        <f>SUM(AV337:AV338)</f>
        <v>1</v>
      </c>
      <c r="AW339" s="1058">
        <f>SUM(AW337:AW338)</f>
        <v>1</v>
      </c>
      <c r="AX339" s="1059"/>
      <c r="AY339" s="1057">
        <f>SUM(AY337:AY338)</f>
        <v>1</v>
      </c>
      <c r="AZ339" s="1057">
        <f>SUM(AZ337:AZ338)</f>
        <v>1</v>
      </c>
      <c r="BA339" s="1057">
        <f>SUM(BA337:BA338)</f>
        <v>1</v>
      </c>
      <c r="BB339" s="1057">
        <f>SUM(BB337:BB338)</f>
        <v>1</v>
      </c>
      <c r="BC339" s="1058">
        <f>SUM(BC337:BC338)</f>
        <v>1</v>
      </c>
      <c r="BD339" s="1059"/>
      <c r="BE339" s="1057">
        <f>SUM(BE337:BE338)</f>
        <v>1</v>
      </c>
      <c r="BF339" s="1057">
        <f>SUM(BF337:BF338)</f>
        <v>1</v>
      </c>
      <c r="BG339" s="1057">
        <f>SUM(BG337:BG338)</f>
        <v>0.99999999999999989</v>
      </c>
      <c r="BH339" s="1057">
        <f>SUM(BH337:BH338)</f>
        <v>1</v>
      </c>
      <c r="BI339" s="1058">
        <f>SUM(BI337:BI338)</f>
        <v>1</v>
      </c>
      <c r="BJ339" s="1059"/>
      <c r="BK339" s="1057">
        <f>SUM(BK337:BK338)</f>
        <v>1</v>
      </c>
      <c r="BL339" s="1057">
        <f>SUM(BL337:BL338)</f>
        <v>1</v>
      </c>
      <c r="BM339" s="1057">
        <f>SUM(BM337:BM338)</f>
        <v>1</v>
      </c>
      <c r="BN339" s="1057">
        <f>SUM(BN337:BN338)</f>
        <v>1</v>
      </c>
      <c r="BO339" s="1058">
        <f>SUM(BO337:BO338)</f>
        <v>1</v>
      </c>
      <c r="BP339" s="278"/>
      <c r="BQ339" s="1056">
        <f>BO339</f>
        <v>1</v>
      </c>
      <c r="BR339" s="1054">
        <f t="shared" si="92"/>
        <v>1</v>
      </c>
      <c r="BS339" s="1054">
        <f t="shared" si="92"/>
        <v>1</v>
      </c>
      <c r="BT339" s="1054">
        <f t="shared" si="92"/>
        <v>1</v>
      </c>
      <c r="BU339" s="1055">
        <f>SUM(BU337:BU338)</f>
        <v>1</v>
      </c>
      <c r="BV339" s="278"/>
      <c r="BW339" s="1056">
        <f>BT339</f>
        <v>1</v>
      </c>
      <c r="BX339" s="1054">
        <f t="shared" si="93"/>
        <v>1</v>
      </c>
      <c r="BY339" s="1054">
        <f t="shared" si="93"/>
        <v>1</v>
      </c>
      <c r="BZ339" s="1054">
        <f t="shared" si="93"/>
        <v>1</v>
      </c>
      <c r="CA339" s="1055">
        <f>SUM(CA337:CA338)</f>
        <v>1</v>
      </c>
      <c r="CB339" s="278"/>
      <c r="CC339" s="1056">
        <f>BZ339</f>
        <v>1</v>
      </c>
      <c r="CD339" s="1054">
        <f t="shared" si="94"/>
        <v>1</v>
      </c>
      <c r="CE339" s="1054">
        <f t="shared" si="94"/>
        <v>1</v>
      </c>
      <c r="CF339" s="1054">
        <f t="shared" si="94"/>
        <v>1</v>
      </c>
      <c r="CG339" s="1055">
        <f>SUM(CG337:CG338)</f>
        <v>1.0000000000000002</v>
      </c>
      <c r="CH339" s="371"/>
      <c r="CI339" s="370"/>
    </row>
    <row r="340" spans="1:87" ht="11.25" customHeight="1" outlineLevel="1" x14ac:dyDescent="0.2">
      <c r="A340" s="78"/>
      <c r="B340" s="772"/>
      <c r="C340" s="1057"/>
      <c r="D340" s="1057"/>
      <c r="E340" s="1057"/>
      <c r="F340" s="1057"/>
      <c r="G340" s="1058"/>
      <c r="H340" s="1059"/>
      <c r="I340" s="1057"/>
      <c r="J340" s="1057"/>
      <c r="K340" s="1057"/>
      <c r="L340" s="1057"/>
      <c r="M340" s="1058"/>
      <c r="N340" s="1059"/>
      <c r="O340" s="1057"/>
      <c r="P340" s="1057"/>
      <c r="Q340" s="1057"/>
      <c r="R340" s="1057"/>
      <c r="S340" s="1058"/>
      <c r="T340" s="1059"/>
      <c r="U340" s="1057"/>
      <c r="V340" s="1057"/>
      <c r="W340" s="1057"/>
      <c r="X340" s="1057"/>
      <c r="Y340" s="1058"/>
      <c r="Z340" s="1059"/>
      <c r="AA340" s="1057"/>
      <c r="AB340" s="1057"/>
      <c r="AC340" s="1057"/>
      <c r="AD340" s="1057"/>
      <c r="AE340" s="1058"/>
      <c r="AF340" s="1059"/>
      <c r="AG340" s="1057"/>
      <c r="AH340" s="1057"/>
      <c r="AI340" s="1057"/>
      <c r="AJ340" s="1057"/>
      <c r="AK340" s="1058"/>
      <c r="AL340" s="1059"/>
      <c r="AM340" s="1057"/>
      <c r="AN340" s="1057"/>
      <c r="AO340" s="1057"/>
      <c r="AP340" s="1057"/>
      <c r="AQ340" s="1058"/>
      <c r="AR340" s="1059"/>
      <c r="AS340" s="1057"/>
      <c r="AT340" s="1057"/>
      <c r="AU340" s="1057"/>
      <c r="AV340" s="1057"/>
      <c r="AW340" s="1058"/>
      <c r="AX340" s="1059"/>
      <c r="AY340" s="1057"/>
      <c r="AZ340" s="1057"/>
      <c r="BA340" s="1057"/>
      <c r="BB340" s="1057"/>
      <c r="BC340" s="1058"/>
      <c r="BD340" s="1059"/>
      <c r="BE340" s="1057"/>
      <c r="BF340" s="1057"/>
      <c r="BG340" s="1057"/>
      <c r="BH340" s="1057"/>
      <c r="BI340" s="1058"/>
      <c r="BJ340" s="1061"/>
      <c r="BK340" s="1062"/>
      <c r="BL340" s="1054"/>
      <c r="BM340" s="1054"/>
      <c r="BN340" s="1057"/>
      <c r="BO340" s="1058"/>
      <c r="BP340" s="278"/>
      <c r="BQ340" s="1056"/>
      <c r="BR340" s="1054"/>
      <c r="BS340" s="1054"/>
      <c r="BT340" s="1054"/>
      <c r="BU340" s="1055"/>
      <c r="BV340" s="278"/>
      <c r="BW340" s="1056"/>
      <c r="BX340" s="1054"/>
      <c r="BY340" s="1054"/>
      <c r="BZ340" s="1054"/>
      <c r="CA340" s="1055"/>
      <c r="CB340" s="278"/>
      <c r="CC340" s="1056"/>
      <c r="CD340" s="1054"/>
      <c r="CE340" s="1054"/>
      <c r="CF340" s="1054"/>
      <c r="CG340" s="1055"/>
      <c r="CH340" s="371"/>
      <c r="CI340" s="370"/>
    </row>
    <row r="341" spans="1:87" ht="11.25" customHeight="1" outlineLevel="1" x14ac:dyDescent="0.2">
      <c r="A341" s="78"/>
      <c r="B341" s="706" t="s">
        <v>568</v>
      </c>
      <c r="C341" s="1045"/>
      <c r="D341" s="1046"/>
      <c r="E341" s="1046"/>
      <c r="F341" s="1046"/>
      <c r="G341" s="1047"/>
      <c r="H341" s="1048"/>
      <c r="I341" s="1045"/>
      <c r="J341" s="1046"/>
      <c r="K341" s="1046"/>
      <c r="L341" s="1046"/>
      <c r="M341" s="1047"/>
      <c r="N341" s="1048"/>
      <c r="O341" s="1045"/>
      <c r="P341" s="1046"/>
      <c r="Q341" s="1046"/>
      <c r="R341" s="1046"/>
      <c r="S341" s="1047"/>
      <c r="T341" s="1048"/>
      <c r="U341" s="1045"/>
      <c r="V341" s="1046"/>
      <c r="W341" s="1046"/>
      <c r="X341" s="1046"/>
      <c r="Y341" s="1047"/>
      <c r="Z341" s="1048"/>
      <c r="AA341" s="1045"/>
      <c r="AB341" s="1046"/>
      <c r="AC341" s="1046"/>
      <c r="AD341" s="1046"/>
      <c r="AE341" s="1047"/>
      <c r="AF341" s="1048"/>
      <c r="AG341" s="1045"/>
      <c r="AH341" s="1046"/>
      <c r="AI341" s="1046"/>
      <c r="AJ341" s="1046"/>
      <c r="AK341" s="1047"/>
      <c r="AL341" s="1048"/>
      <c r="AM341" s="1045"/>
      <c r="AN341" s="1046"/>
      <c r="AO341" s="1046"/>
      <c r="AP341" s="1046"/>
      <c r="AQ341" s="1047"/>
      <c r="AR341" s="1048"/>
      <c r="AS341" s="1045"/>
      <c r="AT341" s="1046"/>
      <c r="AU341" s="1046"/>
      <c r="AV341" s="1046"/>
      <c r="AW341" s="1047"/>
      <c r="AX341" s="1048"/>
      <c r="AY341" s="1045"/>
      <c r="AZ341" s="1046"/>
      <c r="BA341" s="1046"/>
      <c r="BB341" s="1046"/>
      <c r="BC341" s="1047"/>
      <c r="BD341" s="1048"/>
      <c r="BE341" s="1045"/>
      <c r="BF341" s="1046"/>
      <c r="BG341" s="1046"/>
      <c r="BH341" s="1046"/>
      <c r="BI341" s="1047"/>
      <c r="BJ341" s="1048"/>
      <c r="BK341" s="1045"/>
      <c r="BL341" s="704"/>
      <c r="BM341" s="704"/>
      <c r="BN341" s="1046"/>
      <c r="BO341" s="1047"/>
      <c r="BP341" s="1039"/>
      <c r="BQ341" s="703"/>
      <c r="BR341" s="704"/>
      <c r="BS341" s="704"/>
      <c r="BT341" s="704"/>
      <c r="BU341" s="705"/>
      <c r="BV341" s="1039"/>
      <c r="BW341" s="703"/>
      <c r="BX341" s="704"/>
      <c r="BY341" s="704"/>
      <c r="BZ341" s="704"/>
      <c r="CA341" s="705"/>
      <c r="CB341" s="1039"/>
      <c r="CC341" s="703"/>
      <c r="CD341" s="704"/>
      <c r="CE341" s="704"/>
      <c r="CF341" s="704"/>
      <c r="CG341" s="705"/>
    </row>
    <row r="342" spans="1:87" outlineLevel="1" x14ac:dyDescent="0.2">
      <c r="B342" s="772"/>
      <c r="C342" s="1252"/>
      <c r="D342" s="1252"/>
      <c r="E342" s="1252"/>
      <c r="F342" s="1252"/>
      <c r="G342" s="1253"/>
      <c r="H342" s="1048"/>
      <c r="I342" s="1252"/>
      <c r="J342" s="1252"/>
      <c r="K342" s="1252"/>
      <c r="L342" s="1252"/>
      <c r="M342" s="1253"/>
      <c r="N342" s="1048"/>
      <c r="O342" s="1252"/>
      <c r="P342" s="1252"/>
      <c r="Q342" s="1252"/>
      <c r="R342" s="1252"/>
      <c r="S342" s="1253"/>
      <c r="T342" s="1048"/>
      <c r="U342" s="1252"/>
      <c r="V342" s="1252"/>
      <c r="W342" s="1252"/>
      <c r="X342" s="1252"/>
      <c r="Y342" s="1253"/>
      <c r="Z342" s="1048"/>
      <c r="AA342" s="1252"/>
      <c r="AB342" s="1252"/>
      <c r="AC342" s="1252"/>
      <c r="AD342" s="1252"/>
      <c r="AE342" s="1253"/>
      <c r="AF342" s="1048"/>
      <c r="AG342" s="1252"/>
      <c r="AH342" s="1252"/>
      <c r="AI342" s="1252"/>
      <c r="AJ342" s="1252"/>
      <c r="AK342" s="1253"/>
      <c r="AL342" s="1048"/>
      <c r="AM342" s="1252"/>
      <c r="AN342" s="1252"/>
      <c r="AO342" s="1252"/>
      <c r="AP342" s="1252"/>
      <c r="AQ342" s="1253"/>
      <c r="AR342" s="1048"/>
      <c r="AS342" s="1252"/>
      <c r="AT342" s="1252"/>
      <c r="AU342" s="1252"/>
      <c r="AV342" s="1252"/>
      <c r="AW342" s="1253"/>
      <c r="AX342" s="1048"/>
      <c r="AY342" s="1252"/>
      <c r="AZ342" s="1252"/>
      <c r="BA342" s="1252"/>
      <c r="BB342" s="1252"/>
      <c r="BC342" s="1253"/>
      <c r="BD342" s="1048"/>
      <c r="BE342" s="1252"/>
      <c r="BF342" s="1252"/>
      <c r="BG342" s="1252"/>
      <c r="BH342" s="1252"/>
      <c r="BI342" s="1253"/>
      <c r="BJ342" s="1048"/>
      <c r="BK342" s="1252"/>
      <c r="BL342" s="1254"/>
      <c r="BM342" s="1254"/>
      <c r="BN342" s="1252"/>
      <c r="BO342" s="1253"/>
      <c r="BP342" s="188"/>
      <c r="BQ342" s="1256"/>
      <c r="BR342" s="1254"/>
      <c r="BS342" s="1254"/>
      <c r="BT342" s="1254"/>
      <c r="BU342" s="1255"/>
      <c r="BV342" s="188"/>
      <c r="BW342" s="1256"/>
      <c r="BX342" s="1254"/>
      <c r="BY342" s="1254"/>
      <c r="BZ342" s="1254"/>
      <c r="CA342" s="1255"/>
      <c r="CB342" s="188"/>
      <c r="CC342" s="1256"/>
      <c r="CD342" s="1254"/>
      <c r="CE342" s="1254"/>
      <c r="CF342" s="1254"/>
      <c r="CG342" s="1255"/>
    </row>
    <row r="343" spans="1:87" outlineLevel="1" x14ac:dyDescent="0.2">
      <c r="A343" s="254"/>
      <c r="B343" s="773" t="s">
        <v>555</v>
      </c>
      <c r="C343" s="1064">
        <f t="shared" ref="C343:F344" si="95">C$8*C337</f>
        <v>444.45479</v>
      </c>
      <c r="D343" s="1064">
        <f t="shared" si="95"/>
        <v>474.96143000000001</v>
      </c>
      <c r="E343" s="1064">
        <f t="shared" si="95"/>
        <v>487.40788000000003</v>
      </c>
      <c r="F343" s="1064">
        <f t="shared" si="95"/>
        <v>538.4505700000002</v>
      </c>
      <c r="G343" s="1065">
        <f>SUM(C343:F343)</f>
        <v>1945.2746700000002</v>
      </c>
      <c r="H343" s="1066"/>
      <c r="I343" s="1064">
        <f t="shared" ref="I343:K344" si="96">(C343*(1+I331))</f>
        <v>477.97511252000004</v>
      </c>
      <c r="J343" s="1064">
        <f t="shared" si="96"/>
        <v>517.23611856000002</v>
      </c>
      <c r="K343" s="1064">
        <f t="shared" si="96"/>
        <v>508.72436152</v>
      </c>
      <c r="L343" s="1064">
        <f>M343-SUM(I343:K343)</f>
        <v>528.15571659999978</v>
      </c>
      <c r="M343" s="1065">
        <f>(G343*(1+M331))</f>
        <v>2032.0913091999998</v>
      </c>
      <c r="N343" s="1066"/>
      <c r="O343" s="1064">
        <f t="shared" ref="O343:Q344" si="97">(I343*(1+O331))</f>
        <v>470.73884793727296</v>
      </c>
      <c r="P343" s="1064">
        <f t="shared" si="97"/>
        <v>513.3128938271019</v>
      </c>
      <c r="Q343" s="1064">
        <f t="shared" si="97"/>
        <v>512.6534791817719</v>
      </c>
      <c r="R343" s="1064">
        <f>S343-SUM(O343:Q343)</f>
        <v>561.1530420565382</v>
      </c>
      <c r="S343" s="1065">
        <f>(M343*(1+S331))</f>
        <v>2057.8582630026849</v>
      </c>
      <c r="T343" s="1066"/>
      <c r="U343" s="1064">
        <f t="shared" ref="U343:W344" si="98">(O343*(1+U331))</f>
        <v>488.08052864543458</v>
      </c>
      <c r="V343" s="1064">
        <f t="shared" si="98"/>
        <v>556.91438577020995</v>
      </c>
      <c r="W343" s="1064">
        <f t="shared" si="98"/>
        <v>557.01400739592248</v>
      </c>
      <c r="X343" s="1064">
        <f>Y343-SUM(U343:W343)</f>
        <v>615.13686550858984</v>
      </c>
      <c r="Y343" s="1065">
        <f>(S343*(1+Y331))</f>
        <v>2217.1457873201566</v>
      </c>
      <c r="Z343" s="1066"/>
      <c r="AA343" s="1064">
        <f t="shared" ref="AA343:AC344" si="99">AA$126*AA337</f>
        <v>850.34836842105256</v>
      </c>
      <c r="AB343" s="1064">
        <f t="shared" si="99"/>
        <v>926.65851428571398</v>
      </c>
      <c r="AC343" s="1064">
        <f t="shared" si="99"/>
        <v>875.95637999999985</v>
      </c>
      <c r="AD343" s="1064">
        <f>AE343-SUM(AA343:AC343)</f>
        <v>1044.1915538847111</v>
      </c>
      <c r="AE343" s="1065">
        <f>AE$126*AE337</f>
        <v>3697.1548165914778</v>
      </c>
      <c r="AF343" s="1066"/>
      <c r="AG343" s="1064">
        <f t="shared" ref="AG343:AI344" si="100">(AA343*(1+AG331))</f>
        <v>913.31838215789446</v>
      </c>
      <c r="AH343" s="1064">
        <f t="shared" si="100"/>
        <v>918.55843405714268</v>
      </c>
      <c r="AI343" s="1064">
        <f t="shared" si="100"/>
        <v>879.28709465999998</v>
      </c>
      <c r="AJ343" s="1064">
        <f>AK343-SUM(AG343:AI343)</f>
        <v>1021.1370577042348</v>
      </c>
      <c r="AK343" s="1065">
        <f>(AE343*(1+AK331))</f>
        <v>3732.3009685792722</v>
      </c>
      <c r="AL343" s="1066"/>
      <c r="AM343" s="1064">
        <f t="shared" ref="AM343:AO344" si="101">(AG343*(1+AM331))</f>
        <v>950.21387917967547</v>
      </c>
      <c r="AN343" s="1064">
        <f t="shared" si="101"/>
        <v>975.6136388135526</v>
      </c>
      <c r="AO343" s="1064">
        <f t="shared" si="101"/>
        <v>924.98134579824602</v>
      </c>
      <c r="AP343" s="1064">
        <f>AQ343-SUM(AM343:AO343)</f>
        <v>1064.9961472695286</v>
      </c>
      <c r="AQ343" s="1065">
        <f>(AK343*(1+AQ331))</f>
        <v>3915.8050110610025</v>
      </c>
      <c r="AR343" s="1066"/>
      <c r="AS343" s="1064">
        <f t="shared" ref="AS343:AU344" si="102">(AM343*(1+AS331))</f>
        <v>1025.4022619629409</v>
      </c>
      <c r="AT343" s="1064">
        <f t="shared" si="102"/>
        <v>1060.938194891793</v>
      </c>
      <c r="AU343" s="1064">
        <f t="shared" si="102"/>
        <v>1016.8519617431898</v>
      </c>
      <c r="AV343" s="1064">
        <f>AW343-SUM(AS343:AU343)</f>
        <v>1131.9891777029311</v>
      </c>
      <c r="AW343" s="1065">
        <f>(AQ343*(1+AW331))</f>
        <v>4235.1815963008548</v>
      </c>
      <c r="AX343" s="1066"/>
      <c r="AY343" s="1064">
        <f t="shared" ref="AY343:BA344" si="103">(AS343*(1+AY331))</f>
        <v>980.15363889157663</v>
      </c>
      <c r="AZ343" s="1064">
        <f t="shared" si="103"/>
        <v>1023.9284976086415</v>
      </c>
      <c r="BA343" s="1064">
        <f t="shared" si="103"/>
        <v>985.66459818076964</v>
      </c>
      <c r="BB343" s="1064">
        <f>BC343-SUM(AY343:BA343)</f>
        <v>1138.7031500175403</v>
      </c>
      <c r="BC343" s="1065">
        <f>(AW343*(1+BC331))</f>
        <v>4128.449884698528</v>
      </c>
      <c r="BD343" s="1066"/>
      <c r="BE343" s="1064">
        <f t="shared" ref="BE343:BG344" si="104">(AY343*(1+BE331))</f>
        <v>1008.9144689928854</v>
      </c>
      <c r="BF343" s="1064">
        <f t="shared" si="104"/>
        <v>1065.611305280386</v>
      </c>
      <c r="BG343" s="1064">
        <f t="shared" si="104"/>
        <v>1016.9113531888393</v>
      </c>
      <c r="BH343" s="1064">
        <f>BI343-SUM(BE343:BG343)</f>
        <v>1218.7483283497895</v>
      </c>
      <c r="BI343" s="1065">
        <f>(BC343*(1+BI331))</f>
        <v>4310.1854558119003</v>
      </c>
      <c r="BJ343" s="1066"/>
      <c r="BK343" s="1064">
        <f t="shared" ref="BK343:BM344" si="105">(BE343*(1+BK331))</f>
        <v>1116.2968013910975</v>
      </c>
      <c r="BL343" s="1064">
        <f t="shared" si="105"/>
        <v>1148.4427998225615</v>
      </c>
      <c r="BM343" s="1064">
        <f t="shared" si="105"/>
        <v>1159.6738720946828</v>
      </c>
      <c r="BN343" s="1064">
        <f>BO343-SUM(BK343:BM343)</f>
        <v>1317.276577559363</v>
      </c>
      <c r="BO343" s="1065">
        <f>(BI343*(1+BO331))</f>
        <v>4741.6900508677045</v>
      </c>
      <c r="BP343" s="1064"/>
      <c r="BQ343" s="1067"/>
      <c r="BR343" s="1064"/>
      <c r="BS343" s="1064"/>
      <c r="BT343" s="1064"/>
      <c r="BU343" s="1065"/>
      <c r="BV343" s="1064"/>
      <c r="BW343" s="1067"/>
      <c r="BX343" s="1064"/>
      <c r="BY343" s="1064"/>
      <c r="BZ343" s="1064"/>
      <c r="CA343" s="1065"/>
      <c r="CB343" s="1064"/>
      <c r="CC343" s="1067"/>
      <c r="CD343" s="1064"/>
      <c r="CE343" s="1064"/>
      <c r="CF343" s="1064"/>
      <c r="CG343" s="1065"/>
    </row>
    <row r="344" spans="1:87" outlineLevel="1" x14ac:dyDescent="0.2">
      <c r="A344" s="254"/>
      <c r="B344" s="773" t="s">
        <v>556</v>
      </c>
      <c r="C344" s="1064">
        <f t="shared" si="95"/>
        <v>118.14621</v>
      </c>
      <c r="D344" s="1064">
        <f t="shared" si="95"/>
        <v>126.25556999999999</v>
      </c>
      <c r="E344" s="1064">
        <f t="shared" si="95"/>
        <v>129.56412</v>
      </c>
      <c r="F344" s="1064">
        <f t="shared" si="95"/>
        <v>143.13243000000003</v>
      </c>
      <c r="G344" s="1065">
        <f>SUM(C344:F344)</f>
        <v>517.09833000000003</v>
      </c>
      <c r="H344" s="1066"/>
      <c r="I344" s="1064">
        <f t="shared" si="96"/>
        <v>133.26892488000001</v>
      </c>
      <c r="J344" s="1064">
        <f t="shared" si="96"/>
        <v>142.03751624999998</v>
      </c>
      <c r="K344" s="1064">
        <f t="shared" si="96"/>
        <v>133.96930008000001</v>
      </c>
      <c r="L344" s="1064">
        <f>M344-SUM(I344:K344)</f>
        <v>133.44303777000005</v>
      </c>
      <c r="M344" s="1065">
        <f>(G344*(1+M332))</f>
        <v>542.71877898000002</v>
      </c>
      <c r="N344" s="1066"/>
      <c r="O344" s="1064">
        <f t="shared" si="97"/>
        <v>129.93720175800001</v>
      </c>
      <c r="P344" s="1064">
        <f t="shared" si="97"/>
        <v>120.58985129624998</v>
      </c>
      <c r="Q344" s="1064">
        <f t="shared" si="97"/>
        <v>120.03649287168001</v>
      </c>
      <c r="R344" s="1064">
        <f>S344-SUM(O344:Q344)</f>
        <v>128.32593499955249</v>
      </c>
      <c r="S344" s="1065">
        <f>(M344*(1+S332))</f>
        <v>498.88948092548247</v>
      </c>
      <c r="T344" s="1066"/>
      <c r="U344" s="1064">
        <f t="shared" si="98"/>
        <v>132.01619698612802</v>
      </c>
      <c r="V344" s="1064">
        <f t="shared" si="98"/>
        <v>136.62830151865123</v>
      </c>
      <c r="W344" s="1064">
        <f t="shared" si="98"/>
        <v>127.71882841546754</v>
      </c>
      <c r="X344" s="1064">
        <f>Y344-SUM(U344:W344)</f>
        <v>132.87775905144872</v>
      </c>
      <c r="Y344" s="1065">
        <f>(S344*(1+Y332))</f>
        <v>529.2410859716955</v>
      </c>
      <c r="Z344" s="1066"/>
      <c r="AA344" s="1064">
        <f t="shared" si="99"/>
        <v>245.01563157894759</v>
      </c>
      <c r="AB344" s="1064">
        <f t="shared" si="99"/>
        <v>274.5654857142859</v>
      </c>
      <c r="AC344" s="1064">
        <f t="shared" si="99"/>
        <v>247.06462000000008</v>
      </c>
      <c r="AD344" s="1064">
        <f>AE344-SUM(AA344:AC344)</f>
        <v>301.09744611528799</v>
      </c>
      <c r="AE344" s="1065">
        <f>AE$126*AE338</f>
        <v>1067.7431834085216</v>
      </c>
      <c r="AF344" s="1066"/>
      <c r="AG344" s="1064">
        <f t="shared" si="100"/>
        <v>242.82323642105283</v>
      </c>
      <c r="AH344" s="1064">
        <f t="shared" si="100"/>
        <v>267.49784868571447</v>
      </c>
      <c r="AI344" s="1064">
        <f t="shared" si="100"/>
        <v>240.34504912000008</v>
      </c>
      <c r="AJ344" s="1064">
        <f>AK344-SUM(AG344:AI344)</f>
        <v>296.26275187511271</v>
      </c>
      <c r="AK344" s="1065">
        <f>(AE344*(1+AK332))</f>
        <v>1046.9288861018802</v>
      </c>
      <c r="AL344" s="1066"/>
      <c r="AM344" s="1064">
        <f t="shared" si="101"/>
        <v>241.46274417842508</v>
      </c>
      <c r="AN344" s="1064">
        <f t="shared" si="101"/>
        <v>284.64816678696593</v>
      </c>
      <c r="AO344" s="1064">
        <f t="shared" si="101"/>
        <v>257.88239889695262</v>
      </c>
      <c r="AP344" s="1064">
        <f>AQ344-SUM(AM344:AO344)</f>
        <v>304.98700801076609</v>
      </c>
      <c r="AQ344" s="1065">
        <f>(AK344*(1+AQ332))</f>
        <v>1088.9803178731097</v>
      </c>
      <c r="AR344" s="1066"/>
      <c r="AS344" s="1064">
        <f t="shared" si="102"/>
        <v>272.15938407793652</v>
      </c>
      <c r="AT344" s="1064">
        <f t="shared" si="102"/>
        <v>308.11949230935937</v>
      </c>
      <c r="AU344" s="1064">
        <f t="shared" si="102"/>
        <v>281.17474662957119</v>
      </c>
      <c r="AV344" s="1064">
        <f>AW344-SUM(AS344:AU344)</f>
        <v>295.65428482416769</v>
      </c>
      <c r="AW344" s="1065">
        <f>(AQ344*(1+AW332))</f>
        <v>1157.1079078410348</v>
      </c>
      <c r="AX344" s="1066"/>
      <c r="AY344" s="1064">
        <f t="shared" si="103"/>
        <v>270.49167841442335</v>
      </c>
      <c r="AZ344" s="1064">
        <f t="shared" si="103"/>
        <v>298.29543095154787</v>
      </c>
      <c r="BA344" s="1064">
        <f t="shared" si="103"/>
        <v>278.73681947644485</v>
      </c>
      <c r="BB344" s="1064">
        <f>BC344-SUM(AY344:BA344)</f>
        <v>310.50826227203083</v>
      </c>
      <c r="BC344" s="1065">
        <f>(AW344*(1+BC332))</f>
        <v>1158.032191114447</v>
      </c>
      <c r="BD344" s="1066"/>
      <c r="BE344" s="1064">
        <f t="shared" si="104"/>
        <v>294.11728327405933</v>
      </c>
      <c r="BF344" s="1064">
        <f t="shared" si="104"/>
        <v>309.24547124642004</v>
      </c>
      <c r="BG344" s="1064">
        <f t="shared" si="104"/>
        <v>310.15079477353936</v>
      </c>
      <c r="BH344" s="1064">
        <f>BI344-SUM(BE344:BG344)</f>
        <v>338.34274856160368</v>
      </c>
      <c r="BI344" s="1065">
        <f>(BC344*(1+BI332))</f>
        <v>1251.8562978556224</v>
      </c>
      <c r="BJ344" s="1066"/>
      <c r="BK344" s="1064">
        <f t="shared" si="105"/>
        <v>290.12715113872218</v>
      </c>
      <c r="BL344" s="1064">
        <f t="shared" si="105"/>
        <v>340.70545640613653</v>
      </c>
      <c r="BM344" s="1064">
        <f t="shared" si="105"/>
        <v>318.3351661390131</v>
      </c>
      <c r="BN344" s="1064">
        <f>BO344-SUM(BK344:BM344)</f>
        <v>371.68178944366468</v>
      </c>
      <c r="BO344" s="1065">
        <f>(BI344*(1+BO332))</f>
        <v>1320.8495631275366</v>
      </c>
      <c r="BP344" s="1064"/>
      <c r="BQ344" s="1067"/>
      <c r="BR344" s="1064"/>
      <c r="BS344" s="1064"/>
      <c r="BT344" s="1064"/>
      <c r="BU344" s="1065"/>
      <c r="BV344" s="1064"/>
      <c r="BW344" s="1067"/>
      <c r="BX344" s="1064"/>
      <c r="BY344" s="1064"/>
      <c r="BZ344" s="1064"/>
      <c r="CA344" s="1065"/>
      <c r="CB344" s="1064"/>
      <c r="CC344" s="1067"/>
      <c r="CD344" s="1064"/>
      <c r="CE344" s="1064"/>
      <c r="CF344" s="1064"/>
      <c r="CG344" s="1065"/>
    </row>
    <row r="345" spans="1:87" ht="11.25" customHeight="1" outlineLevel="1" x14ac:dyDescent="0.2">
      <c r="A345" s="78"/>
      <c r="B345" s="837" t="s">
        <v>324</v>
      </c>
      <c r="C345" s="1068">
        <f>SUM(C343:C344)</f>
        <v>562.601</v>
      </c>
      <c r="D345" s="1068">
        <f>SUM(D343:D344)</f>
        <v>601.21699999999998</v>
      </c>
      <c r="E345" s="1068">
        <f>SUM(E343:E344)</f>
        <v>616.97199999999998</v>
      </c>
      <c r="F345" s="1068">
        <f>SUM(F343:F344)</f>
        <v>681.5830000000002</v>
      </c>
      <c r="G345" s="1069">
        <f>SUM(G343:G344)</f>
        <v>2462.3730000000005</v>
      </c>
      <c r="H345" s="1070"/>
      <c r="I345" s="1068">
        <f>SUM(I343:I344)</f>
        <v>611.24403740000002</v>
      </c>
      <c r="J345" s="1068">
        <f>SUM(J343:J344)</f>
        <v>659.27363480999998</v>
      </c>
      <c r="K345" s="1068">
        <f>SUM(K343:K344)</f>
        <v>642.69366160000004</v>
      </c>
      <c r="L345" s="1068">
        <f>SUM(L343:L344)</f>
        <v>661.59875436999982</v>
      </c>
      <c r="M345" s="1069">
        <f>SUM(M343:M344)</f>
        <v>2574.8100881800001</v>
      </c>
      <c r="N345" s="1070"/>
      <c r="O345" s="1068">
        <f>SUM(O343:O344)</f>
        <v>600.67604969527292</v>
      </c>
      <c r="P345" s="1068">
        <f>SUM(P343:P344)</f>
        <v>633.90274512335191</v>
      </c>
      <c r="Q345" s="1068">
        <f>SUM(Q343:Q344)</f>
        <v>632.68997205345192</v>
      </c>
      <c r="R345" s="1068">
        <f>SUM(R343:R344)</f>
        <v>689.47897705609068</v>
      </c>
      <c r="S345" s="1069">
        <f>SUM(S343:S344)</f>
        <v>2556.7477439281674</v>
      </c>
      <c r="T345" s="1070"/>
      <c r="U345" s="1068">
        <f>SUM(U343:U344)</f>
        <v>620.09672563156255</v>
      </c>
      <c r="V345" s="1068">
        <f>SUM(V343:V344)</f>
        <v>693.5426872888612</v>
      </c>
      <c r="W345" s="1068">
        <f>SUM(W343:W344)</f>
        <v>684.73283581139003</v>
      </c>
      <c r="X345" s="1068">
        <f>SUM(X343:X344)</f>
        <v>748.01462456003856</v>
      </c>
      <c r="Y345" s="1069">
        <f>SUM(Y343:Y344)</f>
        <v>2746.3868732918522</v>
      </c>
      <c r="Z345" s="1070"/>
      <c r="AA345" s="1068">
        <f>SUM(AA343:AA344)</f>
        <v>1095.364</v>
      </c>
      <c r="AB345" s="1068">
        <f>SUM(AB343:AB344)</f>
        <v>1201.2239999999999</v>
      </c>
      <c r="AC345" s="1068">
        <f>SUM(AC343:AC344)</f>
        <v>1123.021</v>
      </c>
      <c r="AD345" s="1068">
        <f>SUM(AD343:AD344)</f>
        <v>1345.2889999999991</v>
      </c>
      <c r="AE345" s="1069">
        <f>SUM(AE343:AE344)</f>
        <v>4764.8979999999992</v>
      </c>
      <c r="AF345" s="1070"/>
      <c r="AG345" s="1068">
        <f>SUM(AG343:AG344)</f>
        <v>1156.1416185789474</v>
      </c>
      <c r="AH345" s="1068">
        <f>SUM(AH343:AH344)</f>
        <v>1186.0562827428571</v>
      </c>
      <c r="AI345" s="1068">
        <f>SUM(AI343:AI344)</f>
        <v>1119.63214378</v>
      </c>
      <c r="AJ345" s="1068">
        <f>SUM(AJ343:AJ344)</f>
        <v>1317.3998095793477</v>
      </c>
      <c r="AK345" s="1069">
        <f>SUM(AK343:AK344)</f>
        <v>4779.2298546811526</v>
      </c>
      <c r="AL345" s="1070"/>
      <c r="AM345" s="1068">
        <f>SUM(AM343:AM344)</f>
        <v>1191.6766233581006</v>
      </c>
      <c r="AN345" s="1068">
        <f>SUM(AN343:AN344)</f>
        <v>1260.2618056005185</v>
      </c>
      <c r="AO345" s="1068">
        <f>SUM(AO343:AO344)</f>
        <v>1182.8637446951986</v>
      </c>
      <c r="AP345" s="1068">
        <f>SUM(AP343:AP344)</f>
        <v>1369.9831552802948</v>
      </c>
      <c r="AQ345" s="1069">
        <f>SUM(AQ343:AQ344)</f>
        <v>5004.7853289341119</v>
      </c>
      <c r="AR345" s="1070"/>
      <c r="AS345" s="1068">
        <f>SUM(AS343:AS344)</f>
        <v>1297.5616460408773</v>
      </c>
      <c r="AT345" s="1068">
        <f>SUM(AT343:AT344)</f>
        <v>1369.0576872011525</v>
      </c>
      <c r="AU345" s="1068">
        <f>SUM(AU343:AU344)</f>
        <v>1298.026708372761</v>
      </c>
      <c r="AV345" s="1068">
        <f>SUM(AV343:AV344)</f>
        <v>1427.6434625270988</v>
      </c>
      <c r="AW345" s="1069">
        <f>SUM(AW343:AW344)</f>
        <v>5392.2895041418897</v>
      </c>
      <c r="AX345" s="1070"/>
      <c r="AY345" s="1068">
        <f>SUM(AY343:AY344)</f>
        <v>1250.6453173059999</v>
      </c>
      <c r="AZ345" s="1068">
        <f>SUM(AZ343:AZ344)</f>
        <v>1322.2239285601893</v>
      </c>
      <c r="BA345" s="1068">
        <f>SUM(BA343:BA344)</f>
        <v>1264.4014176572146</v>
      </c>
      <c r="BB345" s="1068">
        <f>SUM(BB343:BB344)</f>
        <v>1449.2114122895712</v>
      </c>
      <c r="BC345" s="1069">
        <f>SUM(BC343:BC344)</f>
        <v>5286.4820758129754</v>
      </c>
      <c r="BD345" s="1070"/>
      <c r="BE345" s="1068">
        <f>SUM(BE343:BE344)</f>
        <v>1303.0317522669447</v>
      </c>
      <c r="BF345" s="1068">
        <f>SUM(BF343:BF344)</f>
        <v>1374.856776526806</v>
      </c>
      <c r="BG345" s="1068">
        <f>SUM(BG343:BG344)</f>
        <v>1327.0621479623787</v>
      </c>
      <c r="BH345" s="1068">
        <f>SUM(BH343:BH344)</f>
        <v>1557.0910769113932</v>
      </c>
      <c r="BI345" s="1069">
        <f>SUM(BI343:BI344)</f>
        <v>5562.0417536675232</v>
      </c>
      <c r="BJ345" s="1070"/>
      <c r="BK345" s="1068">
        <f>SUM(BK343:BK344)</f>
        <v>1406.4239525298196</v>
      </c>
      <c r="BL345" s="1068">
        <f>SUM(BL343:BL344)</f>
        <v>1489.1482562286981</v>
      </c>
      <c r="BM345" s="1068">
        <f>SUM(BM343:BM344)</f>
        <v>1478.0090382336959</v>
      </c>
      <c r="BN345" s="1336">
        <f>SUM(BN343:BN344)</f>
        <v>1688.9583670030277</v>
      </c>
      <c r="BO345" s="1069">
        <f>SUM(BO343:BO344)</f>
        <v>6062.5396139952409</v>
      </c>
      <c r="BP345" s="1064"/>
      <c r="BQ345" s="1071"/>
      <c r="BR345" s="1068"/>
      <c r="BS345" s="1068"/>
      <c r="BT345" s="1068"/>
      <c r="BU345" s="1069"/>
      <c r="BV345" s="1064"/>
      <c r="BW345" s="1071"/>
      <c r="BX345" s="1068"/>
      <c r="BY345" s="1068"/>
      <c r="BZ345" s="1068"/>
      <c r="CA345" s="1069"/>
      <c r="CB345" s="1064"/>
      <c r="CC345" s="1071"/>
      <c r="CD345" s="1068"/>
      <c r="CE345" s="1068"/>
      <c r="CF345" s="1068"/>
      <c r="CG345" s="1069"/>
    </row>
    <row r="346" spans="1:87" outlineLevel="1" x14ac:dyDescent="0.2">
      <c r="B346" s="7"/>
      <c r="C346" s="7"/>
      <c r="D346" s="7"/>
      <c r="E346" s="7"/>
      <c r="F346" s="7"/>
      <c r="G346" s="7"/>
      <c r="I346" s="1105">
        <f t="shared" ref="I346:S346" si="106">I345-I8</f>
        <v>-0.53896259999999074</v>
      </c>
      <c r="J346" s="1105">
        <f t="shared" si="106"/>
        <v>-0.26536519000001135</v>
      </c>
      <c r="K346" s="1105">
        <f t="shared" si="106"/>
        <v>1.2066616000000749</v>
      </c>
      <c r="L346" s="1105">
        <f t="shared" si="106"/>
        <v>7.343754370000056</v>
      </c>
      <c r="M346" s="1105">
        <f t="shared" si="106"/>
        <v>7.7460881800002426</v>
      </c>
      <c r="N346" s="1105">
        <f t="shared" si="106"/>
        <v>0</v>
      </c>
      <c r="O346" s="1105">
        <f t="shared" si="106"/>
        <v>6.7200496952729054</v>
      </c>
      <c r="P346" s="1105">
        <f t="shared" si="106"/>
        <v>11.683745123351855</v>
      </c>
      <c r="Q346" s="1105">
        <f t="shared" si="106"/>
        <v>10.62497205345187</v>
      </c>
      <c r="R346" s="1105">
        <f t="shared" si="106"/>
        <v>17.797977056090986</v>
      </c>
      <c r="S346" s="1105">
        <f t="shared" si="106"/>
        <v>46.826743928167616</v>
      </c>
      <c r="U346" s="1105">
        <f>U345-U8</f>
        <v>5.4477256315625482</v>
      </c>
      <c r="V346" s="1105">
        <f>V345-V8</f>
        <v>15.982687288861257</v>
      </c>
      <c r="W346" s="1105">
        <f>W345-W8</f>
        <v>18.792835811389978</v>
      </c>
      <c r="X346" s="1105">
        <f>X345-X8</f>
        <v>27.333624560038629</v>
      </c>
      <c r="Y346" s="1105">
        <f>Y345-Y8</f>
        <v>67.556873291852298</v>
      </c>
      <c r="Z346" s="1105"/>
      <c r="AA346" s="1105">
        <f>AA345-AA126</f>
        <v>0</v>
      </c>
      <c r="AB346" s="1105">
        <f>AB345-AB126</f>
        <v>0</v>
      </c>
      <c r="AC346" s="1105">
        <f>AC345-AC126</f>
        <v>0</v>
      </c>
      <c r="AD346" s="1105">
        <f>AD345-AD126</f>
        <v>0</v>
      </c>
      <c r="AE346" s="1105">
        <f>AE345-AE126</f>
        <v>0</v>
      </c>
      <c r="AG346" s="1105">
        <f>AG345-AG126</f>
        <v>0.47561857894743298</v>
      </c>
      <c r="AH346" s="1105">
        <f>AH345-AH126</f>
        <v>0.13728274285699626</v>
      </c>
      <c r="AI346" s="1105">
        <f>AI345-AI126</f>
        <v>0.20214377999991484</v>
      </c>
      <c r="AJ346" s="1105">
        <f>AJ345-AJ126</f>
        <v>3.9328095793475768</v>
      </c>
      <c r="AK346" s="1105">
        <f>AK345-AK126</f>
        <v>4.747854681152603</v>
      </c>
      <c r="AL346" s="1105"/>
      <c r="AM346" s="1105">
        <f>AM345-AM126</f>
        <v>0.88162335810056902</v>
      </c>
      <c r="AN346" s="1105">
        <f>AN345-AN126</f>
        <v>0.68080560051862449</v>
      </c>
      <c r="AO346" s="1105">
        <f>AO345-AO126</f>
        <v>-0.33725530480137422</v>
      </c>
      <c r="AP346" s="1105">
        <f>AP345-AP126</f>
        <v>5.5881552802948136</v>
      </c>
      <c r="AQ346" s="1105">
        <f>AQ345-AQ126</f>
        <v>6.8133289341121781</v>
      </c>
      <c r="AS346" s="1105">
        <f>AS345-AS126</f>
        <v>0.63364604087746557</v>
      </c>
      <c r="AT346" s="1105">
        <f>AT345-AT126</f>
        <v>0.57668720115248107</v>
      </c>
      <c r="AU346" s="1105">
        <f>AU345-AU126</f>
        <v>-0.32529162723903937</v>
      </c>
      <c r="AV346" s="1105">
        <f>AV345-AV126</f>
        <v>10.18946252709884</v>
      </c>
      <c r="AW346" s="1105">
        <f>AW345-AW126</f>
        <v>11.074504141890429</v>
      </c>
      <c r="AX346" s="1105"/>
      <c r="AY346" s="1105">
        <f>AY345-AY126</f>
        <v>0.57231730600005903</v>
      </c>
      <c r="AZ346" s="1105">
        <f>AZ345-AZ126</f>
        <v>1.4809285601893407</v>
      </c>
      <c r="BA346" s="1105">
        <f>BA345-BA126</f>
        <v>-1.9195823427853611</v>
      </c>
      <c r="BB346" s="1105">
        <f>BB345-BB126</f>
        <v>9.9414122895711898</v>
      </c>
      <c r="BC346" s="1105">
        <f>BC345-BC126</f>
        <v>10.075075812976138</v>
      </c>
      <c r="BE346" s="1105">
        <f>BE345-BE126</f>
        <v>1.2767522669446407</v>
      </c>
      <c r="BF346" s="1105">
        <f>BF345-BF126</f>
        <v>1.6687765268059138</v>
      </c>
      <c r="BG346" s="1105">
        <f>BG345-BG126</f>
        <v>-3.4628520376213601</v>
      </c>
      <c r="BH346" s="1105">
        <f>BH345-BH126</f>
        <v>7.2600769113932984</v>
      </c>
      <c r="BI346" s="1105">
        <f>BI345-BI126</f>
        <v>6.742753667523175</v>
      </c>
      <c r="BK346" s="1105">
        <f>BK345-BK126</f>
        <v>1.2659525298197423</v>
      </c>
      <c r="BL346" s="1105">
        <f>BL345-BL126</f>
        <v>0.98125622869815743</v>
      </c>
      <c r="BM346" s="1105">
        <f>BM345-BM126</f>
        <v>-0.72096176630407172</v>
      </c>
      <c r="BN346" s="1105">
        <f>BN345-BN126</f>
        <v>12.160367003027886</v>
      </c>
      <c r="BO346" s="1105">
        <f>BO345-BO126</f>
        <v>13.686613995240805</v>
      </c>
      <c r="BQ346" s="7"/>
      <c r="BR346" s="7"/>
      <c r="BS346" s="7"/>
      <c r="BT346" s="7"/>
      <c r="BU346" s="7"/>
      <c r="BW346" s="7"/>
      <c r="BX346" s="7"/>
      <c r="BY346" s="7"/>
      <c r="BZ346" s="7"/>
      <c r="CA346" s="7"/>
      <c r="CC346" s="7"/>
      <c r="CD346" s="7"/>
      <c r="CE346" s="7"/>
      <c r="CF346" s="7"/>
      <c r="CG346" s="7"/>
    </row>
    <row r="347" spans="1:87" outlineLevel="1" x14ac:dyDescent="0.2">
      <c r="B347" s="7"/>
      <c r="C347" s="7"/>
      <c r="D347" s="7"/>
      <c r="E347" s="7"/>
      <c r="F347" s="7"/>
      <c r="G347" s="7"/>
      <c r="I347" s="7"/>
      <c r="J347" s="7"/>
      <c r="K347" s="7"/>
      <c r="L347" s="7"/>
      <c r="M347" s="7"/>
      <c r="O347" s="7"/>
      <c r="P347" s="7"/>
      <c r="Q347" s="7"/>
      <c r="R347" s="7"/>
      <c r="S347" s="7"/>
      <c r="U347" s="7"/>
      <c r="V347" s="7"/>
      <c r="W347" s="7"/>
      <c r="X347" s="7"/>
      <c r="Y347" s="7"/>
      <c r="AA347" s="7"/>
      <c r="AB347" s="7"/>
      <c r="AC347" s="7"/>
      <c r="AD347" s="7"/>
      <c r="AE347" s="7"/>
      <c r="AG347" s="7"/>
      <c r="AH347" s="7"/>
      <c r="AI347" s="7"/>
      <c r="AJ347" s="7"/>
      <c r="AK347" s="7"/>
      <c r="AM347" s="7"/>
      <c r="AN347" s="7"/>
      <c r="AO347" s="7"/>
      <c r="AP347" s="7"/>
      <c r="AQ347" s="7"/>
      <c r="AS347" s="7"/>
      <c r="AT347" s="7"/>
      <c r="AU347" s="7"/>
      <c r="AV347" s="7"/>
      <c r="AW347" s="7"/>
      <c r="AY347" s="7"/>
      <c r="AZ347" s="7"/>
      <c r="BA347" s="7"/>
      <c r="BB347" s="7"/>
      <c r="BC347" s="7"/>
      <c r="BE347" s="7"/>
      <c r="BF347" s="7"/>
      <c r="BG347" s="7"/>
      <c r="BH347" s="7"/>
      <c r="BI347" s="7"/>
      <c r="BK347" s="7"/>
      <c r="BL347" s="7"/>
      <c r="BM347" s="7"/>
      <c r="BN347" s="7"/>
      <c r="BO347" s="7"/>
      <c r="BQ347" s="7"/>
      <c r="BR347" s="7"/>
      <c r="BS347" s="7"/>
      <c r="BT347" s="7"/>
      <c r="BU347" s="7"/>
      <c r="BW347" s="7"/>
      <c r="BX347" s="7"/>
      <c r="BY347" s="7"/>
      <c r="BZ347" s="7"/>
      <c r="CA347" s="7"/>
      <c r="CC347" s="7"/>
      <c r="CD347" s="7"/>
      <c r="CE347" s="7"/>
      <c r="CF347" s="7"/>
      <c r="CG347" s="7"/>
    </row>
    <row r="348" spans="1:87" outlineLevel="1" x14ac:dyDescent="0.2">
      <c r="H348" s="9"/>
      <c r="N348" s="9"/>
      <c r="T348" s="9"/>
      <c r="U348" s="252"/>
      <c r="V348" s="252"/>
      <c r="W348" s="252"/>
      <c r="X348" s="252"/>
      <c r="Y348" s="252"/>
      <c r="Z348" s="252"/>
      <c r="AA348" s="252"/>
      <c r="AB348" s="252"/>
      <c r="AC348" s="252"/>
      <c r="AD348" s="252"/>
      <c r="AE348" s="252"/>
      <c r="AF348" s="9"/>
      <c r="AL348" s="9"/>
      <c r="AR348" s="9"/>
      <c r="AX348" s="9"/>
      <c r="BD348" s="9"/>
      <c r="BJ348" s="9"/>
      <c r="BP348" s="9"/>
      <c r="BV348" s="9"/>
      <c r="CB348" s="9"/>
    </row>
    <row r="349" spans="1:87" outlineLevel="1" x14ac:dyDescent="0.2">
      <c r="G349" s="252"/>
      <c r="S349" s="252"/>
      <c r="Y349" s="14" t="s">
        <v>413</v>
      </c>
      <c r="AA349" s="7"/>
      <c r="AB349" s="7"/>
      <c r="AC349" s="7"/>
      <c r="AD349" s="7"/>
      <c r="AE349" s="7"/>
      <c r="AG349" s="7"/>
      <c r="AH349" s="7"/>
      <c r="AI349" s="7"/>
      <c r="AJ349" s="7"/>
      <c r="AK349" s="7"/>
      <c r="AM349" s="7"/>
      <c r="AN349" s="7"/>
      <c r="AO349" s="7"/>
      <c r="AP349" s="7"/>
      <c r="AQ349" s="7"/>
      <c r="AS349" s="7"/>
      <c r="AT349" s="7"/>
      <c r="AU349" s="7"/>
      <c r="AV349" s="7"/>
      <c r="AW349" s="7"/>
      <c r="AY349" s="7"/>
      <c r="AZ349" s="7"/>
      <c r="BA349" s="7"/>
      <c r="BB349" s="7"/>
      <c r="BC349" s="7"/>
      <c r="BE349" s="14" t="s">
        <v>558</v>
      </c>
      <c r="BF349" s="7"/>
      <c r="BG349" s="7"/>
      <c r="BH349" s="7"/>
      <c r="BI349" s="7"/>
      <c r="BK349" s="7"/>
    </row>
    <row r="350" spans="1:87" outlineLevel="1" x14ac:dyDescent="0.2">
      <c r="G350" s="252"/>
      <c r="H350" s="9"/>
      <c r="N350" s="9"/>
      <c r="S350" s="252"/>
      <c r="T350" s="9"/>
      <c r="Y350" s="7" t="s">
        <v>559</v>
      </c>
      <c r="AA350" s="853">
        <f t="shared" ref="AA350:AC351" si="107">AA326</f>
        <v>8.8999999999999996E-2</v>
      </c>
      <c r="AB350" s="853">
        <f t="shared" si="107"/>
        <v>4.8000000000000001E-2</v>
      </c>
      <c r="AC350" s="853">
        <f t="shared" si="107"/>
        <v>2.9000000000000001E-2</v>
      </c>
      <c r="AD350" s="7"/>
      <c r="AE350" s="853">
        <f>AE326</f>
        <v>6.2E-2</v>
      </c>
      <c r="AG350" s="853"/>
      <c r="AH350" s="853"/>
      <c r="AI350" s="853"/>
      <c r="AJ350" s="7"/>
      <c r="AK350" s="853"/>
      <c r="AM350" s="7"/>
      <c r="AN350" s="7"/>
      <c r="AO350" s="7"/>
      <c r="AP350" s="7"/>
      <c r="AQ350" s="7"/>
      <c r="AS350" s="7"/>
      <c r="AT350" s="7"/>
      <c r="AU350" s="7"/>
      <c r="AV350" s="7"/>
      <c r="AW350" s="7"/>
      <c r="AY350" s="7"/>
      <c r="AZ350" s="7"/>
      <c r="BA350" s="7"/>
      <c r="BB350" s="7"/>
      <c r="BC350" s="7"/>
      <c r="BE350" s="7" t="s">
        <v>559</v>
      </c>
      <c r="BF350" s="7"/>
      <c r="BG350" s="7"/>
      <c r="BH350" s="7"/>
      <c r="BI350" s="7"/>
      <c r="BK350" s="853">
        <f>BK326</f>
        <v>0.109</v>
      </c>
      <c r="BP350" s="9"/>
      <c r="BV350" s="9"/>
      <c r="CB350" s="9"/>
    </row>
    <row r="351" spans="1:87" outlineLevel="1" x14ac:dyDescent="0.2">
      <c r="G351" s="1074"/>
      <c r="S351" s="1074"/>
      <c r="Y351" s="7" t="s">
        <v>560</v>
      </c>
      <c r="AA351" s="853">
        <f t="shared" si="107"/>
        <v>1.2999999999999999E-2</v>
      </c>
      <c r="AB351" s="853">
        <f t="shared" si="107"/>
        <v>1.2999999999999999E-2</v>
      </c>
      <c r="AC351" s="853">
        <f t="shared" si="107"/>
        <v>-2.1000000000000001E-2</v>
      </c>
      <c r="AD351" s="7"/>
      <c r="AE351" s="853">
        <f>AE327</f>
        <v>3.5999999999999997E-2</v>
      </c>
      <c r="AG351" s="853"/>
      <c r="AH351" s="853"/>
      <c r="AI351" s="853"/>
      <c r="AJ351" s="7"/>
      <c r="AK351" s="853"/>
      <c r="AM351" s="7"/>
      <c r="AN351" s="7"/>
      <c r="AO351" s="7"/>
      <c r="AP351" s="7"/>
      <c r="AQ351" s="7"/>
      <c r="AS351" s="7"/>
      <c r="AT351" s="7"/>
      <c r="AU351" s="7"/>
      <c r="AV351" s="7"/>
      <c r="AW351" s="7"/>
      <c r="AY351" s="7"/>
      <c r="AZ351" s="7"/>
      <c r="BA351" s="7"/>
      <c r="BB351" s="7"/>
      <c r="BC351" s="7"/>
      <c r="BE351" s="7" t="s">
        <v>560</v>
      </c>
      <c r="BF351" s="7"/>
      <c r="BG351" s="7"/>
      <c r="BH351" s="7"/>
      <c r="BI351" s="7"/>
      <c r="BK351" s="853">
        <f>BK327</f>
        <v>-1.0999999999999999E-2</v>
      </c>
    </row>
    <row r="352" spans="1:87" outlineLevel="1" x14ac:dyDescent="0.2">
      <c r="G352" s="1074"/>
      <c r="S352" s="1074"/>
      <c r="Y352" s="7"/>
      <c r="AA352" s="853"/>
      <c r="AB352" s="853"/>
      <c r="AC352" s="853"/>
      <c r="AD352" s="7"/>
      <c r="AE352" s="853"/>
      <c r="AG352" s="853"/>
      <c r="AH352" s="853"/>
      <c r="AI352" s="853"/>
      <c r="AJ352" s="7"/>
      <c r="AK352" s="853"/>
      <c r="AM352" s="7"/>
      <c r="AN352" s="7"/>
      <c r="AO352" s="7"/>
      <c r="AP352" s="7"/>
      <c r="AQ352" s="7"/>
      <c r="AS352" s="7"/>
      <c r="AT352" s="7"/>
      <c r="AU352" s="7"/>
      <c r="AV352" s="7"/>
      <c r="AW352" s="7"/>
      <c r="AY352" s="7"/>
      <c r="AZ352" s="7"/>
      <c r="BA352" s="7"/>
      <c r="BB352" s="7"/>
      <c r="BC352" s="7"/>
      <c r="BE352" s="7"/>
      <c r="BF352" s="7"/>
      <c r="BG352" s="7"/>
      <c r="BH352" s="7"/>
      <c r="BI352" s="7"/>
      <c r="BK352" s="853"/>
    </row>
    <row r="353" spans="1:85" outlineLevel="1" x14ac:dyDescent="0.2">
      <c r="Y353" s="179" t="s">
        <v>561</v>
      </c>
      <c r="AA353" s="860"/>
      <c r="AB353" s="860"/>
      <c r="AC353" s="860"/>
      <c r="AD353" s="7"/>
      <c r="AE353" s="860"/>
      <c r="AG353" s="860"/>
      <c r="AH353" s="860"/>
      <c r="AI353" s="860"/>
      <c r="AJ353" s="7"/>
      <c r="AK353" s="860"/>
      <c r="AM353" s="7"/>
      <c r="AN353" s="7"/>
      <c r="AO353" s="7"/>
      <c r="AP353" s="7"/>
      <c r="AQ353" s="7"/>
      <c r="AS353" s="7"/>
      <c r="AT353" s="7"/>
      <c r="AU353" s="7"/>
      <c r="AV353" s="7"/>
      <c r="AW353" s="7"/>
      <c r="AY353" s="7"/>
      <c r="AZ353" s="7"/>
      <c r="BA353" s="7"/>
      <c r="BB353" s="7"/>
      <c r="BC353" s="7"/>
      <c r="BE353" s="179" t="s">
        <v>561</v>
      </c>
      <c r="BK353" s="860"/>
    </row>
    <row r="354" spans="1:85" ht="11.25" customHeight="1" outlineLevel="1" x14ac:dyDescent="0.2">
      <c r="Y354" s="7" t="s">
        <v>559</v>
      </c>
      <c r="AA354" s="853">
        <f>1-AA355</f>
        <v>0.77631578947368407</v>
      </c>
      <c r="AB354" s="853">
        <f>1-AB355</f>
        <v>0.77142857142857124</v>
      </c>
      <c r="AC354" s="853">
        <f>1-AC355</f>
        <v>0.77999999999999992</v>
      </c>
      <c r="AE354" s="853">
        <f>1-AE355</f>
        <v>0.77591478696741845</v>
      </c>
      <c r="AG354" s="853"/>
      <c r="AH354" s="853"/>
      <c r="AI354" s="853"/>
      <c r="AK354" s="853"/>
      <c r="BE354" s="7" t="s">
        <v>559</v>
      </c>
      <c r="BK354" s="853">
        <f>1-BK355</f>
        <v>0.77500000000000002</v>
      </c>
    </row>
    <row r="355" spans="1:85" ht="11.25" customHeight="1" outlineLevel="1" x14ac:dyDescent="0.2">
      <c r="Y355" s="7" t="s">
        <v>560</v>
      </c>
      <c r="AA355" s="1072">
        <v>0.22368421052631599</v>
      </c>
      <c r="AB355" s="1072">
        <v>0.22857142857142873</v>
      </c>
      <c r="AC355" s="1072">
        <v>0.22000000000000008</v>
      </c>
      <c r="AE355" s="1073">
        <f>AVERAGE(AA355:AC355)</f>
        <v>0.22408521303258158</v>
      </c>
      <c r="AG355" s="1072"/>
      <c r="AH355" s="1072"/>
      <c r="AI355" s="1072"/>
      <c r="AK355" s="1072"/>
      <c r="BE355" s="7" t="s">
        <v>560</v>
      </c>
      <c r="BK355" s="1072">
        <v>0.22499999999999998</v>
      </c>
    </row>
    <row r="356" spans="1:85" ht="11.25" customHeight="1" outlineLevel="1" x14ac:dyDescent="0.2"/>
    <row r="357" spans="1:85" x14ac:dyDescent="0.2">
      <c r="Y357" s="179" t="s">
        <v>562</v>
      </c>
      <c r="AA357" s="1073">
        <f>SUMPRODUCT(AA350:AA351,AA354:AA355)</f>
        <v>7.1999999999999995E-2</v>
      </c>
      <c r="AB357" s="1073">
        <f>SUMPRODUCT(AB350:AB351,AB354:AB355)</f>
        <v>3.9999999999999994E-2</v>
      </c>
      <c r="AC357" s="1073">
        <f>SUMPRODUCT(AC350:AC351,AC354:AC355)</f>
        <v>1.7999999999999995E-2</v>
      </c>
      <c r="AE357" s="1073">
        <f>SUMPRODUCT(AE350:AE351,AE354:AE355)</f>
        <v>5.6173784461152877E-2</v>
      </c>
      <c r="AG357" s="1073"/>
      <c r="AH357" s="1073"/>
      <c r="AI357" s="1073"/>
      <c r="AK357" s="1073"/>
      <c r="BE357" s="179" t="s">
        <v>562</v>
      </c>
      <c r="BK357" s="1073">
        <f>SUMPRODUCT(BK350:BK351,BK354:BK355)</f>
        <v>8.2000000000000003E-2</v>
      </c>
    </row>
    <row r="358" spans="1:85" x14ac:dyDescent="0.2">
      <c r="Y358" s="7" t="s">
        <v>563</v>
      </c>
      <c r="AA358" s="853">
        <f>AA328</f>
        <v>7.1999999999999995E-2</v>
      </c>
      <c r="AB358" s="853">
        <f>AB328</f>
        <v>0.04</v>
      </c>
      <c r="AC358" s="853">
        <f>AC328</f>
        <v>1.7999999999999999E-2</v>
      </c>
      <c r="AE358" s="853">
        <f>AE328</f>
        <v>5.5E-2</v>
      </c>
      <c r="AG358" s="853"/>
      <c r="AH358" s="853"/>
      <c r="AI358" s="853"/>
      <c r="AK358" s="853"/>
      <c r="BE358" s="7" t="s">
        <v>563</v>
      </c>
      <c r="BF358" s="7"/>
      <c r="BG358" s="7"/>
      <c r="BH358" s="7"/>
      <c r="BI358" s="7"/>
      <c r="BK358" s="853">
        <f>BK328</f>
        <v>8.2000000000000003E-2</v>
      </c>
    </row>
    <row r="359" spans="1:85" x14ac:dyDescent="0.2">
      <c r="Y359" s="254" t="s">
        <v>44</v>
      </c>
      <c r="AA359" s="1074">
        <f>AA357-AA358</f>
        <v>0</v>
      </c>
      <c r="AB359" s="1074">
        <f>AB357-AB358</f>
        <v>0</v>
      </c>
      <c r="AC359" s="1074">
        <f>AC357-AC358</f>
        <v>0</v>
      </c>
      <c r="AE359" s="1074">
        <f>AE357-AE358</f>
        <v>1.1737844611528769E-3</v>
      </c>
      <c r="AG359" s="1074"/>
      <c r="AH359" s="1074"/>
      <c r="AI359" s="1074"/>
      <c r="AK359" s="1074"/>
      <c r="BE359" s="254" t="s">
        <v>44</v>
      </c>
      <c r="BF359" s="254"/>
      <c r="BG359" s="254"/>
      <c r="BH359" s="254"/>
      <c r="BI359" s="254"/>
      <c r="BJ359" s="1075"/>
      <c r="BK359" s="1074">
        <f>BK357-BK358</f>
        <v>0</v>
      </c>
    </row>
    <row r="360" spans="1:85" x14ac:dyDescent="0.2">
      <c r="A360" s="279"/>
    </row>
    <row r="361" spans="1:85" x14ac:dyDescent="0.2">
      <c r="A361" s="279"/>
      <c r="B361" s="812" t="s">
        <v>577</v>
      </c>
      <c r="C361" s="813"/>
      <c r="D361" s="813"/>
      <c r="E361" s="813"/>
      <c r="F361" s="813"/>
      <c r="G361" s="813"/>
      <c r="H361" s="812"/>
      <c r="I361" s="813"/>
      <c r="J361" s="813"/>
      <c r="K361" s="813"/>
      <c r="L361" s="813"/>
      <c r="M361" s="813"/>
      <c r="N361" s="812"/>
      <c r="O361" s="813"/>
      <c r="P361" s="813"/>
      <c r="Q361" s="813"/>
      <c r="R361" s="813"/>
      <c r="S361" s="813"/>
      <c r="T361" s="812"/>
      <c r="U361" s="813"/>
      <c r="V361" s="813"/>
      <c r="W361" s="813"/>
      <c r="X361" s="813"/>
      <c r="Y361" s="813"/>
      <c r="Z361" s="812"/>
      <c r="AA361" s="813"/>
      <c r="AB361" s="813"/>
      <c r="AC361" s="813"/>
      <c r="AD361" s="813"/>
      <c r="AE361" s="813"/>
      <c r="AF361" s="812"/>
      <c r="AG361" s="813"/>
      <c r="AH361" s="813"/>
      <c r="AI361" s="813"/>
      <c r="AJ361" s="813"/>
      <c r="AK361" s="813"/>
      <c r="AL361" s="812"/>
      <c r="AM361" s="813"/>
      <c r="AN361" s="813"/>
      <c r="AO361" s="813"/>
      <c r="AP361" s="813"/>
      <c r="AQ361" s="813"/>
      <c r="AR361" s="812"/>
      <c r="AS361" s="813"/>
      <c r="AT361" s="813"/>
      <c r="AU361" s="813"/>
      <c r="AV361" s="813"/>
      <c r="AW361" s="813"/>
      <c r="AX361" s="812"/>
      <c r="AY361" s="813"/>
      <c r="AZ361" s="813"/>
      <c r="BA361" s="813"/>
      <c r="BB361" s="813"/>
      <c r="BC361" s="813"/>
      <c r="BD361" s="812"/>
      <c r="BE361" s="813"/>
      <c r="BF361" s="813"/>
      <c r="BG361" s="813"/>
      <c r="BH361" s="813"/>
      <c r="BI361" s="813"/>
      <c r="BJ361" s="812"/>
      <c r="BK361" s="813"/>
      <c r="BL361" s="813"/>
      <c r="BM361" s="813"/>
      <c r="BN361" s="813"/>
      <c r="BO361" s="813"/>
      <c r="BP361" s="812"/>
      <c r="BQ361" s="813"/>
      <c r="BR361" s="813"/>
      <c r="BS361" s="813"/>
      <c r="BT361" s="813"/>
      <c r="BU361" s="813"/>
      <c r="BV361" s="812"/>
      <c r="BW361" s="813"/>
      <c r="BX361" s="813"/>
      <c r="BY361" s="813"/>
      <c r="BZ361" s="813"/>
      <c r="CA361" s="813"/>
      <c r="CB361" s="812"/>
      <c r="CC361" s="813"/>
      <c r="CD361" s="813"/>
      <c r="CE361" s="813"/>
      <c r="CF361" s="813"/>
      <c r="CG361" s="814"/>
    </row>
    <row r="362" spans="1:85" x14ac:dyDescent="0.2">
      <c r="B362" s="773" t="s">
        <v>578</v>
      </c>
      <c r="C362" s="51" t="s">
        <v>151</v>
      </c>
      <c r="D362" s="51" t="s">
        <v>151</v>
      </c>
      <c r="E362" s="51" t="s">
        <v>151</v>
      </c>
      <c r="F362" s="51" t="s">
        <v>151</v>
      </c>
      <c r="G362" s="463"/>
      <c r="H362" s="1060"/>
      <c r="I362" s="51">
        <v>4.4999999999999998E-2</v>
      </c>
      <c r="J362" s="51" t="s">
        <v>151</v>
      </c>
      <c r="K362" s="51" t="s">
        <v>151</v>
      </c>
      <c r="L362" s="51" t="s">
        <v>151</v>
      </c>
      <c r="M362" s="463"/>
      <c r="N362" s="1060"/>
      <c r="O362" s="51" t="s">
        <v>151</v>
      </c>
      <c r="P362" s="51">
        <v>0.06</v>
      </c>
      <c r="Q362" s="51">
        <v>5.8999999999999997E-2</v>
      </c>
      <c r="R362" s="51">
        <v>5.0999999999999997E-2</v>
      </c>
      <c r="S362" s="447"/>
      <c r="T362" s="1060"/>
      <c r="U362" s="61"/>
      <c r="V362" s="61"/>
      <c r="W362" s="61"/>
      <c r="X362" s="61"/>
      <c r="Y362" s="447"/>
      <c r="Z362" s="1060"/>
      <c r="AA362" s="61"/>
      <c r="AB362" s="61"/>
      <c r="AC362" s="61"/>
      <c r="AD362" s="61"/>
      <c r="AE362" s="447"/>
      <c r="AF362" s="1060"/>
      <c r="AG362" s="61"/>
      <c r="AH362" s="61"/>
      <c r="AI362" s="61"/>
      <c r="AJ362" s="61"/>
      <c r="AK362" s="447"/>
      <c r="AL362" s="1060"/>
      <c r="AM362" s="61"/>
      <c r="AN362" s="61"/>
      <c r="AO362" s="61"/>
      <c r="AP362" s="61"/>
      <c r="AQ362" s="447"/>
      <c r="AR362" s="1060"/>
      <c r="AS362" s="61"/>
      <c r="AT362" s="61"/>
      <c r="AU362" s="61"/>
      <c r="AV362" s="61"/>
      <c r="AW362" s="447"/>
      <c r="AX362" s="1060"/>
      <c r="AY362" s="61"/>
      <c r="AZ362" s="61"/>
      <c r="BA362" s="61"/>
      <c r="BB362" s="61"/>
      <c r="BC362" s="447"/>
      <c r="BD362" s="1060"/>
      <c r="BE362" s="61"/>
      <c r="BF362" s="61"/>
      <c r="BG362" s="61"/>
      <c r="BH362" s="61"/>
      <c r="BI362" s="447"/>
      <c r="BJ362" s="1060"/>
      <c r="BK362" s="61"/>
      <c r="BL362" s="278"/>
      <c r="BM362" s="278"/>
      <c r="BN362" s="278"/>
      <c r="BO362" s="793"/>
      <c r="BP362" s="278"/>
      <c r="BQ362" s="743"/>
      <c r="BR362" s="278"/>
      <c r="BS362" s="278"/>
      <c r="BT362" s="278"/>
      <c r="BU362" s="793"/>
      <c r="BV362" s="278"/>
      <c r="BW362" s="743"/>
      <c r="BX362" s="278"/>
      <c r="BY362" s="278"/>
      <c r="BZ362" s="278"/>
      <c r="CA362" s="793"/>
      <c r="CB362" s="278"/>
      <c r="CC362" s="743"/>
      <c r="CD362" s="278"/>
      <c r="CE362" s="278"/>
      <c r="CF362" s="278"/>
      <c r="CG362" s="793"/>
    </row>
    <row r="363" spans="1:85" x14ac:dyDescent="0.2">
      <c r="B363" s="774" t="s">
        <v>579</v>
      </c>
      <c r="C363" s="1108" t="s">
        <v>151</v>
      </c>
      <c r="D363" s="1108" t="s">
        <v>151</v>
      </c>
      <c r="E363" s="1108" t="s">
        <v>151</v>
      </c>
      <c r="F363" s="1108" t="s">
        <v>151</v>
      </c>
      <c r="G363" s="1109"/>
      <c r="H363" s="1107"/>
      <c r="I363" s="1108">
        <v>0.1</v>
      </c>
      <c r="J363" s="1108" t="s">
        <v>151</v>
      </c>
      <c r="K363" s="1108" t="s">
        <v>151</v>
      </c>
      <c r="L363" s="1108" t="s">
        <v>151</v>
      </c>
      <c r="M363" s="1109"/>
      <c r="N363" s="1107"/>
      <c r="O363" s="1108" t="s">
        <v>151</v>
      </c>
      <c r="P363" s="1108">
        <v>0.08</v>
      </c>
      <c r="Q363" s="1108">
        <v>0.13900000000000001</v>
      </c>
      <c r="R363" s="1108">
        <v>0.16</v>
      </c>
      <c r="S363" s="452"/>
      <c r="T363" s="1107"/>
      <c r="U363" s="129"/>
      <c r="V363" s="129"/>
      <c r="W363" s="129"/>
      <c r="X363" s="129"/>
      <c r="Y363" s="452"/>
      <c r="Z363" s="1107"/>
      <c r="AA363" s="129"/>
      <c r="AB363" s="129"/>
      <c r="AC363" s="129"/>
      <c r="AD363" s="129"/>
      <c r="AE363" s="452"/>
      <c r="AF363" s="1107"/>
      <c r="AG363" s="129"/>
      <c r="AH363" s="129"/>
      <c r="AI363" s="129"/>
      <c r="AJ363" s="129"/>
      <c r="AK363" s="452"/>
      <c r="AL363" s="1107"/>
      <c r="AM363" s="129"/>
      <c r="AN363" s="129"/>
      <c r="AO363" s="129"/>
      <c r="AP363" s="129"/>
      <c r="AQ363" s="452"/>
      <c r="AR363" s="1107"/>
      <c r="AS363" s="129"/>
      <c r="AT363" s="129"/>
      <c r="AU363" s="129"/>
      <c r="AV363" s="129"/>
      <c r="AW363" s="452"/>
      <c r="AX363" s="1107"/>
      <c r="AY363" s="129"/>
      <c r="AZ363" s="129"/>
      <c r="BA363" s="129"/>
      <c r="BB363" s="129"/>
      <c r="BC363" s="452"/>
      <c r="BD363" s="1107"/>
      <c r="BE363" s="129"/>
      <c r="BF363" s="129"/>
      <c r="BG363" s="129"/>
      <c r="BH363" s="129"/>
      <c r="BI363" s="452"/>
      <c r="BJ363" s="1107"/>
      <c r="BK363" s="129"/>
      <c r="BL363" s="795"/>
      <c r="BM363" s="795"/>
      <c r="BN363" s="795"/>
      <c r="BO363" s="796"/>
      <c r="BP363" s="795"/>
      <c r="BQ363" s="794"/>
      <c r="BR363" s="795"/>
      <c r="BS363" s="795"/>
      <c r="BT363" s="795"/>
      <c r="BU363" s="796"/>
      <c r="BV363" s="795"/>
      <c r="BW363" s="794"/>
      <c r="BX363" s="795"/>
      <c r="BY363" s="795"/>
      <c r="BZ363" s="795"/>
      <c r="CA363" s="796"/>
      <c r="CB363" s="795"/>
      <c r="CC363" s="794"/>
      <c r="CD363" s="795"/>
      <c r="CE363" s="795"/>
      <c r="CF363" s="795"/>
      <c r="CG363" s="796"/>
    </row>
    <row r="364" spans="1:85" x14ac:dyDescent="0.2">
      <c r="A364" s="279"/>
      <c r="B364" s="9" t="s">
        <v>673</v>
      </c>
    </row>
    <row r="365" spans="1:85" x14ac:dyDescent="0.2">
      <c r="B365" s="812" t="s">
        <v>660</v>
      </c>
      <c r="C365" s="813"/>
      <c r="D365" s="813"/>
      <c r="E365" s="813"/>
      <c r="F365" s="813"/>
      <c r="G365" s="813"/>
      <c r="H365" s="812"/>
      <c r="I365" s="813"/>
      <c r="J365" s="813"/>
      <c r="K365" s="813"/>
      <c r="L365" s="813"/>
      <c r="M365" s="813"/>
      <c r="N365" s="812"/>
      <c r="O365" s="813"/>
      <c r="P365" s="813"/>
      <c r="Q365" s="813"/>
      <c r="R365" s="813"/>
      <c r="S365" s="813"/>
      <c r="T365" s="812"/>
      <c r="U365" s="813"/>
      <c r="V365" s="813"/>
      <c r="W365" s="813"/>
      <c r="X365" s="813"/>
      <c r="Y365" s="813"/>
      <c r="Z365" s="812"/>
      <c r="AA365" s="813"/>
      <c r="AB365" s="813"/>
      <c r="AC365" s="813"/>
      <c r="AD365" s="813"/>
      <c r="AE365" s="813"/>
      <c r="AF365" s="812"/>
      <c r="AG365" s="813"/>
      <c r="AH365" s="813"/>
      <c r="AI365" s="813"/>
      <c r="AJ365" s="813"/>
      <c r="AK365" s="813"/>
      <c r="AL365" s="812"/>
      <c r="AM365" s="813"/>
      <c r="AN365" s="813"/>
      <c r="AO365" s="813"/>
      <c r="AP365" s="813"/>
      <c r="AQ365" s="813"/>
      <c r="AR365" s="812"/>
      <c r="AS365" s="813"/>
      <c r="AT365" s="813"/>
      <c r="AU365" s="813"/>
      <c r="AV365" s="813"/>
      <c r="AW365" s="813"/>
      <c r="AX365" s="812"/>
      <c r="AY365" s="813"/>
      <c r="AZ365" s="813"/>
      <c r="BA365" s="813"/>
      <c r="BB365" s="813"/>
      <c r="BC365" s="813"/>
      <c r="BD365" s="812"/>
      <c r="BE365" s="813"/>
      <c r="BF365" s="813"/>
      <c r="BG365" s="813"/>
      <c r="BH365" s="813"/>
      <c r="BI365" s="813"/>
      <c r="BJ365" s="812"/>
      <c r="BK365" s="813"/>
      <c r="BL365" s="813"/>
      <c r="BM365" s="813"/>
      <c r="BN365" s="813"/>
      <c r="BO365" s="813"/>
      <c r="BP365" s="812"/>
      <c r="BQ365" s="813"/>
      <c r="BR365" s="813"/>
      <c r="BS365" s="813"/>
      <c r="BT365" s="813"/>
      <c r="BU365" s="813"/>
      <c r="BV365" s="812"/>
      <c r="BW365" s="813"/>
      <c r="BX365" s="813"/>
      <c r="BY365" s="813"/>
      <c r="BZ365" s="813"/>
      <c r="CA365" s="813"/>
      <c r="CB365" s="812"/>
      <c r="CC365" s="813"/>
      <c r="CD365" s="813"/>
      <c r="CE365" s="813"/>
      <c r="CF365" s="813"/>
      <c r="CG365" s="814"/>
    </row>
    <row r="366" spans="1:85" x14ac:dyDescent="0.2">
      <c r="A366" s="279"/>
      <c r="B366" s="772" t="s">
        <v>630</v>
      </c>
      <c r="C366" s="1256"/>
      <c r="D366" s="1254"/>
      <c r="E366" s="1254"/>
      <c r="F366" s="1254"/>
      <c r="G366" s="1255"/>
      <c r="H366" s="1039"/>
      <c r="I366" s="1256"/>
      <c r="J366" s="1254"/>
      <c r="K366" s="1254"/>
      <c r="L366" s="1254"/>
      <c r="M366" s="1255"/>
      <c r="N366" s="1039"/>
      <c r="O366" s="1256"/>
      <c r="P366" s="1254"/>
      <c r="Q366" s="1254"/>
      <c r="R366" s="1254"/>
      <c r="S366" s="1255"/>
      <c r="T366" s="1039"/>
      <c r="U366" s="1256"/>
      <c r="V366" s="1254"/>
      <c r="W366" s="1254"/>
      <c r="X366" s="1254"/>
      <c r="Y366" s="1255"/>
      <c r="Z366" s="1039"/>
      <c r="AA366" s="1256"/>
      <c r="AB366" s="1254"/>
      <c r="AC366" s="1254"/>
      <c r="AD366" s="1254"/>
      <c r="AE366" s="1283"/>
      <c r="AF366" s="1039"/>
      <c r="AG366" s="1256"/>
      <c r="AH366" s="1254"/>
      <c r="AI366" s="1254"/>
      <c r="AJ366" s="1254"/>
      <c r="AK366" s="1283"/>
      <c r="AL366" s="1039"/>
      <c r="AM366" s="1256"/>
      <c r="AN366" s="1254"/>
      <c r="AO366" s="1254"/>
      <c r="AP366" s="1254"/>
      <c r="AQ366" s="1255"/>
      <c r="AR366" s="1039"/>
      <c r="AS366" s="1256"/>
      <c r="AT366" s="1254"/>
      <c r="AU366" s="1254"/>
      <c r="AV366" s="1254"/>
      <c r="AW366" s="1255"/>
      <c r="AX366" s="1039"/>
      <c r="AY366" s="1256"/>
      <c r="AZ366" s="1254"/>
      <c r="BA366" s="1254"/>
      <c r="BB366" s="1254"/>
      <c r="BC366" s="1255"/>
      <c r="BD366" s="1039"/>
      <c r="BE366" s="1256"/>
      <c r="BF366" s="1254"/>
      <c r="BG366" s="1254"/>
      <c r="BH366" s="1254"/>
      <c r="BI366" s="1255"/>
      <c r="BJ366" s="1039"/>
      <c r="BK366" s="1256"/>
      <c r="BL366" s="1254"/>
      <c r="BM366" s="1254"/>
      <c r="BN366" s="1254"/>
      <c r="BO366" s="1255"/>
      <c r="BP366" s="1039"/>
      <c r="BQ366" s="1256"/>
      <c r="BR366" s="1254"/>
      <c r="BS366" s="1254"/>
      <c r="BT366" s="1254"/>
      <c r="BU366" s="1255"/>
      <c r="BV366" s="1039"/>
      <c r="BW366" s="1256"/>
      <c r="BX366" s="1254"/>
      <c r="BY366" s="1254"/>
      <c r="BZ366" s="1254"/>
      <c r="CA366" s="1255"/>
      <c r="CB366" s="1039"/>
      <c r="CC366" s="1256"/>
      <c r="CD366" s="1254"/>
      <c r="CE366" s="1254"/>
      <c r="CF366" s="1254"/>
      <c r="CG366" s="1255"/>
    </row>
    <row r="367" spans="1:85" x14ac:dyDescent="0.2">
      <c r="B367" s="773" t="s">
        <v>633</v>
      </c>
      <c r="C367" s="1040"/>
      <c r="D367" s="1040"/>
      <c r="E367" s="1040"/>
      <c r="F367" s="1103"/>
      <c r="G367" s="1041"/>
      <c r="H367" s="1042"/>
      <c r="I367" s="1040"/>
      <c r="J367" s="1040"/>
      <c r="K367" s="1040"/>
      <c r="L367" s="1103"/>
      <c r="M367" s="1041"/>
      <c r="N367" s="1042"/>
      <c r="O367" s="1040"/>
      <c r="P367" s="1040"/>
      <c r="Q367" s="1040"/>
      <c r="R367" s="1103"/>
      <c r="S367" s="1041"/>
      <c r="T367" s="1042"/>
      <c r="U367" s="1040"/>
      <c r="V367" s="1040"/>
      <c r="W367" s="1040"/>
      <c r="X367" s="1103"/>
      <c r="Y367" s="1041"/>
      <c r="Z367" s="1042"/>
      <c r="AA367" s="1040"/>
      <c r="AB367" s="1040"/>
      <c r="AC367" s="1040"/>
      <c r="AD367" s="1103"/>
      <c r="AE367" s="1041"/>
      <c r="AF367" s="1042"/>
      <c r="AG367" s="1040"/>
      <c r="AH367" s="1040"/>
      <c r="AI367" s="1040"/>
      <c r="AJ367" s="51"/>
      <c r="AK367" s="1041"/>
      <c r="AL367" s="1042"/>
      <c r="AM367" s="1040"/>
      <c r="AN367" s="1040"/>
      <c r="AO367" s="1040"/>
      <c r="AP367" s="51"/>
      <c r="AQ367" s="1041"/>
      <c r="AR367" s="1042"/>
      <c r="AS367" s="1040"/>
      <c r="AT367" s="1040"/>
      <c r="AU367" s="1040"/>
      <c r="AV367" s="51"/>
      <c r="AW367" s="1041"/>
      <c r="AX367" s="1042"/>
      <c r="AY367" s="1040"/>
      <c r="AZ367" s="1040"/>
      <c r="BA367" s="1040"/>
      <c r="BB367" s="51"/>
      <c r="BC367" s="1041"/>
      <c r="BD367" s="1042"/>
      <c r="BE367" s="1040"/>
      <c r="BF367" s="1040"/>
      <c r="BG367" s="1040"/>
      <c r="BH367" s="51"/>
      <c r="BI367" s="1041"/>
      <c r="BJ367" s="1044"/>
      <c r="BK367" s="767"/>
      <c r="BL367" s="1040"/>
      <c r="BM367" s="1040"/>
      <c r="BN367" s="278"/>
      <c r="BO367" s="852">
        <v>0.75</v>
      </c>
      <c r="BP367" s="278"/>
      <c r="BQ367" s="743"/>
      <c r="BR367" s="278"/>
      <c r="BS367" s="278"/>
      <c r="BT367" s="278"/>
      <c r="BU367" s="793"/>
      <c r="BV367" s="278"/>
      <c r="BW367" s="743"/>
      <c r="BX367" s="278"/>
      <c r="BY367" s="278"/>
      <c r="BZ367" s="278"/>
      <c r="CA367" s="793"/>
      <c r="CB367" s="278"/>
      <c r="CC367" s="743"/>
      <c r="CD367" s="278"/>
      <c r="CE367" s="278"/>
      <c r="CF367" s="278"/>
      <c r="CG367" s="793"/>
    </row>
    <row r="368" spans="1:85" x14ac:dyDescent="0.2">
      <c r="A368" s="279"/>
      <c r="B368" s="773" t="s">
        <v>636</v>
      </c>
      <c r="C368" s="1040"/>
      <c r="D368" s="1040"/>
      <c r="E368" s="1040"/>
      <c r="F368" s="1103"/>
      <c r="G368" s="1041"/>
      <c r="H368" s="1042"/>
      <c r="I368" s="1040"/>
      <c r="J368" s="1040"/>
      <c r="K368" s="1040"/>
      <c r="L368" s="1103"/>
      <c r="M368" s="1041"/>
      <c r="N368" s="1042"/>
      <c r="O368" s="1040"/>
      <c r="P368" s="1040"/>
      <c r="Q368" s="1040"/>
      <c r="R368" s="1103"/>
      <c r="S368" s="1041"/>
      <c r="T368" s="1042"/>
      <c r="U368" s="1040"/>
      <c r="V368" s="1040"/>
      <c r="W368" s="1040"/>
      <c r="X368" s="1103"/>
      <c r="Y368" s="1041"/>
      <c r="Z368" s="1042"/>
      <c r="AA368" s="1040"/>
      <c r="AB368" s="1040"/>
      <c r="AC368" s="1040"/>
      <c r="AD368" s="1103"/>
      <c r="AE368" s="1041"/>
      <c r="AF368" s="1042"/>
      <c r="AG368" s="1040"/>
      <c r="AH368" s="1040"/>
      <c r="AI368" s="1040"/>
      <c r="AJ368" s="51"/>
      <c r="AK368" s="1041"/>
      <c r="AL368" s="1042"/>
      <c r="AM368" s="1040"/>
      <c r="AN368" s="1040"/>
      <c r="AO368" s="1040"/>
      <c r="AP368" s="51"/>
      <c r="AQ368" s="1041"/>
      <c r="AR368" s="1042"/>
      <c r="AS368" s="1040"/>
      <c r="AT368" s="1040"/>
      <c r="AU368" s="1040"/>
      <c r="AV368" s="51"/>
      <c r="AW368" s="1041"/>
      <c r="AX368" s="1042"/>
      <c r="AY368" s="1040"/>
      <c r="AZ368" s="1040"/>
      <c r="BA368" s="1040"/>
      <c r="BB368" s="51"/>
      <c r="BC368" s="1041"/>
      <c r="BD368" s="1042"/>
      <c r="BE368" s="1040"/>
      <c r="BF368" s="1040"/>
      <c r="BG368" s="1040"/>
      <c r="BH368" s="51"/>
      <c r="BI368" s="1041"/>
      <c r="BJ368" s="1044"/>
      <c r="BK368" s="767"/>
      <c r="BL368" s="1040"/>
      <c r="BM368" s="1040"/>
      <c r="BN368" s="278"/>
      <c r="BO368" s="775">
        <f>+BO367*BO8</f>
        <v>2775.3030000000003</v>
      </c>
      <c r="BP368" s="278"/>
      <c r="BQ368" s="743"/>
      <c r="BR368" s="278"/>
      <c r="BS368" s="278"/>
      <c r="BT368" s="278"/>
      <c r="BU368" s="793"/>
      <c r="BV368" s="278"/>
      <c r="BW368" s="743"/>
      <c r="BX368" s="278"/>
      <c r="BY368" s="278"/>
      <c r="BZ368" s="278"/>
      <c r="CA368" s="793"/>
      <c r="CB368" s="278"/>
      <c r="CC368" s="743"/>
      <c r="CD368" s="278"/>
      <c r="CE368" s="278"/>
      <c r="CF368" s="278"/>
      <c r="CG368" s="793"/>
    </row>
    <row r="369" spans="1:85" x14ac:dyDescent="0.2">
      <c r="B369" s="773" t="s">
        <v>634</v>
      </c>
      <c r="C369" s="1040"/>
      <c r="D369" s="1040"/>
      <c r="E369" s="1040"/>
      <c r="F369" s="1040"/>
      <c r="G369" s="1041"/>
      <c r="H369" s="1042"/>
      <c r="I369" s="1040"/>
      <c r="J369" s="1040"/>
      <c r="K369" s="1040"/>
      <c r="L369" s="1040"/>
      <c r="M369" s="1041"/>
      <c r="N369" s="1042"/>
      <c r="O369" s="1040"/>
      <c r="P369" s="1040"/>
      <c r="Q369" s="1040"/>
      <c r="R369" s="1040"/>
      <c r="S369" s="1041"/>
      <c r="T369" s="1042"/>
      <c r="U369" s="1040"/>
      <c r="V369" s="1040"/>
      <c r="W369" s="1040"/>
      <c r="X369" s="1040"/>
      <c r="Y369" s="1041"/>
      <c r="Z369" s="1042"/>
      <c r="AA369" s="1040"/>
      <c r="AB369" s="1040"/>
      <c r="AC369" s="765"/>
      <c r="AD369" s="1040"/>
      <c r="AE369" s="1041"/>
      <c r="AF369" s="1042"/>
      <c r="AG369" s="1040"/>
      <c r="AH369" s="1040"/>
      <c r="AI369" s="1040"/>
      <c r="AJ369" s="1040"/>
      <c r="AK369" s="1041"/>
      <c r="AL369" s="1042"/>
      <c r="AM369" s="1040"/>
      <c r="AN369" s="1040"/>
      <c r="AO369" s="1040"/>
      <c r="AP369" s="1040"/>
      <c r="AQ369" s="1041"/>
      <c r="AR369" s="1042"/>
      <c r="AS369" s="1040"/>
      <c r="AT369" s="1040"/>
      <c r="AU369" s="1040"/>
      <c r="AV369" s="1040"/>
      <c r="AW369" s="1041"/>
      <c r="AX369" s="1042"/>
      <c r="AY369" s="1040"/>
      <c r="AZ369" s="1040"/>
      <c r="BA369" s="1040"/>
      <c r="BB369" s="1040"/>
      <c r="BC369" s="1041"/>
      <c r="BD369" s="1042"/>
      <c r="BE369" s="1040"/>
      <c r="BF369" s="1040"/>
      <c r="BG369" s="1040"/>
      <c r="BH369" s="1040"/>
      <c r="BI369" s="1041"/>
      <c r="BJ369" s="1044"/>
      <c r="BK369" s="767"/>
      <c r="BL369" s="278"/>
      <c r="BM369" s="278"/>
      <c r="BN369" s="278"/>
      <c r="BO369" s="852">
        <f>100%-BO367</f>
        <v>0.25</v>
      </c>
      <c r="BP369" s="278"/>
      <c r="BQ369" s="743"/>
      <c r="BR369" s="278"/>
      <c r="BS369" s="278"/>
      <c r="BT369" s="278"/>
      <c r="BU369" s="793"/>
      <c r="BV369" s="278"/>
      <c r="BW369" s="743"/>
      <c r="BX369" s="278"/>
      <c r="BY369" s="278"/>
      <c r="BZ369" s="278"/>
      <c r="CA369" s="793"/>
      <c r="CB369" s="278"/>
      <c r="CC369" s="743"/>
      <c r="CD369" s="278"/>
      <c r="CE369" s="278"/>
      <c r="CF369" s="278"/>
      <c r="CG369" s="793"/>
    </row>
    <row r="370" spans="1:85" x14ac:dyDescent="0.2">
      <c r="B370" s="773" t="s">
        <v>635</v>
      </c>
      <c r="C370" s="1284"/>
      <c r="D370" s="1252"/>
      <c r="E370" s="1252"/>
      <c r="F370" s="1252"/>
      <c r="G370" s="1253"/>
      <c r="H370" s="1048"/>
      <c r="I370" s="1284"/>
      <c r="J370" s="1252"/>
      <c r="K370" s="1252"/>
      <c r="L370" s="1252"/>
      <c r="M370" s="1253"/>
      <c r="N370" s="1048"/>
      <c r="O370" s="1284"/>
      <c r="P370" s="1252"/>
      <c r="Q370" s="1252"/>
      <c r="R370" s="1252"/>
      <c r="S370" s="1253"/>
      <c r="T370" s="1048"/>
      <c r="U370" s="1284"/>
      <c r="V370" s="1252"/>
      <c r="W370" s="1252"/>
      <c r="X370" s="1252"/>
      <c r="Y370" s="1253"/>
      <c r="Z370" s="1048"/>
      <c r="AA370" s="1284"/>
      <c r="AB370" s="1252"/>
      <c r="AC370" s="1252"/>
      <c r="AD370" s="1252"/>
      <c r="AE370" s="1253"/>
      <c r="AF370" s="1048"/>
      <c r="AG370" s="1284"/>
      <c r="AH370" s="1252"/>
      <c r="AI370" s="1252"/>
      <c r="AJ370" s="1252"/>
      <c r="AK370" s="1253"/>
      <c r="AL370" s="1048"/>
      <c r="AM370" s="1284"/>
      <c r="AN370" s="1252"/>
      <c r="AO370" s="1252"/>
      <c r="AP370" s="1252"/>
      <c r="AQ370" s="1253"/>
      <c r="AR370" s="1048"/>
      <c r="AS370" s="1284"/>
      <c r="AT370" s="1252"/>
      <c r="AU370" s="1252"/>
      <c r="AV370" s="1252"/>
      <c r="AW370" s="1253"/>
      <c r="AX370" s="1048"/>
      <c r="AY370" s="1284"/>
      <c r="AZ370" s="1252"/>
      <c r="BA370" s="1252"/>
      <c r="BB370" s="1252"/>
      <c r="BC370" s="1253"/>
      <c r="BD370" s="1048"/>
      <c r="BE370" s="1284"/>
      <c r="BF370" s="1252"/>
      <c r="BG370" s="1252"/>
      <c r="BH370" s="1252"/>
      <c r="BI370" s="1253"/>
      <c r="BJ370" s="1048"/>
      <c r="BK370" s="1284"/>
      <c r="BL370" s="1254"/>
      <c r="BM370" s="1254"/>
      <c r="BN370" s="1254"/>
      <c r="BO370" s="673">
        <f>+BO369*BO8</f>
        <v>925.10100000000011</v>
      </c>
      <c r="BP370" s="1039"/>
      <c r="BQ370" s="1256"/>
      <c r="BR370" s="1254"/>
      <c r="BS370" s="1254"/>
      <c r="BT370" s="1254"/>
      <c r="BU370" s="1255"/>
      <c r="BV370" s="1039"/>
      <c r="BW370" s="1256"/>
      <c r="BX370" s="1254"/>
      <c r="BY370" s="1254"/>
      <c r="BZ370" s="1254"/>
      <c r="CA370" s="1255"/>
      <c r="CB370" s="1039"/>
      <c r="CC370" s="1256"/>
      <c r="CD370" s="1254"/>
      <c r="CE370" s="1254"/>
      <c r="CF370" s="1254"/>
      <c r="CG370" s="1255"/>
    </row>
    <row r="371" spans="1:85" x14ac:dyDescent="0.2">
      <c r="A371" s="279"/>
      <c r="B371" s="772" t="s">
        <v>662</v>
      </c>
      <c r="C371" s="1049"/>
      <c r="D371" s="1049"/>
      <c r="E371" s="1049"/>
      <c r="F371" s="1285"/>
      <c r="G371" s="1050"/>
      <c r="H371" s="1051"/>
      <c r="I371" s="1049"/>
      <c r="J371" s="1049"/>
      <c r="K371" s="1049"/>
      <c r="L371" s="1285"/>
      <c r="M371" s="1050"/>
      <c r="N371" s="1051"/>
      <c r="O371" s="1049"/>
      <c r="P371" s="1049"/>
      <c r="Q371" s="1049"/>
      <c r="R371" s="1285"/>
      <c r="S371" s="1050"/>
      <c r="T371" s="1051"/>
      <c r="U371" s="1049"/>
      <c r="V371" s="1049"/>
      <c r="W371" s="1049"/>
      <c r="X371" s="1285"/>
      <c r="Y371" s="1050"/>
      <c r="Z371" s="1051"/>
      <c r="AA371" s="1049"/>
      <c r="AB371" s="1049"/>
      <c r="AC371" s="1049"/>
      <c r="AD371" s="1285"/>
      <c r="AE371" s="1050"/>
      <c r="AF371" s="1051"/>
      <c r="AG371" s="1049"/>
      <c r="AH371" s="1049"/>
      <c r="AI371" s="1049"/>
      <c r="AJ371" s="1285"/>
      <c r="AK371" s="1050"/>
      <c r="AL371" s="1051"/>
      <c r="AM371" s="1049"/>
      <c r="AN371" s="1049"/>
      <c r="AO371" s="1049"/>
      <c r="AP371" s="1285"/>
      <c r="AQ371" s="1050"/>
      <c r="AR371" s="1051"/>
      <c r="AS371" s="1049"/>
      <c r="AT371" s="1049"/>
      <c r="AU371" s="1049"/>
      <c r="AV371" s="1285"/>
      <c r="AW371" s="1050"/>
      <c r="AX371" s="1051"/>
      <c r="AY371" s="1049"/>
      <c r="AZ371" s="1049"/>
      <c r="BA371" s="1049"/>
      <c r="BB371" s="1285"/>
      <c r="BC371" s="1050"/>
      <c r="BD371" s="1051"/>
      <c r="BE371" s="1049"/>
      <c r="BF371" s="1049"/>
      <c r="BG371" s="1049"/>
      <c r="BH371" s="1285"/>
      <c r="BI371" s="1050"/>
      <c r="BJ371" s="1052"/>
      <c r="BK371" s="1053"/>
      <c r="BL371" s="1049"/>
      <c r="BM371" s="1049"/>
      <c r="BN371" s="1054"/>
      <c r="BO371" s="1271">
        <f>+BO370+BO368</f>
        <v>3700.4040000000005</v>
      </c>
      <c r="BP371" s="278"/>
      <c r="BQ371" s="743"/>
      <c r="BR371" s="278"/>
      <c r="BS371" s="278"/>
      <c r="BT371" s="278"/>
      <c r="BU371" s="793"/>
      <c r="BV371" s="278"/>
      <c r="BW371" s="743"/>
      <c r="BX371" s="278"/>
      <c r="BY371" s="278"/>
      <c r="BZ371" s="278"/>
      <c r="CA371" s="793"/>
      <c r="CB371" s="278"/>
      <c r="CC371" s="743"/>
      <c r="CD371" s="278"/>
      <c r="CE371" s="278"/>
      <c r="CF371" s="278"/>
      <c r="CG371" s="793"/>
    </row>
    <row r="372" spans="1:85" x14ac:dyDescent="0.2">
      <c r="A372" s="279"/>
      <c r="B372" s="773"/>
      <c r="C372" s="1040"/>
      <c r="D372" s="1040"/>
      <c r="E372" s="1040"/>
      <c r="F372" s="1103"/>
      <c r="G372" s="1041"/>
      <c r="H372" s="1042"/>
      <c r="I372" s="1040"/>
      <c r="J372" s="1040"/>
      <c r="K372" s="1040"/>
      <c r="L372" s="1103"/>
      <c r="M372" s="1041"/>
      <c r="N372" s="1042"/>
      <c r="O372" s="1040"/>
      <c r="P372" s="1040"/>
      <c r="Q372" s="1040"/>
      <c r="R372" s="1103"/>
      <c r="S372" s="1041"/>
      <c r="T372" s="1042"/>
      <c r="U372" s="1040"/>
      <c r="V372" s="1040"/>
      <c r="W372" s="1040"/>
      <c r="X372" s="1103"/>
      <c r="Y372" s="1041"/>
      <c r="Z372" s="1042"/>
      <c r="AA372" s="1040"/>
      <c r="AB372" s="1040"/>
      <c r="AC372" s="1040"/>
      <c r="AD372" s="1103"/>
      <c r="AE372" s="1041"/>
      <c r="AF372" s="1042"/>
      <c r="AG372" s="1040"/>
      <c r="AH372" s="1040"/>
      <c r="AI372" s="1040"/>
      <c r="AJ372" s="1103"/>
      <c r="AK372" s="1041"/>
      <c r="AL372" s="1042"/>
      <c r="AM372" s="1040"/>
      <c r="AN372" s="1040"/>
      <c r="AO372" s="1040"/>
      <c r="AP372" s="1103"/>
      <c r="AQ372" s="1041"/>
      <c r="AR372" s="1042"/>
      <c r="AS372" s="1040"/>
      <c r="AT372" s="1040"/>
      <c r="AU372" s="1040"/>
      <c r="AV372" s="1103"/>
      <c r="AW372" s="1041"/>
      <c r="AX372" s="1042"/>
      <c r="AY372" s="1040"/>
      <c r="AZ372" s="1040"/>
      <c r="BA372" s="1040"/>
      <c r="BB372" s="1103"/>
      <c r="BC372" s="1041"/>
      <c r="BD372" s="1042"/>
      <c r="BE372" s="1040"/>
      <c r="BF372" s="1040"/>
      <c r="BG372" s="1040"/>
      <c r="BH372" s="1103"/>
      <c r="BI372" s="1041"/>
      <c r="BJ372" s="1044"/>
      <c r="BK372" s="767"/>
      <c r="BL372" s="1040"/>
      <c r="BM372" s="1040"/>
      <c r="BN372" s="278"/>
      <c r="BO372" s="793"/>
      <c r="BP372" s="278"/>
      <c r="BQ372" s="743"/>
      <c r="BR372" s="278"/>
      <c r="BS372" s="278"/>
      <c r="BT372" s="278"/>
      <c r="BU372" s="793"/>
      <c r="BV372" s="278"/>
      <c r="BW372" s="743"/>
      <c r="BX372" s="278"/>
      <c r="BY372" s="278"/>
      <c r="BZ372" s="278"/>
      <c r="CA372" s="793"/>
      <c r="CB372" s="278"/>
      <c r="CC372" s="743"/>
      <c r="CD372" s="278"/>
      <c r="CE372" s="278"/>
      <c r="CF372" s="278"/>
      <c r="CG372" s="793"/>
    </row>
    <row r="373" spans="1:85" x14ac:dyDescent="0.2">
      <c r="A373" s="279"/>
      <c r="B373" s="772" t="s">
        <v>631</v>
      </c>
      <c r="C373" s="1049"/>
      <c r="D373" s="1049"/>
      <c r="E373" s="1049"/>
      <c r="F373" s="1103"/>
      <c r="G373" s="1050"/>
      <c r="H373" s="1051"/>
      <c r="I373" s="1049"/>
      <c r="J373" s="1049"/>
      <c r="K373" s="1049"/>
      <c r="L373" s="1103"/>
      <c r="M373" s="1050"/>
      <c r="N373" s="1051"/>
      <c r="O373" s="1049"/>
      <c r="P373" s="1049"/>
      <c r="Q373" s="1049"/>
      <c r="R373" s="1103"/>
      <c r="S373" s="1050"/>
      <c r="T373" s="1051"/>
      <c r="U373" s="1049"/>
      <c r="V373" s="1049"/>
      <c r="W373" s="1049"/>
      <c r="X373" s="1103"/>
      <c r="Y373" s="1050"/>
      <c r="Z373" s="1051"/>
      <c r="AA373" s="1049"/>
      <c r="AB373" s="1049"/>
      <c r="AC373" s="1049"/>
      <c r="AD373" s="1103"/>
      <c r="AE373" s="1050"/>
      <c r="AF373" s="1051"/>
      <c r="AG373" s="1049"/>
      <c r="AH373" s="1049"/>
      <c r="AI373" s="1049"/>
      <c r="AJ373" s="471"/>
      <c r="AK373" s="1050"/>
      <c r="AL373" s="1051"/>
      <c r="AM373" s="1049"/>
      <c r="AN373" s="1049"/>
      <c r="AO373" s="1049"/>
      <c r="AP373" s="471"/>
      <c r="AQ373" s="1050"/>
      <c r="AR373" s="1051"/>
      <c r="AS373" s="1049"/>
      <c r="AT373" s="1049"/>
      <c r="AU373" s="1049"/>
      <c r="AV373" s="471"/>
      <c r="AW373" s="1050"/>
      <c r="AX373" s="1051"/>
      <c r="AY373" s="1049"/>
      <c r="AZ373" s="1049"/>
      <c r="BA373" s="1049"/>
      <c r="BB373" s="471"/>
      <c r="BC373" s="1050"/>
      <c r="BD373" s="1051"/>
      <c r="BE373" s="1049"/>
      <c r="BF373" s="1049"/>
      <c r="BG373" s="1049"/>
      <c r="BH373" s="471"/>
      <c r="BI373" s="1050"/>
      <c r="BJ373" s="1052"/>
      <c r="BK373" s="1053"/>
      <c r="BL373" s="1049"/>
      <c r="BM373" s="1049"/>
      <c r="BN373" s="1054"/>
      <c r="BO373" s="1055"/>
      <c r="BP373" s="278"/>
      <c r="BQ373" s="1056"/>
      <c r="BR373" s="1054"/>
      <c r="BS373" s="1054"/>
      <c r="BT373" s="1054"/>
      <c r="BU373" s="1055"/>
      <c r="BV373" s="278"/>
      <c r="BW373" s="1056"/>
      <c r="BX373" s="1054"/>
      <c r="BY373" s="1054"/>
      <c r="BZ373" s="1054"/>
      <c r="CA373" s="1055"/>
      <c r="CB373" s="278"/>
      <c r="CC373" s="1056"/>
      <c r="CD373" s="1054"/>
      <c r="CE373" s="1054"/>
      <c r="CF373" s="1054"/>
      <c r="CG373" s="1055"/>
    </row>
    <row r="374" spans="1:85" x14ac:dyDescent="0.2">
      <c r="A374" s="279"/>
      <c r="B374" s="773" t="s">
        <v>633</v>
      </c>
      <c r="C374" s="1049"/>
      <c r="D374" s="1049"/>
      <c r="E374" s="1049"/>
      <c r="F374" s="1049"/>
      <c r="G374" s="1050"/>
      <c r="H374" s="1051"/>
      <c r="I374" s="1049"/>
      <c r="J374" s="1049"/>
      <c r="K374" s="1049"/>
      <c r="L374" s="1049"/>
      <c r="M374" s="1050"/>
      <c r="N374" s="1051"/>
      <c r="O374" s="1049"/>
      <c r="P374" s="1049"/>
      <c r="Q374" s="1049"/>
      <c r="R374" s="1049"/>
      <c r="S374" s="1050"/>
      <c r="T374" s="1051"/>
      <c r="U374" s="1049"/>
      <c r="V374" s="1049"/>
      <c r="W374" s="1049"/>
      <c r="X374" s="1049"/>
      <c r="Y374" s="1050"/>
      <c r="Z374" s="1051"/>
      <c r="AA374" s="1049"/>
      <c r="AB374" s="1049"/>
      <c r="AC374" s="1049"/>
      <c r="AD374" s="1049"/>
      <c r="AE374" s="1050"/>
      <c r="AF374" s="1051"/>
      <c r="AG374" s="1049"/>
      <c r="AH374" s="1049"/>
      <c r="AI374" s="1049"/>
      <c r="AJ374" s="1049"/>
      <c r="AK374" s="1050"/>
      <c r="AL374" s="1051"/>
      <c r="AM374" s="1049"/>
      <c r="AN374" s="1049"/>
      <c r="AO374" s="1049"/>
      <c r="AP374" s="1049"/>
      <c r="AQ374" s="1050"/>
      <c r="AR374" s="1051"/>
      <c r="AS374" s="1049"/>
      <c r="AT374" s="1049"/>
      <c r="AU374" s="1049"/>
      <c r="AV374" s="1049"/>
      <c r="AW374" s="1050"/>
      <c r="AX374" s="1051"/>
      <c r="AY374" s="1049"/>
      <c r="AZ374" s="1049"/>
      <c r="BA374" s="1049"/>
      <c r="BB374" s="1049"/>
      <c r="BC374" s="1050"/>
      <c r="BD374" s="1051"/>
      <c r="BE374" s="1049"/>
      <c r="BF374" s="1049"/>
      <c r="BG374" s="1049"/>
      <c r="BH374" s="1049"/>
      <c r="BI374" s="1050"/>
      <c r="BJ374" s="1052"/>
      <c r="BK374" s="1053"/>
      <c r="BL374" s="1054"/>
      <c r="BM374" s="1054"/>
      <c r="BN374" s="1054"/>
      <c r="BO374" s="852">
        <v>0.65</v>
      </c>
      <c r="BP374" s="278"/>
      <c r="BQ374" s="1056"/>
      <c r="BR374" s="1054"/>
      <c r="BS374" s="1054"/>
      <c r="BT374" s="1054"/>
      <c r="BU374" s="1055"/>
      <c r="BV374" s="278"/>
      <c r="BW374" s="1056"/>
      <c r="BX374" s="1054"/>
      <c r="BY374" s="1054"/>
      <c r="BZ374" s="1054"/>
      <c r="CA374" s="1055"/>
      <c r="CB374" s="278"/>
      <c r="CC374" s="1056"/>
      <c r="CD374" s="1054"/>
      <c r="CE374" s="1054"/>
      <c r="CF374" s="1054"/>
      <c r="CG374" s="1055"/>
    </row>
    <row r="375" spans="1:85" x14ac:dyDescent="0.2">
      <c r="A375" s="279"/>
      <c r="B375" s="773" t="s">
        <v>636</v>
      </c>
      <c r="C375" s="1284"/>
      <c r="D375" s="1252"/>
      <c r="E375" s="1252"/>
      <c r="F375" s="1252"/>
      <c r="G375" s="1253"/>
      <c r="H375" s="1048"/>
      <c r="I375" s="1284"/>
      <c r="J375" s="1252"/>
      <c r="K375" s="1252"/>
      <c r="L375" s="1252"/>
      <c r="M375" s="1253"/>
      <c r="N375" s="1048"/>
      <c r="O375" s="1284"/>
      <c r="P375" s="1252"/>
      <c r="Q375" s="1252"/>
      <c r="R375" s="1252"/>
      <c r="S375" s="1253"/>
      <c r="T375" s="1048"/>
      <c r="U375" s="1284"/>
      <c r="V375" s="1252"/>
      <c r="W375" s="1252"/>
      <c r="X375" s="1252"/>
      <c r="Y375" s="1253"/>
      <c r="Z375" s="1048"/>
      <c r="AA375" s="1284"/>
      <c r="AB375" s="1252"/>
      <c r="AC375" s="1252"/>
      <c r="AD375" s="1252"/>
      <c r="AE375" s="1253"/>
      <c r="AF375" s="1048"/>
      <c r="AG375" s="1284"/>
      <c r="AH375" s="1252"/>
      <c r="AI375" s="1252"/>
      <c r="AJ375" s="1252"/>
      <c r="AK375" s="1253"/>
      <c r="AL375" s="1048"/>
      <c r="AM375" s="1284"/>
      <c r="AN375" s="1252"/>
      <c r="AO375" s="1252"/>
      <c r="AP375" s="1252"/>
      <c r="AQ375" s="1253"/>
      <c r="AR375" s="1048"/>
      <c r="AS375" s="1284"/>
      <c r="AT375" s="1252"/>
      <c r="AU375" s="1252"/>
      <c r="AV375" s="1252"/>
      <c r="AW375" s="1253"/>
      <c r="AX375" s="1048"/>
      <c r="AY375" s="1284"/>
      <c r="AZ375" s="1252"/>
      <c r="BA375" s="1252"/>
      <c r="BB375" s="1252"/>
      <c r="BC375" s="1253"/>
      <c r="BD375" s="1048"/>
      <c r="BE375" s="1284"/>
      <c r="BF375" s="1252"/>
      <c r="BG375" s="1252"/>
      <c r="BH375" s="1252"/>
      <c r="BI375" s="1253"/>
      <c r="BJ375" s="1048"/>
      <c r="BK375" s="1284"/>
      <c r="BL375" s="1254"/>
      <c r="BM375" s="1254"/>
      <c r="BN375" s="1254"/>
      <c r="BO375" s="775">
        <f>+BO374*BO$67</f>
        <v>1526.4918500000001</v>
      </c>
      <c r="BP375" s="1039"/>
      <c r="BQ375" s="1256"/>
      <c r="BR375" s="1254"/>
      <c r="BS375" s="1254"/>
      <c r="BT375" s="1254"/>
      <c r="BU375" s="1255"/>
      <c r="BV375" s="1039"/>
      <c r="BW375" s="1256"/>
      <c r="BX375" s="1254"/>
      <c r="BY375" s="1254"/>
      <c r="BZ375" s="1254"/>
      <c r="CA375" s="1255"/>
      <c r="CB375" s="1039"/>
      <c r="CC375" s="1256"/>
      <c r="CD375" s="1254"/>
      <c r="CE375" s="1254"/>
      <c r="CF375" s="1254"/>
      <c r="CG375" s="1255"/>
    </row>
    <row r="376" spans="1:85" x14ac:dyDescent="0.2">
      <c r="A376" s="279"/>
      <c r="B376" s="773" t="s">
        <v>634</v>
      </c>
      <c r="C376" s="1040"/>
      <c r="D376" s="1040"/>
      <c r="E376" s="1040"/>
      <c r="F376" s="1040"/>
      <c r="G376" s="1041"/>
      <c r="H376" s="1042"/>
      <c r="I376" s="61"/>
      <c r="J376" s="61"/>
      <c r="K376" s="61"/>
      <c r="L376" s="51"/>
      <c r="M376" s="447"/>
      <c r="N376" s="1060"/>
      <c r="O376" s="61"/>
      <c r="P376" s="61"/>
      <c r="Q376" s="61"/>
      <c r="R376" s="51"/>
      <c r="S376" s="447"/>
      <c r="T376" s="1042"/>
      <c r="U376" s="61"/>
      <c r="V376" s="61"/>
      <c r="W376" s="61"/>
      <c r="X376" s="51"/>
      <c r="Y376" s="447"/>
      <c r="Z376" s="1042"/>
      <c r="AA376" s="1040"/>
      <c r="AB376" s="1040"/>
      <c r="AC376" s="1040"/>
      <c r="AD376" s="1040"/>
      <c r="AE376" s="1041"/>
      <c r="AF376" s="1042"/>
      <c r="AG376" s="61"/>
      <c r="AH376" s="61"/>
      <c r="AI376" s="61"/>
      <c r="AJ376" s="51"/>
      <c r="AK376" s="447"/>
      <c r="AL376" s="1042"/>
      <c r="AM376" s="61"/>
      <c r="AN376" s="61"/>
      <c r="AO376" s="61"/>
      <c r="AP376" s="51"/>
      <c r="AQ376" s="447"/>
      <c r="AR376" s="1042"/>
      <c r="AS376" s="61"/>
      <c r="AT376" s="61"/>
      <c r="AU376" s="61"/>
      <c r="AV376" s="51"/>
      <c r="AW376" s="447"/>
      <c r="AX376" s="1042"/>
      <c r="AY376" s="61"/>
      <c r="AZ376" s="61"/>
      <c r="BA376" s="61"/>
      <c r="BB376" s="51"/>
      <c r="BC376" s="447"/>
      <c r="BD376" s="1042"/>
      <c r="BE376" s="61"/>
      <c r="BF376" s="61"/>
      <c r="BG376" s="61"/>
      <c r="BH376" s="51"/>
      <c r="BI376" s="447"/>
      <c r="BJ376" s="1044"/>
      <c r="BK376" s="625"/>
      <c r="BL376" s="61"/>
      <c r="BM376" s="61"/>
      <c r="BN376" s="278"/>
      <c r="BO376" s="852">
        <f>100%-BO374</f>
        <v>0.35</v>
      </c>
      <c r="BP376" s="278"/>
      <c r="BQ376" s="743"/>
      <c r="BR376" s="278"/>
      <c r="BS376" s="278"/>
      <c r="BT376" s="278"/>
      <c r="BU376" s="793"/>
      <c r="BV376" s="278"/>
      <c r="BW376" s="743"/>
      <c r="BX376" s="278"/>
      <c r="BY376" s="278"/>
      <c r="BZ376" s="278"/>
      <c r="CA376" s="793"/>
      <c r="CB376" s="278"/>
      <c r="CC376" s="743"/>
      <c r="CD376" s="278"/>
      <c r="CE376" s="278"/>
      <c r="CF376" s="278"/>
      <c r="CG376" s="793"/>
    </row>
    <row r="377" spans="1:85" x14ac:dyDescent="0.2">
      <c r="A377" s="279"/>
      <c r="B377" s="773" t="s">
        <v>635</v>
      </c>
      <c r="C377" s="1040"/>
      <c r="D377" s="1040"/>
      <c r="E377" s="1040"/>
      <c r="F377" s="1040"/>
      <c r="G377" s="1041"/>
      <c r="H377" s="1042"/>
      <c r="I377" s="61"/>
      <c r="J377" s="61"/>
      <c r="K377" s="61"/>
      <c r="L377" s="51"/>
      <c r="M377" s="447"/>
      <c r="N377" s="1060"/>
      <c r="O377" s="61"/>
      <c r="P377" s="61"/>
      <c r="Q377" s="61"/>
      <c r="R377" s="51"/>
      <c r="S377" s="447"/>
      <c r="T377" s="1042"/>
      <c r="U377" s="61"/>
      <c r="V377" s="61"/>
      <c r="W377" s="61"/>
      <c r="X377" s="51"/>
      <c r="Y377" s="447"/>
      <c r="Z377" s="1042"/>
      <c r="AA377" s="1040"/>
      <c r="AB377" s="1040"/>
      <c r="AC377" s="1040"/>
      <c r="AD377" s="1040"/>
      <c r="AE377" s="1041"/>
      <c r="AF377" s="1042"/>
      <c r="AG377" s="61"/>
      <c r="AH377" s="61"/>
      <c r="AI377" s="61"/>
      <c r="AJ377" s="51"/>
      <c r="AK377" s="447"/>
      <c r="AL377" s="1042"/>
      <c r="AM377" s="61"/>
      <c r="AN377" s="61"/>
      <c r="AO377" s="61"/>
      <c r="AP377" s="51"/>
      <c r="AQ377" s="447"/>
      <c r="AR377" s="1042"/>
      <c r="AS377" s="61"/>
      <c r="AT377" s="61"/>
      <c r="AU377" s="61"/>
      <c r="AV377" s="51"/>
      <c r="AW377" s="447"/>
      <c r="AX377" s="1042"/>
      <c r="AY377" s="61"/>
      <c r="AZ377" s="61"/>
      <c r="BA377" s="61"/>
      <c r="BB377" s="51"/>
      <c r="BC377" s="447"/>
      <c r="BD377" s="1042"/>
      <c r="BE377" s="61"/>
      <c r="BF377" s="61"/>
      <c r="BG377" s="61"/>
      <c r="BH377" s="51"/>
      <c r="BI377" s="447"/>
      <c r="BJ377" s="1044"/>
      <c r="BK377" s="625"/>
      <c r="BL377" s="61"/>
      <c r="BM377" s="61"/>
      <c r="BN377" s="278"/>
      <c r="BO377" s="673">
        <f>+BO376*BO$67</f>
        <v>821.95714999999996</v>
      </c>
      <c r="BP377" s="278"/>
      <c r="BQ377" s="743"/>
      <c r="BR377" s="278"/>
      <c r="BS377" s="278"/>
      <c r="BT377" s="278"/>
      <c r="BU377" s="793"/>
      <c r="BV377" s="278"/>
      <c r="BW377" s="743"/>
      <c r="BX377" s="278"/>
      <c r="BY377" s="278"/>
      <c r="BZ377" s="278"/>
      <c r="CA377" s="793"/>
      <c r="CB377" s="278"/>
      <c r="CC377" s="743"/>
      <c r="CD377" s="278"/>
      <c r="CE377" s="278"/>
      <c r="CF377" s="278"/>
      <c r="CG377" s="793"/>
    </row>
    <row r="378" spans="1:85" x14ac:dyDescent="0.2">
      <c r="A378" s="279"/>
      <c r="B378" s="772" t="s">
        <v>661</v>
      </c>
      <c r="C378" s="1040"/>
      <c r="D378" s="1040"/>
      <c r="E378" s="1040"/>
      <c r="F378" s="1040"/>
      <c r="G378" s="1041"/>
      <c r="H378" s="1042"/>
      <c r="I378" s="61"/>
      <c r="J378" s="61"/>
      <c r="K378" s="61"/>
      <c r="L378" s="61"/>
      <c r="M378" s="447"/>
      <c r="N378" s="1042"/>
      <c r="O378" s="61"/>
      <c r="P378" s="61"/>
      <c r="Q378" s="61"/>
      <c r="R378" s="61"/>
      <c r="S378" s="447"/>
      <c r="T378" s="1042"/>
      <c r="U378" s="61"/>
      <c r="V378" s="61"/>
      <c r="W378" s="61"/>
      <c r="X378" s="61"/>
      <c r="Y378" s="447"/>
      <c r="Z378" s="1042"/>
      <c r="AA378" s="61"/>
      <c r="AB378" s="61"/>
      <c r="AC378" s="61"/>
      <c r="AD378" s="61"/>
      <c r="AE378" s="447"/>
      <c r="AF378" s="1042"/>
      <c r="AG378" s="61"/>
      <c r="AH378" s="61"/>
      <c r="AI378" s="61"/>
      <c r="AJ378" s="61"/>
      <c r="AK378" s="447"/>
      <c r="AL378" s="1042"/>
      <c r="AM378" s="61"/>
      <c r="AN378" s="61"/>
      <c r="AO378" s="61"/>
      <c r="AP378" s="61"/>
      <c r="AQ378" s="447"/>
      <c r="AR378" s="1042"/>
      <c r="AS378" s="61"/>
      <c r="AT378" s="61"/>
      <c r="AU378" s="61"/>
      <c r="AV378" s="61"/>
      <c r="AW378" s="447"/>
      <c r="AX378" s="1042"/>
      <c r="AY378" s="61"/>
      <c r="AZ378" s="61"/>
      <c r="BA378" s="61"/>
      <c r="BB378" s="61"/>
      <c r="BC378" s="447"/>
      <c r="BD378" s="1042"/>
      <c r="BE378" s="61"/>
      <c r="BF378" s="61"/>
      <c r="BG378" s="61"/>
      <c r="BH378" s="61"/>
      <c r="BI378" s="447"/>
      <c r="BJ378" s="1044"/>
      <c r="BK378" s="625"/>
      <c r="BL378" s="61"/>
      <c r="BM378" s="61"/>
      <c r="BN378" s="61"/>
      <c r="BO378" s="1271">
        <f>+BO377+BO375</f>
        <v>2348.4490000000001</v>
      </c>
      <c r="BP378" s="278"/>
      <c r="BQ378" s="743"/>
      <c r="BR378" s="278"/>
      <c r="BS378" s="278"/>
      <c r="BT378" s="278"/>
      <c r="BU378" s="793"/>
      <c r="BV378" s="278"/>
      <c r="BW378" s="743"/>
      <c r="BX378" s="278"/>
      <c r="BY378" s="278"/>
      <c r="BZ378" s="278"/>
      <c r="CA378" s="793"/>
      <c r="CB378" s="278"/>
      <c r="CC378" s="743"/>
      <c r="CD378" s="278"/>
      <c r="CE378" s="278"/>
      <c r="CF378" s="278"/>
      <c r="CG378" s="793"/>
    </row>
    <row r="379" spans="1:85" x14ac:dyDescent="0.2">
      <c r="B379" s="772"/>
      <c r="C379" s="1049"/>
      <c r="D379" s="1049"/>
      <c r="E379" s="1049"/>
      <c r="F379" s="1049"/>
      <c r="G379" s="1050"/>
      <c r="H379" s="1051"/>
      <c r="I379" s="1049"/>
      <c r="J379" s="1049"/>
      <c r="K379" s="1049"/>
      <c r="L379" s="1049"/>
      <c r="M379" s="1050"/>
      <c r="N379" s="1051"/>
      <c r="O379" s="1049"/>
      <c r="P379" s="1049"/>
      <c r="Q379" s="1049"/>
      <c r="R379" s="1049"/>
      <c r="S379" s="1050"/>
      <c r="T379" s="1051"/>
      <c r="U379" s="1049"/>
      <c r="V379" s="1049"/>
      <c r="W379" s="1049"/>
      <c r="X379" s="1049"/>
      <c r="Y379" s="1050"/>
      <c r="Z379" s="1051"/>
      <c r="AA379" s="1049"/>
      <c r="AB379" s="1049"/>
      <c r="AC379" s="1049"/>
      <c r="AD379" s="1049"/>
      <c r="AE379" s="1050"/>
      <c r="AF379" s="1051"/>
      <c r="AG379" s="1049"/>
      <c r="AH379" s="1049"/>
      <c r="AI379" s="1049"/>
      <c r="AJ379" s="1049"/>
      <c r="AK379" s="1050"/>
      <c r="AL379" s="1051"/>
      <c r="AM379" s="1049"/>
      <c r="AN379" s="1049"/>
      <c r="AO379" s="1049"/>
      <c r="AP379" s="1049"/>
      <c r="AQ379" s="1050"/>
      <c r="AR379" s="1051"/>
      <c r="AS379" s="1049"/>
      <c r="AT379" s="1049"/>
      <c r="AU379" s="1049"/>
      <c r="AV379" s="1049"/>
      <c r="AW379" s="1050"/>
      <c r="AX379" s="1051"/>
      <c r="AY379" s="1049"/>
      <c r="AZ379" s="1049"/>
      <c r="BA379" s="1049"/>
      <c r="BB379" s="1049"/>
      <c r="BC379" s="1050"/>
      <c r="BD379" s="1051"/>
      <c r="BE379" s="1049"/>
      <c r="BF379" s="1049"/>
      <c r="BG379" s="1049"/>
      <c r="BH379" s="1049"/>
      <c r="BI379" s="1050"/>
      <c r="BJ379" s="1052"/>
      <c r="BK379" s="1053"/>
      <c r="BL379" s="1054"/>
      <c r="BM379" s="1054"/>
      <c r="BN379" s="1054"/>
      <c r="BO379" s="1055"/>
      <c r="BP379" s="278"/>
      <c r="BQ379" s="1056"/>
      <c r="BR379" s="1054"/>
      <c r="BS379" s="1054"/>
      <c r="BT379" s="1054"/>
      <c r="BU379" s="1055"/>
      <c r="BV379" s="278"/>
      <c r="BW379" s="1056"/>
      <c r="BX379" s="1054"/>
      <c r="BY379" s="1054"/>
      <c r="BZ379" s="1054"/>
      <c r="CA379" s="1055"/>
      <c r="CB379" s="278"/>
      <c r="CC379" s="1056"/>
      <c r="CD379" s="1054"/>
      <c r="CE379" s="1054"/>
      <c r="CF379" s="1054"/>
      <c r="CG379" s="1055"/>
    </row>
    <row r="380" spans="1:85" x14ac:dyDescent="0.2">
      <c r="B380" s="772" t="s">
        <v>637</v>
      </c>
      <c r="C380" s="1049"/>
      <c r="D380" s="1049"/>
      <c r="E380" s="1049"/>
      <c r="F380" s="1049"/>
      <c r="G380" s="1050"/>
      <c r="H380" s="1051"/>
      <c r="I380" s="1049"/>
      <c r="J380" s="1049"/>
      <c r="K380" s="1049"/>
      <c r="L380" s="1049"/>
      <c r="M380" s="1050"/>
      <c r="N380" s="1051"/>
      <c r="O380" s="1049"/>
      <c r="P380" s="1049"/>
      <c r="Q380" s="1049"/>
      <c r="R380" s="1049"/>
      <c r="S380" s="1050"/>
      <c r="T380" s="1051"/>
      <c r="U380" s="1049"/>
      <c r="V380" s="1049"/>
      <c r="W380" s="1049"/>
      <c r="X380" s="1049"/>
      <c r="Y380" s="1050"/>
      <c r="Z380" s="1051"/>
      <c r="AA380" s="1049"/>
      <c r="AB380" s="1049"/>
      <c r="AC380" s="1049"/>
      <c r="AD380" s="1049"/>
      <c r="AE380" s="1050"/>
      <c r="AF380" s="1051"/>
      <c r="AG380" s="1049"/>
      <c r="AH380" s="1049"/>
      <c r="AI380" s="1049"/>
      <c r="AJ380" s="1049"/>
      <c r="AK380" s="1050"/>
      <c r="AL380" s="1051"/>
      <c r="AM380" s="1049"/>
      <c r="AN380" s="1049"/>
      <c r="AO380" s="1049"/>
      <c r="AP380" s="1049"/>
      <c r="AQ380" s="1050"/>
      <c r="AR380" s="1051"/>
      <c r="AS380" s="1049"/>
      <c r="AT380" s="1049"/>
      <c r="AU380" s="1049"/>
      <c r="AV380" s="1049"/>
      <c r="AW380" s="1050"/>
      <c r="AX380" s="1051"/>
      <c r="AY380" s="1049"/>
      <c r="AZ380" s="1049"/>
      <c r="BA380" s="1049"/>
      <c r="BB380" s="1049"/>
      <c r="BC380" s="1050"/>
      <c r="BD380" s="1051"/>
      <c r="BE380" s="1049"/>
      <c r="BF380" s="1049"/>
      <c r="BG380" s="1049"/>
      <c r="BH380" s="1049"/>
      <c r="BI380" s="1050"/>
      <c r="BJ380" s="1052"/>
      <c r="BK380" s="1053"/>
      <c r="BL380" s="1054"/>
      <c r="BM380" s="1054"/>
      <c r="BN380" s="1054"/>
      <c r="BO380" s="1055"/>
      <c r="BP380" s="278"/>
      <c r="BQ380" s="1056"/>
      <c r="BR380" s="1054"/>
      <c r="BS380" s="1054"/>
      <c r="BT380" s="1054"/>
      <c r="BU380" s="1055"/>
      <c r="BV380" s="278"/>
      <c r="BW380" s="1056"/>
      <c r="BX380" s="1054"/>
      <c r="BY380" s="1054"/>
      <c r="BZ380" s="1054"/>
      <c r="CA380" s="1055"/>
      <c r="CB380" s="278"/>
      <c r="CC380" s="1056"/>
      <c r="CD380" s="1054"/>
      <c r="CE380" s="1054"/>
      <c r="CF380" s="1054"/>
      <c r="CG380" s="1055"/>
    </row>
    <row r="381" spans="1:85" x14ac:dyDescent="0.2">
      <c r="A381" s="279"/>
      <c r="B381" s="773" t="s">
        <v>638</v>
      </c>
      <c r="C381" s="1284"/>
      <c r="D381" s="1252"/>
      <c r="E381" s="1252"/>
      <c r="F381" s="1252"/>
      <c r="G381" s="1253"/>
      <c r="H381" s="1048"/>
      <c r="I381" s="1284"/>
      <c r="J381" s="1252"/>
      <c r="K381" s="1252"/>
      <c r="L381" s="1252"/>
      <c r="M381" s="1253"/>
      <c r="N381" s="1048"/>
      <c r="O381" s="1284"/>
      <c r="P381" s="1252"/>
      <c r="Q381" s="1252"/>
      <c r="R381" s="1252"/>
      <c r="S381" s="1253"/>
      <c r="T381" s="1048"/>
      <c r="U381" s="1284"/>
      <c r="V381" s="1252"/>
      <c r="W381" s="1252"/>
      <c r="X381" s="1252"/>
      <c r="Y381" s="1253"/>
      <c r="Z381" s="1048"/>
      <c r="AA381" s="1284"/>
      <c r="AB381" s="1252"/>
      <c r="AC381" s="1252"/>
      <c r="AD381" s="1252"/>
      <c r="AE381" s="1253"/>
      <c r="AF381" s="1048"/>
      <c r="AG381" s="1284"/>
      <c r="AH381" s="1252"/>
      <c r="AI381" s="1252"/>
      <c r="AJ381" s="1252"/>
      <c r="AK381" s="1253"/>
      <c r="AL381" s="1048"/>
      <c r="AM381" s="1284"/>
      <c r="AN381" s="1252"/>
      <c r="AO381" s="1252"/>
      <c r="AP381" s="1252"/>
      <c r="AQ381" s="1253"/>
      <c r="AR381" s="1048"/>
      <c r="AS381" s="1284"/>
      <c r="AT381" s="1252"/>
      <c r="AU381" s="1252"/>
      <c r="AV381" s="1252"/>
      <c r="AW381" s="1253"/>
      <c r="AX381" s="1048"/>
      <c r="AY381" s="1284"/>
      <c r="AZ381" s="1252"/>
      <c r="BA381" s="1252"/>
      <c r="BB381" s="1252"/>
      <c r="BC381" s="1253"/>
      <c r="BD381" s="1048"/>
      <c r="BE381" s="1284"/>
      <c r="BF381" s="1252"/>
      <c r="BG381" s="1252"/>
      <c r="BH381" s="1252"/>
      <c r="BI381" s="1253"/>
      <c r="BJ381" s="1048"/>
      <c r="BK381" s="1284"/>
      <c r="BL381" s="1254"/>
      <c r="BM381" s="1254"/>
      <c r="BN381" s="1254"/>
      <c r="BO381" s="793">
        <f>+(BO375+BO368)/(BO$378+BO$371)</f>
        <v>0.71117530050738542</v>
      </c>
      <c r="BP381" s="1039"/>
      <c r="BQ381" s="1256"/>
      <c r="BR381" s="1254"/>
      <c r="BS381" s="1254"/>
      <c r="BT381" s="1254"/>
      <c r="BU381" s="1255"/>
      <c r="BV381" s="1039"/>
      <c r="BW381" s="1256"/>
      <c r="BX381" s="1254"/>
      <c r="BY381" s="1254"/>
      <c r="BZ381" s="1254"/>
      <c r="CA381" s="1255"/>
      <c r="CB381" s="1039"/>
      <c r="CC381" s="1256"/>
      <c r="CD381" s="1254"/>
      <c r="CE381" s="1254"/>
      <c r="CF381" s="1254"/>
      <c r="CG381" s="1255"/>
    </row>
    <row r="382" spans="1:85" x14ac:dyDescent="0.2">
      <c r="B382" s="773" t="s">
        <v>639</v>
      </c>
      <c r="C382" s="61"/>
      <c r="D382" s="61"/>
      <c r="E382" s="61"/>
      <c r="F382" s="61"/>
      <c r="G382" s="1050"/>
      <c r="H382" s="1060"/>
      <c r="I382" s="61"/>
      <c r="J382" s="61"/>
      <c r="K382" s="61"/>
      <c r="L382" s="61"/>
      <c r="M382" s="447"/>
      <c r="N382" s="1060"/>
      <c r="O382" s="61"/>
      <c r="P382" s="61"/>
      <c r="Q382" s="61"/>
      <c r="R382" s="61"/>
      <c r="S382" s="447"/>
      <c r="T382" s="1060"/>
      <c r="U382" s="61"/>
      <c r="V382" s="61"/>
      <c r="W382" s="61"/>
      <c r="X382" s="61"/>
      <c r="Y382" s="447"/>
      <c r="Z382" s="1060"/>
      <c r="AA382" s="61"/>
      <c r="AB382" s="61"/>
      <c r="AC382" s="61"/>
      <c r="AD382" s="61"/>
      <c r="AE382" s="447"/>
      <c r="AF382" s="1060"/>
      <c r="AG382" s="61"/>
      <c r="AH382" s="61"/>
      <c r="AI382" s="61"/>
      <c r="AJ382" s="61"/>
      <c r="AK382" s="447"/>
      <c r="AL382" s="1060"/>
      <c r="AM382" s="61"/>
      <c r="AN382" s="61"/>
      <c r="AO382" s="61"/>
      <c r="AP382" s="61"/>
      <c r="AQ382" s="447"/>
      <c r="AR382" s="1060"/>
      <c r="AS382" s="61"/>
      <c r="AT382" s="61"/>
      <c r="AU382" s="61"/>
      <c r="AV382" s="61"/>
      <c r="AW382" s="447"/>
      <c r="AX382" s="1060"/>
      <c r="AY382" s="61"/>
      <c r="AZ382" s="61"/>
      <c r="BA382" s="61"/>
      <c r="BB382" s="61"/>
      <c r="BC382" s="447"/>
      <c r="BD382" s="1060"/>
      <c r="BE382" s="61"/>
      <c r="BF382" s="61"/>
      <c r="BG382" s="61"/>
      <c r="BH382" s="61"/>
      <c r="BI382" s="447"/>
      <c r="BJ382" s="1060"/>
      <c r="BK382" s="61"/>
      <c r="BL382" s="61"/>
      <c r="BM382" s="61"/>
      <c r="BN382" s="278"/>
      <c r="BO382" s="775">
        <f>+(BO375+BO368)</f>
        <v>4301.7948500000002</v>
      </c>
      <c r="BP382" s="278"/>
      <c r="BQ382" s="743"/>
      <c r="BR382" s="278"/>
      <c r="BS382" s="278"/>
      <c r="BT382" s="278"/>
      <c r="BU382" s="793"/>
      <c r="BV382" s="278"/>
      <c r="BW382" s="743"/>
      <c r="BX382" s="278"/>
      <c r="BY382" s="278"/>
      <c r="BZ382" s="278"/>
      <c r="CA382" s="793"/>
      <c r="CB382" s="278"/>
      <c r="CC382" s="743"/>
      <c r="CD382" s="278"/>
      <c r="CE382" s="278"/>
      <c r="CF382" s="278"/>
      <c r="CG382" s="793"/>
    </row>
    <row r="383" spans="1:85" x14ac:dyDescent="0.2">
      <c r="A383" s="254"/>
      <c r="B383" s="773" t="s">
        <v>640</v>
      </c>
      <c r="C383" s="61"/>
      <c r="D383" s="61"/>
      <c r="E383" s="61"/>
      <c r="F383" s="61"/>
      <c r="G383" s="1050"/>
      <c r="H383" s="1060"/>
      <c r="I383" s="61"/>
      <c r="J383" s="61"/>
      <c r="K383" s="61"/>
      <c r="L383" s="61"/>
      <c r="M383" s="447"/>
      <c r="N383" s="1060"/>
      <c r="O383" s="61"/>
      <c r="P383" s="61"/>
      <c r="Q383" s="61"/>
      <c r="R383" s="61"/>
      <c r="S383" s="447"/>
      <c r="T383" s="1060"/>
      <c r="U383" s="61"/>
      <c r="V383" s="61"/>
      <c r="W383" s="61"/>
      <c r="X383" s="61"/>
      <c r="Y383" s="447"/>
      <c r="Z383" s="1060"/>
      <c r="AA383" s="61"/>
      <c r="AB383" s="61"/>
      <c r="AC383" s="61"/>
      <c r="AD383" s="61"/>
      <c r="AE383" s="447"/>
      <c r="AF383" s="1060"/>
      <c r="AG383" s="61"/>
      <c r="AH383" s="61"/>
      <c r="AI383" s="61"/>
      <c r="AJ383" s="61"/>
      <c r="AK383" s="447"/>
      <c r="AL383" s="1060"/>
      <c r="AM383" s="61"/>
      <c r="AN383" s="61"/>
      <c r="AO383" s="61"/>
      <c r="AP383" s="61"/>
      <c r="AQ383" s="447"/>
      <c r="AR383" s="1060"/>
      <c r="AS383" s="61"/>
      <c r="AT383" s="61"/>
      <c r="AU383" s="61"/>
      <c r="AV383" s="61"/>
      <c r="AW383" s="447"/>
      <c r="AX383" s="1060"/>
      <c r="AY383" s="61"/>
      <c r="AZ383" s="61"/>
      <c r="BA383" s="61"/>
      <c r="BB383" s="61"/>
      <c r="BC383" s="447"/>
      <c r="BD383" s="1060"/>
      <c r="BE383" s="61"/>
      <c r="BF383" s="61"/>
      <c r="BG383" s="61"/>
      <c r="BH383" s="61"/>
      <c r="BI383" s="447"/>
      <c r="BJ383" s="1060"/>
      <c r="BK383" s="61"/>
      <c r="BL383" s="61"/>
      <c r="BM383" s="61"/>
      <c r="BN383" s="278"/>
      <c r="BO383" s="793">
        <f>+(BO377+BO370)/(BO$378+BO$371)</f>
        <v>0.28882469949261452</v>
      </c>
      <c r="BP383" s="278"/>
      <c r="BQ383" s="743"/>
      <c r="BR383" s="278"/>
      <c r="BS383" s="278"/>
      <c r="BT383" s="278"/>
      <c r="BU383" s="793"/>
      <c r="BV383" s="278"/>
      <c r="BW383" s="743"/>
      <c r="BX383" s="278"/>
      <c r="BY383" s="278"/>
      <c r="BZ383" s="278"/>
      <c r="CA383" s="793"/>
      <c r="CB383" s="278"/>
      <c r="CC383" s="743"/>
      <c r="CD383" s="278"/>
      <c r="CE383" s="278"/>
      <c r="CF383" s="278"/>
      <c r="CG383" s="793"/>
    </row>
    <row r="384" spans="1:85" x14ac:dyDescent="0.2">
      <c r="B384" s="772" t="s">
        <v>641</v>
      </c>
      <c r="C384" s="1057"/>
      <c r="D384" s="1057"/>
      <c r="E384" s="1057"/>
      <c r="F384" s="1057"/>
      <c r="G384" s="1058"/>
      <c r="H384" s="1059"/>
      <c r="I384" s="1057"/>
      <c r="J384" s="1057"/>
      <c r="K384" s="1057"/>
      <c r="L384" s="1057"/>
      <c r="M384" s="1058"/>
      <c r="N384" s="1059"/>
      <c r="O384" s="1057"/>
      <c r="P384" s="1057"/>
      <c r="Q384" s="1057"/>
      <c r="R384" s="1057"/>
      <c r="S384" s="1058"/>
      <c r="T384" s="1059"/>
      <c r="U384" s="1057"/>
      <c r="V384" s="1057"/>
      <c r="W384" s="1057"/>
      <c r="X384" s="1057"/>
      <c r="Y384" s="1058"/>
      <c r="Z384" s="1059"/>
      <c r="AA384" s="1057"/>
      <c r="AB384" s="1057"/>
      <c r="AC384" s="1057"/>
      <c r="AD384" s="1057"/>
      <c r="AE384" s="1058"/>
      <c r="AF384" s="1059"/>
      <c r="AG384" s="1057"/>
      <c r="AH384" s="1057"/>
      <c r="AI384" s="1057"/>
      <c r="AJ384" s="1057"/>
      <c r="AK384" s="1058"/>
      <c r="AL384" s="1059"/>
      <c r="AM384" s="1057"/>
      <c r="AN384" s="1057"/>
      <c r="AO384" s="1057"/>
      <c r="AP384" s="1057"/>
      <c r="AQ384" s="1058"/>
      <c r="AR384" s="1059"/>
      <c r="AS384" s="1057"/>
      <c r="AT384" s="1057"/>
      <c r="AU384" s="1057"/>
      <c r="AV384" s="1057"/>
      <c r="AW384" s="1058"/>
      <c r="AX384" s="1059"/>
      <c r="AY384" s="1057"/>
      <c r="AZ384" s="1057"/>
      <c r="BA384" s="1057"/>
      <c r="BB384" s="1057"/>
      <c r="BC384" s="1058"/>
      <c r="BD384" s="1059"/>
      <c r="BE384" s="1057"/>
      <c r="BF384" s="1057"/>
      <c r="BG384" s="1057"/>
      <c r="BH384" s="1057"/>
      <c r="BI384" s="1058"/>
      <c r="BJ384" s="1059"/>
      <c r="BK384" s="1057"/>
      <c r="BL384" s="1057"/>
      <c r="BM384" s="1057"/>
      <c r="BN384" s="1054"/>
      <c r="BO384" s="673">
        <f>+(BO377+BO370)</f>
        <v>1747.0581500000001</v>
      </c>
      <c r="BP384" s="278"/>
      <c r="BQ384" s="1056"/>
      <c r="BR384" s="1054"/>
      <c r="BS384" s="1054"/>
      <c r="BT384" s="1054"/>
      <c r="BU384" s="1055"/>
      <c r="BV384" s="278"/>
      <c r="BW384" s="1056"/>
      <c r="BX384" s="1054"/>
      <c r="BY384" s="1054"/>
      <c r="BZ384" s="1054"/>
      <c r="CA384" s="1055"/>
      <c r="CB384" s="278"/>
      <c r="CC384" s="1056"/>
      <c r="CD384" s="1054"/>
      <c r="CE384" s="1054"/>
      <c r="CF384" s="1054"/>
      <c r="CG384" s="1055"/>
    </row>
    <row r="385" spans="1:87" x14ac:dyDescent="0.2">
      <c r="B385" s="772" t="s">
        <v>414</v>
      </c>
      <c r="C385" s="1057"/>
      <c r="D385" s="1057"/>
      <c r="E385" s="1057"/>
      <c r="F385" s="1057"/>
      <c r="G385" s="1058"/>
      <c r="H385" s="1059"/>
      <c r="I385" s="1057"/>
      <c r="J385" s="1057"/>
      <c r="K385" s="1057"/>
      <c r="L385" s="1057"/>
      <c r="M385" s="1058"/>
      <c r="N385" s="1059"/>
      <c r="O385" s="1057"/>
      <c r="P385" s="1057"/>
      <c r="Q385" s="1057"/>
      <c r="R385" s="1057"/>
      <c r="S385" s="1058"/>
      <c r="T385" s="1059"/>
      <c r="U385" s="1057"/>
      <c r="V385" s="1057"/>
      <c r="W385" s="1057"/>
      <c r="X385" s="1057"/>
      <c r="Y385" s="1058"/>
      <c r="Z385" s="1059"/>
      <c r="AA385" s="1057"/>
      <c r="AB385" s="1057"/>
      <c r="AC385" s="1057"/>
      <c r="AD385" s="1057"/>
      <c r="AE385" s="1058"/>
      <c r="AF385" s="1059"/>
      <c r="AG385" s="1057"/>
      <c r="AH385" s="1057"/>
      <c r="AI385" s="1057"/>
      <c r="AJ385" s="1057"/>
      <c r="AK385" s="1058"/>
      <c r="AL385" s="1059"/>
      <c r="AM385" s="1057"/>
      <c r="AN385" s="1057"/>
      <c r="AO385" s="1057"/>
      <c r="AP385" s="1057"/>
      <c r="AQ385" s="1058"/>
      <c r="AR385" s="1059"/>
      <c r="AS385" s="1057"/>
      <c r="AT385" s="1057"/>
      <c r="AU385" s="1057"/>
      <c r="AV385" s="1057"/>
      <c r="AW385" s="1058"/>
      <c r="AX385" s="1059"/>
      <c r="AY385" s="1057"/>
      <c r="AZ385" s="1057"/>
      <c r="BA385" s="1057"/>
      <c r="BB385" s="1057"/>
      <c r="BC385" s="1058"/>
      <c r="BD385" s="1059"/>
      <c r="BE385" s="1057"/>
      <c r="BF385" s="1057"/>
      <c r="BG385" s="1057"/>
      <c r="BH385" s="1057"/>
      <c r="BI385" s="1058"/>
      <c r="BJ385" s="1061"/>
      <c r="BK385" s="1062"/>
      <c r="BL385" s="1054"/>
      <c r="BM385" s="1054"/>
      <c r="BN385" s="1054"/>
      <c r="BO385" s="1271">
        <f>+BO384+BO382</f>
        <v>6048.8530000000001</v>
      </c>
      <c r="BP385" s="278"/>
      <c r="BQ385" s="1056"/>
      <c r="BR385" s="1054"/>
      <c r="BS385" s="1054"/>
      <c r="BT385" s="1054"/>
      <c r="BU385" s="1055"/>
      <c r="BV385" s="278"/>
      <c r="BW385" s="1056"/>
      <c r="BX385" s="1054"/>
      <c r="BY385" s="1054"/>
      <c r="BZ385" s="1054"/>
      <c r="CA385" s="1055"/>
      <c r="CB385" s="278"/>
      <c r="CC385" s="1056"/>
      <c r="CD385" s="1054"/>
      <c r="CE385" s="1054"/>
      <c r="CF385" s="1054"/>
      <c r="CG385" s="1055"/>
    </row>
    <row r="386" spans="1:87" x14ac:dyDescent="0.2">
      <c r="B386" s="772"/>
      <c r="C386" s="1057"/>
      <c r="D386" s="1057"/>
      <c r="E386" s="1057"/>
      <c r="F386" s="1057"/>
      <c r="G386" s="1058"/>
      <c r="H386" s="1059"/>
      <c r="I386" s="1057"/>
      <c r="J386" s="1057"/>
      <c r="K386" s="1057"/>
      <c r="L386" s="1057"/>
      <c r="M386" s="1058"/>
      <c r="N386" s="1059"/>
      <c r="O386" s="1057"/>
      <c r="P386" s="1057"/>
      <c r="Q386" s="1057"/>
      <c r="R386" s="1057"/>
      <c r="S386" s="1058"/>
      <c r="T386" s="1059"/>
      <c r="U386" s="1057"/>
      <c r="V386" s="1057"/>
      <c r="W386" s="1057"/>
      <c r="X386" s="1057"/>
      <c r="Y386" s="1058"/>
      <c r="Z386" s="1059"/>
      <c r="AA386" s="1057"/>
      <c r="AB386" s="1057"/>
      <c r="AC386" s="1057"/>
      <c r="AD386" s="1057"/>
      <c r="AE386" s="1058"/>
      <c r="AF386" s="1059"/>
      <c r="AG386" s="1057"/>
      <c r="AH386" s="1057"/>
      <c r="AI386" s="1057"/>
      <c r="AJ386" s="1057"/>
      <c r="AK386" s="1058"/>
      <c r="AL386" s="1059"/>
      <c r="AM386" s="1057"/>
      <c r="AN386" s="1057"/>
      <c r="AO386" s="1057"/>
      <c r="AP386" s="1057"/>
      <c r="AQ386" s="1058"/>
      <c r="AR386" s="1059"/>
      <c r="AS386" s="1057"/>
      <c r="AT386" s="1057"/>
      <c r="AU386" s="1057"/>
      <c r="AV386" s="1057"/>
      <c r="AW386" s="1058"/>
      <c r="AX386" s="1059"/>
      <c r="AY386" s="1057"/>
      <c r="AZ386" s="1057"/>
      <c r="BA386" s="1057"/>
      <c r="BB386" s="1057"/>
      <c r="BC386" s="1058"/>
      <c r="BD386" s="1059"/>
      <c r="BE386" s="1057"/>
      <c r="BF386" s="1057"/>
      <c r="BG386" s="1057"/>
      <c r="BH386" s="1057"/>
      <c r="BI386" s="1058"/>
      <c r="BJ386" s="1061"/>
      <c r="BK386" s="1062"/>
      <c r="BL386" s="1054"/>
      <c r="BM386" s="1054"/>
      <c r="BN386" s="1054"/>
      <c r="BO386" s="1271"/>
      <c r="BP386" s="278"/>
      <c r="BQ386" s="1056"/>
      <c r="BR386" s="1054"/>
      <c r="BS386" s="1054"/>
      <c r="BT386" s="1054"/>
      <c r="BU386" s="1055"/>
      <c r="BV386" s="278"/>
      <c r="BW386" s="1056"/>
      <c r="BX386" s="1054"/>
      <c r="BY386" s="1054"/>
      <c r="BZ386" s="1054"/>
      <c r="CA386" s="1055"/>
      <c r="CB386" s="278"/>
      <c r="CC386" s="1056"/>
      <c r="CD386" s="1054"/>
      <c r="CE386" s="1054"/>
      <c r="CF386" s="1054"/>
      <c r="CG386" s="1055"/>
    </row>
    <row r="387" spans="1:87" x14ac:dyDescent="0.2">
      <c r="B387" s="706" t="s">
        <v>642</v>
      </c>
      <c r="C387" s="1045"/>
      <c r="D387" s="1046"/>
      <c r="E387" s="1046"/>
      <c r="F387" s="1046"/>
      <c r="G387" s="1047"/>
      <c r="H387" s="1048"/>
      <c r="I387" s="1045"/>
      <c r="J387" s="1046"/>
      <c r="K387" s="1046"/>
      <c r="L387" s="1046"/>
      <c r="M387" s="1047"/>
      <c r="N387" s="1048"/>
      <c r="O387" s="1045"/>
      <c r="P387" s="1046"/>
      <c r="Q387" s="1046"/>
      <c r="R387" s="1046"/>
      <c r="S387" s="1047"/>
      <c r="T387" s="1048"/>
      <c r="U387" s="1045"/>
      <c r="V387" s="1046"/>
      <c r="W387" s="1046"/>
      <c r="X387" s="1046"/>
      <c r="Y387" s="1047"/>
      <c r="Z387" s="1048"/>
      <c r="AA387" s="1045"/>
      <c r="AB387" s="1046"/>
      <c r="AC387" s="1046"/>
      <c r="AD387" s="1046"/>
      <c r="AE387" s="1047"/>
      <c r="AF387" s="1048"/>
      <c r="AG387" s="1045"/>
      <c r="AH387" s="1046"/>
      <c r="AI387" s="1046"/>
      <c r="AJ387" s="1046"/>
      <c r="AK387" s="1047"/>
      <c r="AL387" s="1048"/>
      <c r="AM387" s="1045"/>
      <c r="AN387" s="1046"/>
      <c r="AO387" s="1046"/>
      <c r="AP387" s="1046"/>
      <c r="AQ387" s="1047"/>
      <c r="AR387" s="1048"/>
      <c r="AS387" s="1045"/>
      <c r="AT387" s="1046"/>
      <c r="AU387" s="1046"/>
      <c r="AV387" s="1046"/>
      <c r="AW387" s="1047"/>
      <c r="AX387" s="1048"/>
      <c r="AY387" s="1045"/>
      <c r="AZ387" s="1046"/>
      <c r="BA387" s="1046"/>
      <c r="BB387" s="1046"/>
      <c r="BC387" s="1047"/>
      <c r="BD387" s="1048"/>
      <c r="BE387" s="1045"/>
      <c r="BF387" s="1046"/>
      <c r="BG387" s="1046"/>
      <c r="BH387" s="1046"/>
      <c r="BI387" s="1047"/>
      <c r="BJ387" s="1048"/>
      <c r="BK387" s="1045"/>
      <c r="BL387" s="704"/>
      <c r="BM387" s="704"/>
      <c r="BN387" s="704"/>
      <c r="BO387" s="705"/>
      <c r="BP387" s="1039"/>
      <c r="BQ387" s="703"/>
      <c r="BR387" s="704"/>
      <c r="BS387" s="704"/>
      <c r="BT387" s="704"/>
      <c r="BU387" s="705"/>
      <c r="BV387" s="1039"/>
      <c r="BW387" s="703"/>
      <c r="BX387" s="704"/>
      <c r="BY387" s="704"/>
      <c r="BZ387" s="704"/>
      <c r="CA387" s="705"/>
      <c r="CB387" s="1039"/>
      <c r="CC387" s="703"/>
      <c r="CD387" s="704"/>
      <c r="CE387" s="704"/>
      <c r="CF387" s="704"/>
      <c r="CG387" s="705"/>
    </row>
    <row r="388" spans="1:87" x14ac:dyDescent="0.2">
      <c r="B388" s="773" t="s">
        <v>632</v>
      </c>
      <c r="C388" s="1057"/>
      <c r="D388" s="1057"/>
      <c r="E388" s="1057"/>
      <c r="F388" s="1057"/>
      <c r="G388" s="1058"/>
      <c r="H388" s="1059"/>
      <c r="I388" s="1057"/>
      <c r="J388" s="1057"/>
      <c r="K388" s="1057"/>
      <c r="L388" s="1057"/>
      <c r="M388" s="1058"/>
      <c r="N388" s="1059"/>
      <c r="O388" s="1057"/>
      <c r="P388" s="1057"/>
      <c r="Q388" s="1057"/>
      <c r="R388" s="1057"/>
      <c r="S388" s="1058"/>
      <c r="T388" s="1059"/>
      <c r="U388" s="1057"/>
      <c r="V388" s="1057"/>
      <c r="W388" s="1057"/>
      <c r="X388" s="1057"/>
      <c r="Y388" s="1058"/>
      <c r="Z388" s="1059"/>
      <c r="AA388" s="1057"/>
      <c r="AB388" s="1057"/>
      <c r="AC388" s="1057"/>
      <c r="AD388" s="1057"/>
      <c r="AE388" s="1058"/>
      <c r="AF388" s="1059"/>
      <c r="AG388" s="1057"/>
      <c r="AH388" s="1057"/>
      <c r="AI388" s="1057"/>
      <c r="AJ388" s="1057"/>
      <c r="AK388" s="1058"/>
      <c r="AL388" s="1059"/>
      <c r="AM388" s="1057"/>
      <c r="AN388" s="1057"/>
      <c r="AO388" s="1057"/>
      <c r="AP388" s="1057"/>
      <c r="AQ388" s="1058"/>
      <c r="AR388" s="1059"/>
      <c r="AS388" s="1057"/>
      <c r="AT388" s="1057"/>
      <c r="AU388" s="1057"/>
      <c r="AV388" s="1057"/>
      <c r="AW388" s="1058"/>
      <c r="AX388" s="1059"/>
      <c r="AY388" s="1057"/>
      <c r="AZ388" s="1057"/>
      <c r="BA388" s="1057"/>
      <c r="BB388" s="1057"/>
      <c r="BC388" s="1058"/>
      <c r="BD388" s="1059"/>
      <c r="BE388" s="1057"/>
      <c r="BF388" s="1057"/>
      <c r="BG388" s="1057"/>
      <c r="BH388" s="1057"/>
      <c r="BI388" s="1058"/>
      <c r="BJ388" s="1061"/>
      <c r="BK388" s="1062"/>
      <c r="BL388" s="1054"/>
      <c r="BM388" s="1054"/>
      <c r="BN388" s="1054"/>
      <c r="BO388" s="1293">
        <v>700</v>
      </c>
      <c r="BP388" s="278"/>
      <c r="BQ388" s="1056"/>
      <c r="BR388" s="1054"/>
      <c r="BS388" s="1054"/>
      <c r="BT388" s="1054"/>
      <c r="BU388" s="1055"/>
      <c r="BV388" s="278"/>
      <c r="BW388" s="1056"/>
      <c r="BX388" s="1054"/>
      <c r="BY388" s="1054"/>
      <c r="BZ388" s="1054"/>
      <c r="CA388" s="1055"/>
      <c r="CB388" s="278"/>
      <c r="CC388" s="1056"/>
      <c r="CD388" s="1054"/>
      <c r="CE388" s="1054"/>
      <c r="CF388" s="1054"/>
      <c r="CG388" s="1055"/>
    </row>
    <row r="389" spans="1:87" x14ac:dyDescent="0.2">
      <c r="B389" s="1269" t="s">
        <v>649</v>
      </c>
      <c r="C389" s="1057"/>
      <c r="D389" s="1057"/>
      <c r="E389" s="1057"/>
      <c r="F389" s="1057"/>
      <c r="G389" s="1058"/>
      <c r="H389" s="1059"/>
      <c r="I389" s="1057"/>
      <c r="J389" s="1057"/>
      <c r="K389" s="1057"/>
      <c r="L389" s="1057"/>
      <c r="M389" s="1058"/>
      <c r="N389" s="1059"/>
      <c r="O389" s="1057"/>
      <c r="P389" s="1057"/>
      <c r="Q389" s="1057"/>
      <c r="R389" s="1057"/>
      <c r="S389" s="1058"/>
      <c r="T389" s="1059"/>
      <c r="U389" s="1057"/>
      <c r="V389" s="1057"/>
      <c r="W389" s="1057"/>
      <c r="X389" s="1057"/>
      <c r="Y389" s="1058"/>
      <c r="Z389" s="1059"/>
      <c r="AA389" s="1057"/>
      <c r="AB389" s="1057"/>
      <c r="AC389" s="1057"/>
      <c r="AD389" s="1057"/>
      <c r="AE389" s="1058"/>
      <c r="AF389" s="1059"/>
      <c r="AG389" s="1057"/>
      <c r="AH389" s="1057"/>
      <c r="AI389" s="1057"/>
      <c r="AJ389" s="1057"/>
      <c r="AK389" s="1058"/>
      <c r="AL389" s="1059"/>
      <c r="AM389" s="1057"/>
      <c r="AN389" s="1057"/>
      <c r="AO389" s="1057"/>
      <c r="AP389" s="1057"/>
      <c r="AQ389" s="1058"/>
      <c r="AR389" s="1059"/>
      <c r="AS389" s="1057"/>
      <c r="AT389" s="1057"/>
      <c r="AU389" s="1057"/>
      <c r="AV389" s="1057"/>
      <c r="AW389" s="1058"/>
      <c r="AX389" s="1059"/>
      <c r="AY389" s="1057"/>
      <c r="AZ389" s="1057"/>
      <c r="BA389" s="1057"/>
      <c r="BB389" s="1057"/>
      <c r="BC389" s="1058"/>
      <c r="BD389" s="1059"/>
      <c r="BE389" s="1057"/>
      <c r="BF389" s="1057"/>
      <c r="BG389" s="1057"/>
      <c r="BH389" s="1057"/>
      <c r="BI389" s="1058"/>
      <c r="BJ389" s="1061"/>
      <c r="BK389" s="1062"/>
      <c r="BL389" s="1054"/>
      <c r="BM389" s="1054"/>
      <c r="BN389" s="1054"/>
      <c r="BO389" s="852">
        <f>+BO388/BO$385</f>
        <v>0.11572441915847517</v>
      </c>
      <c r="BP389" s="278"/>
      <c r="BQ389" s="1056"/>
      <c r="BR389" s="1054"/>
      <c r="BS389" s="1054"/>
      <c r="BT389" s="1054"/>
      <c r="BU389" s="1055"/>
      <c r="BV389" s="278"/>
      <c r="BW389" s="1056"/>
      <c r="BX389" s="1054"/>
      <c r="BY389" s="1054"/>
      <c r="BZ389" s="1054"/>
      <c r="CA389" s="1055"/>
      <c r="CB389" s="278"/>
      <c r="CC389" s="1056"/>
      <c r="CD389" s="1054"/>
      <c r="CE389" s="1054"/>
      <c r="CF389" s="1054"/>
      <c r="CG389" s="1055"/>
    </row>
    <row r="390" spans="1:87" x14ac:dyDescent="0.2">
      <c r="A390" s="279"/>
      <c r="B390" s="773" t="s">
        <v>645</v>
      </c>
      <c r="C390" s="1057"/>
      <c r="D390" s="1057"/>
      <c r="E390" s="1057"/>
      <c r="F390" s="1057"/>
      <c r="G390" s="1058"/>
      <c r="H390" s="1059"/>
      <c r="I390" s="1057"/>
      <c r="J390" s="1057"/>
      <c r="K390" s="1057"/>
      <c r="L390" s="1057"/>
      <c r="M390" s="1058"/>
      <c r="N390" s="1059"/>
      <c r="O390" s="1057"/>
      <c r="P390" s="1057"/>
      <c r="Q390" s="1057"/>
      <c r="R390" s="1057"/>
      <c r="S390" s="1058"/>
      <c r="T390" s="1059"/>
      <c r="U390" s="1057"/>
      <c r="V390" s="1057"/>
      <c r="W390" s="1057"/>
      <c r="X390" s="1057"/>
      <c r="Y390" s="1058"/>
      <c r="Z390" s="1059"/>
      <c r="AA390" s="1057"/>
      <c r="AB390" s="1057"/>
      <c r="AC390" s="1057"/>
      <c r="AD390" s="1057"/>
      <c r="AE390" s="1058"/>
      <c r="AF390" s="1059"/>
      <c r="AG390" s="1057"/>
      <c r="AH390" s="1057"/>
      <c r="AI390" s="1057"/>
      <c r="AJ390" s="1057"/>
      <c r="AK390" s="1058"/>
      <c r="AL390" s="1059"/>
      <c r="AM390" s="1057"/>
      <c r="AN390" s="1057"/>
      <c r="AO390" s="1057"/>
      <c r="AP390" s="1057"/>
      <c r="AQ390" s="1058"/>
      <c r="AR390" s="1059"/>
      <c r="AS390" s="1057"/>
      <c r="AT390" s="1057"/>
      <c r="AU390" s="1057"/>
      <c r="AV390" s="1057"/>
      <c r="AW390" s="1058"/>
      <c r="AX390" s="1059"/>
      <c r="AY390" s="1057"/>
      <c r="AZ390" s="1057"/>
      <c r="BA390" s="1057"/>
      <c r="BB390" s="1057"/>
      <c r="BC390" s="1058"/>
      <c r="BD390" s="1059"/>
      <c r="BE390" s="1057"/>
      <c r="BF390" s="1057"/>
      <c r="BG390" s="1057"/>
      <c r="BH390" s="1057"/>
      <c r="BI390" s="1058"/>
      <c r="BJ390" s="1061"/>
      <c r="BK390" s="1062"/>
      <c r="BL390" s="1054"/>
      <c r="BM390" s="1054"/>
      <c r="BN390" s="1054"/>
      <c r="BO390" s="775">
        <f>+BO391*BO385</f>
        <v>604.88530000000003</v>
      </c>
      <c r="BP390" s="278"/>
      <c r="BQ390" s="1056"/>
      <c r="BR390" s="1054"/>
      <c r="BS390" s="1054"/>
      <c r="BT390" s="1054"/>
      <c r="BU390" s="1055"/>
      <c r="BV390" s="278"/>
      <c r="BW390" s="1056"/>
      <c r="BX390" s="1054"/>
      <c r="BY390" s="1054"/>
      <c r="BZ390" s="1054"/>
      <c r="CA390" s="1055"/>
      <c r="CB390" s="278"/>
      <c r="CC390" s="1056"/>
      <c r="CD390" s="1054"/>
      <c r="CE390" s="1054"/>
      <c r="CF390" s="1054"/>
      <c r="CG390" s="1055"/>
    </row>
    <row r="391" spans="1:87" x14ac:dyDescent="0.2">
      <c r="A391" s="279"/>
      <c r="B391" s="1269" t="s">
        <v>649</v>
      </c>
      <c r="C391" s="1057"/>
      <c r="D391" s="1057"/>
      <c r="E391" s="1057"/>
      <c r="F391" s="1057"/>
      <c r="G391" s="1058"/>
      <c r="H391" s="1059"/>
      <c r="I391" s="1057"/>
      <c r="J391" s="1057"/>
      <c r="K391" s="1057"/>
      <c r="L391" s="1057"/>
      <c r="M391" s="1058"/>
      <c r="N391" s="1059"/>
      <c r="O391" s="1057"/>
      <c r="P391" s="1057"/>
      <c r="Q391" s="1057"/>
      <c r="R391" s="1057"/>
      <c r="S391" s="1058"/>
      <c r="T391" s="1059"/>
      <c r="U391" s="1057"/>
      <c r="V391" s="1057"/>
      <c r="W391" s="1057"/>
      <c r="X391" s="1057"/>
      <c r="Y391" s="1058"/>
      <c r="Z391" s="1059"/>
      <c r="AA391" s="1057"/>
      <c r="AB391" s="1057"/>
      <c r="AC391" s="1057"/>
      <c r="AD391" s="1057"/>
      <c r="AE391" s="1058"/>
      <c r="AF391" s="1059"/>
      <c r="AG391" s="1057"/>
      <c r="AH391" s="1057"/>
      <c r="AI391" s="1057"/>
      <c r="AJ391" s="1057"/>
      <c r="AK391" s="1058"/>
      <c r="AL391" s="1059"/>
      <c r="AM391" s="1057"/>
      <c r="AN391" s="1057"/>
      <c r="AO391" s="1057"/>
      <c r="AP391" s="1057"/>
      <c r="AQ391" s="1058"/>
      <c r="AR391" s="1059"/>
      <c r="AS391" s="1057"/>
      <c r="AT391" s="1057"/>
      <c r="AU391" s="1057"/>
      <c r="AV391" s="1057"/>
      <c r="AW391" s="1058"/>
      <c r="AX391" s="1059"/>
      <c r="AY391" s="1057"/>
      <c r="AZ391" s="1057"/>
      <c r="BA391" s="1057"/>
      <c r="BB391" s="1057"/>
      <c r="BC391" s="1058"/>
      <c r="BD391" s="1059"/>
      <c r="BE391" s="1057"/>
      <c r="BF391" s="1057"/>
      <c r="BG391" s="1057"/>
      <c r="BH391" s="1057"/>
      <c r="BI391" s="1058"/>
      <c r="BJ391" s="1061"/>
      <c r="BK391" s="1062"/>
      <c r="BL391" s="1054"/>
      <c r="BM391" s="1054"/>
      <c r="BN391" s="1054"/>
      <c r="BO391" s="852">
        <v>0.1</v>
      </c>
      <c r="BP391" s="278"/>
      <c r="BQ391" s="1056"/>
      <c r="BR391" s="1054"/>
      <c r="BS391" s="1054"/>
      <c r="BT391" s="1054"/>
      <c r="BU391" s="1055"/>
      <c r="BV391" s="278"/>
      <c r="BW391" s="1056"/>
      <c r="BX391" s="1054"/>
      <c r="BY391" s="1054"/>
      <c r="BZ391" s="1054"/>
      <c r="CA391" s="1055"/>
      <c r="CB391" s="278"/>
      <c r="CC391" s="1056"/>
      <c r="CD391" s="1054"/>
      <c r="CE391" s="1054"/>
      <c r="CF391" s="1054"/>
      <c r="CG391" s="1055"/>
    </row>
    <row r="392" spans="1:87" x14ac:dyDescent="0.2">
      <c r="B392" s="773" t="s">
        <v>644</v>
      </c>
      <c r="C392" s="1057"/>
      <c r="D392" s="1057"/>
      <c r="E392" s="1057"/>
      <c r="F392" s="1057"/>
      <c r="G392" s="1058"/>
      <c r="H392" s="1059"/>
      <c r="I392" s="1057"/>
      <c r="J392" s="1057"/>
      <c r="K392" s="1057"/>
      <c r="L392" s="1057"/>
      <c r="M392" s="1058"/>
      <c r="N392" s="1059"/>
      <c r="O392" s="1057"/>
      <c r="P392" s="1057"/>
      <c r="Q392" s="1057"/>
      <c r="R392" s="1057"/>
      <c r="S392" s="1058"/>
      <c r="T392" s="1059"/>
      <c r="U392" s="1057"/>
      <c r="V392" s="1057"/>
      <c r="W392" s="1057"/>
      <c r="X392" s="1057"/>
      <c r="Y392" s="1058"/>
      <c r="Z392" s="1059"/>
      <c r="AA392" s="1057"/>
      <c r="AB392" s="1057"/>
      <c r="AC392" s="1057"/>
      <c r="AD392" s="1057"/>
      <c r="AE392" s="1058"/>
      <c r="AF392" s="1059"/>
      <c r="AG392" s="1057"/>
      <c r="AH392" s="1057"/>
      <c r="AI392" s="1057"/>
      <c r="AJ392" s="1057"/>
      <c r="AK392" s="1058"/>
      <c r="AL392" s="1059"/>
      <c r="AM392" s="1057"/>
      <c r="AN392" s="1057"/>
      <c r="AO392" s="1057"/>
      <c r="AP392" s="1057"/>
      <c r="AQ392" s="1058"/>
      <c r="AR392" s="1059"/>
      <c r="AS392" s="1057"/>
      <c r="AT392" s="1057"/>
      <c r="AU392" s="1057"/>
      <c r="AV392" s="1057"/>
      <c r="AW392" s="1058"/>
      <c r="AX392" s="1059"/>
      <c r="AY392" s="1057"/>
      <c r="AZ392" s="1057"/>
      <c r="BA392" s="1057"/>
      <c r="BB392" s="1057"/>
      <c r="BC392" s="1058"/>
      <c r="BD392" s="1059"/>
      <c r="BE392" s="1057"/>
      <c r="BF392" s="1057"/>
      <c r="BG392" s="1057"/>
      <c r="BH392" s="1057"/>
      <c r="BI392" s="1058"/>
      <c r="BJ392" s="1061"/>
      <c r="BK392" s="1062"/>
      <c r="BL392" s="1054"/>
      <c r="BM392" s="1054"/>
      <c r="BN392" s="1054"/>
      <c r="BO392" s="775">
        <f>+BO385-BO388-BO390-BO394</f>
        <v>2996.9095500000003</v>
      </c>
      <c r="BP392" s="278"/>
      <c r="BQ392" s="1056"/>
      <c r="BR392" s="1054"/>
      <c r="BS392" s="1054"/>
      <c r="BT392" s="1054"/>
      <c r="BU392" s="1055"/>
      <c r="BV392" s="278"/>
      <c r="BW392" s="1056"/>
      <c r="BX392" s="1054"/>
      <c r="BY392" s="1054"/>
      <c r="BZ392" s="1054"/>
      <c r="CA392" s="1055"/>
      <c r="CB392" s="278"/>
      <c r="CC392" s="1056"/>
      <c r="CD392" s="1054"/>
      <c r="CE392" s="1054"/>
      <c r="CF392" s="1054"/>
      <c r="CG392" s="1055"/>
    </row>
    <row r="393" spans="1:87" x14ac:dyDescent="0.2">
      <c r="B393" s="1269" t="s">
        <v>649</v>
      </c>
      <c r="C393" s="1057"/>
      <c r="D393" s="1057"/>
      <c r="E393" s="1057"/>
      <c r="F393" s="1057"/>
      <c r="G393" s="1058"/>
      <c r="H393" s="1059"/>
      <c r="I393" s="1057"/>
      <c r="J393" s="1057"/>
      <c r="K393" s="1057"/>
      <c r="L393" s="1057"/>
      <c r="M393" s="1058"/>
      <c r="N393" s="1059"/>
      <c r="O393" s="1057"/>
      <c r="P393" s="1057"/>
      <c r="Q393" s="1057"/>
      <c r="R393" s="1057"/>
      <c r="S393" s="1058"/>
      <c r="T393" s="1059"/>
      <c r="U393" s="1057"/>
      <c r="V393" s="1057"/>
      <c r="W393" s="1057"/>
      <c r="X393" s="1057"/>
      <c r="Y393" s="1058"/>
      <c r="Z393" s="1059"/>
      <c r="AA393" s="1057"/>
      <c r="AB393" s="1057"/>
      <c r="AC393" s="1057"/>
      <c r="AD393" s="1057"/>
      <c r="AE393" s="1058"/>
      <c r="AF393" s="1059"/>
      <c r="AG393" s="1057"/>
      <c r="AH393" s="1057"/>
      <c r="AI393" s="1057"/>
      <c r="AJ393" s="1057"/>
      <c r="AK393" s="1058"/>
      <c r="AL393" s="1059"/>
      <c r="AM393" s="1057"/>
      <c r="AN393" s="1057"/>
      <c r="AO393" s="1057"/>
      <c r="AP393" s="1057"/>
      <c r="AQ393" s="1058"/>
      <c r="AR393" s="1059"/>
      <c r="AS393" s="1057"/>
      <c r="AT393" s="1057"/>
      <c r="AU393" s="1057"/>
      <c r="AV393" s="1057"/>
      <c r="AW393" s="1058"/>
      <c r="AX393" s="1059"/>
      <c r="AY393" s="1057"/>
      <c r="AZ393" s="1057"/>
      <c r="BA393" s="1057"/>
      <c r="BB393" s="1057"/>
      <c r="BC393" s="1058"/>
      <c r="BD393" s="1059"/>
      <c r="BE393" s="1057"/>
      <c r="BF393" s="1057"/>
      <c r="BG393" s="1057"/>
      <c r="BH393" s="1057"/>
      <c r="BI393" s="1058"/>
      <c r="BJ393" s="1061"/>
      <c r="BK393" s="1062"/>
      <c r="BL393" s="1054"/>
      <c r="BM393" s="1054"/>
      <c r="BN393" s="1054"/>
      <c r="BO393" s="852">
        <f>+BO392/BO$385</f>
        <v>0.4954508813489103</v>
      </c>
      <c r="BP393" s="278"/>
      <c r="BQ393" s="1056"/>
      <c r="BR393" s="1054"/>
      <c r="BS393" s="1054"/>
      <c r="BT393" s="1054"/>
      <c r="BU393" s="1055"/>
      <c r="BV393" s="278"/>
      <c r="BW393" s="1056"/>
      <c r="BX393" s="1054"/>
      <c r="BY393" s="1054"/>
      <c r="BZ393" s="1054"/>
      <c r="CA393" s="1055"/>
      <c r="CB393" s="278"/>
      <c r="CC393" s="1056"/>
      <c r="CD393" s="1054"/>
      <c r="CE393" s="1054"/>
      <c r="CF393" s="1054"/>
      <c r="CG393" s="1055"/>
    </row>
    <row r="394" spans="1:87" x14ac:dyDescent="0.2">
      <c r="A394" s="254"/>
      <c r="B394" s="773" t="s">
        <v>556</v>
      </c>
      <c r="C394" s="1057"/>
      <c r="D394" s="1057"/>
      <c r="E394" s="1057"/>
      <c r="F394" s="1057"/>
      <c r="G394" s="1058"/>
      <c r="H394" s="1059"/>
      <c r="I394" s="1057"/>
      <c r="J394" s="1057"/>
      <c r="K394" s="1057"/>
      <c r="L394" s="1057"/>
      <c r="M394" s="1058"/>
      <c r="N394" s="1059"/>
      <c r="O394" s="1057"/>
      <c r="P394" s="1057"/>
      <c r="Q394" s="1057"/>
      <c r="R394" s="1057"/>
      <c r="S394" s="1058"/>
      <c r="T394" s="1059"/>
      <c r="U394" s="1057"/>
      <c r="V394" s="1057"/>
      <c r="W394" s="1057"/>
      <c r="X394" s="1057"/>
      <c r="Y394" s="1058"/>
      <c r="Z394" s="1059"/>
      <c r="AA394" s="1057"/>
      <c r="AB394" s="1057"/>
      <c r="AC394" s="1057"/>
      <c r="AD394" s="1057"/>
      <c r="AE394" s="1058"/>
      <c r="AF394" s="1059"/>
      <c r="AG394" s="1057"/>
      <c r="AH394" s="1057"/>
      <c r="AI394" s="1057"/>
      <c r="AJ394" s="1057"/>
      <c r="AK394" s="1058"/>
      <c r="AL394" s="1059"/>
      <c r="AM394" s="1057"/>
      <c r="AN394" s="1057"/>
      <c r="AO394" s="1057"/>
      <c r="AP394" s="1057"/>
      <c r="AQ394" s="1058"/>
      <c r="AR394" s="1059"/>
      <c r="AS394" s="1057"/>
      <c r="AT394" s="1057"/>
      <c r="AU394" s="1057"/>
      <c r="AV394" s="1057"/>
      <c r="AW394" s="1058"/>
      <c r="AX394" s="1059"/>
      <c r="AY394" s="1057"/>
      <c r="AZ394" s="1057"/>
      <c r="BA394" s="1057"/>
      <c r="BB394" s="1057"/>
      <c r="BC394" s="1058"/>
      <c r="BD394" s="1059"/>
      <c r="BE394" s="1057"/>
      <c r="BF394" s="1057"/>
      <c r="BG394" s="1057"/>
      <c r="BH394" s="1057"/>
      <c r="BI394" s="1058"/>
      <c r="BJ394" s="1061"/>
      <c r="BK394" s="1062"/>
      <c r="BL394" s="1054"/>
      <c r="BM394" s="1054"/>
      <c r="BN394" s="1054"/>
      <c r="BO394" s="775">
        <f>+BO384</f>
        <v>1747.0581500000001</v>
      </c>
      <c r="BP394" s="278"/>
      <c r="BQ394" s="1056"/>
      <c r="BR394" s="1054"/>
      <c r="BS394" s="1054"/>
      <c r="BT394" s="1054"/>
      <c r="BU394" s="1055"/>
      <c r="BV394" s="278"/>
      <c r="BW394" s="1056"/>
      <c r="BX394" s="1054"/>
      <c r="BY394" s="1054"/>
      <c r="BZ394" s="1054"/>
      <c r="CA394" s="1055"/>
      <c r="CB394" s="278"/>
      <c r="CC394" s="1056"/>
      <c r="CD394" s="1054"/>
      <c r="CE394" s="1054"/>
      <c r="CF394" s="1054"/>
      <c r="CG394" s="1055"/>
    </row>
    <row r="395" spans="1:87" x14ac:dyDescent="0.2">
      <c r="B395" s="1269" t="s">
        <v>649</v>
      </c>
      <c r="C395" s="1057"/>
      <c r="D395" s="1057"/>
      <c r="E395" s="1057"/>
      <c r="F395" s="1057"/>
      <c r="G395" s="1058"/>
      <c r="H395" s="1059"/>
      <c r="I395" s="1057"/>
      <c r="J395" s="1057"/>
      <c r="K395" s="1057"/>
      <c r="L395" s="1057"/>
      <c r="M395" s="1058"/>
      <c r="N395" s="1059"/>
      <c r="O395" s="1057"/>
      <c r="P395" s="1057"/>
      <c r="Q395" s="1057"/>
      <c r="R395" s="1057"/>
      <c r="S395" s="1058"/>
      <c r="T395" s="1059"/>
      <c r="U395" s="1057"/>
      <c r="V395" s="1057"/>
      <c r="W395" s="1057"/>
      <c r="X395" s="1057"/>
      <c r="Y395" s="1058"/>
      <c r="Z395" s="1059"/>
      <c r="AA395" s="1057"/>
      <c r="AB395" s="1057"/>
      <c r="AC395" s="1057"/>
      <c r="AD395" s="1057"/>
      <c r="AE395" s="1058"/>
      <c r="AF395" s="1059"/>
      <c r="AG395" s="1057"/>
      <c r="AH395" s="1057"/>
      <c r="AI395" s="1057"/>
      <c r="AJ395" s="1057"/>
      <c r="AK395" s="1058"/>
      <c r="AL395" s="1059"/>
      <c r="AM395" s="1057"/>
      <c r="AN395" s="1057"/>
      <c r="AO395" s="1057"/>
      <c r="AP395" s="1057"/>
      <c r="AQ395" s="1058"/>
      <c r="AR395" s="1059"/>
      <c r="AS395" s="1057"/>
      <c r="AT395" s="1057"/>
      <c r="AU395" s="1057"/>
      <c r="AV395" s="1057"/>
      <c r="AW395" s="1058"/>
      <c r="AX395" s="1059"/>
      <c r="AY395" s="1057"/>
      <c r="AZ395" s="1057"/>
      <c r="BA395" s="1057"/>
      <c r="BB395" s="1057"/>
      <c r="BC395" s="1058"/>
      <c r="BD395" s="1059"/>
      <c r="BE395" s="1057"/>
      <c r="BF395" s="1057"/>
      <c r="BG395" s="1057"/>
      <c r="BH395" s="1057"/>
      <c r="BI395" s="1058"/>
      <c r="BJ395" s="1061"/>
      <c r="BK395" s="1062"/>
      <c r="BL395" s="1054"/>
      <c r="BM395" s="1054"/>
      <c r="BN395" s="1054"/>
      <c r="BO395" s="793">
        <f>+BO394/BO385</f>
        <v>0.28882469949261458</v>
      </c>
      <c r="BP395" s="278"/>
      <c r="BQ395" s="1056"/>
      <c r="BR395" s="1054"/>
      <c r="BS395" s="1054"/>
      <c r="BT395" s="1054"/>
      <c r="BU395" s="1055"/>
      <c r="BV395" s="278"/>
      <c r="BW395" s="1056"/>
      <c r="BX395" s="1054"/>
      <c r="BY395" s="1054"/>
      <c r="BZ395" s="1054"/>
      <c r="CA395" s="1055"/>
      <c r="CB395" s="278"/>
      <c r="CC395" s="1056"/>
      <c r="CD395" s="1054"/>
      <c r="CE395" s="1054"/>
      <c r="CF395" s="1054"/>
      <c r="CG395" s="1055"/>
      <c r="CI395" s="11"/>
    </row>
    <row r="396" spans="1:87" x14ac:dyDescent="0.2">
      <c r="A396" s="7"/>
      <c r="B396" s="706" t="s">
        <v>646</v>
      </c>
      <c r="C396" s="1045"/>
      <c r="D396" s="1046"/>
      <c r="E396" s="1046"/>
      <c r="F396" s="1046"/>
      <c r="G396" s="1047"/>
      <c r="H396" s="1048"/>
      <c r="I396" s="1045"/>
      <c r="J396" s="1046"/>
      <c r="K396" s="1046"/>
      <c r="L396" s="1046"/>
      <c r="M396" s="1047"/>
      <c r="N396" s="1048"/>
      <c r="O396" s="1045"/>
      <c r="P396" s="1046"/>
      <c r="Q396" s="1046"/>
      <c r="R396" s="1046"/>
      <c r="S396" s="1047"/>
      <c r="T396" s="1048"/>
      <c r="U396" s="1045"/>
      <c r="V396" s="1046"/>
      <c r="W396" s="1046"/>
      <c r="X396" s="1046"/>
      <c r="Y396" s="1047"/>
      <c r="Z396" s="1048"/>
      <c r="AA396" s="1045"/>
      <c r="AB396" s="1046"/>
      <c r="AC396" s="1046"/>
      <c r="AD396" s="1046"/>
      <c r="AE396" s="1047"/>
      <c r="AF396" s="1048"/>
      <c r="AG396" s="1045"/>
      <c r="AH396" s="1046"/>
      <c r="AI396" s="1046"/>
      <c r="AJ396" s="1046"/>
      <c r="AK396" s="1047"/>
      <c r="AL396" s="1048"/>
      <c r="AM396" s="1045"/>
      <c r="AN396" s="1046"/>
      <c r="AO396" s="1046"/>
      <c r="AP396" s="1046"/>
      <c r="AQ396" s="1047"/>
      <c r="AR396" s="1048"/>
      <c r="AS396" s="1045"/>
      <c r="AT396" s="1046"/>
      <c r="AU396" s="1046"/>
      <c r="AV396" s="1046"/>
      <c r="AW396" s="1047"/>
      <c r="AX396" s="1048"/>
      <c r="AY396" s="1045"/>
      <c r="AZ396" s="1046"/>
      <c r="BA396" s="1046"/>
      <c r="BB396" s="1046"/>
      <c r="BC396" s="1047"/>
      <c r="BD396" s="1048"/>
      <c r="BE396" s="1045"/>
      <c r="BF396" s="1046"/>
      <c r="BG396" s="1046"/>
      <c r="BH396" s="1046"/>
      <c r="BI396" s="1047"/>
      <c r="BJ396" s="1048"/>
      <c r="BK396" s="1045"/>
      <c r="BL396" s="704"/>
      <c r="BM396" s="704"/>
      <c r="BN396" s="704"/>
      <c r="BO396" s="705"/>
      <c r="BP396" s="1039"/>
      <c r="BQ396" s="703"/>
      <c r="BR396" s="704"/>
      <c r="BS396" s="704"/>
      <c r="BT396" s="704"/>
      <c r="BU396" s="705"/>
      <c r="BV396" s="1039"/>
      <c r="BW396" s="703"/>
      <c r="BX396" s="704"/>
      <c r="BY396" s="704"/>
      <c r="BZ396" s="704"/>
      <c r="CA396" s="705"/>
      <c r="CB396" s="1039"/>
      <c r="CC396" s="703"/>
      <c r="CD396" s="704"/>
      <c r="CE396" s="704"/>
      <c r="CF396" s="704"/>
      <c r="CG396" s="705"/>
      <c r="CI396" s="11"/>
    </row>
    <row r="397" spans="1:87" x14ac:dyDescent="0.2">
      <c r="B397" s="772" t="s">
        <v>303</v>
      </c>
      <c r="C397" s="1057"/>
      <c r="D397" s="1057"/>
      <c r="E397" s="1057"/>
      <c r="F397" s="1057"/>
      <c r="G397" s="1058"/>
      <c r="H397" s="1059"/>
      <c r="I397" s="1057"/>
      <c r="J397" s="1057"/>
      <c r="K397" s="1057"/>
      <c r="L397" s="1057"/>
      <c r="M397" s="1058"/>
      <c r="N397" s="1059"/>
      <c r="O397" s="1057"/>
      <c r="P397" s="1057"/>
      <c r="Q397" s="1057"/>
      <c r="R397" s="1057"/>
      <c r="S397" s="1058"/>
      <c r="T397" s="1059"/>
      <c r="U397" s="1057"/>
      <c r="V397" s="1057"/>
      <c r="W397" s="1057"/>
      <c r="X397" s="1057"/>
      <c r="Y397" s="1058"/>
      <c r="Z397" s="1059"/>
      <c r="AA397" s="1057"/>
      <c r="AB397" s="1057"/>
      <c r="AC397" s="1057"/>
      <c r="AD397" s="1057"/>
      <c r="AE397" s="1058"/>
      <c r="AF397" s="1059"/>
      <c r="AG397" s="1057"/>
      <c r="AH397" s="1057"/>
      <c r="AI397" s="1057"/>
      <c r="AJ397" s="1057"/>
      <c r="AK397" s="1058"/>
      <c r="AL397" s="1059"/>
      <c r="AM397" s="1057"/>
      <c r="AN397" s="1057"/>
      <c r="AO397" s="1057"/>
      <c r="AP397" s="1057"/>
      <c r="AQ397" s="1058"/>
      <c r="AR397" s="1059"/>
      <c r="AS397" s="1057"/>
      <c r="AT397" s="1057"/>
      <c r="AU397" s="1057"/>
      <c r="AV397" s="1057"/>
      <c r="AW397" s="1058"/>
      <c r="AX397" s="1059"/>
      <c r="AY397" s="1057"/>
      <c r="AZ397" s="1057"/>
      <c r="BA397" s="1057"/>
      <c r="BB397" s="1057"/>
      <c r="BC397" s="1058"/>
      <c r="BD397" s="1059"/>
      <c r="BE397" s="1057"/>
      <c r="BF397" s="1057"/>
      <c r="BG397" s="1057"/>
      <c r="BH397" s="1057"/>
      <c r="BI397" s="1058"/>
      <c r="BJ397" s="1061"/>
      <c r="BK397" s="1062"/>
      <c r="BL397" s="1054"/>
      <c r="BM397" s="1054"/>
      <c r="BN397" s="1054"/>
      <c r="BO397" s="793"/>
      <c r="BP397" s="278"/>
      <c r="BQ397" s="1056"/>
      <c r="BR397" s="1054"/>
      <c r="BS397" s="1054"/>
      <c r="BT397" s="1054"/>
      <c r="BU397" s="1055"/>
      <c r="BV397" s="278"/>
      <c r="BW397" s="1056"/>
      <c r="BX397" s="1054"/>
      <c r="BY397" s="1054"/>
      <c r="BZ397" s="1054"/>
      <c r="CA397" s="1055"/>
      <c r="CB397" s="278"/>
      <c r="CC397" s="1056"/>
      <c r="CD397" s="1054"/>
      <c r="CE397" s="1054"/>
      <c r="CF397" s="1054"/>
      <c r="CG397" s="1055"/>
      <c r="CI397" s="11"/>
    </row>
    <row r="398" spans="1:87" x14ac:dyDescent="0.2">
      <c r="B398" s="773" t="s">
        <v>655</v>
      </c>
      <c r="C398" s="1057"/>
      <c r="D398" s="1057"/>
      <c r="E398" s="1057"/>
      <c r="F398" s="1057"/>
      <c r="G398" s="1058"/>
      <c r="H398" s="1059"/>
      <c r="I398" s="1057"/>
      <c r="J398" s="1057"/>
      <c r="K398" s="1057"/>
      <c r="L398" s="1057"/>
      <c r="M398" s="1058"/>
      <c r="N398" s="1059"/>
      <c r="O398" s="1057"/>
      <c r="P398" s="1057"/>
      <c r="Q398" s="1057"/>
      <c r="R398" s="1057"/>
      <c r="S398" s="1058"/>
      <c r="T398" s="1059"/>
      <c r="U398" s="1057"/>
      <c r="V398" s="1057"/>
      <c r="W398" s="1057"/>
      <c r="X398" s="1057"/>
      <c r="Y398" s="1058"/>
      <c r="Z398" s="1059"/>
      <c r="AA398" s="1057"/>
      <c r="AB398" s="1057"/>
      <c r="AC398" s="1057"/>
      <c r="AD398" s="1057"/>
      <c r="AE398" s="1058"/>
      <c r="AF398" s="1059"/>
      <c r="AG398" s="1057"/>
      <c r="AH398" s="1057"/>
      <c r="AI398" s="1057"/>
      <c r="AJ398" s="1057"/>
      <c r="AK398" s="1058"/>
      <c r="AL398" s="1059"/>
      <c r="AM398" s="1057"/>
      <c r="AN398" s="1057"/>
      <c r="AO398" s="1057"/>
      <c r="AP398" s="1057"/>
      <c r="AQ398" s="1058"/>
      <c r="AR398" s="1059"/>
      <c r="AS398" s="1057"/>
      <c r="AT398" s="1057"/>
      <c r="AU398" s="1057"/>
      <c r="AV398" s="1057"/>
      <c r="AW398" s="1058"/>
      <c r="AX398" s="1059"/>
      <c r="AY398" s="1057"/>
      <c r="AZ398" s="1057"/>
      <c r="BA398" s="1057"/>
      <c r="BB398" s="1057"/>
      <c r="BC398" s="1058"/>
      <c r="BD398" s="1059"/>
      <c r="BE398" s="1057"/>
      <c r="BF398" s="1057"/>
      <c r="BG398" s="1057"/>
      <c r="BH398" s="1057"/>
      <c r="BI398" s="1058"/>
      <c r="BJ398" s="1061"/>
      <c r="BK398" s="1062"/>
      <c r="BL398" s="1054"/>
      <c r="BM398" s="1054"/>
      <c r="BN398" s="1054"/>
      <c r="BO398" s="775">
        <f>+BO399*BO388</f>
        <v>451.605008546607</v>
      </c>
      <c r="BP398" s="278"/>
      <c r="BQ398" s="1056"/>
      <c r="BR398" s="1054"/>
      <c r="BS398" s="1054"/>
      <c r="BT398" s="1054"/>
      <c r="BU398" s="1055"/>
      <c r="BV398" s="278"/>
      <c r="BW398" s="1056"/>
      <c r="BX398" s="1054"/>
      <c r="BY398" s="1054"/>
      <c r="BZ398" s="1054"/>
      <c r="CA398" s="1055"/>
      <c r="CB398" s="278"/>
      <c r="CC398" s="1056"/>
      <c r="CD398" s="1054"/>
      <c r="CE398" s="1054"/>
      <c r="CF398" s="1054"/>
      <c r="CG398" s="1055"/>
      <c r="CI398" s="11"/>
    </row>
    <row r="399" spans="1:87" x14ac:dyDescent="0.2">
      <c r="A399" s="279"/>
      <c r="B399" s="1033" t="s">
        <v>647</v>
      </c>
      <c r="C399" s="1057"/>
      <c r="D399" s="1057"/>
      <c r="E399" s="1057"/>
      <c r="F399" s="1057"/>
      <c r="G399" s="1058"/>
      <c r="H399" s="1059"/>
      <c r="I399" s="1057"/>
      <c r="J399" s="1057"/>
      <c r="K399" s="1057"/>
      <c r="L399" s="1057"/>
      <c r="M399" s="1058"/>
      <c r="N399" s="1059"/>
      <c r="O399" s="1057"/>
      <c r="P399" s="1057"/>
      <c r="Q399" s="1057"/>
      <c r="R399" s="1057"/>
      <c r="S399" s="1058"/>
      <c r="T399" s="1059"/>
      <c r="U399" s="1057"/>
      <c r="V399" s="1057"/>
      <c r="W399" s="1057"/>
      <c r="X399" s="1057"/>
      <c r="Y399" s="1058"/>
      <c r="Z399" s="1059"/>
      <c r="AA399" s="1057"/>
      <c r="AB399" s="1057"/>
      <c r="AC399" s="1057"/>
      <c r="AD399" s="1057"/>
      <c r="AE399" s="1058"/>
      <c r="AF399" s="1059"/>
      <c r="AG399" s="1057"/>
      <c r="AH399" s="1057"/>
      <c r="AI399" s="1057"/>
      <c r="AJ399" s="1057"/>
      <c r="AK399" s="1058"/>
      <c r="AL399" s="1059"/>
      <c r="AM399" s="1057"/>
      <c r="AN399" s="1057"/>
      <c r="AO399" s="1057"/>
      <c r="AP399" s="1057"/>
      <c r="AQ399" s="1058"/>
      <c r="AR399" s="1059"/>
      <c r="AS399" s="1057"/>
      <c r="AT399" s="1057"/>
      <c r="AU399" s="1057"/>
      <c r="AV399" s="1057"/>
      <c r="AW399" s="1058"/>
      <c r="AX399" s="1059"/>
      <c r="AY399" s="1057"/>
      <c r="AZ399" s="1057"/>
      <c r="BA399" s="1057"/>
      <c r="BB399" s="1057"/>
      <c r="BC399" s="1058"/>
      <c r="BD399" s="1059"/>
      <c r="BE399" s="1057"/>
      <c r="BF399" s="1057"/>
      <c r="BG399" s="1057"/>
      <c r="BH399" s="1057"/>
      <c r="BI399" s="1058"/>
      <c r="BJ399" s="1061"/>
      <c r="BK399" s="1062"/>
      <c r="BL399" s="1054"/>
      <c r="BM399" s="1054"/>
      <c r="BN399" s="1054"/>
      <c r="BO399" s="852">
        <f>+BO$368/BO$382</f>
        <v>0.64515001220943857</v>
      </c>
      <c r="BP399" s="278"/>
      <c r="BQ399" s="1056"/>
      <c r="BR399" s="1054"/>
      <c r="BS399" s="1054"/>
      <c r="BT399" s="1054"/>
      <c r="BU399" s="1055"/>
      <c r="BV399" s="278"/>
      <c r="BW399" s="1056"/>
      <c r="BX399" s="1054"/>
      <c r="BY399" s="1054"/>
      <c r="BZ399" s="1054"/>
      <c r="CA399" s="1055"/>
      <c r="CB399" s="278"/>
      <c r="CC399" s="1056"/>
      <c r="CD399" s="1054"/>
      <c r="CE399" s="1054"/>
      <c r="CF399" s="1054"/>
      <c r="CG399" s="1055"/>
      <c r="CI399" s="11"/>
    </row>
    <row r="400" spans="1:87" x14ac:dyDescent="0.2">
      <c r="B400" s="773" t="s">
        <v>648</v>
      </c>
      <c r="C400" s="1057"/>
      <c r="D400" s="1057"/>
      <c r="E400" s="1057"/>
      <c r="F400" s="1057"/>
      <c r="G400" s="1058"/>
      <c r="H400" s="1059"/>
      <c r="I400" s="1057"/>
      <c r="J400" s="1057"/>
      <c r="K400" s="1057"/>
      <c r="L400" s="1057"/>
      <c r="M400" s="1058"/>
      <c r="N400" s="1059"/>
      <c r="O400" s="1057"/>
      <c r="P400" s="1057"/>
      <c r="Q400" s="1057"/>
      <c r="R400" s="1057"/>
      <c r="S400" s="1058"/>
      <c r="T400" s="1059"/>
      <c r="U400" s="1057"/>
      <c r="V400" s="1057"/>
      <c r="W400" s="1057"/>
      <c r="X400" s="1057"/>
      <c r="Y400" s="1058"/>
      <c r="Z400" s="1059"/>
      <c r="AA400" s="1057"/>
      <c r="AB400" s="1057"/>
      <c r="AC400" s="1057"/>
      <c r="AD400" s="1057"/>
      <c r="AE400" s="1058"/>
      <c r="AF400" s="1059"/>
      <c r="AG400" s="1057"/>
      <c r="AH400" s="1057"/>
      <c r="AI400" s="1057"/>
      <c r="AJ400" s="1057"/>
      <c r="AK400" s="1058"/>
      <c r="AL400" s="1059"/>
      <c r="AM400" s="1057"/>
      <c r="AN400" s="1057"/>
      <c r="AO400" s="1057"/>
      <c r="AP400" s="1057"/>
      <c r="AQ400" s="1058"/>
      <c r="AR400" s="1059"/>
      <c r="AS400" s="1057"/>
      <c r="AT400" s="1057"/>
      <c r="AU400" s="1057"/>
      <c r="AV400" s="1057"/>
      <c r="AW400" s="1058"/>
      <c r="AX400" s="1059"/>
      <c r="AY400" s="1057"/>
      <c r="AZ400" s="1057"/>
      <c r="BA400" s="1057"/>
      <c r="BB400" s="1057"/>
      <c r="BC400" s="1058"/>
      <c r="BD400" s="1059"/>
      <c r="BE400" s="1057"/>
      <c r="BF400" s="1057"/>
      <c r="BG400" s="1057"/>
      <c r="BH400" s="1057"/>
      <c r="BI400" s="1058"/>
      <c r="BJ400" s="1061"/>
      <c r="BK400" s="1062"/>
      <c r="BL400" s="1054"/>
      <c r="BM400" s="1054"/>
      <c r="BN400" s="1054"/>
      <c r="BO400" s="775">
        <f>+BO401*BO390</f>
        <v>390.24175868030994</v>
      </c>
      <c r="BP400" s="278"/>
      <c r="BQ400" s="1056"/>
      <c r="BR400" s="1054"/>
      <c r="BS400" s="1054"/>
      <c r="BT400" s="1054"/>
      <c r="BU400" s="1055"/>
      <c r="BV400" s="278"/>
      <c r="BW400" s="1056"/>
      <c r="BX400" s="1054"/>
      <c r="BY400" s="1054"/>
      <c r="BZ400" s="1054"/>
      <c r="CA400" s="1055"/>
      <c r="CB400" s="278"/>
      <c r="CC400" s="1056"/>
      <c r="CD400" s="1054"/>
      <c r="CE400" s="1054"/>
      <c r="CF400" s="1054"/>
      <c r="CG400" s="1055"/>
    </row>
    <row r="401" spans="1:87" x14ac:dyDescent="0.2">
      <c r="B401" s="1033" t="s">
        <v>649</v>
      </c>
      <c r="C401" s="1057"/>
      <c r="D401" s="1057"/>
      <c r="E401" s="1057"/>
      <c r="F401" s="1057"/>
      <c r="G401" s="1058"/>
      <c r="H401" s="1059"/>
      <c r="I401" s="1057"/>
      <c r="J401" s="1057"/>
      <c r="K401" s="1057"/>
      <c r="L401" s="1057"/>
      <c r="M401" s="1058"/>
      <c r="N401" s="1059"/>
      <c r="O401" s="1057"/>
      <c r="P401" s="1057"/>
      <c r="Q401" s="1057"/>
      <c r="R401" s="1057"/>
      <c r="S401" s="1058"/>
      <c r="T401" s="1059"/>
      <c r="U401" s="1057"/>
      <c r="V401" s="1057"/>
      <c r="W401" s="1057"/>
      <c r="X401" s="1057"/>
      <c r="Y401" s="1058"/>
      <c r="Z401" s="1059"/>
      <c r="AA401" s="1057"/>
      <c r="AB401" s="1057"/>
      <c r="AC401" s="1057"/>
      <c r="AD401" s="1057"/>
      <c r="AE401" s="1058"/>
      <c r="AF401" s="1059"/>
      <c r="AG401" s="1057"/>
      <c r="AH401" s="1057"/>
      <c r="AI401" s="1057"/>
      <c r="AJ401" s="1057"/>
      <c r="AK401" s="1058"/>
      <c r="AL401" s="1059"/>
      <c r="AM401" s="1057"/>
      <c r="AN401" s="1057"/>
      <c r="AO401" s="1057"/>
      <c r="AP401" s="1057"/>
      <c r="AQ401" s="1058"/>
      <c r="AR401" s="1059"/>
      <c r="AS401" s="1057"/>
      <c r="AT401" s="1057"/>
      <c r="AU401" s="1057"/>
      <c r="AV401" s="1057"/>
      <c r="AW401" s="1058"/>
      <c r="AX401" s="1059"/>
      <c r="AY401" s="1057"/>
      <c r="AZ401" s="1057"/>
      <c r="BA401" s="1057"/>
      <c r="BB401" s="1057"/>
      <c r="BC401" s="1058"/>
      <c r="BD401" s="1059"/>
      <c r="BE401" s="1057"/>
      <c r="BF401" s="1057"/>
      <c r="BG401" s="1057"/>
      <c r="BH401" s="1057"/>
      <c r="BI401" s="1058"/>
      <c r="BJ401" s="1061"/>
      <c r="BK401" s="1062"/>
      <c r="BL401" s="1054"/>
      <c r="BM401" s="1054"/>
      <c r="BN401" s="1054"/>
      <c r="BO401" s="852">
        <f>+BO$368/BO$382</f>
        <v>0.64515001220943857</v>
      </c>
      <c r="BP401" s="278"/>
      <c r="BQ401" s="1056"/>
      <c r="BR401" s="1054"/>
      <c r="BS401" s="1054"/>
      <c r="BT401" s="1054"/>
      <c r="BU401" s="1055"/>
      <c r="BV401" s="278"/>
      <c r="BW401" s="1056"/>
      <c r="BX401" s="1054"/>
      <c r="BY401" s="1054"/>
      <c r="BZ401" s="1054"/>
      <c r="CA401" s="1055"/>
      <c r="CB401" s="278"/>
      <c r="CC401" s="1056"/>
      <c r="CD401" s="1054"/>
      <c r="CE401" s="1054"/>
      <c r="CF401" s="1054"/>
      <c r="CG401" s="1055"/>
    </row>
    <row r="402" spans="1:87" x14ac:dyDescent="0.2">
      <c r="B402" s="773" t="s">
        <v>651</v>
      </c>
      <c r="C402" s="1057"/>
      <c r="D402" s="1057"/>
      <c r="E402" s="1057"/>
      <c r="F402" s="1057"/>
      <c r="G402" s="1058"/>
      <c r="H402" s="1059"/>
      <c r="I402" s="1057"/>
      <c r="J402" s="1057"/>
      <c r="K402" s="1057"/>
      <c r="L402" s="1057"/>
      <c r="M402" s="1058"/>
      <c r="N402" s="1059"/>
      <c r="O402" s="1057"/>
      <c r="P402" s="1057"/>
      <c r="Q402" s="1057"/>
      <c r="R402" s="1057"/>
      <c r="S402" s="1058"/>
      <c r="T402" s="1059"/>
      <c r="U402" s="1057"/>
      <c r="V402" s="1057"/>
      <c r="W402" s="1057"/>
      <c r="X402" s="1057"/>
      <c r="Y402" s="1058"/>
      <c r="Z402" s="1059"/>
      <c r="AA402" s="1057"/>
      <c r="AB402" s="1057"/>
      <c r="AC402" s="1057"/>
      <c r="AD402" s="1057"/>
      <c r="AE402" s="1058"/>
      <c r="AF402" s="1059"/>
      <c r="AG402" s="1057"/>
      <c r="AH402" s="1057"/>
      <c r="AI402" s="1057"/>
      <c r="AJ402" s="1057"/>
      <c r="AK402" s="1058"/>
      <c r="AL402" s="1059"/>
      <c r="AM402" s="1057"/>
      <c r="AN402" s="1057"/>
      <c r="AO402" s="1057"/>
      <c r="AP402" s="1057"/>
      <c r="AQ402" s="1058"/>
      <c r="AR402" s="1059"/>
      <c r="AS402" s="1057"/>
      <c r="AT402" s="1057"/>
      <c r="AU402" s="1057"/>
      <c r="AV402" s="1057"/>
      <c r="AW402" s="1058"/>
      <c r="AX402" s="1059"/>
      <c r="AY402" s="1057"/>
      <c r="AZ402" s="1057"/>
      <c r="BA402" s="1057"/>
      <c r="BB402" s="1057"/>
      <c r="BC402" s="1058"/>
      <c r="BD402" s="1059"/>
      <c r="BE402" s="1057"/>
      <c r="BF402" s="1057"/>
      <c r="BG402" s="1057"/>
      <c r="BH402" s="1057"/>
      <c r="BI402" s="1058"/>
      <c r="BJ402" s="1061"/>
      <c r="BK402" s="1062"/>
      <c r="BL402" s="1054"/>
      <c r="BM402" s="1054"/>
      <c r="BN402" s="1054"/>
      <c r="BO402" s="775">
        <f>+BO403*BO392</f>
        <v>1933.4562327730832</v>
      </c>
      <c r="BP402" s="278"/>
      <c r="BQ402" s="1056"/>
      <c r="BR402" s="1054"/>
      <c r="BS402" s="1054"/>
      <c r="BT402" s="1054"/>
      <c r="BU402" s="1055"/>
      <c r="BV402" s="278"/>
      <c r="BW402" s="1056"/>
      <c r="BX402" s="1054"/>
      <c r="BY402" s="1054"/>
      <c r="BZ402" s="1054"/>
      <c r="CA402" s="1055"/>
      <c r="CB402" s="278"/>
      <c r="CC402" s="1056"/>
      <c r="CD402" s="1054"/>
      <c r="CE402" s="1054"/>
      <c r="CF402" s="1054"/>
      <c r="CG402" s="1055"/>
      <c r="CI402" s="11"/>
    </row>
    <row r="403" spans="1:87" x14ac:dyDescent="0.2">
      <c r="A403" s="279"/>
      <c r="B403" s="1033" t="s">
        <v>649</v>
      </c>
      <c r="C403" s="1057"/>
      <c r="D403" s="1057"/>
      <c r="E403" s="1057"/>
      <c r="F403" s="1057"/>
      <c r="G403" s="1058"/>
      <c r="H403" s="1059"/>
      <c r="I403" s="1057"/>
      <c r="J403" s="1057"/>
      <c r="K403" s="1057"/>
      <c r="L403" s="1057"/>
      <c r="M403" s="1058"/>
      <c r="N403" s="1059"/>
      <c r="O403" s="1057"/>
      <c r="P403" s="1057"/>
      <c r="Q403" s="1057"/>
      <c r="R403" s="1057"/>
      <c r="S403" s="1058"/>
      <c r="T403" s="1059"/>
      <c r="U403" s="1057"/>
      <c r="V403" s="1057"/>
      <c r="W403" s="1057"/>
      <c r="X403" s="1057"/>
      <c r="Y403" s="1058"/>
      <c r="Z403" s="1059"/>
      <c r="AA403" s="1057"/>
      <c r="AB403" s="1057"/>
      <c r="AC403" s="1057"/>
      <c r="AD403" s="1057"/>
      <c r="AE403" s="1058"/>
      <c r="AF403" s="1059"/>
      <c r="AG403" s="1057"/>
      <c r="AH403" s="1057"/>
      <c r="AI403" s="1057"/>
      <c r="AJ403" s="1057"/>
      <c r="AK403" s="1058"/>
      <c r="AL403" s="1059"/>
      <c r="AM403" s="1057"/>
      <c r="AN403" s="1057"/>
      <c r="AO403" s="1057"/>
      <c r="AP403" s="1057"/>
      <c r="AQ403" s="1058"/>
      <c r="AR403" s="1059"/>
      <c r="AS403" s="1057"/>
      <c r="AT403" s="1057"/>
      <c r="AU403" s="1057"/>
      <c r="AV403" s="1057"/>
      <c r="AW403" s="1058"/>
      <c r="AX403" s="1059"/>
      <c r="AY403" s="1057"/>
      <c r="AZ403" s="1057"/>
      <c r="BA403" s="1057"/>
      <c r="BB403" s="1057"/>
      <c r="BC403" s="1058"/>
      <c r="BD403" s="1059"/>
      <c r="BE403" s="1057"/>
      <c r="BF403" s="1057"/>
      <c r="BG403" s="1057"/>
      <c r="BH403" s="1057"/>
      <c r="BI403" s="1058"/>
      <c r="BJ403" s="1061"/>
      <c r="BK403" s="1062"/>
      <c r="BL403" s="1054"/>
      <c r="BM403" s="1054"/>
      <c r="BN403" s="1054"/>
      <c r="BO403" s="852">
        <f>+BO$368/BO$382</f>
        <v>0.64515001220943857</v>
      </c>
      <c r="BP403" s="278"/>
      <c r="BQ403" s="1056"/>
      <c r="BR403" s="1054"/>
      <c r="BS403" s="1054"/>
      <c r="BT403" s="1054"/>
      <c r="BU403" s="1055"/>
      <c r="BV403" s="278"/>
      <c r="BW403" s="1056"/>
      <c r="BX403" s="1054"/>
      <c r="BY403" s="1054"/>
      <c r="BZ403" s="1054"/>
      <c r="CA403" s="1055"/>
      <c r="CB403" s="278"/>
      <c r="CC403" s="1056"/>
      <c r="CD403" s="1054"/>
      <c r="CE403" s="1054"/>
      <c r="CF403" s="1054"/>
      <c r="CG403" s="1055"/>
      <c r="CI403" s="11"/>
    </row>
    <row r="404" spans="1:87" x14ac:dyDescent="0.2">
      <c r="A404" s="279"/>
      <c r="B404" s="773" t="s">
        <v>653</v>
      </c>
      <c r="C404" s="1057"/>
      <c r="D404" s="1057"/>
      <c r="E404" s="1057"/>
      <c r="F404" s="1057"/>
      <c r="G404" s="1058"/>
      <c r="H404" s="1059"/>
      <c r="I404" s="1057"/>
      <c r="J404" s="1057"/>
      <c r="K404" s="1057"/>
      <c r="L404" s="1057"/>
      <c r="M404" s="1058"/>
      <c r="N404" s="1059"/>
      <c r="O404" s="1057"/>
      <c r="P404" s="1057"/>
      <c r="Q404" s="1057"/>
      <c r="R404" s="1057"/>
      <c r="S404" s="1058"/>
      <c r="T404" s="1059"/>
      <c r="U404" s="1057"/>
      <c r="V404" s="1057"/>
      <c r="W404" s="1057"/>
      <c r="X404" s="1057"/>
      <c r="Y404" s="1058"/>
      <c r="Z404" s="1059"/>
      <c r="AA404" s="1057"/>
      <c r="AB404" s="1057"/>
      <c r="AC404" s="1057"/>
      <c r="AD404" s="1057"/>
      <c r="AE404" s="1058"/>
      <c r="AF404" s="1059"/>
      <c r="AG404" s="1057"/>
      <c r="AH404" s="1057"/>
      <c r="AI404" s="1057"/>
      <c r="AJ404" s="1057"/>
      <c r="AK404" s="1058"/>
      <c r="AL404" s="1059"/>
      <c r="AM404" s="1057"/>
      <c r="AN404" s="1057"/>
      <c r="AO404" s="1057"/>
      <c r="AP404" s="1057"/>
      <c r="AQ404" s="1058"/>
      <c r="AR404" s="1059"/>
      <c r="AS404" s="1057"/>
      <c r="AT404" s="1057"/>
      <c r="AU404" s="1057"/>
      <c r="AV404" s="1057"/>
      <c r="AW404" s="1058"/>
      <c r="AX404" s="1059"/>
      <c r="AY404" s="1057"/>
      <c r="AZ404" s="1057"/>
      <c r="BA404" s="1057"/>
      <c r="BB404" s="1057"/>
      <c r="BC404" s="1058"/>
      <c r="BD404" s="1059"/>
      <c r="BE404" s="1057"/>
      <c r="BF404" s="1057"/>
      <c r="BG404" s="1057"/>
      <c r="BH404" s="1057"/>
      <c r="BI404" s="1058"/>
      <c r="BJ404" s="1061"/>
      <c r="BK404" s="1062"/>
      <c r="BL404" s="1054"/>
      <c r="BM404" s="1054"/>
      <c r="BN404" s="1054"/>
      <c r="BO404" s="775">
        <f>+BO405*BO394</f>
        <v>925.10100000000011</v>
      </c>
      <c r="BP404" s="278"/>
      <c r="BQ404" s="1056"/>
      <c r="BR404" s="1054"/>
      <c r="BS404" s="1054"/>
      <c r="BT404" s="1054"/>
      <c r="BU404" s="1055"/>
      <c r="BV404" s="278"/>
      <c r="BW404" s="1056"/>
      <c r="BX404" s="1054"/>
      <c r="BY404" s="1054"/>
      <c r="BZ404" s="1054"/>
      <c r="CA404" s="1055"/>
      <c r="CB404" s="278"/>
      <c r="CC404" s="1056"/>
      <c r="CD404" s="1054"/>
      <c r="CE404" s="1054"/>
      <c r="CF404" s="1054"/>
      <c r="CG404" s="1055"/>
      <c r="CI404" s="11"/>
    </row>
    <row r="405" spans="1:87" x14ac:dyDescent="0.2">
      <c r="A405" s="279"/>
      <c r="B405" s="1033" t="s">
        <v>649</v>
      </c>
      <c r="C405" s="1057"/>
      <c r="D405" s="1057"/>
      <c r="E405" s="1057"/>
      <c r="F405" s="1057"/>
      <c r="G405" s="1058"/>
      <c r="H405" s="1059"/>
      <c r="I405" s="1057"/>
      <c r="J405" s="1057"/>
      <c r="K405" s="1057"/>
      <c r="L405" s="1057"/>
      <c r="M405" s="1058"/>
      <c r="N405" s="1059"/>
      <c r="O405" s="1057"/>
      <c r="P405" s="1057"/>
      <c r="Q405" s="1057"/>
      <c r="R405" s="1057"/>
      <c r="S405" s="1058"/>
      <c r="T405" s="1059"/>
      <c r="U405" s="1057"/>
      <c r="V405" s="1057"/>
      <c r="W405" s="1057"/>
      <c r="X405" s="1057"/>
      <c r="Y405" s="1058"/>
      <c r="Z405" s="1059"/>
      <c r="AA405" s="1057"/>
      <c r="AB405" s="1057"/>
      <c r="AC405" s="1057"/>
      <c r="AD405" s="1057"/>
      <c r="AE405" s="1058"/>
      <c r="AF405" s="1059"/>
      <c r="AG405" s="1057"/>
      <c r="AH405" s="1057"/>
      <c r="AI405" s="1057"/>
      <c r="AJ405" s="1057"/>
      <c r="AK405" s="1058"/>
      <c r="AL405" s="1059"/>
      <c r="AM405" s="1057"/>
      <c r="AN405" s="1057"/>
      <c r="AO405" s="1057"/>
      <c r="AP405" s="1057"/>
      <c r="AQ405" s="1058"/>
      <c r="AR405" s="1059"/>
      <c r="AS405" s="1057"/>
      <c r="AT405" s="1057"/>
      <c r="AU405" s="1057"/>
      <c r="AV405" s="1057"/>
      <c r="AW405" s="1058"/>
      <c r="AX405" s="1059"/>
      <c r="AY405" s="1057"/>
      <c r="AZ405" s="1057"/>
      <c r="BA405" s="1057"/>
      <c r="BB405" s="1057"/>
      <c r="BC405" s="1058"/>
      <c r="BD405" s="1059"/>
      <c r="BE405" s="1057"/>
      <c r="BF405" s="1057"/>
      <c r="BG405" s="1057"/>
      <c r="BH405" s="1057"/>
      <c r="BI405" s="1058"/>
      <c r="BJ405" s="1061"/>
      <c r="BK405" s="1062"/>
      <c r="BL405" s="1054"/>
      <c r="BM405" s="1054"/>
      <c r="BN405" s="1054"/>
      <c r="BO405" s="852">
        <f>+BO$370/BO$384</f>
        <v>0.52951929505036799</v>
      </c>
      <c r="BP405" s="278"/>
      <c r="BQ405" s="1056"/>
      <c r="BR405" s="1054"/>
      <c r="BS405" s="1054"/>
      <c r="BT405" s="1054"/>
      <c r="BU405" s="1055"/>
      <c r="BV405" s="278"/>
      <c r="BW405" s="1056"/>
      <c r="BX405" s="1054"/>
      <c r="BY405" s="1054"/>
      <c r="BZ405" s="1054"/>
      <c r="CA405" s="1055"/>
      <c r="CB405" s="278"/>
      <c r="CC405" s="1056"/>
      <c r="CD405" s="1054"/>
      <c r="CE405" s="1054"/>
      <c r="CF405" s="1054"/>
      <c r="CG405" s="1055"/>
      <c r="CI405" s="11"/>
    </row>
    <row r="406" spans="1:87" x14ac:dyDescent="0.2">
      <c r="A406" s="279"/>
      <c r="B406" s="772"/>
      <c r="C406" s="1057"/>
      <c r="D406" s="1057"/>
      <c r="E406" s="1057"/>
      <c r="F406" s="1057"/>
      <c r="G406" s="1058"/>
      <c r="H406" s="1059"/>
      <c r="I406" s="1057"/>
      <c r="J406" s="1057"/>
      <c r="K406" s="1057"/>
      <c r="L406" s="1057"/>
      <c r="M406" s="1058"/>
      <c r="N406" s="1059"/>
      <c r="O406" s="1057"/>
      <c r="P406" s="1057"/>
      <c r="Q406" s="1057"/>
      <c r="R406" s="1057"/>
      <c r="S406" s="1058"/>
      <c r="T406" s="1059"/>
      <c r="U406" s="1057"/>
      <c r="V406" s="1057"/>
      <c r="W406" s="1057"/>
      <c r="X406" s="1057"/>
      <c r="Y406" s="1058"/>
      <c r="Z406" s="1059"/>
      <c r="AA406" s="1057"/>
      <c r="AB406" s="1057"/>
      <c r="AC406" s="1057"/>
      <c r="AD406" s="1057"/>
      <c r="AE406" s="1058"/>
      <c r="AF406" s="1059"/>
      <c r="AG406" s="1057"/>
      <c r="AH406" s="1057"/>
      <c r="AI406" s="1057"/>
      <c r="AJ406" s="1057"/>
      <c r="AK406" s="1058"/>
      <c r="AL406" s="1059"/>
      <c r="AM406" s="1057"/>
      <c r="AN406" s="1057"/>
      <c r="AO406" s="1057"/>
      <c r="AP406" s="1057"/>
      <c r="AQ406" s="1058"/>
      <c r="AR406" s="1059"/>
      <c r="AS406" s="1057"/>
      <c r="AT406" s="1057"/>
      <c r="AU406" s="1057"/>
      <c r="AV406" s="1057"/>
      <c r="AW406" s="1058"/>
      <c r="AX406" s="1059"/>
      <c r="AY406" s="1057"/>
      <c r="AZ406" s="1057"/>
      <c r="BA406" s="1057"/>
      <c r="BB406" s="1057"/>
      <c r="BC406" s="1058"/>
      <c r="BD406" s="1059"/>
      <c r="BE406" s="1057"/>
      <c r="BF406" s="1057"/>
      <c r="BG406" s="1057"/>
      <c r="BH406" s="1057"/>
      <c r="BI406" s="1058"/>
      <c r="BJ406" s="1061"/>
      <c r="BK406" s="1062"/>
      <c r="BL406" s="1054"/>
      <c r="BM406" s="1054"/>
      <c r="BN406" s="1054"/>
      <c r="BO406" s="775">
        <f>+BO404+BO402+BO400+BO398</f>
        <v>3700.4040000000005</v>
      </c>
      <c r="BP406" s="278"/>
      <c r="BQ406" s="1056"/>
      <c r="BR406" s="1054"/>
      <c r="BS406" s="1054"/>
      <c r="BT406" s="1054"/>
      <c r="BU406" s="1055"/>
      <c r="BV406" s="278"/>
      <c r="BW406" s="1056"/>
      <c r="BX406" s="1054"/>
      <c r="BY406" s="1054"/>
      <c r="BZ406" s="1054"/>
      <c r="CA406" s="1055"/>
      <c r="CB406" s="278"/>
      <c r="CC406" s="1056"/>
      <c r="CD406" s="1054"/>
      <c r="CE406" s="1054"/>
      <c r="CF406" s="1054"/>
      <c r="CG406" s="1055"/>
      <c r="CI406" s="11"/>
    </row>
    <row r="407" spans="1:87" x14ac:dyDescent="0.2">
      <c r="A407" s="279"/>
      <c r="B407" s="772" t="s">
        <v>310</v>
      </c>
      <c r="C407" s="1057"/>
      <c r="D407" s="1057"/>
      <c r="E407" s="1057"/>
      <c r="F407" s="1057"/>
      <c r="G407" s="1058"/>
      <c r="H407" s="1059"/>
      <c r="I407" s="1057"/>
      <c r="J407" s="1057"/>
      <c r="K407" s="1057"/>
      <c r="L407" s="1057"/>
      <c r="M407" s="1058"/>
      <c r="N407" s="1059"/>
      <c r="O407" s="1057"/>
      <c r="P407" s="1057"/>
      <c r="Q407" s="1057"/>
      <c r="R407" s="1057"/>
      <c r="S407" s="1058"/>
      <c r="T407" s="1059"/>
      <c r="U407" s="1057"/>
      <c r="V407" s="1057"/>
      <c r="W407" s="1057"/>
      <c r="X407" s="1057"/>
      <c r="Y407" s="1058"/>
      <c r="Z407" s="1059"/>
      <c r="AA407" s="1057"/>
      <c r="AB407" s="1057"/>
      <c r="AC407" s="1057"/>
      <c r="AD407" s="1057"/>
      <c r="AE407" s="1058"/>
      <c r="AF407" s="1059"/>
      <c r="AG407" s="1057"/>
      <c r="AH407" s="1057"/>
      <c r="AI407" s="1057"/>
      <c r="AJ407" s="1057"/>
      <c r="AK407" s="1058"/>
      <c r="AL407" s="1059"/>
      <c r="AM407" s="1057"/>
      <c r="AN407" s="1057"/>
      <c r="AO407" s="1057"/>
      <c r="AP407" s="1057"/>
      <c r="AQ407" s="1058"/>
      <c r="AR407" s="1059"/>
      <c r="AS407" s="1057"/>
      <c r="AT407" s="1057"/>
      <c r="AU407" s="1057"/>
      <c r="AV407" s="1057"/>
      <c r="AW407" s="1058"/>
      <c r="AX407" s="1059"/>
      <c r="AY407" s="1057"/>
      <c r="AZ407" s="1057"/>
      <c r="BA407" s="1057"/>
      <c r="BB407" s="1057"/>
      <c r="BC407" s="1058"/>
      <c r="BD407" s="1059"/>
      <c r="BE407" s="1057"/>
      <c r="BF407" s="1057"/>
      <c r="BG407" s="1057"/>
      <c r="BH407" s="1057"/>
      <c r="BI407" s="1058"/>
      <c r="BJ407" s="1061"/>
      <c r="BK407" s="1062"/>
      <c r="BL407" s="1054"/>
      <c r="BM407" s="1054"/>
      <c r="BN407" s="1054"/>
      <c r="BO407" s="775"/>
      <c r="BP407" s="278"/>
      <c r="BQ407" s="1056"/>
      <c r="BR407" s="1054"/>
      <c r="BS407" s="1054"/>
      <c r="BT407" s="1054"/>
      <c r="BU407" s="1055"/>
      <c r="BV407" s="278"/>
      <c r="BW407" s="1056"/>
      <c r="BX407" s="1054"/>
      <c r="BY407" s="1054"/>
      <c r="BZ407" s="1054"/>
      <c r="CA407" s="1055"/>
      <c r="CB407" s="278"/>
      <c r="CC407" s="1056"/>
      <c r="CD407" s="1054"/>
      <c r="CE407" s="1054"/>
      <c r="CF407" s="1054"/>
      <c r="CG407" s="1055"/>
      <c r="CI407" s="11"/>
    </row>
    <row r="408" spans="1:87" x14ac:dyDescent="0.2">
      <c r="A408" s="279"/>
      <c r="B408" s="773" t="s">
        <v>656</v>
      </c>
      <c r="C408" s="1057"/>
      <c r="D408" s="1057"/>
      <c r="E408" s="1057"/>
      <c r="F408" s="1057"/>
      <c r="G408" s="1058"/>
      <c r="H408" s="1059"/>
      <c r="I408" s="1057"/>
      <c r="J408" s="1057"/>
      <c r="K408" s="1057"/>
      <c r="L408" s="1057"/>
      <c r="M408" s="1058"/>
      <c r="N408" s="1059"/>
      <c r="O408" s="1057"/>
      <c r="P408" s="1057"/>
      <c r="Q408" s="1057"/>
      <c r="R408" s="1057"/>
      <c r="S408" s="1058"/>
      <c r="T408" s="1059"/>
      <c r="U408" s="1057"/>
      <c r="V408" s="1057"/>
      <c r="W408" s="1057"/>
      <c r="X408" s="1057"/>
      <c r="Y408" s="1058"/>
      <c r="Z408" s="1059"/>
      <c r="AA408" s="1057"/>
      <c r="AB408" s="1057"/>
      <c r="AC408" s="1057"/>
      <c r="AD408" s="1057"/>
      <c r="AE408" s="1058"/>
      <c r="AF408" s="1059"/>
      <c r="AG408" s="1057"/>
      <c r="AH408" s="1057"/>
      <c r="AI408" s="1057"/>
      <c r="AJ408" s="1057"/>
      <c r="AK408" s="1058"/>
      <c r="AL408" s="1059"/>
      <c r="AM408" s="1057"/>
      <c r="AN408" s="1057"/>
      <c r="AO408" s="1057"/>
      <c r="AP408" s="1057"/>
      <c r="AQ408" s="1058"/>
      <c r="AR408" s="1059"/>
      <c r="AS408" s="1057"/>
      <c r="AT408" s="1057"/>
      <c r="AU408" s="1057"/>
      <c r="AV408" s="1057"/>
      <c r="AW408" s="1058"/>
      <c r="AX408" s="1059"/>
      <c r="AY408" s="1057"/>
      <c r="AZ408" s="1057"/>
      <c r="BA408" s="1057"/>
      <c r="BB408" s="1057"/>
      <c r="BC408" s="1058"/>
      <c r="BD408" s="1059"/>
      <c r="BE408" s="1057"/>
      <c r="BF408" s="1057"/>
      <c r="BG408" s="1057"/>
      <c r="BH408" s="1057"/>
      <c r="BI408" s="1058"/>
      <c r="BJ408" s="1061"/>
      <c r="BK408" s="1062"/>
      <c r="BL408" s="1054"/>
      <c r="BM408" s="1054"/>
      <c r="BN408" s="1054"/>
      <c r="BO408" s="775">
        <f>+BO409*BO388</f>
        <v>248.394991453393</v>
      </c>
      <c r="BP408" s="278"/>
      <c r="BQ408" s="1056"/>
      <c r="BR408" s="1054"/>
      <c r="BS408" s="1054"/>
      <c r="BT408" s="1054"/>
      <c r="BU408" s="1055"/>
      <c r="BV408" s="278"/>
      <c r="BW408" s="1056"/>
      <c r="BX408" s="1054"/>
      <c r="BY408" s="1054"/>
      <c r="BZ408" s="1054"/>
      <c r="CA408" s="1055"/>
      <c r="CB408" s="278"/>
      <c r="CC408" s="1056"/>
      <c r="CD408" s="1054"/>
      <c r="CE408" s="1054"/>
      <c r="CF408" s="1054"/>
      <c r="CG408" s="1055"/>
      <c r="CI408" s="11"/>
    </row>
    <row r="409" spans="1:87" x14ac:dyDescent="0.2">
      <c r="A409" s="279"/>
      <c r="B409" s="1033" t="s">
        <v>647</v>
      </c>
      <c r="C409" s="1057"/>
      <c r="D409" s="1057"/>
      <c r="E409" s="1057"/>
      <c r="F409" s="1057"/>
      <c r="G409" s="1058"/>
      <c r="H409" s="1059"/>
      <c r="I409" s="1057"/>
      <c r="J409" s="1057"/>
      <c r="K409" s="1057"/>
      <c r="L409" s="1057"/>
      <c r="M409" s="1058"/>
      <c r="N409" s="1059"/>
      <c r="O409" s="1057"/>
      <c r="P409" s="1057"/>
      <c r="Q409" s="1057"/>
      <c r="R409" s="1057"/>
      <c r="S409" s="1058"/>
      <c r="T409" s="1059"/>
      <c r="U409" s="1057"/>
      <c r="V409" s="1057"/>
      <c r="W409" s="1057"/>
      <c r="X409" s="1057"/>
      <c r="Y409" s="1058"/>
      <c r="Z409" s="1059"/>
      <c r="AA409" s="1057"/>
      <c r="AB409" s="1057"/>
      <c r="AC409" s="1057"/>
      <c r="AD409" s="1057"/>
      <c r="AE409" s="1058"/>
      <c r="AF409" s="1059"/>
      <c r="AG409" s="1057"/>
      <c r="AH409" s="1057"/>
      <c r="AI409" s="1057"/>
      <c r="AJ409" s="1057"/>
      <c r="AK409" s="1058"/>
      <c r="AL409" s="1059"/>
      <c r="AM409" s="1057"/>
      <c r="AN409" s="1057"/>
      <c r="AO409" s="1057"/>
      <c r="AP409" s="1057"/>
      <c r="AQ409" s="1058"/>
      <c r="AR409" s="1059"/>
      <c r="AS409" s="1057"/>
      <c r="AT409" s="1057"/>
      <c r="AU409" s="1057"/>
      <c r="AV409" s="1057"/>
      <c r="AW409" s="1058"/>
      <c r="AX409" s="1059"/>
      <c r="AY409" s="1057"/>
      <c r="AZ409" s="1057"/>
      <c r="BA409" s="1057"/>
      <c r="BB409" s="1057"/>
      <c r="BC409" s="1058"/>
      <c r="BD409" s="1059"/>
      <c r="BE409" s="1057"/>
      <c r="BF409" s="1057"/>
      <c r="BG409" s="1057"/>
      <c r="BH409" s="1057"/>
      <c r="BI409" s="1058"/>
      <c r="BJ409" s="1061"/>
      <c r="BK409" s="1062"/>
      <c r="BL409" s="1054"/>
      <c r="BM409" s="1054"/>
      <c r="BN409" s="1054"/>
      <c r="BO409" s="852">
        <f>100%-BO399</f>
        <v>0.35484998779056143</v>
      </c>
      <c r="BP409" s="278"/>
      <c r="BQ409" s="1056"/>
      <c r="BR409" s="1054"/>
      <c r="BS409" s="1054"/>
      <c r="BT409" s="1054"/>
      <c r="BU409" s="1055"/>
      <c r="BV409" s="278"/>
      <c r="BW409" s="1056"/>
      <c r="BX409" s="1054"/>
      <c r="BY409" s="1054"/>
      <c r="BZ409" s="1054"/>
      <c r="CA409" s="1055"/>
      <c r="CB409" s="278"/>
      <c r="CC409" s="1056"/>
      <c r="CD409" s="1054"/>
      <c r="CE409" s="1054"/>
      <c r="CF409" s="1054"/>
      <c r="CG409" s="1055"/>
      <c r="CI409" s="11"/>
    </row>
    <row r="410" spans="1:87" x14ac:dyDescent="0.2">
      <c r="A410" s="279"/>
      <c r="B410" s="773" t="s">
        <v>650</v>
      </c>
      <c r="C410" s="1057"/>
      <c r="D410" s="1057"/>
      <c r="E410" s="1057"/>
      <c r="F410" s="1057"/>
      <c r="G410" s="1058"/>
      <c r="H410" s="1059"/>
      <c r="I410" s="1057"/>
      <c r="J410" s="1057"/>
      <c r="K410" s="1057"/>
      <c r="L410" s="1057"/>
      <c r="M410" s="1058"/>
      <c r="N410" s="1059"/>
      <c r="O410" s="1057"/>
      <c r="P410" s="1057"/>
      <c r="Q410" s="1057"/>
      <c r="R410" s="1057"/>
      <c r="S410" s="1058"/>
      <c r="T410" s="1059"/>
      <c r="U410" s="1057"/>
      <c r="V410" s="1057"/>
      <c r="W410" s="1057"/>
      <c r="X410" s="1057"/>
      <c r="Y410" s="1058"/>
      <c r="Z410" s="1059"/>
      <c r="AA410" s="1057"/>
      <c r="AB410" s="1057"/>
      <c r="AC410" s="1057"/>
      <c r="AD410" s="1057"/>
      <c r="AE410" s="1058"/>
      <c r="AF410" s="1059"/>
      <c r="AG410" s="1057"/>
      <c r="AH410" s="1057"/>
      <c r="AI410" s="1057"/>
      <c r="AJ410" s="1057"/>
      <c r="AK410" s="1058"/>
      <c r="AL410" s="1059"/>
      <c r="AM410" s="1057"/>
      <c r="AN410" s="1057"/>
      <c r="AO410" s="1057"/>
      <c r="AP410" s="1057"/>
      <c r="AQ410" s="1058"/>
      <c r="AR410" s="1059"/>
      <c r="AS410" s="1057"/>
      <c r="AT410" s="1057"/>
      <c r="AU410" s="1057"/>
      <c r="AV410" s="1057"/>
      <c r="AW410" s="1058"/>
      <c r="AX410" s="1059"/>
      <c r="AY410" s="1057"/>
      <c r="AZ410" s="1057"/>
      <c r="BA410" s="1057"/>
      <c r="BB410" s="1057"/>
      <c r="BC410" s="1058"/>
      <c r="BD410" s="1059"/>
      <c r="BE410" s="1057"/>
      <c r="BF410" s="1057"/>
      <c r="BG410" s="1057"/>
      <c r="BH410" s="1057"/>
      <c r="BI410" s="1058"/>
      <c r="BJ410" s="1061"/>
      <c r="BK410" s="1062"/>
      <c r="BL410" s="1054"/>
      <c r="BM410" s="1054"/>
      <c r="BN410" s="1054"/>
      <c r="BO410" s="775">
        <f>+BO411*BO390</f>
        <v>214.64354131969009</v>
      </c>
      <c r="BP410" s="278"/>
      <c r="BQ410" s="1056"/>
      <c r="BR410" s="1054"/>
      <c r="BS410" s="1054"/>
      <c r="BT410" s="1054"/>
      <c r="BU410" s="1055"/>
      <c r="BV410" s="278"/>
      <c r="BW410" s="1056"/>
      <c r="BX410" s="1054"/>
      <c r="BY410" s="1054"/>
      <c r="BZ410" s="1054"/>
      <c r="CA410" s="1055"/>
      <c r="CB410" s="278"/>
      <c r="CC410" s="1056"/>
      <c r="CD410" s="1054"/>
      <c r="CE410" s="1054"/>
      <c r="CF410" s="1054"/>
      <c r="CG410" s="1055"/>
      <c r="CI410" s="11"/>
    </row>
    <row r="411" spans="1:87" x14ac:dyDescent="0.2">
      <c r="A411" s="279"/>
      <c r="B411" s="1033" t="s">
        <v>649</v>
      </c>
      <c r="C411" s="1057"/>
      <c r="D411" s="1057"/>
      <c r="E411" s="1057"/>
      <c r="F411" s="1057"/>
      <c r="G411" s="1058"/>
      <c r="H411" s="1059"/>
      <c r="I411" s="1057"/>
      <c r="J411" s="1057"/>
      <c r="K411" s="1057"/>
      <c r="L411" s="1057"/>
      <c r="M411" s="1058"/>
      <c r="N411" s="1059"/>
      <c r="O411" s="1057"/>
      <c r="P411" s="1057"/>
      <c r="Q411" s="1057"/>
      <c r="R411" s="1057"/>
      <c r="S411" s="1058"/>
      <c r="T411" s="1059"/>
      <c r="U411" s="1057"/>
      <c r="V411" s="1057"/>
      <c r="W411" s="1057"/>
      <c r="X411" s="1057"/>
      <c r="Y411" s="1058"/>
      <c r="Z411" s="1059"/>
      <c r="AA411" s="1057"/>
      <c r="AB411" s="1057"/>
      <c r="AC411" s="1057"/>
      <c r="AD411" s="1057"/>
      <c r="AE411" s="1058"/>
      <c r="AF411" s="1059"/>
      <c r="AG411" s="1057"/>
      <c r="AH411" s="1057"/>
      <c r="AI411" s="1057"/>
      <c r="AJ411" s="1057"/>
      <c r="AK411" s="1058"/>
      <c r="AL411" s="1059"/>
      <c r="AM411" s="1057"/>
      <c r="AN411" s="1057"/>
      <c r="AO411" s="1057"/>
      <c r="AP411" s="1057"/>
      <c r="AQ411" s="1058"/>
      <c r="AR411" s="1059"/>
      <c r="AS411" s="1057"/>
      <c r="AT411" s="1057"/>
      <c r="AU411" s="1057"/>
      <c r="AV411" s="1057"/>
      <c r="AW411" s="1058"/>
      <c r="AX411" s="1059"/>
      <c r="AY411" s="1057"/>
      <c r="AZ411" s="1057"/>
      <c r="BA411" s="1057"/>
      <c r="BB411" s="1057"/>
      <c r="BC411" s="1058"/>
      <c r="BD411" s="1059"/>
      <c r="BE411" s="1057"/>
      <c r="BF411" s="1057"/>
      <c r="BG411" s="1057"/>
      <c r="BH411" s="1057"/>
      <c r="BI411" s="1058"/>
      <c r="BJ411" s="1061"/>
      <c r="BK411" s="1062"/>
      <c r="BL411" s="1054"/>
      <c r="BM411" s="1054"/>
      <c r="BN411" s="1054"/>
      <c r="BO411" s="852">
        <f>100%-BO401</f>
        <v>0.35484998779056143</v>
      </c>
      <c r="BP411" s="278"/>
      <c r="BQ411" s="1056"/>
      <c r="BR411" s="1054"/>
      <c r="BS411" s="1054"/>
      <c r="BT411" s="1054"/>
      <c r="BU411" s="1055"/>
      <c r="BV411" s="278"/>
      <c r="BW411" s="1056"/>
      <c r="BX411" s="1054"/>
      <c r="BY411" s="1054"/>
      <c r="BZ411" s="1054"/>
      <c r="CA411" s="1055"/>
      <c r="CB411" s="278"/>
      <c r="CC411" s="1056"/>
      <c r="CD411" s="1054"/>
      <c r="CE411" s="1054"/>
      <c r="CF411" s="1054"/>
      <c r="CG411" s="1055"/>
      <c r="CI411" s="11"/>
    </row>
    <row r="412" spans="1:87" s="186" customFormat="1" x14ac:dyDescent="0.2">
      <c r="A412" s="865"/>
      <c r="B412" s="773" t="s">
        <v>652</v>
      </c>
      <c r="C412" s="1057"/>
      <c r="D412" s="1057"/>
      <c r="E412" s="1057"/>
      <c r="F412" s="1057"/>
      <c r="G412" s="1058"/>
      <c r="H412" s="1059"/>
      <c r="I412" s="1057"/>
      <c r="J412" s="1057"/>
      <c r="K412" s="1057"/>
      <c r="L412" s="1057"/>
      <c r="M412" s="1058"/>
      <c r="N412" s="1059"/>
      <c r="O412" s="1057"/>
      <c r="P412" s="1057"/>
      <c r="Q412" s="1057"/>
      <c r="R412" s="1057"/>
      <c r="S412" s="1058"/>
      <c r="T412" s="1059"/>
      <c r="U412" s="1057"/>
      <c r="V412" s="1057"/>
      <c r="W412" s="1057"/>
      <c r="X412" s="1057"/>
      <c r="Y412" s="1058"/>
      <c r="Z412" s="1059"/>
      <c r="AA412" s="1057"/>
      <c r="AB412" s="1057"/>
      <c r="AC412" s="1057"/>
      <c r="AD412" s="1057"/>
      <c r="AE412" s="1058"/>
      <c r="AF412" s="1059"/>
      <c r="AG412" s="1057"/>
      <c r="AH412" s="1057"/>
      <c r="AI412" s="1057"/>
      <c r="AJ412" s="1057"/>
      <c r="AK412" s="1058"/>
      <c r="AL412" s="1059"/>
      <c r="AM412" s="1057"/>
      <c r="AN412" s="1057"/>
      <c r="AO412" s="1057"/>
      <c r="AP412" s="1057"/>
      <c r="AQ412" s="1058"/>
      <c r="AR412" s="1059"/>
      <c r="AS412" s="1057"/>
      <c r="AT412" s="1057"/>
      <c r="AU412" s="1057"/>
      <c r="AV412" s="1057"/>
      <c r="AW412" s="1058"/>
      <c r="AX412" s="1059"/>
      <c r="AY412" s="1057"/>
      <c r="AZ412" s="1057"/>
      <c r="BA412" s="1057"/>
      <c r="BB412" s="1057"/>
      <c r="BC412" s="1058"/>
      <c r="BD412" s="1059"/>
      <c r="BE412" s="1057"/>
      <c r="BF412" s="1057"/>
      <c r="BG412" s="1057"/>
      <c r="BH412" s="1057"/>
      <c r="BI412" s="1058"/>
      <c r="BJ412" s="1061"/>
      <c r="BK412" s="1062"/>
      <c r="BL412" s="1054"/>
      <c r="BM412" s="1054"/>
      <c r="BN412" s="1054"/>
      <c r="BO412" s="775">
        <f>+BO413*BO392</f>
        <v>1063.4533172269171</v>
      </c>
      <c r="BP412" s="278"/>
      <c r="BQ412" s="1056"/>
      <c r="BR412" s="1054"/>
      <c r="BS412" s="1054"/>
      <c r="BT412" s="1054"/>
      <c r="BU412" s="1055"/>
      <c r="BV412" s="278"/>
      <c r="BW412" s="1056"/>
      <c r="BX412" s="1054"/>
      <c r="BY412" s="1054"/>
      <c r="BZ412" s="1054"/>
      <c r="CA412" s="1055"/>
      <c r="CB412" s="278"/>
      <c r="CC412" s="1056"/>
      <c r="CD412" s="1054"/>
      <c r="CE412" s="1054"/>
      <c r="CF412" s="1054"/>
      <c r="CG412" s="1055"/>
      <c r="CI412" s="1267"/>
    </row>
    <row r="413" spans="1:87" x14ac:dyDescent="0.2">
      <c r="A413" s="279"/>
      <c r="B413" s="1033" t="s">
        <v>649</v>
      </c>
      <c r="C413" s="1057"/>
      <c r="D413" s="1057"/>
      <c r="E413" s="1057"/>
      <c r="F413" s="1057"/>
      <c r="G413" s="1058"/>
      <c r="H413" s="1059"/>
      <c r="I413" s="1057"/>
      <c r="J413" s="1057"/>
      <c r="K413" s="1057"/>
      <c r="L413" s="1057"/>
      <c r="M413" s="1058"/>
      <c r="N413" s="1059"/>
      <c r="O413" s="1057"/>
      <c r="P413" s="1057"/>
      <c r="Q413" s="1057"/>
      <c r="R413" s="1057"/>
      <c r="S413" s="1058"/>
      <c r="T413" s="1059"/>
      <c r="U413" s="1057"/>
      <c r="V413" s="1057"/>
      <c r="W413" s="1057"/>
      <c r="X413" s="1057"/>
      <c r="Y413" s="1058"/>
      <c r="Z413" s="1059"/>
      <c r="AA413" s="1057"/>
      <c r="AB413" s="1057"/>
      <c r="AC413" s="1057"/>
      <c r="AD413" s="1057"/>
      <c r="AE413" s="1058"/>
      <c r="AF413" s="1059"/>
      <c r="AG413" s="1057"/>
      <c r="AH413" s="1057"/>
      <c r="AI413" s="1057"/>
      <c r="AJ413" s="1057"/>
      <c r="AK413" s="1058"/>
      <c r="AL413" s="1059"/>
      <c r="AM413" s="1057"/>
      <c r="AN413" s="1057"/>
      <c r="AO413" s="1057"/>
      <c r="AP413" s="1057"/>
      <c r="AQ413" s="1058"/>
      <c r="AR413" s="1059"/>
      <c r="AS413" s="1057"/>
      <c r="AT413" s="1057"/>
      <c r="AU413" s="1057"/>
      <c r="AV413" s="1057"/>
      <c r="AW413" s="1058"/>
      <c r="AX413" s="1059"/>
      <c r="AY413" s="1057"/>
      <c r="AZ413" s="1057"/>
      <c r="BA413" s="1057"/>
      <c r="BB413" s="1057"/>
      <c r="BC413" s="1058"/>
      <c r="BD413" s="1059"/>
      <c r="BE413" s="1057"/>
      <c r="BF413" s="1057"/>
      <c r="BG413" s="1057"/>
      <c r="BH413" s="1057"/>
      <c r="BI413" s="1058"/>
      <c r="BJ413" s="1061"/>
      <c r="BK413" s="1062"/>
      <c r="BL413" s="1054"/>
      <c r="BM413" s="1054"/>
      <c r="BN413" s="1054"/>
      <c r="BO413" s="852">
        <f>100%-BO403</f>
        <v>0.35484998779056143</v>
      </c>
      <c r="BP413" s="278"/>
      <c r="BQ413" s="1056"/>
      <c r="BR413" s="1054"/>
      <c r="BS413" s="1054"/>
      <c r="BT413" s="1054"/>
      <c r="BU413" s="1055"/>
      <c r="BV413" s="278"/>
      <c r="BW413" s="1056"/>
      <c r="BX413" s="1054"/>
      <c r="BY413" s="1054"/>
      <c r="BZ413" s="1054"/>
      <c r="CA413" s="1055"/>
      <c r="CB413" s="278"/>
      <c r="CC413" s="1056"/>
      <c r="CD413" s="1054"/>
      <c r="CE413" s="1054"/>
      <c r="CF413" s="1054"/>
      <c r="CG413" s="1055"/>
      <c r="CI413" s="11"/>
    </row>
    <row r="414" spans="1:87" x14ac:dyDescent="0.2">
      <c r="A414" s="279"/>
      <c r="B414" s="773" t="s">
        <v>654</v>
      </c>
      <c r="C414" s="1057"/>
      <c r="D414" s="1057"/>
      <c r="E414" s="1057"/>
      <c r="F414" s="1057"/>
      <c r="G414" s="1058"/>
      <c r="H414" s="1059"/>
      <c r="I414" s="1057"/>
      <c r="J414" s="1057"/>
      <c r="K414" s="1057"/>
      <c r="L414" s="1057"/>
      <c r="M414" s="1058"/>
      <c r="N414" s="1059"/>
      <c r="O414" s="1057"/>
      <c r="P414" s="1057"/>
      <c r="Q414" s="1057"/>
      <c r="R414" s="1057"/>
      <c r="S414" s="1058"/>
      <c r="T414" s="1059"/>
      <c r="U414" s="1057"/>
      <c r="V414" s="1057"/>
      <c r="W414" s="1057"/>
      <c r="X414" s="1057"/>
      <c r="Y414" s="1058"/>
      <c r="Z414" s="1059"/>
      <c r="AA414" s="1057"/>
      <c r="AB414" s="1057"/>
      <c r="AC414" s="1057"/>
      <c r="AD414" s="1057"/>
      <c r="AE414" s="1058"/>
      <c r="AF414" s="1059"/>
      <c r="AG414" s="1057"/>
      <c r="AH414" s="1057"/>
      <c r="AI414" s="1057"/>
      <c r="AJ414" s="1057"/>
      <c r="AK414" s="1058"/>
      <c r="AL414" s="1059"/>
      <c r="AM414" s="1057"/>
      <c r="AN414" s="1057"/>
      <c r="AO414" s="1057"/>
      <c r="AP414" s="1057"/>
      <c r="AQ414" s="1058"/>
      <c r="AR414" s="1059"/>
      <c r="AS414" s="1057"/>
      <c r="AT414" s="1057"/>
      <c r="AU414" s="1057"/>
      <c r="AV414" s="1057"/>
      <c r="AW414" s="1058"/>
      <c r="AX414" s="1059"/>
      <c r="AY414" s="1057"/>
      <c r="AZ414" s="1057"/>
      <c r="BA414" s="1057"/>
      <c r="BB414" s="1057"/>
      <c r="BC414" s="1058"/>
      <c r="BD414" s="1059"/>
      <c r="BE414" s="1057"/>
      <c r="BF414" s="1057"/>
      <c r="BG414" s="1057"/>
      <c r="BH414" s="1057"/>
      <c r="BI414" s="1058"/>
      <c r="BJ414" s="1061"/>
      <c r="BK414" s="1062"/>
      <c r="BL414" s="1054"/>
      <c r="BM414" s="1054"/>
      <c r="BN414" s="1054"/>
      <c r="BO414" s="775">
        <f>+BO415*BO384</f>
        <v>821.95714999999996</v>
      </c>
      <c r="BP414" s="278"/>
      <c r="BQ414" s="1056"/>
      <c r="BR414" s="1054"/>
      <c r="BS414" s="1054"/>
      <c r="BT414" s="1054"/>
      <c r="BU414" s="1055"/>
      <c r="BV414" s="278"/>
      <c r="BW414" s="1056"/>
      <c r="BX414" s="1054"/>
      <c r="BY414" s="1054"/>
      <c r="BZ414" s="1054"/>
      <c r="CA414" s="1055"/>
      <c r="CB414" s="278"/>
      <c r="CC414" s="1056"/>
      <c r="CD414" s="1054"/>
      <c r="CE414" s="1054"/>
      <c r="CF414" s="1054"/>
      <c r="CG414" s="1055"/>
      <c r="CI414" s="11"/>
    </row>
    <row r="415" spans="1:87" x14ac:dyDescent="0.2">
      <c r="A415" s="279"/>
      <c r="B415" s="1295" t="s">
        <v>649</v>
      </c>
      <c r="C415" s="1286"/>
      <c r="D415" s="1286"/>
      <c r="E415" s="1286"/>
      <c r="F415" s="1286"/>
      <c r="G415" s="779"/>
      <c r="H415" s="1287"/>
      <c r="I415" s="1286"/>
      <c r="J415" s="1286"/>
      <c r="K415" s="1286"/>
      <c r="L415" s="1286"/>
      <c r="M415" s="779"/>
      <c r="N415" s="1287"/>
      <c r="O415" s="1286"/>
      <c r="P415" s="1286"/>
      <c r="Q415" s="1286"/>
      <c r="R415" s="1286"/>
      <c r="S415" s="779"/>
      <c r="T415" s="1287"/>
      <c r="U415" s="1286"/>
      <c r="V415" s="1286"/>
      <c r="W415" s="1286"/>
      <c r="X415" s="1286"/>
      <c r="Y415" s="779"/>
      <c r="Z415" s="1287"/>
      <c r="AA415" s="1286"/>
      <c r="AB415" s="1286"/>
      <c r="AC415" s="1286"/>
      <c r="AD415" s="1286"/>
      <c r="AE415" s="779"/>
      <c r="AF415" s="1287"/>
      <c r="AG415" s="1286"/>
      <c r="AH415" s="1286"/>
      <c r="AI415" s="1286"/>
      <c r="AJ415" s="1286"/>
      <c r="AK415" s="779"/>
      <c r="AL415" s="1287"/>
      <c r="AM415" s="1286"/>
      <c r="AN415" s="1286"/>
      <c r="AO415" s="1286"/>
      <c r="AP415" s="1286"/>
      <c r="AQ415" s="779"/>
      <c r="AR415" s="1287"/>
      <c r="AS415" s="1286"/>
      <c r="AT415" s="1286"/>
      <c r="AU415" s="1286"/>
      <c r="AV415" s="1286"/>
      <c r="AW415" s="779"/>
      <c r="AX415" s="1287"/>
      <c r="AY415" s="1286"/>
      <c r="AZ415" s="1286"/>
      <c r="BA415" s="1286"/>
      <c r="BB415" s="1286"/>
      <c r="BC415" s="779"/>
      <c r="BD415" s="1287"/>
      <c r="BE415" s="1286"/>
      <c r="BF415" s="1286"/>
      <c r="BG415" s="1286"/>
      <c r="BH415" s="1286"/>
      <c r="BI415" s="779"/>
      <c r="BJ415" s="1288"/>
      <c r="BK415" s="1289"/>
      <c r="BL415" s="1290"/>
      <c r="BM415" s="1290"/>
      <c r="BN415" s="1290"/>
      <c r="BO415" s="1294">
        <f>+BO$377/BO$384</f>
        <v>0.47048070494963201</v>
      </c>
      <c r="BP415" s="1281"/>
      <c r="BQ415" s="1292"/>
      <c r="BR415" s="1290"/>
      <c r="BS415" s="1290"/>
      <c r="BT415" s="1290"/>
      <c r="BU415" s="839"/>
      <c r="BV415" s="1281"/>
      <c r="BW415" s="1292"/>
      <c r="BX415" s="1290"/>
      <c r="BY415" s="1290"/>
      <c r="BZ415" s="1290"/>
      <c r="CA415" s="839"/>
      <c r="CB415" s="1281"/>
      <c r="CC415" s="1292"/>
      <c r="CD415" s="1290"/>
      <c r="CE415" s="1290"/>
      <c r="CF415" s="1290"/>
      <c r="CG415" s="839"/>
      <c r="CI415" s="11"/>
    </row>
    <row r="416" spans="1:87" s="186" customFormat="1" x14ac:dyDescent="0.2">
      <c r="A416" s="865"/>
      <c r="B416" s="866"/>
      <c r="C416" s="279"/>
      <c r="D416" s="279"/>
      <c r="E416" s="279"/>
      <c r="F416" s="279"/>
      <c r="G416" s="279"/>
      <c r="H416" s="7"/>
      <c r="I416" s="279"/>
      <c r="J416" s="279"/>
      <c r="K416" s="279"/>
      <c r="L416" s="279"/>
      <c r="M416" s="279"/>
      <c r="N416" s="7"/>
      <c r="O416" s="279"/>
      <c r="P416" s="279"/>
      <c r="Q416" s="279"/>
      <c r="R416" s="279"/>
      <c r="S416" s="279"/>
      <c r="T416" s="7"/>
      <c r="U416" s="279"/>
      <c r="V416" s="279"/>
      <c r="W416" s="279"/>
      <c r="X416" s="279"/>
      <c r="Y416" s="279"/>
      <c r="Z416" s="7"/>
      <c r="AA416" s="279"/>
      <c r="AB416" s="279"/>
      <c r="AC416" s="279"/>
      <c r="AD416" s="279"/>
      <c r="AE416" s="279"/>
      <c r="AF416" s="7"/>
      <c r="AG416" s="279"/>
      <c r="AH416" s="279"/>
      <c r="AI416" s="279"/>
      <c r="AJ416" s="279"/>
      <c r="AK416" s="279"/>
      <c r="AL416" s="7"/>
      <c r="AM416" s="279"/>
      <c r="AN416" s="279"/>
      <c r="AO416" s="279"/>
      <c r="AP416" s="279"/>
      <c r="AQ416" s="279"/>
      <c r="AR416" s="7"/>
      <c r="AS416" s="279"/>
      <c r="AT416" s="279"/>
      <c r="AU416" s="279"/>
      <c r="AV416" s="279"/>
      <c r="AW416" s="279"/>
      <c r="AX416" s="7"/>
      <c r="AY416" s="279"/>
      <c r="AZ416" s="279"/>
      <c r="BA416" s="279"/>
      <c r="BB416" s="279"/>
      <c r="BC416" s="279"/>
      <c r="BD416" s="7"/>
      <c r="BE416" s="279"/>
      <c r="BF416" s="279"/>
      <c r="BG416" s="279"/>
      <c r="BH416" s="279"/>
      <c r="BI416" s="279"/>
      <c r="BJ416" s="7"/>
      <c r="BK416" s="279"/>
      <c r="BL416" s="279"/>
      <c r="BM416" s="279"/>
      <c r="BN416" s="279"/>
      <c r="BO416" s="775"/>
      <c r="BP416" s="7"/>
      <c r="BQ416" s="279"/>
      <c r="BR416" s="279"/>
      <c r="BS416" s="279"/>
      <c r="BT416" s="279"/>
      <c r="BU416" s="279"/>
      <c r="BV416" s="7"/>
      <c r="BW416" s="279"/>
      <c r="BX416" s="279"/>
      <c r="BY416" s="279"/>
      <c r="BZ416" s="279"/>
      <c r="CA416" s="279"/>
      <c r="CB416" s="7"/>
      <c r="CC416" s="279"/>
      <c r="CD416" s="279"/>
      <c r="CE416" s="279"/>
      <c r="CF416" s="279"/>
      <c r="CG416" s="279"/>
      <c r="CI416" s="1267"/>
    </row>
    <row r="417" spans="1:87" s="186" customFormat="1" x14ac:dyDescent="0.2">
      <c r="A417" s="865"/>
      <c r="B417" s="812" t="s">
        <v>663</v>
      </c>
      <c r="C417" s="813"/>
      <c r="D417" s="813"/>
      <c r="E417" s="813"/>
      <c r="F417" s="813"/>
      <c r="G417" s="813"/>
      <c r="H417" s="812"/>
      <c r="I417" s="813"/>
      <c r="J417" s="813"/>
      <c r="K417" s="813"/>
      <c r="L417" s="813"/>
      <c r="M417" s="813"/>
      <c r="N417" s="812"/>
      <c r="O417" s="813"/>
      <c r="P417" s="813"/>
      <c r="Q417" s="813"/>
      <c r="R417" s="813"/>
      <c r="S417" s="813"/>
      <c r="T417" s="812"/>
      <c r="U417" s="813"/>
      <c r="V417" s="813"/>
      <c r="W417" s="813"/>
      <c r="X417" s="813"/>
      <c r="Y417" s="813"/>
      <c r="Z417" s="812"/>
      <c r="AA417" s="813"/>
      <c r="AB417" s="813"/>
      <c r="AC417" s="813"/>
      <c r="AD417" s="813"/>
      <c r="AE417" s="813"/>
      <c r="AF417" s="812"/>
      <c r="AG417" s="813"/>
      <c r="AH417" s="813"/>
      <c r="AI417" s="813"/>
      <c r="AJ417" s="813"/>
      <c r="AK417" s="813"/>
      <c r="AL417" s="812"/>
      <c r="AM417" s="813"/>
      <c r="AN417" s="813"/>
      <c r="AO417" s="813"/>
      <c r="AP417" s="813"/>
      <c r="AQ417" s="813"/>
      <c r="AR417" s="812"/>
      <c r="AS417" s="813"/>
      <c r="AT417" s="813"/>
      <c r="AU417" s="813"/>
      <c r="AV417" s="813"/>
      <c r="AW417" s="813"/>
      <c r="AX417" s="812"/>
      <c r="AY417" s="813"/>
      <c r="AZ417" s="813"/>
      <c r="BA417" s="813"/>
      <c r="BB417" s="813"/>
      <c r="BC417" s="813"/>
      <c r="BD417" s="812"/>
      <c r="BE417" s="813"/>
      <c r="BF417" s="813"/>
      <c r="BG417" s="813"/>
      <c r="BH417" s="813"/>
      <c r="BI417" s="813"/>
      <c r="BJ417" s="812"/>
      <c r="BK417" s="813"/>
      <c r="BL417" s="813"/>
      <c r="BM417" s="813"/>
      <c r="BN417" s="813"/>
      <c r="BO417" s="813"/>
      <c r="BP417" s="812"/>
      <c r="BQ417" s="813"/>
      <c r="BR417" s="813"/>
      <c r="BS417" s="813"/>
      <c r="BT417" s="813"/>
      <c r="BU417" s="813"/>
      <c r="BV417" s="812"/>
      <c r="BW417" s="813"/>
      <c r="BX417" s="813"/>
      <c r="BY417" s="813"/>
      <c r="BZ417" s="813"/>
      <c r="CA417" s="813"/>
      <c r="CB417" s="812"/>
      <c r="CC417" s="813"/>
      <c r="CD417" s="813"/>
      <c r="CE417" s="813"/>
      <c r="CF417" s="813"/>
      <c r="CG417" s="814"/>
      <c r="CI417" s="1267"/>
    </row>
    <row r="418" spans="1:87" x14ac:dyDescent="0.2">
      <c r="A418" s="279"/>
      <c r="B418" s="706" t="s">
        <v>657</v>
      </c>
      <c r="C418" s="703"/>
      <c r="D418" s="704"/>
      <c r="E418" s="704"/>
      <c r="F418" s="704"/>
      <c r="G418" s="705"/>
      <c r="H418" s="1039"/>
      <c r="I418" s="703"/>
      <c r="J418" s="704"/>
      <c r="K418" s="704"/>
      <c r="L418" s="704"/>
      <c r="M418" s="705"/>
      <c r="N418" s="1039"/>
      <c r="O418" s="703"/>
      <c r="P418" s="704"/>
      <c r="Q418" s="704"/>
      <c r="R418" s="704"/>
      <c r="S418" s="705"/>
      <c r="T418" s="1039"/>
      <c r="U418" s="703"/>
      <c r="V418" s="704"/>
      <c r="W418" s="704"/>
      <c r="X418" s="704"/>
      <c r="Y418" s="705"/>
      <c r="Z418" s="1039"/>
      <c r="AA418" s="703"/>
      <c r="AB418" s="704"/>
      <c r="AC418" s="704"/>
      <c r="AD418" s="704"/>
      <c r="AE418" s="1104"/>
      <c r="AF418" s="1039"/>
      <c r="AG418" s="703"/>
      <c r="AH418" s="704"/>
      <c r="AI418" s="704"/>
      <c r="AJ418" s="704"/>
      <c r="AK418" s="1104"/>
      <c r="AL418" s="1039"/>
      <c r="AM418" s="703"/>
      <c r="AN418" s="704"/>
      <c r="AO418" s="704"/>
      <c r="AP418" s="704"/>
      <c r="AQ418" s="705"/>
      <c r="AR418" s="1039"/>
      <c r="AS418" s="703"/>
      <c r="AT418" s="704"/>
      <c r="AU418" s="704"/>
      <c r="AV418" s="704"/>
      <c r="AW418" s="705"/>
      <c r="AX418" s="1039"/>
      <c r="AY418" s="703"/>
      <c r="AZ418" s="704"/>
      <c r="BA418" s="704"/>
      <c r="BB418" s="704"/>
      <c r="BC418" s="705"/>
      <c r="BD418" s="1039"/>
      <c r="BE418" s="703"/>
      <c r="BF418" s="704"/>
      <c r="BG418" s="704"/>
      <c r="BH418" s="704"/>
      <c r="BI418" s="705"/>
      <c r="BJ418" s="1039"/>
      <c r="BK418" s="703"/>
      <c r="BL418" s="704"/>
      <c r="BM418" s="704"/>
      <c r="BN418" s="704"/>
      <c r="BO418" s="1257">
        <f>+'P&amp;L'!BO166</f>
        <v>465.76168100000001</v>
      </c>
      <c r="BP418" s="1039"/>
      <c r="BQ418" s="703"/>
      <c r="BR418" s="704"/>
      <c r="BS418" s="704"/>
      <c r="BT418" s="704"/>
      <c r="BU418" s="705"/>
      <c r="BV418" s="1039"/>
      <c r="BW418" s="703"/>
      <c r="BX418" s="704"/>
      <c r="BY418" s="704"/>
      <c r="BZ418" s="704"/>
      <c r="CA418" s="705"/>
      <c r="CB418" s="1039"/>
      <c r="CC418" s="703"/>
      <c r="CD418" s="704"/>
      <c r="CE418" s="704"/>
      <c r="CF418" s="704"/>
      <c r="CG418" s="705"/>
      <c r="CI418" s="11"/>
    </row>
    <row r="419" spans="1:87" s="186" customFormat="1" x14ac:dyDescent="0.2">
      <c r="A419" s="865"/>
      <c r="B419" s="1258" t="s">
        <v>658</v>
      </c>
      <c r="C419" s="1259"/>
      <c r="D419" s="1259"/>
      <c r="E419" s="1259"/>
      <c r="F419" s="1260"/>
      <c r="G419" s="1261"/>
      <c r="H419" s="1262"/>
      <c r="I419" s="1259"/>
      <c r="J419" s="1259"/>
      <c r="K419" s="1259"/>
      <c r="L419" s="1260"/>
      <c r="M419" s="1261"/>
      <c r="N419" s="1262"/>
      <c r="O419" s="1259"/>
      <c r="P419" s="1259"/>
      <c r="Q419" s="1259"/>
      <c r="R419" s="1260"/>
      <c r="S419" s="1261"/>
      <c r="T419" s="1262"/>
      <c r="U419" s="1259"/>
      <c r="V419" s="1259"/>
      <c r="W419" s="1259"/>
      <c r="X419" s="1260"/>
      <c r="Y419" s="1261"/>
      <c r="Z419" s="1262"/>
      <c r="AA419" s="1259"/>
      <c r="AB419" s="1259"/>
      <c r="AC419" s="1263"/>
      <c r="AD419" s="1260"/>
      <c r="AE419" s="1261"/>
      <c r="AF419" s="1262"/>
      <c r="AG419" s="1259"/>
      <c r="AH419" s="1259"/>
      <c r="AI419" s="1259"/>
      <c r="AJ419" s="211"/>
      <c r="AK419" s="1261"/>
      <c r="AL419" s="1262"/>
      <c r="AM419" s="1259"/>
      <c r="AN419" s="1259"/>
      <c r="AO419" s="1259"/>
      <c r="AP419" s="211"/>
      <c r="AQ419" s="1261"/>
      <c r="AR419" s="1262"/>
      <c r="AS419" s="1259"/>
      <c r="AT419" s="1259"/>
      <c r="AU419" s="1259"/>
      <c r="AV419" s="211"/>
      <c r="AW419" s="1261"/>
      <c r="AX419" s="1262"/>
      <c r="AY419" s="1259"/>
      <c r="AZ419" s="1259"/>
      <c r="BA419" s="1259"/>
      <c r="BB419" s="211"/>
      <c r="BC419" s="1261"/>
      <c r="BD419" s="1262"/>
      <c r="BE419" s="1259"/>
      <c r="BF419" s="1259"/>
      <c r="BG419" s="1259"/>
      <c r="BH419" s="211"/>
      <c r="BI419" s="1261"/>
      <c r="BJ419" s="1264"/>
      <c r="BK419" s="1265"/>
      <c r="BL419" s="1259"/>
      <c r="BM419" s="1259"/>
      <c r="BN419" s="941"/>
      <c r="BO419" s="854">
        <f>+BO418/BO385</f>
        <v>7.6999999999999999E-2</v>
      </c>
      <c r="BP419" s="941"/>
      <c r="BQ419" s="1266"/>
      <c r="BR419" s="941"/>
      <c r="BS419" s="941"/>
      <c r="BT419" s="941"/>
      <c r="BU419" s="937"/>
      <c r="BV419" s="941"/>
      <c r="BW419" s="1266"/>
      <c r="BX419" s="941"/>
      <c r="BY419" s="941"/>
      <c r="BZ419" s="941"/>
      <c r="CA419" s="937"/>
      <c r="CB419" s="941"/>
      <c r="CC419" s="1266"/>
      <c r="CD419" s="941"/>
      <c r="CE419" s="941"/>
      <c r="CF419" s="941"/>
      <c r="CG419" s="937"/>
      <c r="CI419" s="1267"/>
    </row>
    <row r="420" spans="1:87" s="186" customFormat="1" x14ac:dyDescent="0.2">
      <c r="A420" s="865"/>
      <c r="B420" s="773"/>
      <c r="C420" s="1040"/>
      <c r="D420" s="1040"/>
      <c r="E420" s="1040"/>
      <c r="F420" s="1103"/>
      <c r="G420" s="1041"/>
      <c r="H420" s="1042"/>
      <c r="I420" s="1040"/>
      <c r="J420" s="1040"/>
      <c r="K420" s="1040"/>
      <c r="L420" s="1103"/>
      <c r="M420" s="1041"/>
      <c r="N420" s="1042"/>
      <c r="O420" s="1040"/>
      <c r="P420" s="1040"/>
      <c r="Q420" s="1040"/>
      <c r="R420" s="1103"/>
      <c r="S420" s="1041"/>
      <c r="T420" s="1042"/>
      <c r="U420" s="1040"/>
      <c r="V420" s="1040"/>
      <c r="W420" s="1040"/>
      <c r="X420" s="1103"/>
      <c r="Y420" s="1041"/>
      <c r="Z420" s="1042"/>
      <c r="AA420" s="1040"/>
      <c r="AB420" s="1040"/>
      <c r="AC420" s="1043"/>
      <c r="AD420" s="1103"/>
      <c r="AE420" s="1041"/>
      <c r="AF420" s="1042"/>
      <c r="AG420" s="1040"/>
      <c r="AH420" s="1040"/>
      <c r="AI420" s="1040"/>
      <c r="AJ420" s="51"/>
      <c r="AK420" s="1041"/>
      <c r="AL420" s="1042"/>
      <c r="AM420" s="1040"/>
      <c r="AN420" s="1040"/>
      <c r="AO420" s="1040"/>
      <c r="AP420" s="51"/>
      <c r="AQ420" s="1041"/>
      <c r="AR420" s="1042"/>
      <c r="AS420" s="1040"/>
      <c r="AT420" s="1040"/>
      <c r="AU420" s="1040"/>
      <c r="AV420" s="51"/>
      <c r="AW420" s="1041"/>
      <c r="AX420" s="1042"/>
      <c r="AY420" s="1040"/>
      <c r="AZ420" s="1040"/>
      <c r="BA420" s="1040"/>
      <c r="BB420" s="51"/>
      <c r="BC420" s="1041"/>
      <c r="BD420" s="1042"/>
      <c r="BE420" s="1040"/>
      <c r="BF420" s="1040"/>
      <c r="BG420" s="1040"/>
      <c r="BH420" s="51"/>
      <c r="BI420" s="1041"/>
      <c r="BJ420" s="1044"/>
      <c r="BK420" s="767"/>
      <c r="BL420" s="1040"/>
      <c r="BM420" s="1040"/>
      <c r="BN420" s="278"/>
      <c r="BO420" s="793"/>
      <c r="BP420" s="278"/>
      <c r="BQ420" s="743"/>
      <c r="BR420" s="278"/>
      <c r="BS420" s="278"/>
      <c r="BT420" s="278"/>
      <c r="BU420" s="793"/>
      <c r="BV420" s="278"/>
      <c r="BW420" s="743"/>
      <c r="BX420" s="278"/>
      <c r="BY420" s="278"/>
      <c r="BZ420" s="278"/>
      <c r="CA420" s="793"/>
      <c r="CB420" s="278"/>
      <c r="CC420" s="743"/>
      <c r="CD420" s="278"/>
      <c r="CE420" s="278"/>
      <c r="CF420" s="278"/>
      <c r="CG420" s="793"/>
      <c r="CI420" s="1267"/>
    </row>
    <row r="421" spans="1:87" x14ac:dyDescent="0.2">
      <c r="A421" s="279"/>
      <c r="B421" s="706" t="s">
        <v>664</v>
      </c>
      <c r="C421" s="703"/>
      <c r="D421" s="704"/>
      <c r="E421" s="704"/>
      <c r="F421" s="704"/>
      <c r="G421" s="705"/>
      <c r="H421" s="1039"/>
      <c r="I421" s="703"/>
      <c r="J421" s="704"/>
      <c r="K421" s="704"/>
      <c r="L421" s="704"/>
      <c r="M421" s="705"/>
      <c r="N421" s="1039"/>
      <c r="O421" s="703"/>
      <c r="P421" s="704"/>
      <c r="Q421" s="704"/>
      <c r="R421" s="704"/>
      <c r="S421" s="705"/>
      <c r="T421" s="1039"/>
      <c r="U421" s="703"/>
      <c r="V421" s="704"/>
      <c r="W421" s="704"/>
      <c r="X421" s="704"/>
      <c r="Y421" s="705"/>
      <c r="Z421" s="1039"/>
      <c r="AA421" s="703"/>
      <c r="AB421" s="704"/>
      <c r="AC421" s="704"/>
      <c r="AD421" s="704"/>
      <c r="AE421" s="1104"/>
      <c r="AF421" s="1039"/>
      <c r="AG421" s="703"/>
      <c r="AH421" s="704"/>
      <c r="AI421" s="704"/>
      <c r="AJ421" s="704"/>
      <c r="AK421" s="1104"/>
      <c r="AL421" s="1039"/>
      <c r="AM421" s="703"/>
      <c r="AN421" s="704"/>
      <c r="AO421" s="704"/>
      <c r="AP421" s="704"/>
      <c r="AQ421" s="705"/>
      <c r="AR421" s="1039"/>
      <c r="AS421" s="703"/>
      <c r="AT421" s="704"/>
      <c r="AU421" s="704"/>
      <c r="AV421" s="704"/>
      <c r="AW421" s="705"/>
      <c r="AX421" s="1039"/>
      <c r="AY421" s="703"/>
      <c r="AZ421" s="704"/>
      <c r="BA421" s="704"/>
      <c r="BB421" s="704"/>
      <c r="BC421" s="705"/>
      <c r="BD421" s="1039"/>
      <c r="BE421" s="703"/>
      <c r="BF421" s="704"/>
      <c r="BG421" s="704"/>
      <c r="BH421" s="704"/>
      <c r="BI421" s="705"/>
      <c r="BJ421" s="1039"/>
      <c r="BK421" s="703"/>
      <c r="BL421" s="704"/>
      <c r="BM421" s="704"/>
      <c r="BN421" s="704"/>
      <c r="BO421" s="1257"/>
      <c r="BP421" s="1039"/>
      <c r="BQ421" s="703"/>
      <c r="BR421" s="704"/>
      <c r="BS421" s="704"/>
      <c r="BT421" s="704"/>
      <c r="BU421" s="705"/>
      <c r="BV421" s="1039"/>
      <c r="BW421" s="703"/>
      <c r="BX421" s="704"/>
      <c r="BY421" s="704"/>
      <c r="BZ421" s="704"/>
      <c r="CA421" s="705"/>
      <c r="CB421" s="1039"/>
      <c r="CC421" s="703"/>
      <c r="CD421" s="704"/>
      <c r="CE421" s="704"/>
      <c r="CF421" s="704"/>
      <c r="CG421" s="705"/>
      <c r="CI421" s="11"/>
    </row>
    <row r="422" spans="1:87" s="186" customFormat="1" x14ac:dyDescent="0.2">
      <c r="A422" s="865"/>
      <c r="B422" s="773" t="s">
        <v>632</v>
      </c>
      <c r="C422" s="1040"/>
      <c r="D422" s="1040"/>
      <c r="E422" s="1040"/>
      <c r="F422" s="1103"/>
      <c r="G422" s="1041"/>
      <c r="H422" s="1042"/>
      <c r="I422" s="1040"/>
      <c r="J422" s="1040"/>
      <c r="K422" s="1040"/>
      <c r="L422" s="1103"/>
      <c r="M422" s="1041"/>
      <c r="N422" s="1042"/>
      <c r="O422" s="1040"/>
      <c r="P422" s="1040"/>
      <c r="Q422" s="1040"/>
      <c r="R422" s="1103"/>
      <c r="S422" s="1041"/>
      <c r="T422" s="1042"/>
      <c r="U422" s="1040"/>
      <c r="V422" s="1040"/>
      <c r="W422" s="1040"/>
      <c r="X422" s="1103"/>
      <c r="Y422" s="1041"/>
      <c r="Z422" s="1042"/>
      <c r="AA422" s="1040"/>
      <c r="AB422" s="1040"/>
      <c r="AC422" s="1043"/>
      <c r="AD422" s="1103"/>
      <c r="AE422" s="1041"/>
      <c r="AF422" s="1042"/>
      <c r="AG422" s="1040"/>
      <c r="AH422" s="1040"/>
      <c r="AI422" s="1040"/>
      <c r="AJ422" s="51"/>
      <c r="AK422" s="1041"/>
      <c r="AL422" s="1042"/>
      <c r="AM422" s="1040"/>
      <c r="AN422" s="1040"/>
      <c r="AO422" s="1040"/>
      <c r="AP422" s="51"/>
      <c r="AQ422" s="1041"/>
      <c r="AR422" s="1042"/>
      <c r="AS422" s="1040"/>
      <c r="AT422" s="1040"/>
      <c r="AU422" s="1040"/>
      <c r="AV422" s="51"/>
      <c r="AW422" s="1041"/>
      <c r="AX422" s="1042"/>
      <c r="AY422" s="1040"/>
      <c r="AZ422" s="1040"/>
      <c r="BA422" s="1040"/>
      <c r="BB422" s="51"/>
      <c r="BC422" s="1041"/>
      <c r="BD422" s="1042"/>
      <c r="BE422" s="1040"/>
      <c r="BF422" s="1040"/>
      <c r="BG422" s="1040"/>
      <c r="BH422" s="51"/>
      <c r="BI422" s="1041"/>
      <c r="BJ422" s="1044"/>
      <c r="BK422" s="767"/>
      <c r="BL422" s="1040"/>
      <c r="BM422" s="1040"/>
      <c r="BN422" s="278"/>
      <c r="BO422" s="775">
        <f>+BO423*BO398</f>
        <v>81.288901538389254</v>
      </c>
      <c r="BP422" s="278"/>
      <c r="BQ422" s="743"/>
      <c r="BR422" s="278"/>
      <c r="BS422" s="278"/>
      <c r="BT422" s="278"/>
      <c r="BU422" s="793"/>
      <c r="BV422" s="278"/>
      <c r="BW422" s="743"/>
      <c r="BX422" s="278"/>
      <c r="BY422" s="278"/>
      <c r="BZ422" s="278"/>
      <c r="CA422" s="793"/>
      <c r="CB422" s="278"/>
      <c r="CC422" s="743"/>
      <c r="CD422" s="278"/>
      <c r="CE422" s="278"/>
      <c r="CF422" s="278"/>
      <c r="CG422" s="793"/>
      <c r="CI422" s="1267"/>
    </row>
    <row r="423" spans="1:87" s="186" customFormat="1" x14ac:dyDescent="0.2">
      <c r="A423" s="865"/>
      <c r="B423" s="1269" t="s">
        <v>643</v>
      </c>
      <c r="C423" s="1259"/>
      <c r="D423" s="1259"/>
      <c r="E423" s="1259"/>
      <c r="F423" s="1259"/>
      <c r="G423" s="1261"/>
      <c r="H423" s="1262"/>
      <c r="I423" s="1259"/>
      <c r="J423" s="1259"/>
      <c r="K423" s="1259"/>
      <c r="L423" s="1259"/>
      <c r="M423" s="1261"/>
      <c r="N423" s="1262"/>
      <c r="O423" s="1259"/>
      <c r="P423" s="1259"/>
      <c r="Q423" s="1259"/>
      <c r="R423" s="1259"/>
      <c r="S423" s="1261"/>
      <c r="T423" s="1262"/>
      <c r="U423" s="1259"/>
      <c r="V423" s="1259"/>
      <c r="W423" s="1259"/>
      <c r="X423" s="1259"/>
      <c r="Y423" s="1261"/>
      <c r="Z423" s="1262"/>
      <c r="AA423" s="1259"/>
      <c r="AB423" s="1259"/>
      <c r="AC423" s="1268"/>
      <c r="AD423" s="1259"/>
      <c r="AE423" s="1261"/>
      <c r="AF423" s="1262"/>
      <c r="AG423" s="1259"/>
      <c r="AH423" s="1259"/>
      <c r="AI423" s="1259"/>
      <c r="AJ423" s="1259"/>
      <c r="AK423" s="1261"/>
      <c r="AL423" s="1262"/>
      <c r="AM423" s="1259"/>
      <c r="AN423" s="1259"/>
      <c r="AO423" s="1259"/>
      <c r="AP423" s="1259"/>
      <c r="AQ423" s="1261"/>
      <c r="AR423" s="1262"/>
      <c r="AS423" s="1259"/>
      <c r="AT423" s="1259"/>
      <c r="AU423" s="1259"/>
      <c r="AV423" s="1259"/>
      <c r="AW423" s="1261"/>
      <c r="AX423" s="1262"/>
      <c r="AY423" s="1259"/>
      <c r="AZ423" s="1259"/>
      <c r="BA423" s="1259"/>
      <c r="BB423" s="1259"/>
      <c r="BC423" s="1261"/>
      <c r="BD423" s="1262"/>
      <c r="BE423" s="1259"/>
      <c r="BF423" s="1259"/>
      <c r="BG423" s="1259"/>
      <c r="BH423" s="1259"/>
      <c r="BI423" s="1261"/>
      <c r="BJ423" s="1264"/>
      <c r="BK423" s="1265"/>
      <c r="BL423" s="941"/>
      <c r="BM423" s="941"/>
      <c r="BN423" s="941"/>
      <c r="BO423" s="970">
        <v>0.18</v>
      </c>
      <c r="BP423" s="941"/>
      <c r="BQ423" s="1266"/>
      <c r="BR423" s="941"/>
      <c r="BS423" s="941"/>
      <c r="BT423" s="941"/>
      <c r="BU423" s="937"/>
      <c r="BV423" s="941"/>
      <c r="BW423" s="1266"/>
      <c r="BX423" s="941"/>
      <c r="BY423" s="941"/>
      <c r="BZ423" s="941"/>
      <c r="CA423" s="937"/>
      <c r="CB423" s="941"/>
      <c r="CC423" s="1266"/>
      <c r="CD423" s="941"/>
      <c r="CE423" s="941"/>
      <c r="CF423" s="941"/>
      <c r="CG423" s="937"/>
      <c r="CI423" s="1267"/>
    </row>
    <row r="424" spans="1:87" x14ac:dyDescent="0.2">
      <c r="A424" s="279"/>
      <c r="B424" s="1298" t="s">
        <v>671</v>
      </c>
      <c r="C424" s="1259"/>
      <c r="D424" s="1259"/>
      <c r="E424" s="1259"/>
      <c r="F424" s="1259"/>
      <c r="G424" s="1261"/>
      <c r="H424" s="1262"/>
      <c r="I424" s="1259"/>
      <c r="J424" s="1259"/>
      <c r="K424" s="1259"/>
      <c r="L424" s="1259"/>
      <c r="M424" s="1261"/>
      <c r="N424" s="1262"/>
      <c r="O424" s="1259"/>
      <c r="P424" s="1259"/>
      <c r="Q424" s="1259"/>
      <c r="R424" s="1259"/>
      <c r="S424" s="1261"/>
      <c r="T424" s="1262"/>
      <c r="U424" s="1259"/>
      <c r="V424" s="1259"/>
      <c r="W424" s="1259"/>
      <c r="X424" s="1259"/>
      <c r="Y424" s="1261"/>
      <c r="Z424" s="1262"/>
      <c r="AA424" s="1259"/>
      <c r="AB424" s="1259"/>
      <c r="AC424" s="1268"/>
      <c r="AD424" s="1259"/>
      <c r="AE424" s="1261"/>
      <c r="AF424" s="1262"/>
      <c r="AG424" s="1259"/>
      <c r="AH424" s="1259"/>
      <c r="AI424" s="1259"/>
      <c r="AJ424" s="1259"/>
      <c r="AK424" s="1261"/>
      <c r="AL424" s="1262"/>
      <c r="AM424" s="1259"/>
      <c r="AN424" s="1259"/>
      <c r="AO424" s="1259"/>
      <c r="AP424" s="1259"/>
      <c r="AQ424" s="1261"/>
      <c r="AR424" s="1262"/>
      <c r="AS424" s="1259"/>
      <c r="AT424" s="1259"/>
      <c r="AU424" s="1259"/>
      <c r="AV424" s="1259"/>
      <c r="AW424" s="1261"/>
      <c r="AX424" s="1262"/>
      <c r="AY424" s="1259"/>
      <c r="AZ424" s="1259"/>
      <c r="BA424" s="1259"/>
      <c r="BB424" s="1259"/>
      <c r="BC424" s="1261"/>
      <c r="BD424" s="1262"/>
      <c r="BE424" s="1259"/>
      <c r="BF424" s="1259"/>
      <c r="BG424" s="1259"/>
      <c r="BH424" s="1259"/>
      <c r="BI424" s="1261"/>
      <c r="BJ424" s="1264"/>
      <c r="BK424" s="1265"/>
      <c r="BL424" s="941"/>
      <c r="BM424" s="941"/>
      <c r="BN424" s="941"/>
      <c r="BO424" s="937">
        <f>+BO422/BO$457</f>
        <v>9.4591382209957817E-2</v>
      </c>
      <c r="BP424" s="941"/>
      <c r="BQ424" s="1266"/>
      <c r="BR424" s="941"/>
      <c r="BS424" s="941"/>
      <c r="BT424" s="941"/>
      <c r="BU424" s="937"/>
      <c r="BV424" s="941"/>
      <c r="BW424" s="1266"/>
      <c r="BX424" s="941"/>
      <c r="BY424" s="941"/>
      <c r="BZ424" s="941"/>
      <c r="CA424" s="937"/>
      <c r="CB424" s="941"/>
      <c r="CC424" s="1266"/>
      <c r="CD424" s="941"/>
      <c r="CE424" s="941"/>
      <c r="CF424" s="941"/>
      <c r="CG424" s="937"/>
      <c r="CI424" s="11"/>
    </row>
    <row r="425" spans="1:87" s="186" customFormat="1" x14ac:dyDescent="0.2">
      <c r="A425" s="865"/>
      <c r="B425" s="773" t="s">
        <v>669</v>
      </c>
      <c r="C425" s="1040"/>
      <c r="D425" s="1040"/>
      <c r="E425" s="1040"/>
      <c r="F425" s="1103"/>
      <c r="G425" s="1041"/>
      <c r="H425" s="1042"/>
      <c r="I425" s="1040"/>
      <c r="J425" s="1040"/>
      <c r="K425" s="1040"/>
      <c r="L425" s="1103"/>
      <c r="M425" s="1041"/>
      <c r="N425" s="1042"/>
      <c r="O425" s="1040"/>
      <c r="P425" s="1040"/>
      <c r="Q425" s="1040"/>
      <c r="R425" s="1103"/>
      <c r="S425" s="1041"/>
      <c r="T425" s="1042"/>
      <c r="U425" s="1040"/>
      <c r="V425" s="1040"/>
      <c r="W425" s="1040"/>
      <c r="X425" s="1103"/>
      <c r="Y425" s="1041"/>
      <c r="Z425" s="1042"/>
      <c r="AA425" s="1040"/>
      <c r="AB425" s="1040"/>
      <c r="AC425" s="1043"/>
      <c r="AD425" s="1103"/>
      <c r="AE425" s="1041"/>
      <c r="AF425" s="1042"/>
      <c r="AG425" s="1040"/>
      <c r="AH425" s="1040"/>
      <c r="AI425" s="1040"/>
      <c r="AJ425" s="51"/>
      <c r="AK425" s="1041"/>
      <c r="AL425" s="1042"/>
      <c r="AM425" s="1040"/>
      <c r="AN425" s="1040"/>
      <c r="AO425" s="1040"/>
      <c r="AP425" s="51"/>
      <c r="AQ425" s="1041"/>
      <c r="AR425" s="1042"/>
      <c r="AS425" s="1040"/>
      <c r="AT425" s="1040"/>
      <c r="AU425" s="1040"/>
      <c r="AV425" s="51"/>
      <c r="AW425" s="1041"/>
      <c r="AX425" s="1042"/>
      <c r="AY425" s="1040"/>
      <c r="AZ425" s="1040"/>
      <c r="BA425" s="1040"/>
      <c r="BB425" s="51"/>
      <c r="BC425" s="1041"/>
      <c r="BD425" s="1042"/>
      <c r="BE425" s="1040"/>
      <c r="BF425" s="1040"/>
      <c r="BG425" s="1040"/>
      <c r="BH425" s="51"/>
      <c r="BI425" s="1041"/>
      <c r="BJ425" s="1044"/>
      <c r="BK425" s="767"/>
      <c r="BL425" s="1040"/>
      <c r="BM425" s="1040"/>
      <c r="BN425" s="278"/>
      <c r="BO425" s="775">
        <f>+BO426*BO400</f>
        <v>54.633846215243395</v>
      </c>
      <c r="BP425" s="278"/>
      <c r="BQ425" s="743"/>
      <c r="BR425" s="278"/>
      <c r="BS425" s="278"/>
      <c r="BT425" s="278"/>
      <c r="BU425" s="793"/>
      <c r="BV425" s="278"/>
      <c r="BW425" s="743"/>
      <c r="BX425" s="278"/>
      <c r="BY425" s="278"/>
      <c r="BZ425" s="278"/>
      <c r="CA425" s="793"/>
      <c r="CB425" s="278"/>
      <c r="CC425" s="743"/>
      <c r="CD425" s="278"/>
      <c r="CE425" s="278"/>
      <c r="CF425" s="278"/>
      <c r="CG425" s="793"/>
      <c r="CI425" s="1267"/>
    </row>
    <row r="426" spans="1:87" s="186" customFormat="1" x14ac:dyDescent="0.2">
      <c r="A426" s="865"/>
      <c r="B426" s="1269" t="s">
        <v>643</v>
      </c>
      <c r="C426" s="1259"/>
      <c r="D426" s="1259"/>
      <c r="E426" s="1259"/>
      <c r="F426" s="1259"/>
      <c r="G426" s="1261"/>
      <c r="H426" s="1262"/>
      <c r="I426" s="1259"/>
      <c r="J426" s="1259"/>
      <c r="K426" s="1259"/>
      <c r="L426" s="1259"/>
      <c r="M426" s="1261"/>
      <c r="N426" s="1262"/>
      <c r="O426" s="1259"/>
      <c r="P426" s="1259"/>
      <c r="Q426" s="1259"/>
      <c r="R426" s="1259"/>
      <c r="S426" s="1261"/>
      <c r="T426" s="1262"/>
      <c r="U426" s="1259"/>
      <c r="V426" s="1259"/>
      <c r="W426" s="1259"/>
      <c r="X426" s="1259"/>
      <c r="Y426" s="1261"/>
      <c r="Z426" s="1262"/>
      <c r="AA426" s="1259"/>
      <c r="AB426" s="1259"/>
      <c r="AC426" s="1268"/>
      <c r="AD426" s="1259"/>
      <c r="AE426" s="1261"/>
      <c r="AF426" s="1262"/>
      <c r="AG426" s="1259"/>
      <c r="AH426" s="1259"/>
      <c r="AI426" s="1259"/>
      <c r="AJ426" s="1259"/>
      <c r="AK426" s="1261"/>
      <c r="AL426" s="1262"/>
      <c r="AM426" s="1259"/>
      <c r="AN426" s="1259"/>
      <c r="AO426" s="1259"/>
      <c r="AP426" s="1259"/>
      <c r="AQ426" s="1261"/>
      <c r="AR426" s="1262"/>
      <c r="AS426" s="1259"/>
      <c r="AT426" s="1259"/>
      <c r="AU426" s="1259"/>
      <c r="AV426" s="1259"/>
      <c r="AW426" s="1261"/>
      <c r="AX426" s="1262"/>
      <c r="AY426" s="1259"/>
      <c r="AZ426" s="1259"/>
      <c r="BA426" s="1259"/>
      <c r="BB426" s="1259"/>
      <c r="BC426" s="1261"/>
      <c r="BD426" s="1262"/>
      <c r="BE426" s="1259"/>
      <c r="BF426" s="1259"/>
      <c r="BG426" s="1259"/>
      <c r="BH426" s="1259"/>
      <c r="BI426" s="1261"/>
      <c r="BJ426" s="1264"/>
      <c r="BK426" s="1265"/>
      <c r="BL426" s="941"/>
      <c r="BM426" s="941"/>
      <c r="BN426" s="941"/>
      <c r="BO426" s="970">
        <v>0.14000000000000001</v>
      </c>
      <c r="BP426" s="941"/>
      <c r="BQ426" s="1266"/>
      <c r="BR426" s="941"/>
      <c r="BS426" s="941"/>
      <c r="BT426" s="941"/>
      <c r="BU426" s="937"/>
      <c r="BV426" s="941"/>
      <c r="BW426" s="1266"/>
      <c r="BX426" s="941"/>
      <c r="BY426" s="941"/>
      <c r="BZ426" s="941"/>
      <c r="CA426" s="937"/>
      <c r="CB426" s="941"/>
      <c r="CC426" s="1266"/>
      <c r="CD426" s="941"/>
      <c r="CE426" s="941"/>
      <c r="CF426" s="941"/>
      <c r="CG426" s="937"/>
      <c r="CI426" s="1267"/>
    </row>
    <row r="427" spans="1:87" x14ac:dyDescent="0.2">
      <c r="A427" s="279"/>
      <c r="B427" s="1298" t="s">
        <v>671</v>
      </c>
      <c r="C427" s="1259"/>
      <c r="D427" s="1259"/>
      <c r="E427" s="1259"/>
      <c r="F427" s="1259"/>
      <c r="G427" s="1261"/>
      <c r="H427" s="1262"/>
      <c r="I427" s="1259"/>
      <c r="J427" s="1259"/>
      <c r="K427" s="1259"/>
      <c r="L427" s="1259"/>
      <c r="M427" s="1261"/>
      <c r="N427" s="1262"/>
      <c r="O427" s="1259"/>
      <c r="P427" s="1259"/>
      <c r="Q427" s="1259"/>
      <c r="R427" s="1259"/>
      <c r="S427" s="1261"/>
      <c r="T427" s="1262"/>
      <c r="U427" s="1259"/>
      <c r="V427" s="1259"/>
      <c r="W427" s="1259"/>
      <c r="X427" s="1259"/>
      <c r="Y427" s="1261"/>
      <c r="Z427" s="1262"/>
      <c r="AA427" s="1259"/>
      <c r="AB427" s="1259"/>
      <c r="AC427" s="1268"/>
      <c r="AD427" s="1259"/>
      <c r="AE427" s="1261"/>
      <c r="AF427" s="1262"/>
      <c r="AG427" s="1259"/>
      <c r="AH427" s="1259"/>
      <c r="AI427" s="1259"/>
      <c r="AJ427" s="1259"/>
      <c r="AK427" s="1261"/>
      <c r="AL427" s="1262"/>
      <c r="AM427" s="1259"/>
      <c r="AN427" s="1259"/>
      <c r="AO427" s="1259"/>
      <c r="AP427" s="1259"/>
      <c r="AQ427" s="1261"/>
      <c r="AR427" s="1262"/>
      <c r="AS427" s="1259"/>
      <c r="AT427" s="1259"/>
      <c r="AU427" s="1259"/>
      <c r="AV427" s="1259"/>
      <c r="AW427" s="1261"/>
      <c r="AX427" s="1262"/>
      <c r="AY427" s="1259"/>
      <c r="AZ427" s="1259"/>
      <c r="BA427" s="1259"/>
      <c r="BB427" s="1259"/>
      <c r="BC427" s="1261"/>
      <c r="BD427" s="1262"/>
      <c r="BE427" s="1259"/>
      <c r="BF427" s="1259"/>
      <c r="BG427" s="1259"/>
      <c r="BH427" s="1259"/>
      <c r="BI427" s="1261"/>
      <c r="BJ427" s="1264"/>
      <c r="BK427" s="1265"/>
      <c r="BL427" s="941"/>
      <c r="BM427" s="941"/>
      <c r="BN427" s="941"/>
      <c r="BO427" s="937">
        <f>+BO425/BO$457</f>
        <v>6.3574374006094461E-2</v>
      </c>
      <c r="BP427" s="941"/>
      <c r="BQ427" s="1266"/>
      <c r="BR427" s="941"/>
      <c r="BS427" s="941"/>
      <c r="BT427" s="941"/>
      <c r="BU427" s="937"/>
      <c r="BV427" s="941"/>
      <c r="BW427" s="1266"/>
      <c r="BX427" s="941"/>
      <c r="BY427" s="941"/>
      <c r="BZ427" s="941"/>
      <c r="CA427" s="937"/>
      <c r="CB427" s="941"/>
      <c r="CC427" s="1266"/>
      <c r="CD427" s="941"/>
      <c r="CE427" s="941"/>
      <c r="CF427" s="941"/>
      <c r="CG427" s="937"/>
      <c r="CI427" s="11"/>
    </row>
    <row r="428" spans="1:87" s="186" customFormat="1" x14ac:dyDescent="0.2">
      <c r="A428" s="865"/>
      <c r="B428" s="773" t="s">
        <v>651</v>
      </c>
      <c r="C428" s="1040"/>
      <c r="D428" s="1040"/>
      <c r="E428" s="1040"/>
      <c r="F428" s="1103"/>
      <c r="G428" s="1041"/>
      <c r="H428" s="1042"/>
      <c r="I428" s="1040"/>
      <c r="J428" s="1040"/>
      <c r="K428" s="1040"/>
      <c r="L428" s="1103"/>
      <c r="M428" s="1041"/>
      <c r="N428" s="1042"/>
      <c r="O428" s="1040"/>
      <c r="P428" s="1040"/>
      <c r="Q428" s="1040"/>
      <c r="R428" s="1103"/>
      <c r="S428" s="1041"/>
      <c r="T428" s="1042"/>
      <c r="U428" s="1040"/>
      <c r="V428" s="1040"/>
      <c r="W428" s="1040"/>
      <c r="X428" s="1103"/>
      <c r="Y428" s="1041"/>
      <c r="Z428" s="1042"/>
      <c r="AA428" s="1040"/>
      <c r="AB428" s="1040"/>
      <c r="AC428" s="1043"/>
      <c r="AD428" s="1103"/>
      <c r="AE428" s="1041"/>
      <c r="AF428" s="1042"/>
      <c r="AG428" s="1040"/>
      <c r="AH428" s="1040"/>
      <c r="AI428" s="1040"/>
      <c r="AJ428" s="51"/>
      <c r="AK428" s="1041"/>
      <c r="AL428" s="1042"/>
      <c r="AM428" s="1040"/>
      <c r="AN428" s="1040"/>
      <c r="AO428" s="1040"/>
      <c r="AP428" s="51"/>
      <c r="AQ428" s="1041"/>
      <c r="AR428" s="1042"/>
      <c r="AS428" s="1040"/>
      <c r="AT428" s="1040"/>
      <c r="AU428" s="1040"/>
      <c r="AV428" s="51"/>
      <c r="AW428" s="1041"/>
      <c r="AX428" s="1042"/>
      <c r="AY428" s="1040"/>
      <c r="AZ428" s="1040"/>
      <c r="BA428" s="1040"/>
      <c r="BB428" s="51"/>
      <c r="BC428" s="1041"/>
      <c r="BD428" s="1042"/>
      <c r="BE428" s="1040"/>
      <c r="BF428" s="1040"/>
      <c r="BG428" s="1040"/>
      <c r="BH428" s="51"/>
      <c r="BI428" s="1041"/>
      <c r="BJ428" s="1044"/>
      <c r="BK428" s="767"/>
      <c r="BL428" s="1040"/>
      <c r="BM428" s="1040"/>
      <c r="BN428" s="278"/>
      <c r="BO428" s="775">
        <f>+BO429*BO402</f>
        <v>193.34562327730833</v>
      </c>
      <c r="BP428" s="278"/>
      <c r="BQ428" s="743"/>
      <c r="BR428" s="278"/>
      <c r="BS428" s="278"/>
      <c r="BT428" s="278"/>
      <c r="BU428" s="793"/>
      <c r="BV428" s="278"/>
      <c r="BW428" s="743"/>
      <c r="BX428" s="278"/>
      <c r="BY428" s="278"/>
      <c r="BZ428" s="278"/>
      <c r="CA428" s="793"/>
      <c r="CB428" s="278"/>
      <c r="CC428" s="743"/>
      <c r="CD428" s="278"/>
      <c r="CE428" s="278"/>
      <c r="CF428" s="278"/>
      <c r="CG428" s="793"/>
      <c r="CI428" s="1267"/>
    </row>
    <row r="429" spans="1:87" s="186" customFormat="1" x14ac:dyDescent="0.2">
      <c r="A429" s="865"/>
      <c r="B429" s="1269" t="s">
        <v>643</v>
      </c>
      <c r="C429" s="1259"/>
      <c r="D429" s="1259"/>
      <c r="E429" s="1259"/>
      <c r="F429" s="1259"/>
      <c r="G429" s="1261"/>
      <c r="H429" s="1262"/>
      <c r="I429" s="1259"/>
      <c r="J429" s="1259"/>
      <c r="K429" s="1259"/>
      <c r="L429" s="1259"/>
      <c r="M429" s="1261"/>
      <c r="N429" s="1262"/>
      <c r="O429" s="1259"/>
      <c r="P429" s="1259"/>
      <c r="Q429" s="1259"/>
      <c r="R429" s="1259"/>
      <c r="S429" s="1261"/>
      <c r="T429" s="1262"/>
      <c r="U429" s="1259"/>
      <c r="V429" s="1259"/>
      <c r="W429" s="1259"/>
      <c r="X429" s="1259"/>
      <c r="Y429" s="1261"/>
      <c r="Z429" s="1262"/>
      <c r="AA429" s="1259"/>
      <c r="AB429" s="1259"/>
      <c r="AC429" s="1268"/>
      <c r="AD429" s="1259"/>
      <c r="AE429" s="1261"/>
      <c r="AF429" s="1262"/>
      <c r="AG429" s="1259"/>
      <c r="AH429" s="1259"/>
      <c r="AI429" s="1259"/>
      <c r="AJ429" s="1259"/>
      <c r="AK429" s="1261"/>
      <c r="AL429" s="1262"/>
      <c r="AM429" s="1259"/>
      <c r="AN429" s="1259"/>
      <c r="AO429" s="1259"/>
      <c r="AP429" s="1259"/>
      <c r="AQ429" s="1261"/>
      <c r="AR429" s="1262"/>
      <c r="AS429" s="1259"/>
      <c r="AT429" s="1259"/>
      <c r="AU429" s="1259"/>
      <c r="AV429" s="1259"/>
      <c r="AW429" s="1261"/>
      <c r="AX429" s="1262"/>
      <c r="AY429" s="1259"/>
      <c r="AZ429" s="1259"/>
      <c r="BA429" s="1259"/>
      <c r="BB429" s="1259"/>
      <c r="BC429" s="1261"/>
      <c r="BD429" s="1262"/>
      <c r="BE429" s="1259"/>
      <c r="BF429" s="1259"/>
      <c r="BG429" s="1259"/>
      <c r="BH429" s="1259"/>
      <c r="BI429" s="1261"/>
      <c r="BJ429" s="1264"/>
      <c r="BK429" s="1265"/>
      <c r="BL429" s="941"/>
      <c r="BM429" s="941"/>
      <c r="BN429" s="941"/>
      <c r="BO429" s="970">
        <v>0.1</v>
      </c>
      <c r="BP429" s="941"/>
      <c r="BQ429" s="1266"/>
      <c r="BR429" s="941"/>
      <c r="BS429" s="941"/>
      <c r="BT429" s="941"/>
      <c r="BU429" s="937"/>
      <c r="BV429" s="941"/>
      <c r="BW429" s="1266"/>
      <c r="BX429" s="941"/>
      <c r="BY429" s="941"/>
      <c r="BZ429" s="941"/>
      <c r="CA429" s="937"/>
      <c r="CB429" s="941"/>
      <c r="CC429" s="1266"/>
      <c r="CD429" s="941"/>
      <c r="CE429" s="941"/>
      <c r="CF429" s="941"/>
      <c r="CG429" s="937"/>
      <c r="CI429" s="1267"/>
    </row>
    <row r="430" spans="1:87" s="186" customFormat="1" x14ac:dyDescent="0.2">
      <c r="A430" s="865"/>
      <c r="B430" s="1298" t="s">
        <v>671</v>
      </c>
      <c r="C430" s="1259"/>
      <c r="D430" s="1259"/>
      <c r="E430" s="1259"/>
      <c r="F430" s="1259"/>
      <c r="G430" s="1261"/>
      <c r="H430" s="1262"/>
      <c r="I430" s="1259"/>
      <c r="J430" s="1259"/>
      <c r="K430" s="1259"/>
      <c r="L430" s="1259"/>
      <c r="M430" s="1261"/>
      <c r="N430" s="1262"/>
      <c r="O430" s="1259"/>
      <c r="P430" s="1259"/>
      <c r="Q430" s="1259"/>
      <c r="R430" s="1259"/>
      <c r="S430" s="1261"/>
      <c r="T430" s="1262"/>
      <c r="U430" s="1259"/>
      <c r="V430" s="1259"/>
      <c r="W430" s="1259"/>
      <c r="X430" s="1259"/>
      <c r="Y430" s="1261"/>
      <c r="Z430" s="1262"/>
      <c r="AA430" s="1259"/>
      <c r="AB430" s="1259"/>
      <c r="AC430" s="1268"/>
      <c r="AD430" s="1259"/>
      <c r="AE430" s="1261"/>
      <c r="AF430" s="1262"/>
      <c r="AG430" s="1259"/>
      <c r="AH430" s="1259"/>
      <c r="AI430" s="1259"/>
      <c r="AJ430" s="1259"/>
      <c r="AK430" s="1261"/>
      <c r="AL430" s="1262"/>
      <c r="AM430" s="1259"/>
      <c r="AN430" s="1259"/>
      <c r="AO430" s="1259"/>
      <c r="AP430" s="1259"/>
      <c r="AQ430" s="1261"/>
      <c r="AR430" s="1262"/>
      <c r="AS430" s="1259"/>
      <c r="AT430" s="1259"/>
      <c r="AU430" s="1259"/>
      <c r="AV430" s="1259"/>
      <c r="AW430" s="1261"/>
      <c r="AX430" s="1262"/>
      <c r="AY430" s="1259"/>
      <c r="AZ430" s="1259"/>
      <c r="BA430" s="1259"/>
      <c r="BB430" s="1259"/>
      <c r="BC430" s="1261"/>
      <c r="BD430" s="1262"/>
      <c r="BE430" s="1259"/>
      <c r="BF430" s="1259"/>
      <c r="BG430" s="1259"/>
      <c r="BH430" s="1259"/>
      <c r="BI430" s="1261"/>
      <c r="BJ430" s="1264"/>
      <c r="BK430" s="1265"/>
      <c r="BL430" s="941"/>
      <c r="BM430" s="941"/>
      <c r="BN430" s="941"/>
      <c r="BO430" s="937">
        <f>+BO428/BO$457</f>
        <v>0.22498556880374823</v>
      </c>
      <c r="BP430" s="941"/>
      <c r="BQ430" s="1266"/>
      <c r="BR430" s="941"/>
      <c r="BS430" s="941"/>
      <c r="BT430" s="941"/>
      <c r="BU430" s="937"/>
      <c r="BV430" s="941"/>
      <c r="BW430" s="1266"/>
      <c r="BX430" s="941"/>
      <c r="BY430" s="941"/>
      <c r="BZ430" s="941"/>
      <c r="CA430" s="937"/>
      <c r="CB430" s="941"/>
      <c r="CC430" s="1266"/>
      <c r="CD430" s="941"/>
      <c r="CE430" s="941"/>
      <c r="CF430" s="941"/>
      <c r="CG430" s="937"/>
      <c r="CI430" s="1267"/>
    </row>
    <row r="431" spans="1:87" s="186" customFormat="1" x14ac:dyDescent="0.2">
      <c r="A431" s="865"/>
      <c r="B431" s="773" t="s">
        <v>653</v>
      </c>
      <c r="C431" s="1040"/>
      <c r="D431" s="1040"/>
      <c r="E431" s="1040"/>
      <c r="F431" s="1103"/>
      <c r="G431" s="1041"/>
      <c r="H431" s="1042"/>
      <c r="I431" s="1040"/>
      <c r="J431" s="1040"/>
      <c r="K431" s="1040"/>
      <c r="L431" s="1103"/>
      <c r="M431" s="1041"/>
      <c r="N431" s="1042"/>
      <c r="O431" s="1040"/>
      <c r="P431" s="1040"/>
      <c r="Q431" s="1040"/>
      <c r="R431" s="1103"/>
      <c r="S431" s="1041"/>
      <c r="T431" s="1042"/>
      <c r="U431" s="1040"/>
      <c r="V431" s="1040"/>
      <c r="W431" s="1040"/>
      <c r="X431" s="1103"/>
      <c r="Y431" s="1041"/>
      <c r="Z431" s="1042"/>
      <c r="AA431" s="1040"/>
      <c r="AB431" s="1040"/>
      <c r="AC431" s="1043"/>
      <c r="AD431" s="1103"/>
      <c r="AE431" s="1041"/>
      <c r="AF431" s="1042"/>
      <c r="AG431" s="1040"/>
      <c r="AH431" s="1040"/>
      <c r="AI431" s="1040"/>
      <c r="AJ431" s="51"/>
      <c r="AK431" s="1041"/>
      <c r="AL431" s="1042"/>
      <c r="AM431" s="1040"/>
      <c r="AN431" s="1040"/>
      <c r="AO431" s="1040"/>
      <c r="AP431" s="51"/>
      <c r="AQ431" s="1041"/>
      <c r="AR431" s="1042"/>
      <c r="AS431" s="1040"/>
      <c r="AT431" s="1040"/>
      <c r="AU431" s="1040"/>
      <c r="AV431" s="51"/>
      <c r="AW431" s="1041"/>
      <c r="AX431" s="1042"/>
      <c r="AY431" s="1040"/>
      <c r="AZ431" s="1040"/>
      <c r="BA431" s="1040"/>
      <c r="BB431" s="51"/>
      <c r="BC431" s="1041"/>
      <c r="BD431" s="1042"/>
      <c r="BE431" s="1040"/>
      <c r="BF431" s="1040"/>
      <c r="BG431" s="1040"/>
      <c r="BH431" s="51"/>
      <c r="BI431" s="1041"/>
      <c r="BJ431" s="1044"/>
      <c r="BK431" s="767"/>
      <c r="BL431" s="1040"/>
      <c r="BM431" s="1040"/>
      <c r="BN431" s="278"/>
      <c r="BO431" s="775">
        <f>+BO432*BO404</f>
        <v>47.735211600000007</v>
      </c>
      <c r="BP431" s="278"/>
      <c r="BQ431" s="743"/>
      <c r="BR431" s="278"/>
      <c r="BS431" s="278"/>
      <c r="BT431" s="278"/>
      <c r="BU431" s="793"/>
      <c r="BV431" s="278"/>
      <c r="BW431" s="743"/>
      <c r="BX431" s="278"/>
      <c r="BY431" s="278"/>
      <c r="BZ431" s="278"/>
      <c r="CA431" s="793"/>
      <c r="CB431" s="278"/>
      <c r="CC431" s="743"/>
      <c r="CD431" s="278"/>
      <c r="CE431" s="278"/>
      <c r="CF431" s="278"/>
      <c r="CG431" s="793"/>
      <c r="CI431" s="1267"/>
    </row>
    <row r="432" spans="1:87" x14ac:dyDescent="0.2">
      <c r="A432" s="279"/>
      <c r="B432" s="1269" t="s">
        <v>643</v>
      </c>
      <c r="C432" s="1259"/>
      <c r="D432" s="1259"/>
      <c r="E432" s="1259"/>
      <c r="F432" s="1259"/>
      <c r="G432" s="1261"/>
      <c r="H432" s="1262"/>
      <c r="I432" s="1259"/>
      <c r="J432" s="1259"/>
      <c r="K432" s="1259"/>
      <c r="L432" s="1259"/>
      <c r="M432" s="1261"/>
      <c r="N432" s="1262"/>
      <c r="O432" s="1259"/>
      <c r="P432" s="1259"/>
      <c r="Q432" s="1259"/>
      <c r="R432" s="1259"/>
      <c r="S432" s="1261"/>
      <c r="T432" s="1262"/>
      <c r="U432" s="1259"/>
      <c r="V432" s="1259"/>
      <c r="W432" s="1259"/>
      <c r="X432" s="1259"/>
      <c r="Y432" s="1261"/>
      <c r="Z432" s="1262"/>
      <c r="AA432" s="1259"/>
      <c r="AB432" s="1259"/>
      <c r="AC432" s="1268"/>
      <c r="AD432" s="1259"/>
      <c r="AE432" s="1261"/>
      <c r="AF432" s="1262"/>
      <c r="AG432" s="1259"/>
      <c r="AH432" s="1259"/>
      <c r="AI432" s="1259"/>
      <c r="AJ432" s="1259"/>
      <c r="AK432" s="1261"/>
      <c r="AL432" s="1262"/>
      <c r="AM432" s="1259"/>
      <c r="AN432" s="1259"/>
      <c r="AO432" s="1259"/>
      <c r="AP432" s="1259"/>
      <c r="AQ432" s="1261"/>
      <c r="AR432" s="1262"/>
      <c r="AS432" s="1259"/>
      <c r="AT432" s="1259"/>
      <c r="AU432" s="1259"/>
      <c r="AV432" s="1259"/>
      <c r="AW432" s="1261"/>
      <c r="AX432" s="1262"/>
      <c r="AY432" s="1259"/>
      <c r="AZ432" s="1259"/>
      <c r="BA432" s="1259"/>
      <c r="BB432" s="1259"/>
      <c r="BC432" s="1261"/>
      <c r="BD432" s="1262"/>
      <c r="BE432" s="1259"/>
      <c r="BF432" s="1259"/>
      <c r="BG432" s="1259"/>
      <c r="BH432" s="1259"/>
      <c r="BI432" s="1261"/>
      <c r="BJ432" s="1264"/>
      <c r="BK432" s="1265"/>
      <c r="BL432" s="941"/>
      <c r="BM432" s="941"/>
      <c r="BN432" s="941"/>
      <c r="BO432" s="970">
        <v>5.16E-2</v>
      </c>
      <c r="BP432" s="941"/>
      <c r="BQ432" s="1266"/>
      <c r="BR432" s="941"/>
      <c r="BS432" s="941"/>
      <c r="BT432" s="941"/>
      <c r="BU432" s="937"/>
      <c r="BV432" s="941"/>
      <c r="BW432" s="1266"/>
      <c r="BX432" s="941"/>
      <c r="BY432" s="941"/>
      <c r="BZ432" s="941"/>
      <c r="CA432" s="937"/>
      <c r="CB432" s="941"/>
      <c r="CC432" s="1266"/>
      <c r="CD432" s="941"/>
      <c r="CE432" s="941"/>
      <c r="CF432" s="941"/>
      <c r="CG432" s="937"/>
      <c r="CI432" s="11"/>
    </row>
    <row r="433" spans="1:87" x14ac:dyDescent="0.2">
      <c r="A433" s="279"/>
      <c r="B433" s="1298" t="s">
        <v>671</v>
      </c>
      <c r="C433" s="1259"/>
      <c r="D433" s="1259"/>
      <c r="E433" s="1259"/>
      <c r="F433" s="1259"/>
      <c r="G433" s="1261"/>
      <c r="H433" s="1262"/>
      <c r="I433" s="1259"/>
      <c r="J433" s="1259"/>
      <c r="K433" s="1259"/>
      <c r="L433" s="1259"/>
      <c r="M433" s="1261"/>
      <c r="N433" s="1262"/>
      <c r="O433" s="1259"/>
      <c r="P433" s="1259"/>
      <c r="Q433" s="1259"/>
      <c r="R433" s="1259"/>
      <c r="S433" s="1261"/>
      <c r="T433" s="1262"/>
      <c r="U433" s="1259"/>
      <c r="V433" s="1259"/>
      <c r="W433" s="1259"/>
      <c r="X433" s="1259"/>
      <c r="Y433" s="1261"/>
      <c r="Z433" s="1262"/>
      <c r="AA433" s="1259"/>
      <c r="AB433" s="1259"/>
      <c r="AC433" s="1268"/>
      <c r="AD433" s="1259"/>
      <c r="AE433" s="1261"/>
      <c r="AF433" s="1262"/>
      <c r="AG433" s="1259"/>
      <c r="AH433" s="1259"/>
      <c r="AI433" s="1259"/>
      <c r="AJ433" s="1259"/>
      <c r="AK433" s="1261"/>
      <c r="AL433" s="1262"/>
      <c r="AM433" s="1259"/>
      <c r="AN433" s="1259"/>
      <c r="AO433" s="1259"/>
      <c r="AP433" s="1259"/>
      <c r="AQ433" s="1261"/>
      <c r="AR433" s="1262"/>
      <c r="AS433" s="1259"/>
      <c r="AT433" s="1259"/>
      <c r="AU433" s="1259"/>
      <c r="AV433" s="1259"/>
      <c r="AW433" s="1261"/>
      <c r="AX433" s="1262"/>
      <c r="AY433" s="1259"/>
      <c r="AZ433" s="1259"/>
      <c r="BA433" s="1259"/>
      <c r="BB433" s="1259"/>
      <c r="BC433" s="1261"/>
      <c r="BD433" s="1262"/>
      <c r="BE433" s="1259"/>
      <c r="BF433" s="1259"/>
      <c r="BG433" s="1259"/>
      <c r="BH433" s="1259"/>
      <c r="BI433" s="1261"/>
      <c r="BJ433" s="1264"/>
      <c r="BK433" s="1265"/>
      <c r="BL433" s="941"/>
      <c r="BM433" s="941"/>
      <c r="BN433" s="941"/>
      <c r="BO433" s="937">
        <f>+BO431/BO$457</f>
        <v>5.5546815861405287E-2</v>
      </c>
      <c r="BP433" s="941"/>
      <c r="BQ433" s="1266"/>
      <c r="BR433" s="941"/>
      <c r="BS433" s="941"/>
      <c r="BT433" s="941"/>
      <c r="BU433" s="937"/>
      <c r="BV433" s="941"/>
      <c r="BW433" s="1266"/>
      <c r="BX433" s="941"/>
      <c r="BY433" s="941"/>
      <c r="BZ433" s="941"/>
      <c r="CA433" s="937"/>
      <c r="CB433" s="941"/>
      <c r="CC433" s="1266"/>
      <c r="CD433" s="941"/>
      <c r="CE433" s="941"/>
      <c r="CF433" s="941"/>
      <c r="CG433" s="937"/>
      <c r="CI433" s="11"/>
    </row>
    <row r="434" spans="1:87" x14ac:dyDescent="0.2">
      <c r="A434" s="279"/>
      <c r="B434" s="772" t="s">
        <v>659</v>
      </c>
      <c r="C434" s="1040"/>
      <c r="D434" s="1040"/>
      <c r="E434" s="1040"/>
      <c r="F434" s="1103"/>
      <c r="G434" s="1041"/>
      <c r="H434" s="1042"/>
      <c r="I434" s="1040"/>
      <c r="J434" s="1040"/>
      <c r="K434" s="1040"/>
      <c r="L434" s="1103"/>
      <c r="M434" s="1041"/>
      <c r="N434" s="1042"/>
      <c r="O434" s="1040"/>
      <c r="P434" s="1040"/>
      <c r="Q434" s="1040"/>
      <c r="R434" s="1103"/>
      <c r="S434" s="1041"/>
      <c r="T434" s="1042"/>
      <c r="U434" s="1040"/>
      <c r="V434" s="1040"/>
      <c r="W434" s="1040"/>
      <c r="X434" s="1103"/>
      <c r="Y434" s="1041"/>
      <c r="Z434" s="1042"/>
      <c r="AA434" s="1040"/>
      <c r="AB434" s="1040"/>
      <c r="AC434" s="1043"/>
      <c r="AD434" s="1103"/>
      <c r="AE434" s="1041"/>
      <c r="AF434" s="1042"/>
      <c r="AG434" s="1040"/>
      <c r="AH434" s="1040"/>
      <c r="AI434" s="1040"/>
      <c r="AJ434" s="51"/>
      <c r="AK434" s="1041"/>
      <c r="AL434" s="1042"/>
      <c r="AM434" s="1040"/>
      <c r="AN434" s="1040"/>
      <c r="AO434" s="1040"/>
      <c r="AP434" s="51"/>
      <c r="AQ434" s="1041"/>
      <c r="AR434" s="1042"/>
      <c r="AS434" s="1040"/>
      <c r="AT434" s="1040"/>
      <c r="AU434" s="1040"/>
      <c r="AV434" s="51"/>
      <c r="AW434" s="1041"/>
      <c r="AX434" s="1042"/>
      <c r="AY434" s="1040"/>
      <c r="AZ434" s="1040"/>
      <c r="BA434" s="1040"/>
      <c r="BB434" s="51"/>
      <c r="BC434" s="1041"/>
      <c r="BD434" s="1042"/>
      <c r="BE434" s="1040"/>
      <c r="BF434" s="1040"/>
      <c r="BG434" s="1040"/>
      <c r="BH434" s="51"/>
      <c r="BI434" s="1041"/>
      <c r="BJ434" s="1044"/>
      <c r="BK434" s="767"/>
      <c r="BL434" s="1040"/>
      <c r="BM434" s="1040"/>
      <c r="BN434" s="278"/>
      <c r="BO434" s="1271">
        <f>+BO431+BO428+BO425+BO422</f>
        <v>377.00358263094103</v>
      </c>
      <c r="BP434" s="278"/>
      <c r="BQ434" s="743"/>
      <c r="BR434" s="278"/>
      <c r="BS434" s="278"/>
      <c r="BT434" s="278"/>
      <c r="BU434" s="793"/>
      <c r="BV434" s="278"/>
      <c r="BW434" s="743"/>
      <c r="BX434" s="278"/>
      <c r="BY434" s="278"/>
      <c r="BZ434" s="278"/>
      <c r="CA434" s="793"/>
      <c r="CB434" s="278"/>
      <c r="CC434" s="743"/>
      <c r="CD434" s="278"/>
      <c r="CE434" s="278"/>
      <c r="CF434" s="278"/>
      <c r="CG434" s="793"/>
      <c r="CI434" s="11"/>
    </row>
    <row r="435" spans="1:87" x14ac:dyDescent="0.2">
      <c r="B435" s="1270" t="s">
        <v>643</v>
      </c>
      <c r="C435" s="1259"/>
      <c r="D435" s="1259"/>
      <c r="E435" s="1259"/>
      <c r="F435" s="1259"/>
      <c r="G435" s="1261"/>
      <c r="H435" s="1262"/>
      <c r="I435" s="1259"/>
      <c r="J435" s="1259"/>
      <c r="K435" s="1259"/>
      <c r="L435" s="1259"/>
      <c r="M435" s="1261"/>
      <c r="N435" s="1262"/>
      <c r="O435" s="1259"/>
      <c r="P435" s="1259"/>
      <c r="Q435" s="1259"/>
      <c r="R435" s="1259"/>
      <c r="S435" s="1261"/>
      <c r="T435" s="1262"/>
      <c r="U435" s="1259"/>
      <c r="V435" s="1259"/>
      <c r="W435" s="1259"/>
      <c r="X435" s="1259"/>
      <c r="Y435" s="1261"/>
      <c r="Z435" s="1262"/>
      <c r="AA435" s="1259"/>
      <c r="AB435" s="1259"/>
      <c r="AC435" s="1268"/>
      <c r="AD435" s="1259"/>
      <c r="AE435" s="1261"/>
      <c r="AF435" s="1262"/>
      <c r="AG435" s="1259"/>
      <c r="AH435" s="1259"/>
      <c r="AI435" s="1259"/>
      <c r="AJ435" s="1259"/>
      <c r="AK435" s="1261"/>
      <c r="AL435" s="1262"/>
      <c r="AM435" s="1259"/>
      <c r="AN435" s="1259"/>
      <c r="AO435" s="1259"/>
      <c r="AP435" s="1259"/>
      <c r="AQ435" s="1261"/>
      <c r="AR435" s="1262"/>
      <c r="AS435" s="1259"/>
      <c r="AT435" s="1259"/>
      <c r="AU435" s="1259"/>
      <c r="AV435" s="1259"/>
      <c r="AW435" s="1261"/>
      <c r="AX435" s="1262"/>
      <c r="AY435" s="1259"/>
      <c r="AZ435" s="1259"/>
      <c r="BA435" s="1259"/>
      <c r="BB435" s="1259"/>
      <c r="BC435" s="1261"/>
      <c r="BD435" s="1262"/>
      <c r="BE435" s="1259"/>
      <c r="BF435" s="1259"/>
      <c r="BG435" s="1259"/>
      <c r="BH435" s="1259"/>
      <c r="BI435" s="1261"/>
      <c r="BJ435" s="1264"/>
      <c r="BK435" s="1265"/>
      <c r="BL435" s="941"/>
      <c r="BM435" s="941"/>
      <c r="BN435" s="941"/>
      <c r="BO435" s="1296">
        <f>+BO434/BO371</f>
        <v>0.10188173578640089</v>
      </c>
      <c r="BP435" s="941"/>
      <c r="BQ435" s="1266"/>
      <c r="BR435" s="941"/>
      <c r="BS435" s="941"/>
      <c r="BT435" s="941"/>
      <c r="BU435" s="937"/>
      <c r="BV435" s="941"/>
      <c r="BW435" s="1266"/>
      <c r="BX435" s="941"/>
      <c r="BY435" s="941"/>
      <c r="BZ435" s="941"/>
      <c r="CA435" s="937"/>
      <c r="CB435" s="941"/>
      <c r="CC435" s="1266"/>
      <c r="CD435" s="941"/>
      <c r="CE435" s="941"/>
      <c r="CF435" s="941"/>
      <c r="CG435" s="937"/>
      <c r="CI435" s="11"/>
    </row>
    <row r="436" spans="1:87" x14ac:dyDescent="0.2">
      <c r="B436" s="1298" t="s">
        <v>672</v>
      </c>
      <c r="C436" s="1259"/>
      <c r="D436" s="1259"/>
      <c r="E436" s="1259"/>
      <c r="F436" s="1259"/>
      <c r="G436" s="1261"/>
      <c r="H436" s="1262"/>
      <c r="I436" s="1259"/>
      <c r="J436" s="1259"/>
      <c r="K436" s="1259"/>
      <c r="L436" s="1259"/>
      <c r="M436" s="1261"/>
      <c r="N436" s="1262"/>
      <c r="O436" s="1259"/>
      <c r="P436" s="1259"/>
      <c r="Q436" s="1259"/>
      <c r="R436" s="1259"/>
      <c r="S436" s="1261"/>
      <c r="T436" s="1262"/>
      <c r="U436" s="1259"/>
      <c r="V436" s="1259"/>
      <c r="W436" s="1259"/>
      <c r="X436" s="1259"/>
      <c r="Y436" s="1261"/>
      <c r="Z436" s="1262"/>
      <c r="AA436" s="1259"/>
      <c r="AB436" s="1259"/>
      <c r="AC436" s="1268"/>
      <c r="AD436" s="1259"/>
      <c r="AE436" s="1261"/>
      <c r="AF436" s="1262"/>
      <c r="AG436" s="1259"/>
      <c r="AH436" s="1259"/>
      <c r="AI436" s="1259"/>
      <c r="AJ436" s="1259"/>
      <c r="AK436" s="1261"/>
      <c r="AL436" s="1262"/>
      <c r="AM436" s="1259"/>
      <c r="AN436" s="1259"/>
      <c r="AO436" s="1259"/>
      <c r="AP436" s="1259"/>
      <c r="AQ436" s="1261"/>
      <c r="AR436" s="1262"/>
      <c r="AS436" s="1259"/>
      <c r="AT436" s="1259"/>
      <c r="AU436" s="1259"/>
      <c r="AV436" s="1259"/>
      <c r="AW436" s="1261"/>
      <c r="AX436" s="1262"/>
      <c r="AY436" s="1259"/>
      <c r="AZ436" s="1259"/>
      <c r="BA436" s="1259"/>
      <c r="BB436" s="1259"/>
      <c r="BC436" s="1261"/>
      <c r="BD436" s="1262"/>
      <c r="BE436" s="1259"/>
      <c r="BF436" s="1259"/>
      <c r="BG436" s="1259"/>
      <c r="BH436" s="1259"/>
      <c r="BI436" s="1261"/>
      <c r="BJ436" s="1264"/>
      <c r="BK436" s="1265"/>
      <c r="BL436" s="941"/>
      <c r="BM436" s="941"/>
      <c r="BN436" s="941"/>
      <c r="BO436" s="937">
        <f>+BO434/BO$457</f>
        <v>0.43869814088120584</v>
      </c>
      <c r="BP436" s="941"/>
      <c r="BQ436" s="1266"/>
      <c r="BR436" s="941"/>
      <c r="BS436" s="941"/>
      <c r="BT436" s="941"/>
      <c r="BU436" s="937"/>
      <c r="BV436" s="941"/>
      <c r="BW436" s="1266"/>
      <c r="BX436" s="941"/>
      <c r="BY436" s="941"/>
      <c r="BZ436" s="941"/>
      <c r="CA436" s="937"/>
      <c r="CB436" s="941"/>
      <c r="CC436" s="1266"/>
      <c r="CD436" s="941"/>
      <c r="CE436" s="941"/>
      <c r="CF436" s="941"/>
      <c r="CG436" s="937"/>
      <c r="CI436" s="11"/>
    </row>
    <row r="437" spans="1:87" x14ac:dyDescent="0.2">
      <c r="A437" s="279"/>
      <c r="B437" s="1270"/>
      <c r="C437" s="1259"/>
      <c r="D437" s="1259"/>
      <c r="E437" s="1259"/>
      <c r="F437" s="1259"/>
      <c r="G437" s="1261"/>
      <c r="H437" s="1262"/>
      <c r="I437" s="1259"/>
      <c r="J437" s="1259"/>
      <c r="K437" s="1259"/>
      <c r="L437" s="1259"/>
      <c r="M437" s="1261"/>
      <c r="N437" s="1262"/>
      <c r="O437" s="1259"/>
      <c r="P437" s="1259"/>
      <c r="Q437" s="1259"/>
      <c r="R437" s="1259"/>
      <c r="S437" s="1261"/>
      <c r="T437" s="1262"/>
      <c r="U437" s="1259"/>
      <c r="V437" s="1259"/>
      <c r="W437" s="1259"/>
      <c r="X437" s="1259"/>
      <c r="Y437" s="1261"/>
      <c r="Z437" s="1262"/>
      <c r="AA437" s="1259"/>
      <c r="AB437" s="1259"/>
      <c r="AC437" s="1268"/>
      <c r="AD437" s="1259"/>
      <c r="AE437" s="1261"/>
      <c r="AF437" s="1262"/>
      <c r="AG437" s="1259"/>
      <c r="AH437" s="1259"/>
      <c r="AI437" s="1259"/>
      <c r="AJ437" s="1259"/>
      <c r="AK437" s="1261"/>
      <c r="AL437" s="1262"/>
      <c r="AM437" s="1259"/>
      <c r="AN437" s="1259"/>
      <c r="AO437" s="1259"/>
      <c r="AP437" s="1259"/>
      <c r="AQ437" s="1261"/>
      <c r="AR437" s="1262"/>
      <c r="AS437" s="1259"/>
      <c r="AT437" s="1259"/>
      <c r="AU437" s="1259"/>
      <c r="AV437" s="1259"/>
      <c r="AW437" s="1261"/>
      <c r="AX437" s="1262"/>
      <c r="AY437" s="1259"/>
      <c r="AZ437" s="1259"/>
      <c r="BA437" s="1259"/>
      <c r="BB437" s="1259"/>
      <c r="BC437" s="1261"/>
      <c r="BD437" s="1262"/>
      <c r="BE437" s="1259"/>
      <c r="BF437" s="1259"/>
      <c r="BG437" s="1259"/>
      <c r="BH437" s="1259"/>
      <c r="BI437" s="1261"/>
      <c r="BJ437" s="1264"/>
      <c r="BK437" s="1265"/>
      <c r="BL437" s="941"/>
      <c r="BM437" s="941"/>
      <c r="BN437" s="941"/>
      <c r="BO437" s="1272"/>
      <c r="BP437" s="941"/>
      <c r="BQ437" s="1266"/>
      <c r="BR437" s="941"/>
      <c r="BS437" s="941"/>
      <c r="BT437" s="941"/>
      <c r="BU437" s="937"/>
      <c r="BV437" s="941"/>
      <c r="BW437" s="1266"/>
      <c r="BX437" s="941"/>
      <c r="BY437" s="941"/>
      <c r="BZ437" s="941"/>
      <c r="CA437" s="937"/>
      <c r="CB437" s="941"/>
      <c r="CC437" s="1266"/>
      <c r="CD437" s="941"/>
      <c r="CE437" s="941"/>
      <c r="CF437" s="941"/>
      <c r="CG437" s="937"/>
      <c r="CI437" s="11"/>
    </row>
    <row r="438" spans="1:87" x14ac:dyDescent="0.2">
      <c r="B438" s="706" t="s">
        <v>665</v>
      </c>
      <c r="C438" s="703"/>
      <c r="D438" s="704"/>
      <c r="E438" s="704"/>
      <c r="F438" s="704"/>
      <c r="G438" s="705"/>
      <c r="H438" s="1039"/>
      <c r="I438" s="703"/>
      <c r="J438" s="704"/>
      <c r="K438" s="704"/>
      <c r="L438" s="704"/>
      <c r="M438" s="705"/>
      <c r="N438" s="1039"/>
      <c r="O438" s="703"/>
      <c r="P438" s="704"/>
      <c r="Q438" s="704"/>
      <c r="R438" s="704"/>
      <c r="S438" s="705"/>
      <c r="T438" s="1039"/>
      <c r="U438" s="703"/>
      <c r="V438" s="704"/>
      <c r="W438" s="704"/>
      <c r="X438" s="704"/>
      <c r="Y438" s="705"/>
      <c r="Z438" s="1039"/>
      <c r="AA438" s="703"/>
      <c r="AB438" s="704"/>
      <c r="AC438" s="704"/>
      <c r="AD438" s="704"/>
      <c r="AE438" s="1104"/>
      <c r="AF438" s="1039"/>
      <c r="AG438" s="703"/>
      <c r="AH438" s="704"/>
      <c r="AI438" s="704"/>
      <c r="AJ438" s="704"/>
      <c r="AK438" s="1104"/>
      <c r="AL438" s="1039"/>
      <c r="AM438" s="703"/>
      <c r="AN438" s="704"/>
      <c r="AO438" s="704"/>
      <c r="AP438" s="704"/>
      <c r="AQ438" s="705"/>
      <c r="AR438" s="1039"/>
      <c r="AS438" s="703"/>
      <c r="AT438" s="704"/>
      <c r="AU438" s="704"/>
      <c r="AV438" s="704"/>
      <c r="AW438" s="705"/>
      <c r="AX438" s="1039"/>
      <c r="AY438" s="703"/>
      <c r="AZ438" s="704"/>
      <c r="BA438" s="704"/>
      <c r="BB438" s="704"/>
      <c r="BC438" s="705"/>
      <c r="BD438" s="1039"/>
      <c r="BE438" s="703"/>
      <c r="BF438" s="704"/>
      <c r="BG438" s="704"/>
      <c r="BH438" s="704"/>
      <c r="BI438" s="705"/>
      <c r="BJ438" s="1039"/>
      <c r="BK438" s="703"/>
      <c r="BL438" s="704"/>
      <c r="BM438" s="704"/>
      <c r="BN438" s="704"/>
      <c r="BO438" s="1257"/>
      <c r="BP438" s="1039"/>
      <c r="BQ438" s="703"/>
      <c r="BR438" s="704"/>
      <c r="BS438" s="704"/>
      <c r="BT438" s="704"/>
      <c r="BU438" s="705"/>
      <c r="BV438" s="1039"/>
      <c r="BW438" s="703"/>
      <c r="BX438" s="704"/>
      <c r="BY438" s="704"/>
      <c r="BZ438" s="704"/>
      <c r="CA438" s="705"/>
      <c r="CB438" s="1039"/>
      <c r="CC438" s="703"/>
      <c r="CD438" s="704"/>
      <c r="CE438" s="704"/>
      <c r="CF438" s="704"/>
      <c r="CG438" s="705"/>
      <c r="CI438" s="11"/>
    </row>
    <row r="439" spans="1:87" x14ac:dyDescent="0.2">
      <c r="B439" s="773" t="s">
        <v>632</v>
      </c>
      <c r="C439" s="1040"/>
      <c r="D439" s="1040"/>
      <c r="E439" s="1040"/>
      <c r="F439" s="1103"/>
      <c r="G439" s="1041"/>
      <c r="H439" s="1042"/>
      <c r="I439" s="1040"/>
      <c r="J439" s="1040"/>
      <c r="K439" s="1040"/>
      <c r="L439" s="1103"/>
      <c r="M439" s="1041"/>
      <c r="N439" s="1042"/>
      <c r="O439" s="1040"/>
      <c r="P439" s="1040"/>
      <c r="Q439" s="1040"/>
      <c r="R439" s="1103"/>
      <c r="S439" s="1041"/>
      <c r="T439" s="1042"/>
      <c r="U439" s="1040"/>
      <c r="V439" s="1040"/>
      <c r="W439" s="1040"/>
      <c r="X439" s="1103"/>
      <c r="Y439" s="1041"/>
      <c r="Z439" s="1042"/>
      <c r="AA439" s="1040"/>
      <c r="AB439" s="1040"/>
      <c r="AC439" s="1043"/>
      <c r="AD439" s="1103"/>
      <c r="AE439" s="1041"/>
      <c r="AF439" s="1042"/>
      <c r="AG439" s="1040"/>
      <c r="AH439" s="1040"/>
      <c r="AI439" s="1040"/>
      <c r="AJ439" s="51"/>
      <c r="AK439" s="1041"/>
      <c r="AL439" s="1042"/>
      <c r="AM439" s="1040"/>
      <c r="AN439" s="1040"/>
      <c r="AO439" s="1040"/>
      <c r="AP439" s="51"/>
      <c r="AQ439" s="1041"/>
      <c r="AR439" s="1042"/>
      <c r="AS439" s="1040"/>
      <c r="AT439" s="1040"/>
      <c r="AU439" s="1040"/>
      <c r="AV439" s="51"/>
      <c r="AW439" s="1041"/>
      <c r="AX439" s="1042"/>
      <c r="AY439" s="1040"/>
      <c r="AZ439" s="1040"/>
      <c r="BA439" s="1040"/>
      <c r="BB439" s="51"/>
      <c r="BC439" s="1041"/>
      <c r="BD439" s="1042"/>
      <c r="BE439" s="1040"/>
      <c r="BF439" s="1040"/>
      <c r="BG439" s="1040"/>
      <c r="BH439" s="51"/>
      <c r="BI439" s="1041"/>
      <c r="BJ439" s="1044"/>
      <c r="BK439" s="767"/>
      <c r="BL439" s="1040"/>
      <c r="BM439" s="1040"/>
      <c r="BN439" s="278"/>
      <c r="BO439" s="775">
        <f>+BO440*BO408</f>
        <v>32.291348888941094</v>
      </c>
      <c r="BP439" s="278"/>
      <c r="BQ439" s="743"/>
      <c r="BR439" s="278"/>
      <c r="BS439" s="278"/>
      <c r="BT439" s="278"/>
      <c r="BU439" s="793"/>
      <c r="BV439" s="278"/>
      <c r="BW439" s="743"/>
      <c r="BX439" s="278"/>
      <c r="BY439" s="278"/>
      <c r="BZ439" s="278"/>
      <c r="CA439" s="793"/>
      <c r="CB439" s="278"/>
      <c r="CC439" s="743"/>
      <c r="CD439" s="278"/>
      <c r="CE439" s="278"/>
      <c r="CF439" s="278"/>
      <c r="CG439" s="793"/>
      <c r="CI439" s="11"/>
    </row>
    <row r="440" spans="1:87" x14ac:dyDescent="0.2">
      <c r="A440" s="279"/>
      <c r="B440" s="1269" t="s">
        <v>643</v>
      </c>
      <c r="C440" s="1259"/>
      <c r="D440" s="1259"/>
      <c r="E440" s="1259"/>
      <c r="F440" s="1259"/>
      <c r="G440" s="1261"/>
      <c r="H440" s="1262"/>
      <c r="I440" s="1259"/>
      <c r="J440" s="1259"/>
      <c r="K440" s="1259"/>
      <c r="L440" s="1259"/>
      <c r="M440" s="1261"/>
      <c r="N440" s="1262"/>
      <c r="O440" s="1259"/>
      <c r="P440" s="1259"/>
      <c r="Q440" s="1259"/>
      <c r="R440" s="1259"/>
      <c r="S440" s="1261"/>
      <c r="T440" s="1262"/>
      <c r="U440" s="1259"/>
      <c r="V440" s="1259"/>
      <c r="W440" s="1259"/>
      <c r="X440" s="1259"/>
      <c r="Y440" s="1261"/>
      <c r="Z440" s="1262"/>
      <c r="AA440" s="1259"/>
      <c r="AB440" s="1259"/>
      <c r="AC440" s="1268"/>
      <c r="AD440" s="1259"/>
      <c r="AE440" s="1261"/>
      <c r="AF440" s="1262"/>
      <c r="AG440" s="1259"/>
      <c r="AH440" s="1259"/>
      <c r="AI440" s="1259"/>
      <c r="AJ440" s="1259"/>
      <c r="AK440" s="1261"/>
      <c r="AL440" s="1262"/>
      <c r="AM440" s="1259"/>
      <c r="AN440" s="1259"/>
      <c r="AO440" s="1259"/>
      <c r="AP440" s="1259"/>
      <c r="AQ440" s="1261"/>
      <c r="AR440" s="1262"/>
      <c r="AS440" s="1259"/>
      <c r="AT440" s="1259"/>
      <c r="AU440" s="1259"/>
      <c r="AV440" s="1259"/>
      <c r="AW440" s="1261"/>
      <c r="AX440" s="1262"/>
      <c r="AY440" s="1259"/>
      <c r="AZ440" s="1259"/>
      <c r="BA440" s="1259"/>
      <c r="BB440" s="1259"/>
      <c r="BC440" s="1261"/>
      <c r="BD440" s="1262"/>
      <c r="BE440" s="1259"/>
      <c r="BF440" s="1259"/>
      <c r="BG440" s="1259"/>
      <c r="BH440" s="1259"/>
      <c r="BI440" s="1261"/>
      <c r="BJ440" s="1264"/>
      <c r="BK440" s="1265"/>
      <c r="BL440" s="941"/>
      <c r="BM440" s="941"/>
      <c r="BN440" s="941"/>
      <c r="BO440" s="970">
        <v>0.13</v>
      </c>
      <c r="BP440" s="278"/>
      <c r="BQ440" s="743"/>
      <c r="BR440" s="278"/>
      <c r="BS440" s="278"/>
      <c r="BT440" s="278"/>
      <c r="BU440" s="793"/>
      <c r="BV440" s="278"/>
      <c r="BW440" s="743"/>
      <c r="BX440" s="278"/>
      <c r="BY440" s="278"/>
      <c r="BZ440" s="278"/>
      <c r="CA440" s="793"/>
      <c r="CB440" s="278"/>
      <c r="CC440" s="743"/>
      <c r="CD440" s="278"/>
      <c r="CE440" s="278"/>
      <c r="CF440" s="278"/>
      <c r="CG440" s="793"/>
      <c r="CI440" s="11"/>
    </row>
    <row r="441" spans="1:87" x14ac:dyDescent="0.2">
      <c r="B441" s="1298" t="s">
        <v>671</v>
      </c>
      <c r="C441" s="1259"/>
      <c r="D441" s="1259"/>
      <c r="E441" s="1259"/>
      <c r="F441" s="1259"/>
      <c r="G441" s="1261"/>
      <c r="H441" s="1262"/>
      <c r="I441" s="1259"/>
      <c r="J441" s="1259"/>
      <c r="K441" s="1259"/>
      <c r="L441" s="1259"/>
      <c r="M441" s="1261"/>
      <c r="N441" s="1262"/>
      <c r="O441" s="1259"/>
      <c r="P441" s="1259"/>
      <c r="Q441" s="1259"/>
      <c r="R441" s="1259"/>
      <c r="S441" s="1261"/>
      <c r="T441" s="1262"/>
      <c r="U441" s="1259"/>
      <c r="V441" s="1259"/>
      <c r="W441" s="1259"/>
      <c r="X441" s="1259"/>
      <c r="Y441" s="1261"/>
      <c r="Z441" s="1262"/>
      <c r="AA441" s="1259"/>
      <c r="AB441" s="1259"/>
      <c r="AC441" s="1268"/>
      <c r="AD441" s="1259"/>
      <c r="AE441" s="1261"/>
      <c r="AF441" s="1262"/>
      <c r="AG441" s="1259"/>
      <c r="AH441" s="1259"/>
      <c r="AI441" s="1259"/>
      <c r="AJ441" s="1259"/>
      <c r="AK441" s="1261"/>
      <c r="AL441" s="1262"/>
      <c r="AM441" s="1259"/>
      <c r="AN441" s="1259"/>
      <c r="AO441" s="1259"/>
      <c r="AP441" s="1259"/>
      <c r="AQ441" s="1261"/>
      <c r="AR441" s="1262"/>
      <c r="AS441" s="1259"/>
      <c r="AT441" s="1259"/>
      <c r="AU441" s="1259"/>
      <c r="AV441" s="1259"/>
      <c r="AW441" s="1261"/>
      <c r="AX441" s="1262"/>
      <c r="AY441" s="1259"/>
      <c r="AZ441" s="1259"/>
      <c r="BA441" s="1259"/>
      <c r="BB441" s="1259"/>
      <c r="BC441" s="1261"/>
      <c r="BD441" s="1262"/>
      <c r="BE441" s="1259"/>
      <c r="BF441" s="1259"/>
      <c r="BG441" s="1259"/>
      <c r="BH441" s="1259"/>
      <c r="BI441" s="1261"/>
      <c r="BJ441" s="1264"/>
      <c r="BK441" s="1265"/>
      <c r="BL441" s="941"/>
      <c r="BM441" s="941"/>
      <c r="BN441" s="941"/>
      <c r="BO441" s="937">
        <f>+BO439/BO$457</f>
        <v>3.7575650144397912E-2</v>
      </c>
      <c r="BP441" s="278"/>
      <c r="BQ441" s="743"/>
      <c r="BR441" s="278"/>
      <c r="BS441" s="278"/>
      <c r="BT441" s="278"/>
      <c r="BU441" s="793"/>
      <c r="BV441" s="278"/>
      <c r="BW441" s="743"/>
      <c r="BX441" s="278"/>
      <c r="BY441" s="278"/>
      <c r="BZ441" s="278"/>
      <c r="CA441" s="793"/>
      <c r="CB441" s="278"/>
      <c r="CC441" s="743"/>
      <c r="CD441" s="278"/>
      <c r="CE441" s="278"/>
      <c r="CF441" s="278"/>
      <c r="CG441" s="793"/>
    </row>
    <row r="442" spans="1:87" x14ac:dyDescent="0.2">
      <c r="B442" s="773" t="s">
        <v>670</v>
      </c>
      <c r="C442" s="1040"/>
      <c r="D442" s="1040"/>
      <c r="E442" s="1040"/>
      <c r="F442" s="1103"/>
      <c r="G442" s="1041"/>
      <c r="H442" s="1042"/>
      <c r="I442" s="1040"/>
      <c r="J442" s="1040"/>
      <c r="K442" s="1040"/>
      <c r="L442" s="1103"/>
      <c r="M442" s="1041"/>
      <c r="N442" s="1042"/>
      <c r="O442" s="1040"/>
      <c r="P442" s="1040"/>
      <c r="Q442" s="1040"/>
      <c r="R442" s="1103"/>
      <c r="S442" s="1041"/>
      <c r="T442" s="1042"/>
      <c r="U442" s="1040"/>
      <c r="V442" s="1040"/>
      <c r="W442" s="1040"/>
      <c r="X442" s="1103"/>
      <c r="Y442" s="1041"/>
      <c r="Z442" s="1042"/>
      <c r="AA442" s="1040"/>
      <c r="AB442" s="1040"/>
      <c r="AC442" s="1043"/>
      <c r="AD442" s="1103"/>
      <c r="AE442" s="1041"/>
      <c r="AF442" s="1042"/>
      <c r="AG442" s="1040"/>
      <c r="AH442" s="1040"/>
      <c r="AI442" s="1040"/>
      <c r="AJ442" s="51"/>
      <c r="AK442" s="1041"/>
      <c r="AL442" s="1042"/>
      <c r="AM442" s="1040"/>
      <c r="AN442" s="1040"/>
      <c r="AO442" s="1040"/>
      <c r="AP442" s="51"/>
      <c r="AQ442" s="1041"/>
      <c r="AR442" s="1042"/>
      <c r="AS442" s="1040"/>
      <c r="AT442" s="1040"/>
      <c r="AU442" s="1040"/>
      <c r="AV442" s="51"/>
      <c r="AW442" s="1041"/>
      <c r="AX442" s="1042"/>
      <c r="AY442" s="1040"/>
      <c r="AZ442" s="1040"/>
      <c r="BA442" s="1040"/>
      <c r="BB442" s="51"/>
      <c r="BC442" s="1041"/>
      <c r="BD442" s="1042"/>
      <c r="BE442" s="1040"/>
      <c r="BF442" s="1040"/>
      <c r="BG442" s="1040"/>
      <c r="BH442" s="51"/>
      <c r="BI442" s="1041"/>
      <c r="BJ442" s="1044"/>
      <c r="BK442" s="767"/>
      <c r="BL442" s="1040"/>
      <c r="BM442" s="1040"/>
      <c r="BN442" s="278"/>
      <c r="BO442" s="775">
        <f>+BO443*BO410</f>
        <v>17.171483305575208</v>
      </c>
      <c r="BP442" s="278"/>
      <c r="BQ442" s="743"/>
      <c r="BR442" s="278"/>
      <c r="BS442" s="278"/>
      <c r="BT442" s="278"/>
      <c r="BU442" s="793"/>
      <c r="BV442" s="278"/>
      <c r="BW442" s="743"/>
      <c r="BX442" s="278"/>
      <c r="BY442" s="278"/>
      <c r="BZ442" s="278"/>
      <c r="CA442" s="793"/>
      <c r="CB442" s="278"/>
      <c r="CC442" s="743"/>
      <c r="CD442" s="278"/>
      <c r="CE442" s="278"/>
      <c r="CF442" s="278"/>
      <c r="CG442" s="793"/>
    </row>
    <row r="443" spans="1:87" x14ac:dyDescent="0.2">
      <c r="A443" s="279"/>
      <c r="B443" s="1269" t="s">
        <v>643</v>
      </c>
      <c r="C443" s="1259"/>
      <c r="D443" s="1259"/>
      <c r="E443" s="1259"/>
      <c r="F443" s="1259"/>
      <c r="G443" s="1261"/>
      <c r="H443" s="1262"/>
      <c r="I443" s="1259"/>
      <c r="J443" s="1259"/>
      <c r="K443" s="1259"/>
      <c r="L443" s="1259"/>
      <c r="M443" s="1261"/>
      <c r="N443" s="1262"/>
      <c r="O443" s="1259"/>
      <c r="P443" s="1259"/>
      <c r="Q443" s="1259"/>
      <c r="R443" s="1259"/>
      <c r="S443" s="1261"/>
      <c r="T443" s="1262"/>
      <c r="U443" s="1259"/>
      <c r="V443" s="1259"/>
      <c r="W443" s="1259"/>
      <c r="X443" s="1259"/>
      <c r="Y443" s="1261"/>
      <c r="Z443" s="1262"/>
      <c r="AA443" s="1259"/>
      <c r="AB443" s="1259"/>
      <c r="AC443" s="1268"/>
      <c r="AD443" s="1259"/>
      <c r="AE443" s="1261"/>
      <c r="AF443" s="1262"/>
      <c r="AG443" s="1259"/>
      <c r="AH443" s="1259"/>
      <c r="AI443" s="1259"/>
      <c r="AJ443" s="1259"/>
      <c r="AK443" s="1261"/>
      <c r="AL443" s="1262"/>
      <c r="AM443" s="1259"/>
      <c r="AN443" s="1259"/>
      <c r="AO443" s="1259"/>
      <c r="AP443" s="1259"/>
      <c r="AQ443" s="1261"/>
      <c r="AR443" s="1262"/>
      <c r="AS443" s="1259"/>
      <c r="AT443" s="1259"/>
      <c r="AU443" s="1259"/>
      <c r="AV443" s="1259"/>
      <c r="AW443" s="1261"/>
      <c r="AX443" s="1262"/>
      <c r="AY443" s="1259"/>
      <c r="AZ443" s="1259"/>
      <c r="BA443" s="1259"/>
      <c r="BB443" s="1259"/>
      <c r="BC443" s="1261"/>
      <c r="BD443" s="1262"/>
      <c r="BE443" s="1259"/>
      <c r="BF443" s="1259"/>
      <c r="BG443" s="1259"/>
      <c r="BH443" s="1259"/>
      <c r="BI443" s="1261"/>
      <c r="BJ443" s="1264"/>
      <c r="BK443" s="1265"/>
      <c r="BL443" s="941"/>
      <c r="BM443" s="941"/>
      <c r="BN443" s="941"/>
      <c r="BO443" s="970">
        <v>0.08</v>
      </c>
      <c r="BP443" s="278"/>
      <c r="BQ443" s="743"/>
      <c r="BR443" s="278"/>
      <c r="BS443" s="278"/>
      <c r="BT443" s="278"/>
      <c r="BU443" s="793"/>
      <c r="BV443" s="278"/>
      <c r="BW443" s="743"/>
      <c r="BX443" s="278"/>
      <c r="BY443" s="278"/>
      <c r="BZ443" s="278"/>
      <c r="CA443" s="793"/>
      <c r="CB443" s="278"/>
      <c r="CC443" s="743"/>
      <c r="CD443" s="278"/>
      <c r="CE443" s="278"/>
      <c r="CF443" s="278"/>
      <c r="CG443" s="793"/>
    </row>
    <row r="444" spans="1:87" x14ac:dyDescent="0.2">
      <c r="B444" s="1298" t="s">
        <v>671</v>
      </c>
      <c r="C444" s="1259"/>
      <c r="D444" s="1259"/>
      <c r="E444" s="1259"/>
      <c r="F444" s="1259"/>
      <c r="G444" s="1261"/>
      <c r="H444" s="1262"/>
      <c r="I444" s="1259"/>
      <c r="J444" s="1259"/>
      <c r="K444" s="1259"/>
      <c r="L444" s="1259"/>
      <c r="M444" s="1261"/>
      <c r="N444" s="1262"/>
      <c r="O444" s="1259"/>
      <c r="P444" s="1259"/>
      <c r="Q444" s="1259"/>
      <c r="R444" s="1259"/>
      <c r="S444" s="1261"/>
      <c r="T444" s="1262"/>
      <c r="U444" s="1259"/>
      <c r="V444" s="1259"/>
      <c r="W444" s="1259"/>
      <c r="X444" s="1259"/>
      <c r="Y444" s="1261"/>
      <c r="Z444" s="1262"/>
      <c r="AA444" s="1259"/>
      <c r="AB444" s="1259"/>
      <c r="AC444" s="1268"/>
      <c r="AD444" s="1259"/>
      <c r="AE444" s="1261"/>
      <c r="AF444" s="1262"/>
      <c r="AG444" s="1259"/>
      <c r="AH444" s="1259"/>
      <c r="AI444" s="1259"/>
      <c r="AJ444" s="1259"/>
      <c r="AK444" s="1261"/>
      <c r="AL444" s="1262"/>
      <c r="AM444" s="1259"/>
      <c r="AN444" s="1259"/>
      <c r="AO444" s="1259"/>
      <c r="AP444" s="1259"/>
      <c r="AQ444" s="1261"/>
      <c r="AR444" s="1262"/>
      <c r="AS444" s="1259"/>
      <c r="AT444" s="1259"/>
      <c r="AU444" s="1259"/>
      <c r="AV444" s="1259"/>
      <c r="AW444" s="1261"/>
      <c r="AX444" s="1262"/>
      <c r="AY444" s="1259"/>
      <c r="AZ444" s="1259"/>
      <c r="BA444" s="1259"/>
      <c r="BB444" s="1259"/>
      <c r="BC444" s="1261"/>
      <c r="BD444" s="1262"/>
      <c r="BE444" s="1259"/>
      <c r="BF444" s="1259"/>
      <c r="BG444" s="1259"/>
      <c r="BH444" s="1259"/>
      <c r="BI444" s="1261"/>
      <c r="BJ444" s="1264"/>
      <c r="BK444" s="1265"/>
      <c r="BL444" s="941"/>
      <c r="BM444" s="941"/>
      <c r="BN444" s="941"/>
      <c r="BO444" s="937">
        <f>+BO442/BO$457</f>
        <v>1.9981501899155315E-2</v>
      </c>
      <c r="BP444" s="278"/>
      <c r="BQ444" s="743"/>
      <c r="BR444" s="278"/>
      <c r="BS444" s="278"/>
      <c r="BT444" s="278"/>
      <c r="BU444" s="793"/>
      <c r="BV444" s="278"/>
      <c r="BW444" s="743"/>
      <c r="BX444" s="278"/>
      <c r="BY444" s="278"/>
      <c r="BZ444" s="278"/>
      <c r="CA444" s="793"/>
      <c r="CB444" s="278"/>
      <c r="CC444" s="743"/>
      <c r="CD444" s="278"/>
      <c r="CE444" s="278"/>
      <c r="CF444" s="278"/>
      <c r="CG444" s="793"/>
      <c r="CI444" s="11"/>
    </row>
    <row r="445" spans="1:87" x14ac:dyDescent="0.2">
      <c r="B445" s="773" t="s">
        <v>652</v>
      </c>
      <c r="C445" s="1040"/>
      <c r="D445" s="1040"/>
      <c r="E445" s="1040"/>
      <c r="F445" s="1103"/>
      <c r="G445" s="1041"/>
      <c r="H445" s="1042"/>
      <c r="I445" s="1040"/>
      <c r="J445" s="1040"/>
      <c r="K445" s="1040"/>
      <c r="L445" s="1103"/>
      <c r="M445" s="1041"/>
      <c r="N445" s="1042"/>
      <c r="O445" s="1040"/>
      <c r="P445" s="1040"/>
      <c r="Q445" s="1040"/>
      <c r="R445" s="1103"/>
      <c r="S445" s="1041"/>
      <c r="T445" s="1042"/>
      <c r="U445" s="1040"/>
      <c r="V445" s="1040"/>
      <c r="W445" s="1040"/>
      <c r="X445" s="1103"/>
      <c r="Y445" s="1041"/>
      <c r="Z445" s="1042"/>
      <c r="AA445" s="1040"/>
      <c r="AB445" s="1040"/>
      <c r="AC445" s="1043"/>
      <c r="AD445" s="1103"/>
      <c r="AE445" s="1041"/>
      <c r="AF445" s="1042"/>
      <c r="AG445" s="1040"/>
      <c r="AH445" s="1040"/>
      <c r="AI445" s="1040"/>
      <c r="AJ445" s="51"/>
      <c r="AK445" s="1041"/>
      <c r="AL445" s="1042"/>
      <c r="AM445" s="1040"/>
      <c r="AN445" s="1040"/>
      <c r="AO445" s="1040"/>
      <c r="AP445" s="51"/>
      <c r="AQ445" s="1041"/>
      <c r="AR445" s="1042"/>
      <c r="AS445" s="1040"/>
      <c r="AT445" s="1040"/>
      <c r="AU445" s="1040"/>
      <c r="AV445" s="51"/>
      <c r="AW445" s="1041"/>
      <c r="AX445" s="1042"/>
      <c r="AY445" s="1040"/>
      <c r="AZ445" s="1040"/>
      <c r="BA445" s="1040"/>
      <c r="BB445" s="51"/>
      <c r="BC445" s="1041"/>
      <c r="BD445" s="1042"/>
      <c r="BE445" s="1040"/>
      <c r="BF445" s="1040"/>
      <c r="BG445" s="1040"/>
      <c r="BH445" s="51"/>
      <c r="BI445" s="1041"/>
      <c r="BJ445" s="1044"/>
      <c r="BK445" s="767"/>
      <c r="BL445" s="1040"/>
      <c r="BM445" s="1040"/>
      <c r="BN445" s="278"/>
      <c r="BO445" s="775">
        <f>+BO446*BO412</f>
        <v>63.807199033615021</v>
      </c>
      <c r="BP445" s="278"/>
      <c r="BQ445" s="743"/>
      <c r="BR445" s="278"/>
      <c r="BS445" s="278"/>
      <c r="BT445" s="278"/>
      <c r="BU445" s="793"/>
      <c r="BV445" s="278"/>
      <c r="BW445" s="743"/>
      <c r="BX445" s="278"/>
      <c r="BY445" s="278"/>
      <c r="BZ445" s="278"/>
      <c r="CA445" s="793"/>
      <c r="CB445" s="278"/>
      <c r="CC445" s="743"/>
      <c r="CD445" s="278"/>
      <c r="CE445" s="278"/>
      <c r="CF445" s="278"/>
      <c r="CG445" s="793"/>
    </row>
    <row r="446" spans="1:87" x14ac:dyDescent="0.2">
      <c r="A446" s="279"/>
      <c r="B446" s="1269" t="s">
        <v>643</v>
      </c>
      <c r="C446" s="1259"/>
      <c r="D446" s="1259"/>
      <c r="E446" s="1259"/>
      <c r="F446" s="1259"/>
      <c r="G446" s="1261"/>
      <c r="H446" s="1262"/>
      <c r="I446" s="1259"/>
      <c r="J446" s="1259"/>
      <c r="K446" s="1259"/>
      <c r="L446" s="1259"/>
      <c r="M446" s="1261"/>
      <c r="N446" s="1262"/>
      <c r="O446" s="1259"/>
      <c r="P446" s="1259"/>
      <c r="Q446" s="1259"/>
      <c r="R446" s="1259"/>
      <c r="S446" s="1261"/>
      <c r="T446" s="1262"/>
      <c r="U446" s="1259"/>
      <c r="V446" s="1259"/>
      <c r="W446" s="1259"/>
      <c r="X446" s="1259"/>
      <c r="Y446" s="1261"/>
      <c r="Z446" s="1262"/>
      <c r="AA446" s="1259"/>
      <c r="AB446" s="1259"/>
      <c r="AC446" s="1268"/>
      <c r="AD446" s="1259"/>
      <c r="AE446" s="1261"/>
      <c r="AF446" s="1262"/>
      <c r="AG446" s="1259"/>
      <c r="AH446" s="1259"/>
      <c r="AI446" s="1259"/>
      <c r="AJ446" s="1259"/>
      <c r="AK446" s="1261"/>
      <c r="AL446" s="1262"/>
      <c r="AM446" s="1259"/>
      <c r="AN446" s="1259"/>
      <c r="AO446" s="1259"/>
      <c r="AP446" s="1259"/>
      <c r="AQ446" s="1261"/>
      <c r="AR446" s="1262"/>
      <c r="AS446" s="1259"/>
      <c r="AT446" s="1259"/>
      <c r="AU446" s="1259"/>
      <c r="AV446" s="1259"/>
      <c r="AW446" s="1261"/>
      <c r="AX446" s="1262"/>
      <c r="AY446" s="1259"/>
      <c r="AZ446" s="1259"/>
      <c r="BA446" s="1259"/>
      <c r="BB446" s="1259"/>
      <c r="BC446" s="1261"/>
      <c r="BD446" s="1262"/>
      <c r="BE446" s="1259"/>
      <c r="BF446" s="1259"/>
      <c r="BG446" s="1259"/>
      <c r="BH446" s="1259"/>
      <c r="BI446" s="1261"/>
      <c r="BJ446" s="1264"/>
      <c r="BK446" s="1265"/>
      <c r="BL446" s="941"/>
      <c r="BM446" s="941"/>
      <c r="BN446" s="941"/>
      <c r="BO446" s="970">
        <v>0.06</v>
      </c>
      <c r="BP446" s="278"/>
      <c r="BQ446" s="743"/>
      <c r="BR446" s="278"/>
      <c r="BS446" s="278"/>
      <c r="BT446" s="278"/>
      <c r="BU446" s="793"/>
      <c r="BV446" s="278"/>
      <c r="BW446" s="743"/>
      <c r="BX446" s="278"/>
      <c r="BY446" s="278"/>
      <c r="BZ446" s="278"/>
      <c r="CA446" s="793"/>
      <c r="CB446" s="278"/>
      <c r="CC446" s="743"/>
      <c r="CD446" s="278"/>
      <c r="CE446" s="278"/>
      <c r="CF446" s="278"/>
      <c r="CG446" s="793"/>
    </row>
    <row r="447" spans="1:87" x14ac:dyDescent="0.2">
      <c r="A447" s="279"/>
      <c r="B447" s="1298" t="s">
        <v>671</v>
      </c>
      <c r="C447" s="1259"/>
      <c r="D447" s="1259"/>
      <c r="E447" s="1259"/>
      <c r="F447" s="1259"/>
      <c r="G447" s="1261"/>
      <c r="H447" s="1262"/>
      <c r="I447" s="1259"/>
      <c r="J447" s="1259"/>
      <c r="K447" s="1259"/>
      <c r="L447" s="1259"/>
      <c r="M447" s="1261"/>
      <c r="N447" s="1262"/>
      <c r="O447" s="1259"/>
      <c r="P447" s="1259"/>
      <c r="Q447" s="1259"/>
      <c r="R447" s="1259"/>
      <c r="S447" s="1261"/>
      <c r="T447" s="1262"/>
      <c r="U447" s="1259"/>
      <c r="V447" s="1259"/>
      <c r="W447" s="1259"/>
      <c r="X447" s="1259"/>
      <c r="Y447" s="1261"/>
      <c r="Z447" s="1262"/>
      <c r="AA447" s="1259"/>
      <c r="AB447" s="1259"/>
      <c r="AC447" s="1268"/>
      <c r="AD447" s="1259"/>
      <c r="AE447" s="1261"/>
      <c r="AF447" s="1262"/>
      <c r="AG447" s="1259"/>
      <c r="AH447" s="1259"/>
      <c r="AI447" s="1259"/>
      <c r="AJ447" s="1259"/>
      <c r="AK447" s="1261"/>
      <c r="AL447" s="1262"/>
      <c r="AM447" s="1259"/>
      <c r="AN447" s="1259"/>
      <c r="AO447" s="1259"/>
      <c r="AP447" s="1259"/>
      <c r="AQ447" s="1261"/>
      <c r="AR447" s="1262"/>
      <c r="AS447" s="1259"/>
      <c r="AT447" s="1259"/>
      <c r="AU447" s="1259"/>
      <c r="AV447" s="1259"/>
      <c r="AW447" s="1261"/>
      <c r="AX447" s="1262"/>
      <c r="AY447" s="1259"/>
      <c r="AZ447" s="1259"/>
      <c r="BA447" s="1259"/>
      <c r="BB447" s="1259"/>
      <c r="BC447" s="1261"/>
      <c r="BD447" s="1262"/>
      <c r="BE447" s="1259"/>
      <c r="BF447" s="1259"/>
      <c r="BG447" s="1259"/>
      <c r="BH447" s="1259"/>
      <c r="BI447" s="1261"/>
      <c r="BJ447" s="1264"/>
      <c r="BK447" s="1265"/>
      <c r="BL447" s="941"/>
      <c r="BM447" s="941"/>
      <c r="BN447" s="941"/>
      <c r="BO447" s="937">
        <f>+BO445/BO$457</f>
        <v>7.4248895449585697E-2</v>
      </c>
      <c r="BP447" s="278"/>
      <c r="BQ447" s="743"/>
      <c r="BR447" s="278"/>
      <c r="BS447" s="278"/>
      <c r="BT447" s="278"/>
      <c r="BU447" s="793"/>
      <c r="BV447" s="278"/>
      <c r="BW447" s="743"/>
      <c r="BX447" s="278"/>
      <c r="BY447" s="278"/>
      <c r="BZ447" s="278"/>
      <c r="CA447" s="793"/>
      <c r="CB447" s="278"/>
      <c r="CC447" s="743"/>
      <c r="CD447" s="278"/>
      <c r="CE447" s="278"/>
      <c r="CF447" s="278"/>
      <c r="CG447" s="793"/>
    </row>
    <row r="448" spans="1:87" x14ac:dyDescent="0.2">
      <c r="A448" s="279"/>
      <c r="B448" s="773" t="s">
        <v>654</v>
      </c>
      <c r="C448" s="1040"/>
      <c r="D448" s="1040"/>
      <c r="E448" s="1040"/>
      <c r="F448" s="1103"/>
      <c r="G448" s="1041"/>
      <c r="H448" s="1042"/>
      <c r="I448" s="1040"/>
      <c r="J448" s="1040"/>
      <c r="K448" s="1040"/>
      <c r="L448" s="1103"/>
      <c r="M448" s="1041"/>
      <c r="N448" s="1042"/>
      <c r="O448" s="1040"/>
      <c r="P448" s="1040"/>
      <c r="Q448" s="1040"/>
      <c r="R448" s="1103"/>
      <c r="S448" s="1041"/>
      <c r="T448" s="1042"/>
      <c r="U448" s="1040"/>
      <c r="V448" s="1040"/>
      <c r="W448" s="1040"/>
      <c r="X448" s="1103"/>
      <c r="Y448" s="1041"/>
      <c r="Z448" s="1042"/>
      <c r="AA448" s="1040"/>
      <c r="AB448" s="1040"/>
      <c r="AC448" s="1043"/>
      <c r="AD448" s="1103"/>
      <c r="AE448" s="1041"/>
      <c r="AF448" s="1042"/>
      <c r="AG448" s="1040"/>
      <c r="AH448" s="1040"/>
      <c r="AI448" s="1040"/>
      <c r="AJ448" s="51"/>
      <c r="AK448" s="1041"/>
      <c r="AL448" s="1042"/>
      <c r="AM448" s="1040"/>
      <c r="AN448" s="1040"/>
      <c r="AO448" s="1040"/>
      <c r="AP448" s="51"/>
      <c r="AQ448" s="1041"/>
      <c r="AR448" s="1042"/>
      <c r="AS448" s="1040"/>
      <c r="AT448" s="1040"/>
      <c r="AU448" s="1040"/>
      <c r="AV448" s="51"/>
      <c r="AW448" s="1041"/>
      <c r="AX448" s="1042"/>
      <c r="AY448" s="1040"/>
      <c r="AZ448" s="1040"/>
      <c r="BA448" s="1040"/>
      <c r="BB448" s="51"/>
      <c r="BC448" s="1041"/>
      <c r="BD448" s="1042"/>
      <c r="BE448" s="1040"/>
      <c r="BF448" s="1040"/>
      <c r="BG448" s="1040"/>
      <c r="BH448" s="51"/>
      <c r="BI448" s="1041"/>
      <c r="BJ448" s="1044"/>
      <c r="BK448" s="767"/>
      <c r="BL448" s="1040"/>
      <c r="BM448" s="1040"/>
      <c r="BN448" s="278"/>
      <c r="BO448" s="775">
        <f>+BO449*BO414</f>
        <v>28.357521675000001</v>
      </c>
      <c r="BP448" s="278"/>
      <c r="BQ448" s="743"/>
      <c r="BR448" s="278"/>
      <c r="BS448" s="278"/>
      <c r="BT448" s="278"/>
      <c r="BU448" s="793"/>
      <c r="BV448" s="278"/>
      <c r="BW448" s="743"/>
      <c r="BX448" s="278"/>
      <c r="BY448" s="278"/>
      <c r="BZ448" s="278"/>
      <c r="CA448" s="793"/>
      <c r="CB448" s="278"/>
      <c r="CC448" s="743"/>
      <c r="CD448" s="278"/>
      <c r="CE448" s="278"/>
      <c r="CF448" s="278"/>
      <c r="CG448" s="793"/>
    </row>
    <row r="449" spans="1:87" x14ac:dyDescent="0.2">
      <c r="B449" s="1269" t="s">
        <v>643</v>
      </c>
      <c r="C449" s="1259"/>
      <c r="D449" s="1259"/>
      <c r="E449" s="1259"/>
      <c r="F449" s="1259"/>
      <c r="G449" s="1261"/>
      <c r="H449" s="1262"/>
      <c r="I449" s="1259"/>
      <c r="J449" s="1259"/>
      <c r="K449" s="1259"/>
      <c r="L449" s="1259"/>
      <c r="M449" s="1261"/>
      <c r="N449" s="1262"/>
      <c r="O449" s="1259"/>
      <c r="P449" s="1259"/>
      <c r="Q449" s="1259"/>
      <c r="R449" s="1259"/>
      <c r="S449" s="1261"/>
      <c r="T449" s="1262"/>
      <c r="U449" s="1259"/>
      <c r="V449" s="1259"/>
      <c r="W449" s="1259"/>
      <c r="X449" s="1259"/>
      <c r="Y449" s="1261"/>
      <c r="Z449" s="1262"/>
      <c r="AA449" s="1259"/>
      <c r="AB449" s="1259"/>
      <c r="AC449" s="1268"/>
      <c r="AD449" s="1259"/>
      <c r="AE449" s="1261"/>
      <c r="AF449" s="1262"/>
      <c r="AG449" s="1259"/>
      <c r="AH449" s="1259"/>
      <c r="AI449" s="1259"/>
      <c r="AJ449" s="1259"/>
      <c r="AK449" s="1261"/>
      <c r="AL449" s="1262"/>
      <c r="AM449" s="1259"/>
      <c r="AN449" s="1259"/>
      <c r="AO449" s="1259"/>
      <c r="AP449" s="1259"/>
      <c r="AQ449" s="1261"/>
      <c r="AR449" s="1262"/>
      <c r="AS449" s="1259"/>
      <c r="AT449" s="1259"/>
      <c r="AU449" s="1259"/>
      <c r="AV449" s="1259"/>
      <c r="AW449" s="1261"/>
      <c r="AX449" s="1262"/>
      <c r="AY449" s="1259"/>
      <c r="AZ449" s="1259"/>
      <c r="BA449" s="1259"/>
      <c r="BB449" s="1259"/>
      <c r="BC449" s="1261"/>
      <c r="BD449" s="1262"/>
      <c r="BE449" s="1259"/>
      <c r="BF449" s="1259"/>
      <c r="BG449" s="1259"/>
      <c r="BH449" s="1259"/>
      <c r="BI449" s="1261"/>
      <c r="BJ449" s="1264"/>
      <c r="BK449" s="1265"/>
      <c r="BL449" s="941"/>
      <c r="BM449" s="941"/>
      <c r="BN449" s="941"/>
      <c r="BO449" s="970">
        <v>3.4500000000000003E-2</v>
      </c>
      <c r="BP449" s="278"/>
      <c r="BQ449" s="743"/>
      <c r="BR449" s="278"/>
      <c r="BS449" s="278"/>
      <c r="BT449" s="278"/>
      <c r="BU449" s="793"/>
      <c r="BV449" s="278"/>
      <c r="BW449" s="743"/>
      <c r="BX449" s="278"/>
      <c r="BY449" s="278"/>
      <c r="BZ449" s="278"/>
      <c r="CA449" s="793"/>
      <c r="CB449" s="278"/>
      <c r="CC449" s="743"/>
      <c r="CD449" s="278"/>
      <c r="CE449" s="278"/>
      <c r="CF449" s="278"/>
      <c r="CG449" s="793"/>
    </row>
    <row r="450" spans="1:87" x14ac:dyDescent="0.2">
      <c r="A450" s="254"/>
      <c r="B450" s="1298" t="s">
        <v>671</v>
      </c>
      <c r="C450" s="1259"/>
      <c r="D450" s="1259"/>
      <c r="E450" s="1259"/>
      <c r="F450" s="1259"/>
      <c r="G450" s="1261"/>
      <c r="H450" s="1262"/>
      <c r="I450" s="1259"/>
      <c r="J450" s="1259"/>
      <c r="K450" s="1259"/>
      <c r="L450" s="1259"/>
      <c r="M450" s="1261"/>
      <c r="N450" s="1262"/>
      <c r="O450" s="1259"/>
      <c r="P450" s="1259"/>
      <c r="Q450" s="1259"/>
      <c r="R450" s="1259"/>
      <c r="S450" s="1261"/>
      <c r="T450" s="1262"/>
      <c r="U450" s="1259"/>
      <c r="V450" s="1259"/>
      <c r="W450" s="1259"/>
      <c r="X450" s="1259"/>
      <c r="Y450" s="1261"/>
      <c r="Z450" s="1262"/>
      <c r="AA450" s="1259"/>
      <c r="AB450" s="1259"/>
      <c r="AC450" s="1268"/>
      <c r="AD450" s="1259"/>
      <c r="AE450" s="1261"/>
      <c r="AF450" s="1262"/>
      <c r="AG450" s="1259"/>
      <c r="AH450" s="1259"/>
      <c r="AI450" s="1259"/>
      <c r="AJ450" s="1259"/>
      <c r="AK450" s="1261"/>
      <c r="AL450" s="1262"/>
      <c r="AM450" s="1259"/>
      <c r="AN450" s="1259"/>
      <c r="AO450" s="1259"/>
      <c r="AP450" s="1259"/>
      <c r="AQ450" s="1261"/>
      <c r="AR450" s="1262"/>
      <c r="AS450" s="1259"/>
      <c r="AT450" s="1259"/>
      <c r="AU450" s="1259"/>
      <c r="AV450" s="1259"/>
      <c r="AW450" s="1261"/>
      <c r="AX450" s="1262"/>
      <c r="AY450" s="1259"/>
      <c r="AZ450" s="1259"/>
      <c r="BA450" s="1259"/>
      <c r="BB450" s="1259"/>
      <c r="BC450" s="1261"/>
      <c r="BD450" s="1262"/>
      <c r="BE450" s="1259"/>
      <c r="BF450" s="1259"/>
      <c r="BG450" s="1259"/>
      <c r="BH450" s="1259"/>
      <c r="BI450" s="1261"/>
      <c r="BJ450" s="1264"/>
      <c r="BK450" s="1265"/>
      <c r="BL450" s="941"/>
      <c r="BM450" s="941"/>
      <c r="BN450" s="941"/>
      <c r="BO450" s="937">
        <f>+BO448/BO$457</f>
        <v>3.2998073790187911E-2</v>
      </c>
      <c r="BP450" s="278"/>
      <c r="BQ450" s="743"/>
      <c r="BR450" s="278"/>
      <c r="BS450" s="278"/>
      <c r="BT450" s="278"/>
      <c r="BU450" s="793"/>
      <c r="BV450" s="278"/>
      <c r="BW450" s="743"/>
      <c r="BX450" s="278"/>
      <c r="BY450" s="278"/>
      <c r="BZ450" s="278"/>
      <c r="CA450" s="793"/>
      <c r="CB450" s="278"/>
      <c r="CC450" s="743"/>
      <c r="CD450" s="278"/>
      <c r="CE450" s="278"/>
      <c r="CF450" s="278"/>
      <c r="CG450" s="793"/>
    </row>
    <row r="451" spans="1:87" x14ac:dyDescent="0.2">
      <c r="B451" s="772" t="s">
        <v>666</v>
      </c>
      <c r="C451" s="1040"/>
      <c r="D451" s="1040"/>
      <c r="E451" s="1040"/>
      <c r="F451" s="1103"/>
      <c r="G451" s="1041"/>
      <c r="H451" s="1042"/>
      <c r="I451" s="1040"/>
      <c r="J451" s="1040"/>
      <c r="K451" s="1040"/>
      <c r="L451" s="1103"/>
      <c r="M451" s="1041"/>
      <c r="N451" s="1042"/>
      <c r="O451" s="1040"/>
      <c r="P451" s="1040"/>
      <c r="Q451" s="1040"/>
      <c r="R451" s="1103"/>
      <c r="S451" s="1041"/>
      <c r="T451" s="1042"/>
      <c r="U451" s="1040"/>
      <c r="V451" s="1040"/>
      <c r="W451" s="1040"/>
      <c r="X451" s="1103"/>
      <c r="Y451" s="1041"/>
      <c r="Z451" s="1042"/>
      <c r="AA451" s="1040"/>
      <c r="AB451" s="1040"/>
      <c r="AC451" s="1043"/>
      <c r="AD451" s="1103"/>
      <c r="AE451" s="1041"/>
      <c r="AF451" s="1042"/>
      <c r="AG451" s="1040"/>
      <c r="AH451" s="1040"/>
      <c r="AI451" s="1040"/>
      <c r="AJ451" s="51"/>
      <c r="AK451" s="1041"/>
      <c r="AL451" s="1042"/>
      <c r="AM451" s="1040"/>
      <c r="AN451" s="1040"/>
      <c r="AO451" s="1040"/>
      <c r="AP451" s="51"/>
      <c r="AQ451" s="1041"/>
      <c r="AR451" s="1042"/>
      <c r="AS451" s="1040"/>
      <c r="AT451" s="1040"/>
      <c r="AU451" s="1040"/>
      <c r="AV451" s="51"/>
      <c r="AW451" s="1041"/>
      <c r="AX451" s="1042"/>
      <c r="AY451" s="1040"/>
      <c r="AZ451" s="1040"/>
      <c r="BA451" s="1040"/>
      <c r="BB451" s="51"/>
      <c r="BC451" s="1041"/>
      <c r="BD451" s="1042"/>
      <c r="BE451" s="1040"/>
      <c r="BF451" s="1040"/>
      <c r="BG451" s="1040"/>
      <c r="BH451" s="51"/>
      <c r="BI451" s="1041"/>
      <c r="BJ451" s="1044"/>
      <c r="BK451" s="767"/>
      <c r="BL451" s="1040"/>
      <c r="BM451" s="1040"/>
      <c r="BN451" s="278"/>
      <c r="BO451" s="1271">
        <f>+BO448+BO445+BO442+BO439</f>
        <v>141.62755290313132</v>
      </c>
      <c r="BP451" s="278"/>
      <c r="BQ451" s="743"/>
      <c r="BR451" s="278"/>
      <c r="BS451" s="278"/>
      <c r="BT451" s="278"/>
      <c r="BU451" s="793"/>
      <c r="BV451" s="278"/>
      <c r="BW451" s="743"/>
      <c r="BX451" s="278"/>
      <c r="BY451" s="278"/>
      <c r="BZ451" s="278"/>
      <c r="CA451" s="793"/>
      <c r="CB451" s="278"/>
      <c r="CC451" s="743"/>
      <c r="CD451" s="278"/>
      <c r="CE451" s="278"/>
      <c r="CF451" s="278"/>
      <c r="CG451" s="793"/>
    </row>
    <row r="452" spans="1:87" x14ac:dyDescent="0.2">
      <c r="B452" s="1270" t="s">
        <v>643</v>
      </c>
      <c r="C452" s="1259"/>
      <c r="D452" s="1259"/>
      <c r="E452" s="1259"/>
      <c r="F452" s="1259"/>
      <c r="G452" s="1261"/>
      <c r="H452" s="1262"/>
      <c r="I452" s="1259"/>
      <c r="J452" s="1259"/>
      <c r="K452" s="1259"/>
      <c r="L452" s="1259"/>
      <c r="M452" s="1261"/>
      <c r="N452" s="1262"/>
      <c r="O452" s="1259"/>
      <c r="P452" s="1259"/>
      <c r="Q452" s="1259"/>
      <c r="R452" s="1259"/>
      <c r="S452" s="1261"/>
      <c r="T452" s="1262"/>
      <c r="U452" s="1259"/>
      <c r="V452" s="1259"/>
      <c r="W452" s="1259"/>
      <c r="X452" s="1259"/>
      <c r="Y452" s="1261"/>
      <c r="Z452" s="1262"/>
      <c r="AA452" s="1259"/>
      <c r="AB452" s="1259"/>
      <c r="AC452" s="1273"/>
      <c r="AD452" s="1259"/>
      <c r="AE452" s="1261"/>
      <c r="AF452" s="1262"/>
      <c r="AG452" s="1259"/>
      <c r="AH452" s="1259"/>
      <c r="AI452" s="1259"/>
      <c r="AJ452" s="1259"/>
      <c r="AK452" s="1261"/>
      <c r="AL452" s="1262"/>
      <c r="AM452" s="1259"/>
      <c r="AN452" s="1259"/>
      <c r="AO452" s="1259"/>
      <c r="AP452" s="1259"/>
      <c r="AQ452" s="1261"/>
      <c r="AR452" s="1262"/>
      <c r="AS452" s="1259"/>
      <c r="AT452" s="1259"/>
      <c r="AU452" s="1259"/>
      <c r="AV452" s="1259"/>
      <c r="AW452" s="1261"/>
      <c r="AX452" s="1262"/>
      <c r="AY452" s="1259"/>
      <c r="AZ452" s="1259"/>
      <c r="BA452" s="1259"/>
      <c r="BB452" s="1259"/>
      <c r="BC452" s="1261"/>
      <c r="BD452" s="1262"/>
      <c r="BE452" s="1259"/>
      <c r="BF452" s="1259"/>
      <c r="BG452" s="1259"/>
      <c r="BH452" s="1259"/>
      <c r="BI452" s="1261"/>
      <c r="BJ452" s="1264"/>
      <c r="BK452" s="1265"/>
      <c r="BL452" s="941"/>
      <c r="BM452" s="941"/>
      <c r="BN452" s="941"/>
      <c r="BO452" s="1296">
        <f>+BO451/BO378</f>
        <v>6.0306846307129222E-2</v>
      </c>
      <c r="BP452" s="278"/>
      <c r="BQ452" s="743"/>
      <c r="BR452" s="278"/>
      <c r="BS452" s="278"/>
      <c r="BT452" s="278"/>
      <c r="BU452" s="793"/>
      <c r="BV452" s="278"/>
      <c r="BW452" s="743"/>
      <c r="BX452" s="278"/>
      <c r="BY452" s="278"/>
      <c r="BZ452" s="278"/>
      <c r="CA452" s="793"/>
      <c r="CB452" s="278"/>
      <c r="CC452" s="743"/>
      <c r="CD452" s="278"/>
      <c r="CE452" s="278"/>
      <c r="CF452" s="278"/>
      <c r="CG452" s="793"/>
      <c r="CI452" s="11"/>
    </row>
    <row r="453" spans="1:87" x14ac:dyDescent="0.2">
      <c r="B453" s="1298" t="s">
        <v>671</v>
      </c>
      <c r="C453" s="1259"/>
      <c r="D453" s="1259"/>
      <c r="E453" s="1259"/>
      <c r="F453" s="1259"/>
      <c r="G453" s="1261"/>
      <c r="H453" s="1262"/>
      <c r="I453" s="1259"/>
      <c r="J453" s="1259"/>
      <c r="K453" s="1259"/>
      <c r="L453" s="1259"/>
      <c r="M453" s="1261"/>
      <c r="N453" s="1262"/>
      <c r="O453" s="1259"/>
      <c r="P453" s="1259"/>
      <c r="Q453" s="1259"/>
      <c r="R453" s="1259"/>
      <c r="S453" s="1261"/>
      <c r="T453" s="1262"/>
      <c r="U453" s="1259"/>
      <c r="V453" s="1259"/>
      <c r="W453" s="1259"/>
      <c r="X453" s="1259"/>
      <c r="Y453" s="1261"/>
      <c r="Z453" s="1262"/>
      <c r="AA453" s="1259"/>
      <c r="AB453" s="1259"/>
      <c r="AC453" s="1273"/>
      <c r="AD453" s="1259"/>
      <c r="AE453" s="1261"/>
      <c r="AF453" s="1262"/>
      <c r="AG453" s="1259"/>
      <c r="AH453" s="1259"/>
      <c r="AI453" s="1259"/>
      <c r="AJ453" s="1259"/>
      <c r="AK453" s="1261"/>
      <c r="AL453" s="1262"/>
      <c r="AM453" s="1259"/>
      <c r="AN453" s="1259"/>
      <c r="AO453" s="1259"/>
      <c r="AP453" s="1259"/>
      <c r="AQ453" s="1261"/>
      <c r="AR453" s="1262"/>
      <c r="AS453" s="1259"/>
      <c r="AT453" s="1259"/>
      <c r="AU453" s="1259"/>
      <c r="AV453" s="1259"/>
      <c r="AW453" s="1261"/>
      <c r="AX453" s="1262"/>
      <c r="AY453" s="1259"/>
      <c r="AZ453" s="1259"/>
      <c r="BA453" s="1259"/>
      <c r="BB453" s="1259"/>
      <c r="BC453" s="1261"/>
      <c r="BD453" s="1262"/>
      <c r="BE453" s="1259"/>
      <c r="BF453" s="1259"/>
      <c r="BG453" s="1259"/>
      <c r="BH453" s="1259"/>
      <c r="BI453" s="1261"/>
      <c r="BJ453" s="1264"/>
      <c r="BK453" s="1265"/>
      <c r="BL453" s="941"/>
      <c r="BM453" s="941"/>
      <c r="BN453" s="941"/>
      <c r="BO453" s="937">
        <f>+BO451/BO$457</f>
        <v>0.16480412128332683</v>
      </c>
      <c r="BP453" s="278"/>
      <c r="BQ453" s="743"/>
      <c r="BR453" s="278"/>
      <c r="BS453" s="278"/>
      <c r="BT453" s="278"/>
      <c r="BU453" s="793"/>
      <c r="BV453" s="278"/>
      <c r="BW453" s="743"/>
      <c r="BX453" s="278"/>
      <c r="BY453" s="278"/>
      <c r="BZ453" s="278"/>
      <c r="CA453" s="793"/>
      <c r="CB453" s="278"/>
      <c r="CC453" s="743"/>
      <c r="CD453" s="278"/>
      <c r="CE453" s="278"/>
      <c r="CF453" s="278"/>
      <c r="CG453" s="793"/>
      <c r="CI453" s="11"/>
    </row>
    <row r="454" spans="1:87" x14ac:dyDescent="0.2">
      <c r="B454" s="1270"/>
      <c r="C454" s="1259"/>
      <c r="D454" s="1259"/>
      <c r="E454" s="1259"/>
      <c r="F454" s="1259"/>
      <c r="G454" s="1261"/>
      <c r="H454" s="1262"/>
      <c r="I454" s="1259"/>
      <c r="J454" s="1259"/>
      <c r="K454" s="1259"/>
      <c r="L454" s="1259"/>
      <c r="M454" s="1261"/>
      <c r="N454" s="1262"/>
      <c r="O454" s="1259"/>
      <c r="P454" s="1259"/>
      <c r="Q454" s="1259"/>
      <c r="R454" s="1259"/>
      <c r="S454" s="1261"/>
      <c r="T454" s="1262"/>
      <c r="U454" s="1259"/>
      <c r="V454" s="1259"/>
      <c r="W454" s="1259"/>
      <c r="X454" s="1259"/>
      <c r="Y454" s="1261"/>
      <c r="Z454" s="1262"/>
      <c r="AA454" s="1259"/>
      <c r="AB454" s="1259"/>
      <c r="AC454" s="1273"/>
      <c r="AD454" s="1259"/>
      <c r="AE454" s="1261"/>
      <c r="AF454" s="1262"/>
      <c r="AG454" s="1259"/>
      <c r="AH454" s="1259"/>
      <c r="AI454" s="1259"/>
      <c r="AJ454" s="1259"/>
      <c r="AK454" s="1261"/>
      <c r="AL454" s="1262"/>
      <c r="AM454" s="1259"/>
      <c r="AN454" s="1259"/>
      <c r="AO454" s="1259"/>
      <c r="AP454" s="1259"/>
      <c r="AQ454" s="1261"/>
      <c r="AR454" s="1262"/>
      <c r="AS454" s="1259"/>
      <c r="AT454" s="1259"/>
      <c r="AU454" s="1259"/>
      <c r="AV454" s="1259"/>
      <c r="AW454" s="1261"/>
      <c r="AX454" s="1262"/>
      <c r="AY454" s="1259"/>
      <c r="AZ454" s="1259"/>
      <c r="BA454" s="1259"/>
      <c r="BB454" s="1259"/>
      <c r="BC454" s="1261"/>
      <c r="BD454" s="1262"/>
      <c r="BE454" s="1259"/>
      <c r="BF454" s="1259"/>
      <c r="BG454" s="1259"/>
      <c r="BH454" s="1259"/>
      <c r="BI454" s="1261"/>
      <c r="BJ454" s="1264"/>
      <c r="BK454" s="1265"/>
      <c r="BL454" s="941"/>
      <c r="BM454" s="941"/>
      <c r="BN454" s="941"/>
      <c r="BO454" s="1296"/>
      <c r="BP454" s="278"/>
      <c r="BQ454" s="743"/>
      <c r="BR454" s="278"/>
      <c r="BS454" s="278"/>
      <c r="BT454" s="278"/>
      <c r="BU454" s="793"/>
      <c r="BV454" s="278"/>
      <c r="BW454" s="743"/>
      <c r="BX454" s="278"/>
      <c r="BY454" s="278"/>
      <c r="BZ454" s="278"/>
      <c r="CA454" s="793"/>
      <c r="CB454" s="278"/>
      <c r="CC454" s="743"/>
      <c r="CD454" s="278"/>
      <c r="CE454" s="278"/>
      <c r="CF454" s="278"/>
      <c r="CG454" s="793"/>
      <c r="CI454" s="12"/>
    </row>
    <row r="455" spans="1:87" x14ac:dyDescent="0.2">
      <c r="B455" s="772" t="s">
        <v>668</v>
      </c>
      <c r="C455" s="1259"/>
      <c r="D455" s="1259"/>
      <c r="E455" s="1259"/>
      <c r="F455" s="1259"/>
      <c r="G455" s="1261"/>
      <c r="H455" s="1262"/>
      <c r="I455" s="1259"/>
      <c r="J455" s="1259"/>
      <c r="K455" s="1259"/>
      <c r="L455" s="1259"/>
      <c r="M455" s="1261"/>
      <c r="N455" s="1262"/>
      <c r="O455" s="1259"/>
      <c r="P455" s="1259"/>
      <c r="Q455" s="1259"/>
      <c r="R455" s="1259"/>
      <c r="S455" s="1261"/>
      <c r="T455" s="1262"/>
      <c r="U455" s="1259"/>
      <c r="V455" s="1259"/>
      <c r="W455" s="1259"/>
      <c r="X455" s="1259"/>
      <c r="Y455" s="1261"/>
      <c r="Z455" s="1262"/>
      <c r="AA455" s="1259"/>
      <c r="AB455" s="1259"/>
      <c r="AC455" s="1273"/>
      <c r="AD455" s="1259"/>
      <c r="AE455" s="1261"/>
      <c r="AF455" s="1262"/>
      <c r="AG455" s="1259"/>
      <c r="AH455" s="1259"/>
      <c r="AI455" s="1259"/>
      <c r="AJ455" s="1259"/>
      <c r="AK455" s="1261"/>
      <c r="AL455" s="1262"/>
      <c r="AM455" s="1259"/>
      <c r="AN455" s="1259"/>
      <c r="AO455" s="1259"/>
      <c r="AP455" s="1259"/>
      <c r="AQ455" s="1261"/>
      <c r="AR455" s="1262"/>
      <c r="AS455" s="1259"/>
      <c r="AT455" s="1259"/>
      <c r="AU455" s="1259"/>
      <c r="AV455" s="1259"/>
      <c r="AW455" s="1261"/>
      <c r="AX455" s="1262"/>
      <c r="AY455" s="1259"/>
      <c r="AZ455" s="1259"/>
      <c r="BA455" s="1259"/>
      <c r="BB455" s="1259"/>
      <c r="BC455" s="1261"/>
      <c r="BD455" s="1262"/>
      <c r="BE455" s="1259"/>
      <c r="BF455" s="1259"/>
      <c r="BG455" s="1259"/>
      <c r="BH455" s="1259"/>
      <c r="BI455" s="1261"/>
      <c r="BJ455" s="1264"/>
      <c r="BK455" s="1265"/>
      <c r="BL455" s="941"/>
      <c r="BM455" s="941"/>
      <c r="BN455" s="941"/>
      <c r="BO455" s="1271">
        <f>+BO451+BO434</f>
        <v>518.63113553407231</v>
      </c>
      <c r="BP455" s="278"/>
      <c r="BQ455" s="743"/>
      <c r="BR455" s="278"/>
      <c r="BS455" s="278"/>
      <c r="BT455" s="278"/>
      <c r="BU455" s="793"/>
      <c r="BV455" s="278"/>
      <c r="BW455" s="743"/>
      <c r="BX455" s="278"/>
      <c r="BY455" s="278"/>
      <c r="BZ455" s="278"/>
      <c r="CA455" s="793"/>
      <c r="CB455" s="278"/>
      <c r="CC455" s="743"/>
      <c r="CD455" s="278"/>
      <c r="CE455" s="278"/>
      <c r="CF455" s="278"/>
      <c r="CG455" s="793"/>
      <c r="CI455" s="11"/>
    </row>
    <row r="456" spans="1:87" x14ac:dyDescent="0.2">
      <c r="B456" s="1297" t="s">
        <v>667</v>
      </c>
      <c r="C456" s="1040"/>
      <c r="D456" s="1040"/>
      <c r="E456" s="1040"/>
      <c r="F456" s="1103"/>
      <c r="G456" s="1041"/>
      <c r="H456" s="1042"/>
      <c r="I456" s="1040"/>
      <c r="J456" s="1040"/>
      <c r="K456" s="1040"/>
      <c r="L456" s="1103"/>
      <c r="M456" s="1041"/>
      <c r="N456" s="1042"/>
      <c r="O456" s="1040"/>
      <c r="P456" s="1040"/>
      <c r="Q456" s="1040"/>
      <c r="R456" s="1103"/>
      <c r="S456" s="1041"/>
      <c r="T456" s="1042"/>
      <c r="U456" s="1040"/>
      <c r="V456" s="1040"/>
      <c r="W456" s="1040"/>
      <c r="X456" s="1103"/>
      <c r="Y456" s="1041"/>
      <c r="Z456" s="1042"/>
      <c r="AA456" s="1040"/>
      <c r="AB456" s="1040"/>
      <c r="AC456" s="1043"/>
      <c r="AD456" s="1103"/>
      <c r="AE456" s="1041"/>
      <c r="AF456" s="1042"/>
      <c r="AG456" s="1040"/>
      <c r="AH456" s="1040"/>
      <c r="AI456" s="1040"/>
      <c r="AJ456" s="51"/>
      <c r="AK456" s="1041"/>
      <c r="AL456" s="1042"/>
      <c r="AM456" s="1040"/>
      <c r="AN456" s="1040"/>
      <c r="AO456" s="1040"/>
      <c r="AP456" s="51"/>
      <c r="AQ456" s="1041"/>
      <c r="AR456" s="1042"/>
      <c r="AS456" s="1040"/>
      <c r="AT456" s="1040"/>
      <c r="AU456" s="1040"/>
      <c r="AV456" s="51"/>
      <c r="AW456" s="1041"/>
      <c r="AX456" s="1042"/>
      <c r="AY456" s="1040"/>
      <c r="AZ456" s="1040"/>
      <c r="BA456" s="1040"/>
      <c r="BB456" s="51"/>
      <c r="BC456" s="1041"/>
      <c r="BD456" s="1042"/>
      <c r="BE456" s="1040"/>
      <c r="BF456" s="1040"/>
      <c r="BG456" s="1040"/>
      <c r="BH456" s="51"/>
      <c r="BI456" s="1041"/>
      <c r="BJ456" s="1044"/>
      <c r="BK456" s="767"/>
      <c r="BL456" s="1040"/>
      <c r="BM456" s="1040"/>
      <c r="BN456" s="278"/>
      <c r="BO456" s="451">
        <f>+BO418-BO434-BO451</f>
        <v>-52.869454534072332</v>
      </c>
      <c r="BP456" s="278"/>
      <c r="BQ456" s="743"/>
      <c r="BR456" s="278"/>
      <c r="BS456" s="278"/>
      <c r="BT456" s="278"/>
      <c r="BU456" s="793"/>
      <c r="BV456" s="278"/>
      <c r="BW456" s="743"/>
      <c r="BX456" s="278"/>
      <c r="BY456" s="278"/>
      <c r="BZ456" s="278"/>
      <c r="CA456" s="793"/>
      <c r="CB456" s="278"/>
      <c r="CC456" s="743"/>
      <c r="CD456" s="278"/>
      <c r="CE456" s="278"/>
      <c r="CF456" s="278"/>
      <c r="CG456" s="793"/>
      <c r="CI456" s="11"/>
    </row>
    <row r="457" spans="1:87" x14ac:dyDescent="0.2">
      <c r="B457" s="1299" t="s">
        <v>674</v>
      </c>
      <c r="C457" s="1274"/>
      <c r="D457" s="1274"/>
      <c r="E457" s="1274"/>
      <c r="F457" s="1274"/>
      <c r="G457" s="1275"/>
      <c r="H457" s="1276"/>
      <c r="I457" s="1274"/>
      <c r="J457" s="1274"/>
      <c r="K457" s="1274"/>
      <c r="L457" s="1274"/>
      <c r="M457" s="1275"/>
      <c r="N457" s="1276"/>
      <c r="O457" s="1274"/>
      <c r="P457" s="1274"/>
      <c r="Q457" s="1274"/>
      <c r="R457" s="1274"/>
      <c r="S457" s="1275"/>
      <c r="T457" s="1276"/>
      <c r="U457" s="1274"/>
      <c r="V457" s="1274"/>
      <c r="W457" s="1274"/>
      <c r="X457" s="1274"/>
      <c r="Y457" s="1275"/>
      <c r="Z457" s="1276"/>
      <c r="AA457" s="1274"/>
      <c r="AB457" s="1274"/>
      <c r="AC457" s="1277"/>
      <c r="AD457" s="1274"/>
      <c r="AE457" s="1275"/>
      <c r="AF457" s="1276"/>
      <c r="AG457" s="1274"/>
      <c r="AH457" s="1274"/>
      <c r="AI457" s="1274"/>
      <c r="AJ457" s="1274"/>
      <c r="AK457" s="1275"/>
      <c r="AL457" s="1276"/>
      <c r="AM457" s="1274"/>
      <c r="AN457" s="1274"/>
      <c r="AO457" s="1274"/>
      <c r="AP457" s="1274"/>
      <c r="AQ457" s="1275"/>
      <c r="AR457" s="1276"/>
      <c r="AS457" s="1274"/>
      <c r="AT457" s="1274"/>
      <c r="AU457" s="1274"/>
      <c r="AV457" s="1274"/>
      <c r="AW457" s="1275"/>
      <c r="AX457" s="1276"/>
      <c r="AY457" s="1274"/>
      <c r="AZ457" s="1274"/>
      <c r="BA457" s="1274"/>
      <c r="BB457" s="1274"/>
      <c r="BC457" s="1275"/>
      <c r="BD457" s="1276"/>
      <c r="BE457" s="1274"/>
      <c r="BF457" s="1274"/>
      <c r="BG457" s="1274"/>
      <c r="BH457" s="1274"/>
      <c r="BI457" s="1275"/>
      <c r="BJ457" s="1278"/>
      <c r="BK457" s="1279"/>
      <c r="BL457" s="1280"/>
      <c r="BM457" s="1280"/>
      <c r="BN457" s="1280"/>
      <c r="BO457" s="1291">
        <f>+'P&amp;L'!BO157</f>
        <v>859.36900000000014</v>
      </c>
      <c r="BP457" s="1281"/>
      <c r="BQ457" s="1282"/>
      <c r="BR457" s="1281"/>
      <c r="BS457" s="1281"/>
      <c r="BT457" s="1281"/>
      <c r="BU457" s="796"/>
      <c r="BV457" s="1281"/>
      <c r="BW457" s="1282"/>
      <c r="BX457" s="1281"/>
      <c r="BY457" s="1281"/>
      <c r="BZ457" s="1281"/>
      <c r="CA457" s="796"/>
      <c r="CB457" s="1281"/>
      <c r="CC457" s="1282"/>
      <c r="CD457" s="1281"/>
      <c r="CE457" s="1281"/>
      <c r="CF457" s="1281"/>
      <c r="CG457" s="796"/>
      <c r="CI457" s="11"/>
    </row>
    <row r="458" spans="1:87" x14ac:dyDescent="0.2">
      <c r="CI458" s="11"/>
    </row>
    <row r="459" spans="1:87" x14ac:dyDescent="0.2">
      <c r="CI459" s="11"/>
    </row>
    <row r="460" spans="1:87" x14ac:dyDescent="0.2">
      <c r="CI460" s="11"/>
    </row>
    <row r="461" spans="1:87" x14ac:dyDescent="0.2">
      <c r="CI461" s="11"/>
    </row>
    <row r="462" spans="1:87" x14ac:dyDescent="0.2">
      <c r="CI462" s="11"/>
    </row>
    <row r="463" spans="1:87" x14ac:dyDescent="0.2">
      <c r="CI463" s="11"/>
    </row>
    <row r="465" spans="1:87" x14ac:dyDescent="0.2">
      <c r="CI465" s="12"/>
    </row>
    <row r="467" spans="1:87" x14ac:dyDescent="0.2">
      <c r="CI467" s="12"/>
    </row>
    <row r="470" spans="1:87" x14ac:dyDescent="0.2">
      <c r="A470" s="78"/>
    </row>
    <row r="494" spans="1:1" x14ac:dyDescent="0.2">
      <c r="A494" s="7"/>
    </row>
    <row r="495" spans="1:1" ht="12" customHeight="1" x14ac:dyDescent="0.2"/>
    <row r="500" spans="2:85" ht="6.75" customHeight="1" x14ac:dyDescent="0.2"/>
    <row r="501" spans="2:85" x14ac:dyDescent="0.2">
      <c r="B501" s="7"/>
      <c r="C501" s="7"/>
      <c r="D501" s="7"/>
      <c r="E501" s="7"/>
      <c r="F501" s="7"/>
      <c r="G501" s="7"/>
      <c r="I501" s="7"/>
      <c r="J501" s="7"/>
      <c r="K501" s="7"/>
      <c r="L501" s="7"/>
      <c r="M501" s="7"/>
      <c r="O501" s="7"/>
      <c r="P501" s="7"/>
      <c r="Q501" s="7"/>
      <c r="R501" s="7"/>
      <c r="S501" s="7"/>
      <c r="U501" s="7"/>
      <c r="V501" s="7"/>
      <c r="W501" s="7"/>
      <c r="X501" s="7"/>
      <c r="Y501" s="7"/>
      <c r="AA501" s="7"/>
      <c r="AB501" s="7"/>
      <c r="AC501" s="7"/>
      <c r="AD501" s="7"/>
      <c r="AE501" s="7"/>
      <c r="AG501" s="7"/>
      <c r="AH501" s="7"/>
      <c r="AI501" s="7"/>
      <c r="AJ501" s="7"/>
      <c r="AK501" s="7"/>
      <c r="AM501" s="255"/>
      <c r="AN501" s="255"/>
      <c r="AO501" s="255"/>
      <c r="AP501" s="255"/>
      <c r="AQ501" s="7"/>
      <c r="AS501" s="7"/>
      <c r="AT501" s="7"/>
      <c r="AU501" s="7"/>
      <c r="AV501" s="7"/>
      <c r="AW501" s="7"/>
      <c r="AY501" s="7"/>
      <c r="AZ501" s="7"/>
      <c r="BA501" s="7"/>
      <c r="BB501" s="7"/>
      <c r="BC501" s="7"/>
      <c r="BE501" s="7"/>
      <c r="BF501" s="7"/>
      <c r="BG501" s="7"/>
      <c r="BH501" s="7"/>
      <c r="BI501" s="7"/>
      <c r="BK501" s="7"/>
      <c r="BL501" s="7"/>
      <c r="BM501" s="7"/>
      <c r="BN501" s="7"/>
      <c r="BO501" s="7"/>
      <c r="BQ501" s="7"/>
      <c r="BR501" s="7"/>
      <c r="BS501" s="7"/>
      <c r="BT501" s="7"/>
      <c r="BU501" s="7"/>
      <c r="BW501" s="7"/>
      <c r="BX501" s="7"/>
      <c r="BY501" s="7"/>
      <c r="BZ501" s="7"/>
      <c r="CA501" s="7"/>
      <c r="CC501" s="7"/>
      <c r="CD501" s="7"/>
      <c r="CE501" s="7"/>
      <c r="CF501" s="7"/>
      <c r="CG501" s="7"/>
    </row>
    <row r="502" spans="2:85" x14ac:dyDescent="0.2">
      <c r="H502" s="9"/>
      <c r="N502" s="9"/>
      <c r="T502" s="9"/>
      <c r="Z502" s="9"/>
      <c r="AF502" s="9"/>
      <c r="AL502" s="9"/>
    </row>
    <row r="503" spans="2:85" x14ac:dyDescent="0.2">
      <c r="H503" s="9"/>
      <c r="N503" s="9"/>
      <c r="T503" s="9"/>
      <c r="Z503" s="9"/>
      <c r="AF503" s="9"/>
      <c r="AL503" s="9"/>
    </row>
    <row r="504" spans="2:85" x14ac:dyDescent="0.2">
      <c r="H504" s="9"/>
      <c r="N504" s="9"/>
      <c r="T504" s="9"/>
      <c r="Z504" s="9"/>
      <c r="AF504" s="9"/>
      <c r="AL504" s="9"/>
    </row>
    <row r="505" spans="2:85" x14ac:dyDescent="0.2">
      <c r="H505" s="9"/>
      <c r="N505" s="9"/>
      <c r="T505" s="9"/>
      <c r="Z505" s="9"/>
      <c r="AF505" s="9"/>
      <c r="AL505" s="9"/>
    </row>
    <row r="506" spans="2:85" x14ac:dyDescent="0.2">
      <c r="H506" s="9"/>
      <c r="N506" s="9"/>
      <c r="T506" s="9"/>
      <c r="Z506" s="9"/>
      <c r="AF506" s="9"/>
      <c r="AL506" s="9"/>
    </row>
    <row r="507" spans="2:85" x14ac:dyDescent="0.2">
      <c r="H507" s="9"/>
      <c r="N507" s="9"/>
      <c r="T507" s="9"/>
      <c r="Z507" s="9"/>
      <c r="AF507" s="9"/>
      <c r="AL507" s="9"/>
    </row>
    <row r="508" spans="2:85" x14ac:dyDescent="0.2">
      <c r="H508" s="9"/>
      <c r="N508" s="9"/>
      <c r="T508" s="9"/>
      <c r="Z508" s="9"/>
      <c r="AF508" s="9"/>
      <c r="AL508" s="9"/>
    </row>
    <row r="509" spans="2:85" x14ac:dyDescent="0.2">
      <c r="H509" s="9"/>
      <c r="N509" s="9"/>
      <c r="T509" s="9"/>
      <c r="Z509" s="9"/>
      <c r="AF509" s="9"/>
      <c r="AL509" s="9"/>
    </row>
    <row r="510" spans="2:85" x14ac:dyDescent="0.2">
      <c r="H510" s="9"/>
      <c r="N510" s="9"/>
      <c r="T510" s="9"/>
      <c r="Z510" s="9"/>
      <c r="AF510" s="9"/>
      <c r="AL510" s="9"/>
    </row>
    <row r="511" spans="2:85" x14ac:dyDescent="0.2">
      <c r="H511" s="9"/>
      <c r="N511" s="9"/>
      <c r="T511" s="9"/>
      <c r="Z511" s="9"/>
      <c r="AF511" s="9"/>
      <c r="AL511" s="9"/>
    </row>
    <row r="512" spans="2:85" x14ac:dyDescent="0.2">
      <c r="H512" s="9"/>
      <c r="N512" s="9"/>
      <c r="T512" s="9"/>
      <c r="Z512" s="9"/>
      <c r="AF512" s="9"/>
      <c r="AL512" s="9"/>
    </row>
    <row r="513" spans="8:87" x14ac:dyDescent="0.2">
      <c r="H513" s="9"/>
      <c r="N513" s="9"/>
      <c r="T513" s="9"/>
      <c r="Z513" s="9"/>
      <c r="AF513" s="9"/>
      <c r="AL513" s="9"/>
      <c r="AR513" s="9"/>
      <c r="AX513" s="9"/>
      <c r="BD513" s="9"/>
      <c r="BJ513" s="9"/>
      <c r="BP513" s="9"/>
      <c r="BV513" s="9"/>
      <c r="CB513" s="9"/>
    </row>
    <row r="514" spans="8:87" x14ac:dyDescent="0.2">
      <c r="H514" s="9"/>
      <c r="N514" s="9"/>
      <c r="T514" s="9"/>
      <c r="Z514" s="9"/>
      <c r="AF514" s="9"/>
      <c r="AL514" s="9"/>
      <c r="AR514" s="9"/>
      <c r="AX514" s="9"/>
      <c r="BD514" s="9"/>
      <c r="BJ514" s="9"/>
      <c r="BP514" s="9"/>
      <c r="BV514" s="9"/>
      <c r="CB514" s="9"/>
    </row>
    <row r="515" spans="8:87" x14ac:dyDescent="0.2">
      <c r="H515" s="9"/>
      <c r="N515" s="9"/>
      <c r="T515" s="9"/>
      <c r="Z515" s="9"/>
      <c r="AF515" s="9"/>
      <c r="AL515" s="9"/>
      <c r="AR515" s="9"/>
      <c r="AX515" s="9"/>
      <c r="BD515" s="9"/>
      <c r="BJ515" s="9"/>
      <c r="BP515" s="9"/>
      <c r="BV515" s="9"/>
      <c r="CB515" s="9"/>
    </row>
    <row r="516" spans="8:87" x14ac:dyDescent="0.2">
      <c r="H516" s="9"/>
      <c r="N516" s="9"/>
      <c r="T516" s="9"/>
      <c r="Z516" s="9"/>
      <c r="AF516" s="9"/>
      <c r="AL516" s="9"/>
      <c r="AR516" s="9"/>
      <c r="AX516" s="9"/>
      <c r="BD516" s="9"/>
      <c r="BJ516" s="9"/>
      <c r="BP516" s="9"/>
      <c r="BV516" s="9"/>
      <c r="CB516" s="9"/>
    </row>
    <row r="517" spans="8:87" x14ac:dyDescent="0.2">
      <c r="H517" s="9"/>
      <c r="N517" s="9"/>
      <c r="T517" s="9"/>
      <c r="Z517" s="9"/>
      <c r="AF517" s="9"/>
      <c r="AL517" s="9"/>
      <c r="AR517" s="9"/>
      <c r="AX517" s="9"/>
      <c r="BD517" s="9"/>
      <c r="BJ517" s="9"/>
      <c r="BP517" s="9"/>
      <c r="BV517" s="9"/>
      <c r="CB517" s="9"/>
    </row>
    <row r="518" spans="8:87" x14ac:dyDescent="0.2">
      <c r="H518" s="9"/>
      <c r="N518" s="9"/>
      <c r="T518" s="9"/>
      <c r="Z518" s="9"/>
      <c r="AF518" s="9"/>
      <c r="AL518" s="9"/>
      <c r="AR518" s="9"/>
      <c r="AX518" s="9"/>
      <c r="BD518" s="9"/>
      <c r="BJ518" s="9"/>
      <c r="BP518" s="9"/>
      <c r="BV518" s="9"/>
      <c r="CB518" s="9"/>
    </row>
    <row r="519" spans="8:87" x14ac:dyDescent="0.2">
      <c r="H519" s="9"/>
      <c r="N519" s="9"/>
      <c r="T519" s="9"/>
      <c r="Z519" s="9"/>
      <c r="AF519" s="9"/>
      <c r="AL519" s="9"/>
      <c r="AR519" s="9"/>
      <c r="AX519" s="9"/>
      <c r="BD519" s="9"/>
      <c r="BJ519" s="9"/>
      <c r="BP519" s="9"/>
      <c r="BV519" s="9"/>
      <c r="CB519" s="9"/>
    </row>
    <row r="520" spans="8:87" x14ac:dyDescent="0.2">
      <c r="H520" s="9"/>
      <c r="N520" s="9"/>
      <c r="T520" s="9"/>
      <c r="Z520" s="9"/>
      <c r="AF520" s="9"/>
      <c r="AL520" s="9"/>
      <c r="AR520" s="9"/>
      <c r="AX520" s="9"/>
      <c r="BD520" s="9"/>
      <c r="BJ520" s="9"/>
      <c r="BP520" s="9"/>
      <c r="BV520" s="9"/>
      <c r="CB520" s="9"/>
    </row>
    <row r="521" spans="8:87" x14ac:dyDescent="0.2">
      <c r="H521" s="9"/>
      <c r="N521" s="9"/>
      <c r="T521" s="9"/>
      <c r="Z521" s="9"/>
      <c r="AF521" s="9"/>
      <c r="AL521" s="9"/>
      <c r="AR521" s="9"/>
      <c r="AX521" s="9"/>
      <c r="BD521" s="9"/>
      <c r="BJ521" s="9"/>
      <c r="BP521" s="9"/>
      <c r="BV521" s="9"/>
      <c r="CB521" s="9"/>
    </row>
    <row r="522" spans="8:87" x14ac:dyDescent="0.2">
      <c r="H522" s="9"/>
      <c r="N522" s="9"/>
      <c r="T522" s="9"/>
      <c r="Z522" s="9"/>
      <c r="AF522" s="9"/>
      <c r="AL522" s="9"/>
      <c r="AR522" s="9"/>
      <c r="AX522" s="9"/>
      <c r="BD522" s="9"/>
      <c r="BJ522" s="9"/>
      <c r="BP522" s="9"/>
      <c r="BV522" s="9"/>
      <c r="CB522" s="9"/>
      <c r="CH522" s="11"/>
      <c r="CI522" s="11"/>
    </row>
    <row r="523" spans="8:87" x14ac:dyDescent="0.2">
      <c r="H523" s="9"/>
      <c r="N523" s="9"/>
      <c r="T523" s="9"/>
      <c r="Z523" s="9"/>
      <c r="AF523" s="9"/>
      <c r="AL523" s="9"/>
      <c r="AR523" s="9"/>
      <c r="AX523" s="9"/>
      <c r="BD523" s="9"/>
      <c r="BJ523" s="9"/>
      <c r="BP523" s="9"/>
      <c r="BV523" s="9"/>
      <c r="CB523" s="9"/>
    </row>
    <row r="524" spans="8:87" x14ac:dyDescent="0.2">
      <c r="H524" s="9"/>
      <c r="N524" s="9"/>
      <c r="T524" s="9"/>
      <c r="Z524" s="9"/>
      <c r="AF524" s="9"/>
      <c r="AL524" s="9"/>
      <c r="AR524" s="9"/>
      <c r="AX524" s="9"/>
      <c r="BD524" s="9"/>
      <c r="BJ524" s="9"/>
      <c r="BP524" s="9"/>
      <c r="BV524" s="9"/>
      <c r="CB524" s="9"/>
    </row>
    <row r="525" spans="8:87" x14ac:dyDescent="0.2">
      <c r="H525" s="9"/>
      <c r="N525" s="9"/>
      <c r="T525" s="9"/>
      <c r="Z525" s="9"/>
      <c r="AF525" s="9"/>
      <c r="AL525" s="9"/>
      <c r="AR525" s="9"/>
      <c r="AX525" s="9"/>
      <c r="BD525" s="9"/>
      <c r="BJ525" s="9"/>
      <c r="BP525" s="9"/>
      <c r="BV525" s="9"/>
      <c r="CB525" s="9"/>
    </row>
    <row r="526" spans="8:87" x14ac:dyDescent="0.2">
      <c r="H526" s="9"/>
      <c r="N526" s="9"/>
      <c r="T526" s="9"/>
      <c r="Z526" s="9"/>
      <c r="AF526" s="9"/>
      <c r="AL526" s="9"/>
      <c r="AR526" s="9"/>
      <c r="AX526" s="9"/>
      <c r="BD526" s="9"/>
      <c r="BJ526" s="9"/>
      <c r="BP526" s="9"/>
      <c r="BV526" s="9"/>
      <c r="CB526" s="9"/>
    </row>
    <row r="527" spans="8:87" x14ac:dyDescent="0.2">
      <c r="H527" s="9"/>
      <c r="N527" s="9"/>
      <c r="T527" s="9"/>
      <c r="Z527" s="9"/>
      <c r="AF527" s="9"/>
      <c r="AL527" s="9"/>
      <c r="AR527" s="9"/>
      <c r="AX527" s="9"/>
      <c r="BD527" s="9"/>
      <c r="BJ527" s="9"/>
      <c r="BP527" s="9"/>
      <c r="BV527" s="9"/>
      <c r="CB527" s="9"/>
    </row>
    <row r="528" spans="8:87" x14ac:dyDescent="0.2">
      <c r="H528" s="9"/>
      <c r="N528" s="9"/>
      <c r="T528" s="9"/>
      <c r="Z528" s="9"/>
      <c r="AF528" s="9"/>
      <c r="AL528" s="9"/>
      <c r="AR528" s="9"/>
      <c r="AX528" s="9"/>
      <c r="BD528" s="9"/>
      <c r="BJ528" s="9"/>
      <c r="BP528" s="9"/>
      <c r="BV528" s="9"/>
      <c r="CB528" s="9"/>
    </row>
    <row r="529" spans="2:85" x14ac:dyDescent="0.2">
      <c r="B529" s="61"/>
      <c r="C529" s="88"/>
      <c r="D529" s="88"/>
      <c r="E529" s="88"/>
      <c r="F529" s="88"/>
      <c r="G529" s="117"/>
      <c r="H529" s="11"/>
      <c r="I529" s="88"/>
      <c r="J529" s="88"/>
      <c r="K529" s="88"/>
      <c r="L529" s="88"/>
      <c r="M529" s="117"/>
      <c r="N529" s="11"/>
      <c r="O529" s="88"/>
      <c r="P529" s="88"/>
      <c r="Q529" s="88"/>
      <c r="R529" s="88"/>
      <c r="S529" s="117"/>
      <c r="T529" s="11"/>
      <c r="U529" s="88"/>
      <c r="V529" s="88"/>
      <c r="W529" s="88"/>
      <c r="X529" s="88"/>
      <c r="Y529" s="117"/>
      <c r="Z529" s="11"/>
      <c r="AA529" s="88"/>
      <c r="AB529" s="88"/>
      <c r="AC529" s="88"/>
      <c r="AD529" s="88"/>
      <c r="AE529" s="117"/>
      <c r="AF529" s="11"/>
      <c r="AG529" s="88"/>
      <c r="AH529" s="88"/>
      <c r="AI529" s="88"/>
      <c r="AJ529" s="88"/>
      <c r="AK529" s="117"/>
      <c r="AL529" s="11"/>
      <c r="AM529" s="88"/>
      <c r="AN529" s="88"/>
      <c r="AO529" s="88"/>
      <c r="AP529" s="88"/>
      <c r="AQ529" s="117"/>
      <c r="AR529" s="11"/>
      <c r="AS529" s="88"/>
      <c r="AT529" s="88"/>
      <c r="AU529" s="88"/>
      <c r="AV529" s="88"/>
      <c r="AW529" s="117"/>
      <c r="AX529" s="11"/>
      <c r="AY529" s="19"/>
      <c r="AZ529" s="19"/>
      <c r="BA529" s="19"/>
      <c r="BB529" s="19"/>
      <c r="BC529" s="19"/>
      <c r="BD529" s="11"/>
      <c r="BE529" s="19"/>
      <c r="BF529" s="19"/>
      <c r="BG529" s="19"/>
      <c r="BH529" s="19"/>
      <c r="BI529" s="19"/>
      <c r="BJ529" s="11"/>
      <c r="BK529" s="11"/>
      <c r="BL529" s="11"/>
      <c r="BM529" s="11"/>
      <c r="BN529" s="11"/>
      <c r="BO529" s="11"/>
      <c r="BP529" s="11"/>
      <c r="BQ529" s="11"/>
      <c r="BR529" s="11"/>
      <c r="BS529" s="11"/>
      <c r="BT529" s="11"/>
      <c r="BU529" s="11"/>
      <c r="BV529" s="11"/>
      <c r="BW529" s="11"/>
      <c r="BX529" s="11"/>
      <c r="BY529" s="11"/>
      <c r="BZ529" s="11"/>
      <c r="CA529" s="11"/>
      <c r="CB529" s="11"/>
      <c r="CC529" s="11"/>
      <c r="CD529" s="11"/>
      <c r="CE529" s="11"/>
      <c r="CF529" s="11"/>
      <c r="CG529" s="11"/>
    </row>
    <row r="540" spans="2:85" x14ac:dyDescent="0.2">
      <c r="B540" s="91"/>
      <c r="C540" s="92"/>
      <c r="D540" s="92"/>
      <c r="E540" s="92"/>
      <c r="F540" s="92"/>
      <c r="G540" s="92"/>
      <c r="H540" s="256"/>
      <c r="I540" s="92"/>
      <c r="J540" s="92"/>
      <c r="K540" s="92"/>
      <c r="L540" s="92"/>
      <c r="M540" s="92"/>
      <c r="N540" s="256"/>
      <c r="O540" s="92"/>
      <c r="P540" s="92"/>
      <c r="Q540" s="92"/>
      <c r="R540" s="92"/>
      <c r="S540" s="92"/>
      <c r="T540" s="256"/>
      <c r="U540" s="92"/>
      <c r="V540" s="92"/>
      <c r="W540" s="92"/>
      <c r="X540" s="92"/>
      <c r="Y540" s="92"/>
      <c r="Z540" s="256"/>
      <c r="AA540" s="92"/>
      <c r="AB540" s="92"/>
      <c r="AC540" s="92"/>
      <c r="AD540" s="92"/>
      <c r="AE540" s="92"/>
      <c r="AF540" s="256"/>
      <c r="AG540" s="92"/>
      <c r="AH540" s="92"/>
      <c r="AI540" s="92"/>
      <c r="AJ540" s="92"/>
      <c r="AK540" s="92"/>
      <c r="AL540" s="256"/>
      <c r="AM540" s="92"/>
      <c r="AN540" s="92"/>
      <c r="AO540" s="92"/>
      <c r="AP540" s="92"/>
      <c r="AQ540" s="92"/>
      <c r="AR540" s="256"/>
      <c r="AS540" s="92"/>
      <c r="AT540" s="92"/>
      <c r="AU540" s="92"/>
      <c r="AV540" s="92"/>
      <c r="AW540" s="92"/>
      <c r="AX540" s="256"/>
      <c r="AY540" s="92"/>
      <c r="AZ540" s="92"/>
      <c r="BA540" s="92"/>
      <c r="BB540" s="92"/>
      <c r="BC540" s="92"/>
      <c r="BD540" s="256"/>
      <c r="BJ540" s="256"/>
      <c r="BK540" s="92"/>
      <c r="BL540" s="92"/>
      <c r="BM540" s="92"/>
      <c r="BN540" s="92"/>
      <c r="BO540" s="92"/>
      <c r="BP540" s="256"/>
      <c r="BQ540" s="92"/>
      <c r="BR540" s="92"/>
      <c r="BS540" s="92"/>
      <c r="BT540" s="92"/>
      <c r="BU540" s="92"/>
      <c r="BV540" s="256"/>
      <c r="BW540" s="92"/>
      <c r="BX540" s="92"/>
      <c r="BY540" s="92"/>
      <c r="BZ540" s="92"/>
      <c r="CA540" s="92"/>
      <c r="CB540" s="256"/>
      <c r="CC540" s="92"/>
      <c r="CD540" s="92"/>
      <c r="CE540" s="92"/>
      <c r="CF540" s="92"/>
      <c r="CG540" s="92"/>
    </row>
    <row r="541" spans="2:85" x14ac:dyDescent="0.2">
      <c r="BC541" s="37"/>
      <c r="BE541" s="92"/>
      <c r="BF541" s="92"/>
      <c r="BG541" s="92"/>
      <c r="BH541" s="92"/>
      <c r="BI541" s="92"/>
      <c r="BK541" s="92"/>
    </row>
  </sheetData>
  <mergeCells count="14">
    <mergeCell ref="C4:F4"/>
    <mergeCell ref="I4:L4"/>
    <mergeCell ref="O4:R4"/>
    <mergeCell ref="U4:X4"/>
    <mergeCell ref="AA4:AD4"/>
    <mergeCell ref="BK4:BN4"/>
    <mergeCell ref="BQ4:BT4"/>
    <mergeCell ref="BW4:BZ4"/>
    <mergeCell ref="CC4:CF4"/>
    <mergeCell ref="AG4:AJ4"/>
    <mergeCell ref="AM4:AP4"/>
    <mergeCell ref="AS4:AV4"/>
    <mergeCell ref="AY4:BB4"/>
    <mergeCell ref="BE4:BH4"/>
  </mergeCells>
  <phoneticPr fontId="12" type="noConversion"/>
  <printOptions horizontalCentered="1" verticalCentered="1"/>
  <pageMargins left="0" right="0" top="0" bottom="0" header="0" footer="0"/>
  <pageSetup paperSize="5" scale="29" orientation="landscape" r:id="rId1"/>
  <headerFooter alignWithMargins="0"/>
  <rowBreaks count="2" manualBreakCount="2">
    <brk id="63" max="85" man="1"/>
    <brk id="122" max="85" man="1"/>
  </rowBreaks>
  <ignoredErrors>
    <ignoredError sqref="CH303:CJ305 CH278:CJ278 AY219:BC219 BE219:BH219 L345 L343:L344 T343:T344 N343:N344 Z343:AF344 N345 T345 Z345:AF345 AL343:AL344 AL345 AR343:AR344 AR345 AX343:AX344 AX345 BD343:BD344 BD345 BJ343:BJ344 BJ345 AS219:AV219 BO400:BO401 BO399 BO402:BO405 BO376:BO383 BO407:BO413 BO415 BI270" formula="1"/>
    <ignoredError sqref="M316"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70C0"/>
    <pageSetUpPr fitToPage="1"/>
  </sheetPr>
  <dimension ref="A1:BW183"/>
  <sheetViews>
    <sheetView zoomScaleNormal="100" zoomScaleSheetLayoutView="100" workbookViewId="0">
      <pane xSplit="1" ySplit="4" topLeftCell="B5" activePane="bottomRight" state="frozen"/>
      <selection pane="topRight" activeCell="B1" sqref="B1"/>
      <selection pane="bottomLeft" activeCell="A5" sqref="A5"/>
      <selection pane="bottomRight" sqref="A1:XFD1048576"/>
    </sheetView>
  </sheetViews>
  <sheetFormatPr defaultRowHeight="12.75" outlineLevelRow="1" outlineLevelCol="1" x14ac:dyDescent="0.2"/>
  <cols>
    <col min="1" max="1" width="28.28515625" style="287" customWidth="1"/>
    <col min="2" max="8" width="6.7109375" style="287" hidden="1" customWidth="1" outlineLevel="1"/>
    <col min="9" max="9" width="6.7109375" style="287" hidden="1" customWidth="1" outlineLevel="1" collapsed="1"/>
    <col min="10" max="10" width="6.7109375" style="287" hidden="1" customWidth="1" outlineLevel="1"/>
    <col min="11" max="14" width="6.7109375" style="287" hidden="1" customWidth="1" outlineLevel="1" collapsed="1"/>
    <col min="15" max="15" width="6.7109375" style="287" hidden="1" customWidth="1" outlineLevel="1"/>
    <col min="16" max="18" width="6.7109375" style="287" hidden="1" customWidth="1" outlineLevel="1" collapsed="1"/>
    <col min="19" max="19" width="6.7109375" style="287" hidden="1" customWidth="1" outlineLevel="1"/>
    <col min="20" max="21" width="6.7109375" style="287" hidden="1" customWidth="1" outlineLevel="1" collapsed="1"/>
    <col min="22" max="22" width="6.7109375" style="287" hidden="1" customWidth="1" outlineLevel="1"/>
    <col min="23" max="25" width="6.7109375" style="287" hidden="1" customWidth="1" outlineLevel="1" collapsed="1"/>
    <col min="26" max="27" width="6.7109375" style="287" hidden="1" customWidth="1" outlineLevel="1"/>
    <col min="28" max="30" width="6.7109375" style="287" hidden="1" customWidth="1" outlineLevel="1" collapsed="1"/>
    <col min="31" max="33" width="6.7109375" style="287" hidden="1" customWidth="1" outlineLevel="1"/>
    <col min="34" max="34" width="6.7109375" style="287" customWidth="1" collapsed="1"/>
    <col min="35" max="49" width="6.7109375" style="287" customWidth="1"/>
    <col min="50" max="57" width="7.42578125" style="287" customWidth="1"/>
    <col min="58" max="64" width="6" style="287" customWidth="1"/>
    <col min="65" max="69" width="6.28515625" style="287" customWidth="1"/>
    <col min="70" max="70" width="6.7109375" style="287" customWidth="1"/>
    <col min="71" max="72" width="6" style="287" bestFit="1" customWidth="1"/>
    <col min="73" max="73" width="6" style="287" customWidth="1"/>
    <col min="74" max="75" width="6" style="287" bestFit="1" customWidth="1"/>
    <col min="76" max="262" width="9.140625" style="287"/>
    <col min="263" max="263" width="1.28515625" style="287" customWidth="1"/>
    <col min="264" max="264" width="15.28515625" style="287" customWidth="1"/>
    <col min="265" max="294" width="6.85546875" style="287" customWidth="1"/>
    <col min="295" max="306" width="6.5703125" style="287" customWidth="1"/>
    <col min="307" max="307" width="6" style="287" customWidth="1"/>
    <col min="308" max="308" width="7.140625" style="287" customWidth="1"/>
    <col min="309" max="320" width="6" style="287" customWidth="1"/>
    <col min="321" max="325" width="6.28515625" style="287" customWidth="1"/>
    <col min="326" max="326" width="6.7109375" style="287" customWidth="1"/>
    <col min="327" max="328" width="6" style="287" bestFit="1" customWidth="1"/>
    <col min="329" max="329" width="6" style="287" customWidth="1"/>
    <col min="330" max="331" width="6" style="287" bestFit="1" customWidth="1"/>
    <col min="332" max="518" width="9.140625" style="287"/>
    <col min="519" max="519" width="1.28515625" style="287" customWidth="1"/>
    <col min="520" max="520" width="15.28515625" style="287" customWidth="1"/>
    <col min="521" max="550" width="6.85546875" style="287" customWidth="1"/>
    <col min="551" max="562" width="6.5703125" style="287" customWidth="1"/>
    <col min="563" max="563" width="6" style="287" customWidth="1"/>
    <col min="564" max="564" width="7.140625" style="287" customWidth="1"/>
    <col min="565" max="576" width="6" style="287" customWidth="1"/>
    <col min="577" max="581" width="6.28515625" style="287" customWidth="1"/>
    <col min="582" max="582" width="6.7109375" style="287" customWidth="1"/>
    <col min="583" max="584" width="6" style="287" bestFit="1" customWidth="1"/>
    <col min="585" max="585" width="6" style="287" customWidth="1"/>
    <col min="586" max="587" width="6" style="287" bestFit="1" customWidth="1"/>
    <col min="588" max="774" width="9.140625" style="287"/>
    <col min="775" max="775" width="1.28515625" style="287" customWidth="1"/>
    <col min="776" max="776" width="15.28515625" style="287" customWidth="1"/>
    <col min="777" max="806" width="6.85546875" style="287" customWidth="1"/>
    <col min="807" max="818" width="6.5703125" style="287" customWidth="1"/>
    <col min="819" max="819" width="6" style="287" customWidth="1"/>
    <col min="820" max="820" width="7.140625" style="287" customWidth="1"/>
    <col min="821" max="832" width="6" style="287" customWidth="1"/>
    <col min="833" max="837" width="6.28515625" style="287" customWidth="1"/>
    <col min="838" max="838" width="6.7109375" style="287" customWidth="1"/>
    <col min="839" max="840" width="6" style="287" bestFit="1" customWidth="1"/>
    <col min="841" max="841" width="6" style="287" customWidth="1"/>
    <col min="842" max="843" width="6" style="287" bestFit="1" customWidth="1"/>
    <col min="844" max="1030" width="9.140625" style="287"/>
    <col min="1031" max="1031" width="1.28515625" style="287" customWidth="1"/>
    <col min="1032" max="1032" width="15.28515625" style="287" customWidth="1"/>
    <col min="1033" max="1062" width="6.85546875" style="287" customWidth="1"/>
    <col min="1063" max="1074" width="6.5703125" style="287" customWidth="1"/>
    <col min="1075" max="1075" width="6" style="287" customWidth="1"/>
    <col min="1076" max="1076" width="7.140625" style="287" customWidth="1"/>
    <col min="1077" max="1088" width="6" style="287" customWidth="1"/>
    <col min="1089" max="1093" width="6.28515625" style="287" customWidth="1"/>
    <col min="1094" max="1094" width="6.7109375" style="287" customWidth="1"/>
    <col min="1095" max="1096" width="6" style="287" bestFit="1" customWidth="1"/>
    <col min="1097" max="1097" width="6" style="287" customWidth="1"/>
    <col min="1098" max="1099" width="6" style="287" bestFit="1" customWidth="1"/>
    <col min="1100" max="1286" width="9.140625" style="287"/>
    <col min="1287" max="1287" width="1.28515625" style="287" customWidth="1"/>
    <col min="1288" max="1288" width="15.28515625" style="287" customWidth="1"/>
    <col min="1289" max="1318" width="6.85546875" style="287" customWidth="1"/>
    <col min="1319" max="1330" width="6.5703125" style="287" customWidth="1"/>
    <col min="1331" max="1331" width="6" style="287" customWidth="1"/>
    <col min="1332" max="1332" width="7.140625" style="287" customWidth="1"/>
    <col min="1333" max="1344" width="6" style="287" customWidth="1"/>
    <col min="1345" max="1349" width="6.28515625" style="287" customWidth="1"/>
    <col min="1350" max="1350" width="6.7109375" style="287" customWidth="1"/>
    <col min="1351" max="1352" width="6" style="287" bestFit="1" customWidth="1"/>
    <col min="1353" max="1353" width="6" style="287" customWidth="1"/>
    <col min="1354" max="1355" width="6" style="287" bestFit="1" customWidth="1"/>
    <col min="1356" max="1542" width="9.140625" style="287"/>
    <col min="1543" max="1543" width="1.28515625" style="287" customWidth="1"/>
    <col min="1544" max="1544" width="15.28515625" style="287" customWidth="1"/>
    <col min="1545" max="1574" width="6.85546875" style="287" customWidth="1"/>
    <col min="1575" max="1586" width="6.5703125" style="287" customWidth="1"/>
    <col min="1587" max="1587" width="6" style="287" customWidth="1"/>
    <col min="1588" max="1588" width="7.140625" style="287" customWidth="1"/>
    <col min="1589" max="1600" width="6" style="287" customWidth="1"/>
    <col min="1601" max="1605" width="6.28515625" style="287" customWidth="1"/>
    <col min="1606" max="1606" width="6.7109375" style="287" customWidth="1"/>
    <col min="1607" max="1608" width="6" style="287" bestFit="1" customWidth="1"/>
    <col min="1609" max="1609" width="6" style="287" customWidth="1"/>
    <col min="1610" max="1611" width="6" style="287" bestFit="1" customWidth="1"/>
    <col min="1612" max="1798" width="9.140625" style="287"/>
    <col min="1799" max="1799" width="1.28515625" style="287" customWidth="1"/>
    <col min="1800" max="1800" width="15.28515625" style="287" customWidth="1"/>
    <col min="1801" max="1830" width="6.85546875" style="287" customWidth="1"/>
    <col min="1831" max="1842" width="6.5703125" style="287" customWidth="1"/>
    <col min="1843" max="1843" width="6" style="287" customWidth="1"/>
    <col min="1844" max="1844" width="7.140625" style="287" customWidth="1"/>
    <col min="1845" max="1856" width="6" style="287" customWidth="1"/>
    <col min="1857" max="1861" width="6.28515625" style="287" customWidth="1"/>
    <col min="1862" max="1862" width="6.7109375" style="287" customWidth="1"/>
    <col min="1863" max="1864" width="6" style="287" bestFit="1" customWidth="1"/>
    <col min="1865" max="1865" width="6" style="287" customWidth="1"/>
    <col min="1866" max="1867" width="6" style="287" bestFit="1" customWidth="1"/>
    <col min="1868" max="2054" width="9.140625" style="287"/>
    <col min="2055" max="2055" width="1.28515625" style="287" customWidth="1"/>
    <col min="2056" max="2056" width="15.28515625" style="287" customWidth="1"/>
    <col min="2057" max="2086" width="6.85546875" style="287" customWidth="1"/>
    <col min="2087" max="2098" width="6.5703125" style="287" customWidth="1"/>
    <col min="2099" max="2099" width="6" style="287" customWidth="1"/>
    <col min="2100" max="2100" width="7.140625" style="287" customWidth="1"/>
    <col min="2101" max="2112" width="6" style="287" customWidth="1"/>
    <col min="2113" max="2117" width="6.28515625" style="287" customWidth="1"/>
    <col min="2118" max="2118" width="6.7109375" style="287" customWidth="1"/>
    <col min="2119" max="2120" width="6" style="287" bestFit="1" customWidth="1"/>
    <col min="2121" max="2121" width="6" style="287" customWidth="1"/>
    <col min="2122" max="2123" width="6" style="287" bestFit="1" customWidth="1"/>
    <col min="2124" max="2310" width="9.140625" style="287"/>
    <col min="2311" max="2311" width="1.28515625" style="287" customWidth="1"/>
    <col min="2312" max="2312" width="15.28515625" style="287" customWidth="1"/>
    <col min="2313" max="2342" width="6.85546875" style="287" customWidth="1"/>
    <col min="2343" max="2354" width="6.5703125" style="287" customWidth="1"/>
    <col min="2355" max="2355" width="6" style="287" customWidth="1"/>
    <col min="2356" max="2356" width="7.140625" style="287" customWidth="1"/>
    <col min="2357" max="2368" width="6" style="287" customWidth="1"/>
    <col min="2369" max="2373" width="6.28515625" style="287" customWidth="1"/>
    <col min="2374" max="2374" width="6.7109375" style="287" customWidth="1"/>
    <col min="2375" max="2376" width="6" style="287" bestFit="1" customWidth="1"/>
    <col min="2377" max="2377" width="6" style="287" customWidth="1"/>
    <col min="2378" max="2379" width="6" style="287" bestFit="1" customWidth="1"/>
    <col min="2380" max="2566" width="9.140625" style="287"/>
    <col min="2567" max="2567" width="1.28515625" style="287" customWidth="1"/>
    <col min="2568" max="2568" width="15.28515625" style="287" customWidth="1"/>
    <col min="2569" max="2598" width="6.85546875" style="287" customWidth="1"/>
    <col min="2599" max="2610" width="6.5703125" style="287" customWidth="1"/>
    <col min="2611" max="2611" width="6" style="287" customWidth="1"/>
    <col min="2612" max="2612" width="7.140625" style="287" customWidth="1"/>
    <col min="2613" max="2624" width="6" style="287" customWidth="1"/>
    <col min="2625" max="2629" width="6.28515625" style="287" customWidth="1"/>
    <col min="2630" max="2630" width="6.7109375" style="287" customWidth="1"/>
    <col min="2631" max="2632" width="6" style="287" bestFit="1" customWidth="1"/>
    <col min="2633" max="2633" width="6" style="287" customWidth="1"/>
    <col min="2634" max="2635" width="6" style="287" bestFit="1" customWidth="1"/>
    <col min="2636" max="2822" width="9.140625" style="287"/>
    <col min="2823" max="2823" width="1.28515625" style="287" customWidth="1"/>
    <col min="2824" max="2824" width="15.28515625" style="287" customWidth="1"/>
    <col min="2825" max="2854" width="6.85546875" style="287" customWidth="1"/>
    <col min="2855" max="2866" width="6.5703125" style="287" customWidth="1"/>
    <col min="2867" max="2867" width="6" style="287" customWidth="1"/>
    <col min="2868" max="2868" width="7.140625" style="287" customWidth="1"/>
    <col min="2869" max="2880" width="6" style="287" customWidth="1"/>
    <col min="2881" max="2885" width="6.28515625" style="287" customWidth="1"/>
    <col min="2886" max="2886" width="6.7109375" style="287" customWidth="1"/>
    <col min="2887" max="2888" width="6" style="287" bestFit="1" customWidth="1"/>
    <col min="2889" max="2889" width="6" style="287" customWidth="1"/>
    <col min="2890" max="2891" width="6" style="287" bestFit="1" customWidth="1"/>
    <col min="2892" max="3078" width="9.140625" style="287"/>
    <col min="3079" max="3079" width="1.28515625" style="287" customWidth="1"/>
    <col min="3080" max="3080" width="15.28515625" style="287" customWidth="1"/>
    <col min="3081" max="3110" width="6.85546875" style="287" customWidth="1"/>
    <col min="3111" max="3122" width="6.5703125" style="287" customWidth="1"/>
    <col min="3123" max="3123" width="6" style="287" customWidth="1"/>
    <col min="3124" max="3124" width="7.140625" style="287" customWidth="1"/>
    <col min="3125" max="3136" width="6" style="287" customWidth="1"/>
    <col min="3137" max="3141" width="6.28515625" style="287" customWidth="1"/>
    <col min="3142" max="3142" width="6.7109375" style="287" customWidth="1"/>
    <col min="3143" max="3144" width="6" style="287" bestFit="1" customWidth="1"/>
    <col min="3145" max="3145" width="6" style="287" customWidth="1"/>
    <col min="3146" max="3147" width="6" style="287" bestFit="1" customWidth="1"/>
    <col min="3148" max="3334" width="9.140625" style="287"/>
    <col min="3335" max="3335" width="1.28515625" style="287" customWidth="1"/>
    <col min="3336" max="3336" width="15.28515625" style="287" customWidth="1"/>
    <col min="3337" max="3366" width="6.85546875" style="287" customWidth="1"/>
    <col min="3367" max="3378" width="6.5703125" style="287" customWidth="1"/>
    <col min="3379" max="3379" width="6" style="287" customWidth="1"/>
    <col min="3380" max="3380" width="7.140625" style="287" customWidth="1"/>
    <col min="3381" max="3392" width="6" style="287" customWidth="1"/>
    <col min="3393" max="3397" width="6.28515625" style="287" customWidth="1"/>
    <col min="3398" max="3398" width="6.7109375" style="287" customWidth="1"/>
    <col min="3399" max="3400" width="6" style="287" bestFit="1" customWidth="1"/>
    <col min="3401" max="3401" width="6" style="287" customWidth="1"/>
    <col min="3402" max="3403" width="6" style="287" bestFit="1" customWidth="1"/>
    <col min="3404" max="3590" width="9.140625" style="287"/>
    <col min="3591" max="3591" width="1.28515625" style="287" customWidth="1"/>
    <col min="3592" max="3592" width="15.28515625" style="287" customWidth="1"/>
    <col min="3593" max="3622" width="6.85546875" style="287" customWidth="1"/>
    <col min="3623" max="3634" width="6.5703125" style="287" customWidth="1"/>
    <col min="3635" max="3635" width="6" style="287" customWidth="1"/>
    <col min="3636" max="3636" width="7.140625" style="287" customWidth="1"/>
    <col min="3637" max="3648" width="6" style="287" customWidth="1"/>
    <col min="3649" max="3653" width="6.28515625" style="287" customWidth="1"/>
    <col min="3654" max="3654" width="6.7109375" style="287" customWidth="1"/>
    <col min="3655" max="3656" width="6" style="287" bestFit="1" customWidth="1"/>
    <col min="3657" max="3657" width="6" style="287" customWidth="1"/>
    <col min="3658" max="3659" width="6" style="287" bestFit="1" customWidth="1"/>
    <col min="3660" max="3846" width="9.140625" style="287"/>
    <col min="3847" max="3847" width="1.28515625" style="287" customWidth="1"/>
    <col min="3848" max="3848" width="15.28515625" style="287" customWidth="1"/>
    <col min="3849" max="3878" width="6.85546875" style="287" customWidth="1"/>
    <col min="3879" max="3890" width="6.5703125" style="287" customWidth="1"/>
    <col min="3891" max="3891" width="6" style="287" customWidth="1"/>
    <col min="3892" max="3892" width="7.140625" style="287" customWidth="1"/>
    <col min="3893" max="3904" width="6" style="287" customWidth="1"/>
    <col min="3905" max="3909" width="6.28515625" style="287" customWidth="1"/>
    <col min="3910" max="3910" width="6.7109375" style="287" customWidth="1"/>
    <col min="3911" max="3912" width="6" style="287" bestFit="1" customWidth="1"/>
    <col min="3913" max="3913" width="6" style="287" customWidth="1"/>
    <col min="3914" max="3915" width="6" style="287" bestFit="1" customWidth="1"/>
    <col min="3916" max="4102" width="9.140625" style="287"/>
    <col min="4103" max="4103" width="1.28515625" style="287" customWidth="1"/>
    <col min="4104" max="4104" width="15.28515625" style="287" customWidth="1"/>
    <col min="4105" max="4134" width="6.85546875" style="287" customWidth="1"/>
    <col min="4135" max="4146" width="6.5703125" style="287" customWidth="1"/>
    <col min="4147" max="4147" width="6" style="287" customWidth="1"/>
    <col min="4148" max="4148" width="7.140625" style="287" customWidth="1"/>
    <col min="4149" max="4160" width="6" style="287" customWidth="1"/>
    <col min="4161" max="4165" width="6.28515625" style="287" customWidth="1"/>
    <col min="4166" max="4166" width="6.7109375" style="287" customWidth="1"/>
    <col min="4167" max="4168" width="6" style="287" bestFit="1" customWidth="1"/>
    <col min="4169" max="4169" width="6" style="287" customWidth="1"/>
    <col min="4170" max="4171" width="6" style="287" bestFit="1" customWidth="1"/>
    <col min="4172" max="4358" width="9.140625" style="287"/>
    <col min="4359" max="4359" width="1.28515625" style="287" customWidth="1"/>
    <col min="4360" max="4360" width="15.28515625" style="287" customWidth="1"/>
    <col min="4361" max="4390" width="6.85546875" style="287" customWidth="1"/>
    <col min="4391" max="4402" width="6.5703125" style="287" customWidth="1"/>
    <col min="4403" max="4403" width="6" style="287" customWidth="1"/>
    <col min="4404" max="4404" width="7.140625" style="287" customWidth="1"/>
    <col min="4405" max="4416" width="6" style="287" customWidth="1"/>
    <col min="4417" max="4421" width="6.28515625" style="287" customWidth="1"/>
    <col min="4422" max="4422" width="6.7109375" style="287" customWidth="1"/>
    <col min="4423" max="4424" width="6" style="287" bestFit="1" customWidth="1"/>
    <col min="4425" max="4425" width="6" style="287" customWidth="1"/>
    <col min="4426" max="4427" width="6" style="287" bestFit="1" customWidth="1"/>
    <col min="4428" max="4614" width="9.140625" style="287"/>
    <col min="4615" max="4615" width="1.28515625" style="287" customWidth="1"/>
    <col min="4616" max="4616" width="15.28515625" style="287" customWidth="1"/>
    <col min="4617" max="4646" width="6.85546875" style="287" customWidth="1"/>
    <col min="4647" max="4658" width="6.5703125" style="287" customWidth="1"/>
    <col min="4659" max="4659" width="6" style="287" customWidth="1"/>
    <col min="4660" max="4660" width="7.140625" style="287" customWidth="1"/>
    <col min="4661" max="4672" width="6" style="287" customWidth="1"/>
    <col min="4673" max="4677" width="6.28515625" style="287" customWidth="1"/>
    <col min="4678" max="4678" width="6.7109375" style="287" customWidth="1"/>
    <col min="4679" max="4680" width="6" style="287" bestFit="1" customWidth="1"/>
    <col min="4681" max="4681" width="6" style="287" customWidth="1"/>
    <col min="4682" max="4683" width="6" style="287" bestFit="1" customWidth="1"/>
    <col min="4684" max="4870" width="9.140625" style="287"/>
    <col min="4871" max="4871" width="1.28515625" style="287" customWidth="1"/>
    <col min="4872" max="4872" width="15.28515625" style="287" customWidth="1"/>
    <col min="4873" max="4902" width="6.85546875" style="287" customWidth="1"/>
    <col min="4903" max="4914" width="6.5703125" style="287" customWidth="1"/>
    <col min="4915" max="4915" width="6" style="287" customWidth="1"/>
    <col min="4916" max="4916" width="7.140625" style="287" customWidth="1"/>
    <col min="4917" max="4928" width="6" style="287" customWidth="1"/>
    <col min="4929" max="4933" width="6.28515625" style="287" customWidth="1"/>
    <col min="4934" max="4934" width="6.7109375" style="287" customWidth="1"/>
    <col min="4935" max="4936" width="6" style="287" bestFit="1" customWidth="1"/>
    <col min="4937" max="4937" width="6" style="287" customWidth="1"/>
    <col min="4938" max="4939" width="6" style="287" bestFit="1" customWidth="1"/>
    <col min="4940" max="5126" width="9.140625" style="287"/>
    <col min="5127" max="5127" width="1.28515625" style="287" customWidth="1"/>
    <col min="5128" max="5128" width="15.28515625" style="287" customWidth="1"/>
    <col min="5129" max="5158" width="6.85546875" style="287" customWidth="1"/>
    <col min="5159" max="5170" width="6.5703125" style="287" customWidth="1"/>
    <col min="5171" max="5171" width="6" style="287" customWidth="1"/>
    <col min="5172" max="5172" width="7.140625" style="287" customWidth="1"/>
    <col min="5173" max="5184" width="6" style="287" customWidth="1"/>
    <col min="5185" max="5189" width="6.28515625" style="287" customWidth="1"/>
    <col min="5190" max="5190" width="6.7109375" style="287" customWidth="1"/>
    <col min="5191" max="5192" width="6" style="287" bestFit="1" customWidth="1"/>
    <col min="5193" max="5193" width="6" style="287" customWidth="1"/>
    <col min="5194" max="5195" width="6" style="287" bestFit="1" customWidth="1"/>
    <col min="5196" max="5382" width="9.140625" style="287"/>
    <col min="5383" max="5383" width="1.28515625" style="287" customWidth="1"/>
    <col min="5384" max="5384" width="15.28515625" style="287" customWidth="1"/>
    <col min="5385" max="5414" width="6.85546875" style="287" customWidth="1"/>
    <col min="5415" max="5426" width="6.5703125" style="287" customWidth="1"/>
    <col min="5427" max="5427" width="6" style="287" customWidth="1"/>
    <col min="5428" max="5428" width="7.140625" style="287" customWidth="1"/>
    <col min="5429" max="5440" width="6" style="287" customWidth="1"/>
    <col min="5441" max="5445" width="6.28515625" style="287" customWidth="1"/>
    <col min="5446" max="5446" width="6.7109375" style="287" customWidth="1"/>
    <col min="5447" max="5448" width="6" style="287" bestFit="1" customWidth="1"/>
    <col min="5449" max="5449" width="6" style="287" customWidth="1"/>
    <col min="5450" max="5451" width="6" style="287" bestFit="1" customWidth="1"/>
    <col min="5452" max="5638" width="9.140625" style="287"/>
    <col min="5639" max="5639" width="1.28515625" style="287" customWidth="1"/>
    <col min="5640" max="5640" width="15.28515625" style="287" customWidth="1"/>
    <col min="5641" max="5670" width="6.85546875" style="287" customWidth="1"/>
    <col min="5671" max="5682" width="6.5703125" style="287" customWidth="1"/>
    <col min="5683" max="5683" width="6" style="287" customWidth="1"/>
    <col min="5684" max="5684" width="7.140625" style="287" customWidth="1"/>
    <col min="5685" max="5696" width="6" style="287" customWidth="1"/>
    <col min="5697" max="5701" width="6.28515625" style="287" customWidth="1"/>
    <col min="5702" max="5702" width="6.7109375" style="287" customWidth="1"/>
    <col min="5703" max="5704" width="6" style="287" bestFit="1" customWidth="1"/>
    <col min="5705" max="5705" width="6" style="287" customWidth="1"/>
    <col min="5706" max="5707" width="6" style="287" bestFit="1" customWidth="1"/>
    <col min="5708" max="5894" width="9.140625" style="287"/>
    <col min="5895" max="5895" width="1.28515625" style="287" customWidth="1"/>
    <col min="5896" max="5896" width="15.28515625" style="287" customWidth="1"/>
    <col min="5897" max="5926" width="6.85546875" style="287" customWidth="1"/>
    <col min="5927" max="5938" width="6.5703125" style="287" customWidth="1"/>
    <col min="5939" max="5939" width="6" style="287" customWidth="1"/>
    <col min="5940" max="5940" width="7.140625" style="287" customWidth="1"/>
    <col min="5941" max="5952" width="6" style="287" customWidth="1"/>
    <col min="5953" max="5957" width="6.28515625" style="287" customWidth="1"/>
    <col min="5958" max="5958" width="6.7109375" style="287" customWidth="1"/>
    <col min="5959" max="5960" width="6" style="287" bestFit="1" customWidth="1"/>
    <col min="5961" max="5961" width="6" style="287" customWidth="1"/>
    <col min="5962" max="5963" width="6" style="287" bestFit="1" customWidth="1"/>
    <col min="5964" max="6150" width="9.140625" style="287"/>
    <col min="6151" max="6151" width="1.28515625" style="287" customWidth="1"/>
    <col min="6152" max="6152" width="15.28515625" style="287" customWidth="1"/>
    <col min="6153" max="6182" width="6.85546875" style="287" customWidth="1"/>
    <col min="6183" max="6194" width="6.5703125" style="287" customWidth="1"/>
    <col min="6195" max="6195" width="6" style="287" customWidth="1"/>
    <col min="6196" max="6196" width="7.140625" style="287" customWidth="1"/>
    <col min="6197" max="6208" width="6" style="287" customWidth="1"/>
    <col min="6209" max="6213" width="6.28515625" style="287" customWidth="1"/>
    <col min="6214" max="6214" width="6.7109375" style="287" customWidth="1"/>
    <col min="6215" max="6216" width="6" style="287" bestFit="1" customWidth="1"/>
    <col min="6217" max="6217" width="6" style="287" customWidth="1"/>
    <col min="6218" max="6219" width="6" style="287" bestFit="1" customWidth="1"/>
    <col min="6220" max="6406" width="9.140625" style="287"/>
    <col min="6407" max="6407" width="1.28515625" style="287" customWidth="1"/>
    <col min="6408" max="6408" width="15.28515625" style="287" customWidth="1"/>
    <col min="6409" max="6438" width="6.85546875" style="287" customWidth="1"/>
    <col min="6439" max="6450" width="6.5703125" style="287" customWidth="1"/>
    <col min="6451" max="6451" width="6" style="287" customWidth="1"/>
    <col min="6452" max="6452" width="7.140625" style="287" customWidth="1"/>
    <col min="6453" max="6464" width="6" style="287" customWidth="1"/>
    <col min="6465" max="6469" width="6.28515625" style="287" customWidth="1"/>
    <col min="6470" max="6470" width="6.7109375" style="287" customWidth="1"/>
    <col min="6471" max="6472" width="6" style="287" bestFit="1" customWidth="1"/>
    <col min="6473" max="6473" width="6" style="287" customWidth="1"/>
    <col min="6474" max="6475" width="6" style="287" bestFit="1" customWidth="1"/>
    <col min="6476" max="6662" width="9.140625" style="287"/>
    <col min="6663" max="6663" width="1.28515625" style="287" customWidth="1"/>
    <col min="6664" max="6664" width="15.28515625" style="287" customWidth="1"/>
    <col min="6665" max="6694" width="6.85546875" style="287" customWidth="1"/>
    <col min="6695" max="6706" width="6.5703125" style="287" customWidth="1"/>
    <col min="6707" max="6707" width="6" style="287" customWidth="1"/>
    <col min="6708" max="6708" width="7.140625" style="287" customWidth="1"/>
    <col min="6709" max="6720" width="6" style="287" customWidth="1"/>
    <col min="6721" max="6725" width="6.28515625" style="287" customWidth="1"/>
    <col min="6726" max="6726" width="6.7109375" style="287" customWidth="1"/>
    <col min="6727" max="6728" width="6" style="287" bestFit="1" customWidth="1"/>
    <col min="6729" max="6729" width="6" style="287" customWidth="1"/>
    <col min="6730" max="6731" width="6" style="287" bestFit="1" customWidth="1"/>
    <col min="6732" max="6918" width="9.140625" style="287"/>
    <col min="6919" max="6919" width="1.28515625" style="287" customWidth="1"/>
    <col min="6920" max="6920" width="15.28515625" style="287" customWidth="1"/>
    <col min="6921" max="6950" width="6.85546875" style="287" customWidth="1"/>
    <col min="6951" max="6962" width="6.5703125" style="287" customWidth="1"/>
    <col min="6963" max="6963" width="6" style="287" customWidth="1"/>
    <col min="6964" max="6964" width="7.140625" style="287" customWidth="1"/>
    <col min="6965" max="6976" width="6" style="287" customWidth="1"/>
    <col min="6977" max="6981" width="6.28515625" style="287" customWidth="1"/>
    <col min="6982" max="6982" width="6.7109375" style="287" customWidth="1"/>
    <col min="6983" max="6984" width="6" style="287" bestFit="1" customWidth="1"/>
    <col min="6985" max="6985" width="6" style="287" customWidth="1"/>
    <col min="6986" max="6987" width="6" style="287" bestFit="1" customWidth="1"/>
    <col min="6988" max="7174" width="9.140625" style="287"/>
    <col min="7175" max="7175" width="1.28515625" style="287" customWidth="1"/>
    <col min="7176" max="7176" width="15.28515625" style="287" customWidth="1"/>
    <col min="7177" max="7206" width="6.85546875" style="287" customWidth="1"/>
    <col min="7207" max="7218" width="6.5703125" style="287" customWidth="1"/>
    <col min="7219" max="7219" width="6" style="287" customWidth="1"/>
    <col min="7220" max="7220" width="7.140625" style="287" customWidth="1"/>
    <col min="7221" max="7232" width="6" style="287" customWidth="1"/>
    <col min="7233" max="7237" width="6.28515625" style="287" customWidth="1"/>
    <col min="7238" max="7238" width="6.7109375" style="287" customWidth="1"/>
    <col min="7239" max="7240" width="6" style="287" bestFit="1" customWidth="1"/>
    <col min="7241" max="7241" width="6" style="287" customWidth="1"/>
    <col min="7242" max="7243" width="6" style="287" bestFit="1" customWidth="1"/>
    <col min="7244" max="7430" width="9.140625" style="287"/>
    <col min="7431" max="7431" width="1.28515625" style="287" customWidth="1"/>
    <col min="7432" max="7432" width="15.28515625" style="287" customWidth="1"/>
    <col min="7433" max="7462" width="6.85546875" style="287" customWidth="1"/>
    <col min="7463" max="7474" width="6.5703125" style="287" customWidth="1"/>
    <col min="7475" max="7475" width="6" style="287" customWidth="1"/>
    <col min="7476" max="7476" width="7.140625" style="287" customWidth="1"/>
    <col min="7477" max="7488" width="6" style="287" customWidth="1"/>
    <col min="7489" max="7493" width="6.28515625" style="287" customWidth="1"/>
    <col min="7494" max="7494" width="6.7109375" style="287" customWidth="1"/>
    <col min="7495" max="7496" width="6" style="287" bestFit="1" customWidth="1"/>
    <col min="7497" max="7497" width="6" style="287" customWidth="1"/>
    <col min="7498" max="7499" width="6" style="287" bestFit="1" customWidth="1"/>
    <col min="7500" max="7686" width="9.140625" style="287"/>
    <col min="7687" max="7687" width="1.28515625" style="287" customWidth="1"/>
    <col min="7688" max="7688" width="15.28515625" style="287" customWidth="1"/>
    <col min="7689" max="7718" width="6.85546875" style="287" customWidth="1"/>
    <col min="7719" max="7730" width="6.5703125" style="287" customWidth="1"/>
    <col min="7731" max="7731" width="6" style="287" customWidth="1"/>
    <col min="7732" max="7732" width="7.140625" style="287" customWidth="1"/>
    <col min="7733" max="7744" width="6" style="287" customWidth="1"/>
    <col min="7745" max="7749" width="6.28515625" style="287" customWidth="1"/>
    <col min="7750" max="7750" width="6.7109375" style="287" customWidth="1"/>
    <col min="7751" max="7752" width="6" style="287" bestFit="1" customWidth="1"/>
    <col min="7753" max="7753" width="6" style="287" customWidth="1"/>
    <col min="7754" max="7755" width="6" style="287" bestFit="1" customWidth="1"/>
    <col min="7756" max="7942" width="9.140625" style="287"/>
    <col min="7943" max="7943" width="1.28515625" style="287" customWidth="1"/>
    <col min="7944" max="7944" width="15.28515625" style="287" customWidth="1"/>
    <col min="7945" max="7974" width="6.85546875" style="287" customWidth="1"/>
    <col min="7975" max="7986" width="6.5703125" style="287" customWidth="1"/>
    <col min="7987" max="7987" width="6" style="287" customWidth="1"/>
    <col min="7988" max="7988" width="7.140625" style="287" customWidth="1"/>
    <col min="7989" max="8000" width="6" style="287" customWidth="1"/>
    <col min="8001" max="8005" width="6.28515625" style="287" customWidth="1"/>
    <col min="8006" max="8006" width="6.7109375" style="287" customWidth="1"/>
    <col min="8007" max="8008" width="6" style="287" bestFit="1" customWidth="1"/>
    <col min="8009" max="8009" width="6" style="287" customWidth="1"/>
    <col min="8010" max="8011" width="6" style="287" bestFit="1" customWidth="1"/>
    <col min="8012" max="8198" width="9.140625" style="287"/>
    <col min="8199" max="8199" width="1.28515625" style="287" customWidth="1"/>
    <col min="8200" max="8200" width="15.28515625" style="287" customWidth="1"/>
    <col min="8201" max="8230" width="6.85546875" style="287" customWidth="1"/>
    <col min="8231" max="8242" width="6.5703125" style="287" customWidth="1"/>
    <col min="8243" max="8243" width="6" style="287" customWidth="1"/>
    <col min="8244" max="8244" width="7.140625" style="287" customWidth="1"/>
    <col min="8245" max="8256" width="6" style="287" customWidth="1"/>
    <col min="8257" max="8261" width="6.28515625" style="287" customWidth="1"/>
    <col min="8262" max="8262" width="6.7109375" style="287" customWidth="1"/>
    <col min="8263" max="8264" width="6" style="287" bestFit="1" customWidth="1"/>
    <col min="8265" max="8265" width="6" style="287" customWidth="1"/>
    <col min="8266" max="8267" width="6" style="287" bestFit="1" customWidth="1"/>
    <col min="8268" max="8454" width="9.140625" style="287"/>
    <col min="8455" max="8455" width="1.28515625" style="287" customWidth="1"/>
    <col min="8456" max="8456" width="15.28515625" style="287" customWidth="1"/>
    <col min="8457" max="8486" width="6.85546875" style="287" customWidth="1"/>
    <col min="8487" max="8498" width="6.5703125" style="287" customWidth="1"/>
    <col min="8499" max="8499" width="6" style="287" customWidth="1"/>
    <col min="8500" max="8500" width="7.140625" style="287" customWidth="1"/>
    <col min="8501" max="8512" width="6" style="287" customWidth="1"/>
    <col min="8513" max="8517" width="6.28515625" style="287" customWidth="1"/>
    <col min="8518" max="8518" width="6.7109375" style="287" customWidth="1"/>
    <col min="8519" max="8520" width="6" style="287" bestFit="1" customWidth="1"/>
    <col min="8521" max="8521" width="6" style="287" customWidth="1"/>
    <col min="8522" max="8523" width="6" style="287" bestFit="1" customWidth="1"/>
    <col min="8524" max="8710" width="9.140625" style="287"/>
    <col min="8711" max="8711" width="1.28515625" style="287" customWidth="1"/>
    <col min="8712" max="8712" width="15.28515625" style="287" customWidth="1"/>
    <col min="8713" max="8742" width="6.85546875" style="287" customWidth="1"/>
    <col min="8743" max="8754" width="6.5703125" style="287" customWidth="1"/>
    <col min="8755" max="8755" width="6" style="287" customWidth="1"/>
    <col min="8756" max="8756" width="7.140625" style="287" customWidth="1"/>
    <col min="8757" max="8768" width="6" style="287" customWidth="1"/>
    <col min="8769" max="8773" width="6.28515625" style="287" customWidth="1"/>
    <col min="8774" max="8774" width="6.7109375" style="287" customWidth="1"/>
    <col min="8775" max="8776" width="6" style="287" bestFit="1" customWidth="1"/>
    <col min="8777" max="8777" width="6" style="287" customWidth="1"/>
    <col min="8778" max="8779" width="6" style="287" bestFit="1" customWidth="1"/>
    <col min="8780" max="8966" width="9.140625" style="287"/>
    <col min="8967" max="8967" width="1.28515625" style="287" customWidth="1"/>
    <col min="8968" max="8968" width="15.28515625" style="287" customWidth="1"/>
    <col min="8969" max="8998" width="6.85546875" style="287" customWidth="1"/>
    <col min="8999" max="9010" width="6.5703125" style="287" customWidth="1"/>
    <col min="9011" max="9011" width="6" style="287" customWidth="1"/>
    <col min="9012" max="9012" width="7.140625" style="287" customWidth="1"/>
    <col min="9013" max="9024" width="6" style="287" customWidth="1"/>
    <col min="9025" max="9029" width="6.28515625" style="287" customWidth="1"/>
    <col min="9030" max="9030" width="6.7109375" style="287" customWidth="1"/>
    <col min="9031" max="9032" width="6" style="287" bestFit="1" customWidth="1"/>
    <col min="9033" max="9033" width="6" style="287" customWidth="1"/>
    <col min="9034" max="9035" width="6" style="287" bestFit="1" customWidth="1"/>
    <col min="9036" max="9222" width="9.140625" style="287"/>
    <col min="9223" max="9223" width="1.28515625" style="287" customWidth="1"/>
    <col min="9224" max="9224" width="15.28515625" style="287" customWidth="1"/>
    <col min="9225" max="9254" width="6.85546875" style="287" customWidth="1"/>
    <col min="9255" max="9266" width="6.5703125" style="287" customWidth="1"/>
    <col min="9267" max="9267" width="6" style="287" customWidth="1"/>
    <col min="9268" max="9268" width="7.140625" style="287" customWidth="1"/>
    <col min="9269" max="9280" width="6" style="287" customWidth="1"/>
    <col min="9281" max="9285" width="6.28515625" style="287" customWidth="1"/>
    <col min="9286" max="9286" width="6.7109375" style="287" customWidth="1"/>
    <col min="9287" max="9288" width="6" style="287" bestFit="1" customWidth="1"/>
    <col min="9289" max="9289" width="6" style="287" customWidth="1"/>
    <col min="9290" max="9291" width="6" style="287" bestFit="1" customWidth="1"/>
    <col min="9292" max="9478" width="9.140625" style="287"/>
    <col min="9479" max="9479" width="1.28515625" style="287" customWidth="1"/>
    <col min="9480" max="9480" width="15.28515625" style="287" customWidth="1"/>
    <col min="9481" max="9510" width="6.85546875" style="287" customWidth="1"/>
    <col min="9511" max="9522" width="6.5703125" style="287" customWidth="1"/>
    <col min="9523" max="9523" width="6" style="287" customWidth="1"/>
    <col min="9524" max="9524" width="7.140625" style="287" customWidth="1"/>
    <col min="9525" max="9536" width="6" style="287" customWidth="1"/>
    <col min="9537" max="9541" width="6.28515625" style="287" customWidth="1"/>
    <col min="9542" max="9542" width="6.7109375" style="287" customWidth="1"/>
    <col min="9543" max="9544" width="6" style="287" bestFit="1" customWidth="1"/>
    <col min="9545" max="9545" width="6" style="287" customWidth="1"/>
    <col min="9546" max="9547" width="6" style="287" bestFit="1" customWidth="1"/>
    <col min="9548" max="9734" width="9.140625" style="287"/>
    <col min="9735" max="9735" width="1.28515625" style="287" customWidth="1"/>
    <col min="9736" max="9736" width="15.28515625" style="287" customWidth="1"/>
    <col min="9737" max="9766" width="6.85546875" style="287" customWidth="1"/>
    <col min="9767" max="9778" width="6.5703125" style="287" customWidth="1"/>
    <col min="9779" max="9779" width="6" style="287" customWidth="1"/>
    <col min="9780" max="9780" width="7.140625" style="287" customWidth="1"/>
    <col min="9781" max="9792" width="6" style="287" customWidth="1"/>
    <col min="9793" max="9797" width="6.28515625" style="287" customWidth="1"/>
    <col min="9798" max="9798" width="6.7109375" style="287" customWidth="1"/>
    <col min="9799" max="9800" width="6" style="287" bestFit="1" customWidth="1"/>
    <col min="9801" max="9801" width="6" style="287" customWidth="1"/>
    <col min="9802" max="9803" width="6" style="287" bestFit="1" customWidth="1"/>
    <col min="9804" max="9990" width="9.140625" style="287"/>
    <col min="9991" max="9991" width="1.28515625" style="287" customWidth="1"/>
    <col min="9992" max="9992" width="15.28515625" style="287" customWidth="1"/>
    <col min="9993" max="10022" width="6.85546875" style="287" customWidth="1"/>
    <col min="10023" max="10034" width="6.5703125" style="287" customWidth="1"/>
    <col min="10035" max="10035" width="6" style="287" customWidth="1"/>
    <col min="10036" max="10036" width="7.140625" style="287" customWidth="1"/>
    <col min="10037" max="10048" width="6" style="287" customWidth="1"/>
    <col min="10049" max="10053" width="6.28515625" style="287" customWidth="1"/>
    <col min="10054" max="10054" width="6.7109375" style="287" customWidth="1"/>
    <col min="10055" max="10056" width="6" style="287" bestFit="1" customWidth="1"/>
    <col min="10057" max="10057" width="6" style="287" customWidth="1"/>
    <col min="10058" max="10059" width="6" style="287" bestFit="1" customWidth="1"/>
    <col min="10060" max="10246" width="9.140625" style="287"/>
    <col min="10247" max="10247" width="1.28515625" style="287" customWidth="1"/>
    <col min="10248" max="10248" width="15.28515625" style="287" customWidth="1"/>
    <col min="10249" max="10278" width="6.85546875" style="287" customWidth="1"/>
    <col min="10279" max="10290" width="6.5703125" style="287" customWidth="1"/>
    <col min="10291" max="10291" width="6" style="287" customWidth="1"/>
    <col min="10292" max="10292" width="7.140625" style="287" customWidth="1"/>
    <col min="10293" max="10304" width="6" style="287" customWidth="1"/>
    <col min="10305" max="10309" width="6.28515625" style="287" customWidth="1"/>
    <col min="10310" max="10310" width="6.7109375" style="287" customWidth="1"/>
    <col min="10311" max="10312" width="6" style="287" bestFit="1" customWidth="1"/>
    <col min="10313" max="10313" width="6" style="287" customWidth="1"/>
    <col min="10314" max="10315" width="6" style="287" bestFit="1" customWidth="1"/>
    <col min="10316" max="10502" width="9.140625" style="287"/>
    <col min="10503" max="10503" width="1.28515625" style="287" customWidth="1"/>
    <col min="10504" max="10504" width="15.28515625" style="287" customWidth="1"/>
    <col min="10505" max="10534" width="6.85546875" style="287" customWidth="1"/>
    <col min="10535" max="10546" width="6.5703125" style="287" customWidth="1"/>
    <col min="10547" max="10547" width="6" style="287" customWidth="1"/>
    <col min="10548" max="10548" width="7.140625" style="287" customWidth="1"/>
    <col min="10549" max="10560" width="6" style="287" customWidth="1"/>
    <col min="10561" max="10565" width="6.28515625" style="287" customWidth="1"/>
    <col min="10566" max="10566" width="6.7109375" style="287" customWidth="1"/>
    <col min="10567" max="10568" width="6" style="287" bestFit="1" customWidth="1"/>
    <col min="10569" max="10569" width="6" style="287" customWidth="1"/>
    <col min="10570" max="10571" width="6" style="287" bestFit="1" customWidth="1"/>
    <col min="10572" max="10758" width="9.140625" style="287"/>
    <col min="10759" max="10759" width="1.28515625" style="287" customWidth="1"/>
    <col min="10760" max="10760" width="15.28515625" style="287" customWidth="1"/>
    <col min="10761" max="10790" width="6.85546875" style="287" customWidth="1"/>
    <col min="10791" max="10802" width="6.5703125" style="287" customWidth="1"/>
    <col min="10803" max="10803" width="6" style="287" customWidth="1"/>
    <col min="10804" max="10804" width="7.140625" style="287" customWidth="1"/>
    <col min="10805" max="10816" width="6" style="287" customWidth="1"/>
    <col min="10817" max="10821" width="6.28515625" style="287" customWidth="1"/>
    <col min="10822" max="10822" width="6.7109375" style="287" customWidth="1"/>
    <col min="10823" max="10824" width="6" style="287" bestFit="1" customWidth="1"/>
    <col min="10825" max="10825" width="6" style="287" customWidth="1"/>
    <col min="10826" max="10827" width="6" style="287" bestFit="1" customWidth="1"/>
    <col min="10828" max="11014" width="9.140625" style="287"/>
    <col min="11015" max="11015" width="1.28515625" style="287" customWidth="1"/>
    <col min="11016" max="11016" width="15.28515625" style="287" customWidth="1"/>
    <col min="11017" max="11046" width="6.85546875" style="287" customWidth="1"/>
    <col min="11047" max="11058" width="6.5703125" style="287" customWidth="1"/>
    <col min="11059" max="11059" width="6" style="287" customWidth="1"/>
    <col min="11060" max="11060" width="7.140625" style="287" customWidth="1"/>
    <col min="11061" max="11072" width="6" style="287" customWidth="1"/>
    <col min="11073" max="11077" width="6.28515625" style="287" customWidth="1"/>
    <col min="11078" max="11078" width="6.7109375" style="287" customWidth="1"/>
    <col min="11079" max="11080" width="6" style="287" bestFit="1" customWidth="1"/>
    <col min="11081" max="11081" width="6" style="287" customWidth="1"/>
    <col min="11082" max="11083" width="6" style="287" bestFit="1" customWidth="1"/>
    <col min="11084" max="11270" width="9.140625" style="287"/>
    <col min="11271" max="11271" width="1.28515625" style="287" customWidth="1"/>
    <col min="11272" max="11272" width="15.28515625" style="287" customWidth="1"/>
    <col min="11273" max="11302" width="6.85546875" style="287" customWidth="1"/>
    <col min="11303" max="11314" width="6.5703125" style="287" customWidth="1"/>
    <col min="11315" max="11315" width="6" style="287" customWidth="1"/>
    <col min="11316" max="11316" width="7.140625" style="287" customWidth="1"/>
    <col min="11317" max="11328" width="6" style="287" customWidth="1"/>
    <col min="11329" max="11333" width="6.28515625" style="287" customWidth="1"/>
    <col min="11334" max="11334" width="6.7109375" style="287" customWidth="1"/>
    <col min="11335" max="11336" width="6" style="287" bestFit="1" customWidth="1"/>
    <col min="11337" max="11337" width="6" style="287" customWidth="1"/>
    <col min="11338" max="11339" width="6" style="287" bestFit="1" customWidth="1"/>
    <col min="11340" max="11526" width="9.140625" style="287"/>
    <col min="11527" max="11527" width="1.28515625" style="287" customWidth="1"/>
    <col min="11528" max="11528" width="15.28515625" style="287" customWidth="1"/>
    <col min="11529" max="11558" width="6.85546875" style="287" customWidth="1"/>
    <col min="11559" max="11570" width="6.5703125" style="287" customWidth="1"/>
    <col min="11571" max="11571" width="6" style="287" customWidth="1"/>
    <col min="11572" max="11572" width="7.140625" style="287" customWidth="1"/>
    <col min="11573" max="11584" width="6" style="287" customWidth="1"/>
    <col min="11585" max="11589" width="6.28515625" style="287" customWidth="1"/>
    <col min="11590" max="11590" width="6.7109375" style="287" customWidth="1"/>
    <col min="11591" max="11592" width="6" style="287" bestFit="1" customWidth="1"/>
    <col min="11593" max="11593" width="6" style="287" customWidth="1"/>
    <col min="11594" max="11595" width="6" style="287" bestFit="1" customWidth="1"/>
    <col min="11596" max="11782" width="9.140625" style="287"/>
    <col min="11783" max="11783" width="1.28515625" style="287" customWidth="1"/>
    <col min="11784" max="11784" width="15.28515625" style="287" customWidth="1"/>
    <col min="11785" max="11814" width="6.85546875" style="287" customWidth="1"/>
    <col min="11815" max="11826" width="6.5703125" style="287" customWidth="1"/>
    <col min="11827" max="11827" width="6" style="287" customWidth="1"/>
    <col min="11828" max="11828" width="7.140625" style="287" customWidth="1"/>
    <col min="11829" max="11840" width="6" style="287" customWidth="1"/>
    <col min="11841" max="11845" width="6.28515625" style="287" customWidth="1"/>
    <col min="11846" max="11846" width="6.7109375" style="287" customWidth="1"/>
    <col min="11847" max="11848" width="6" style="287" bestFit="1" customWidth="1"/>
    <col min="11849" max="11849" width="6" style="287" customWidth="1"/>
    <col min="11850" max="11851" width="6" style="287" bestFit="1" customWidth="1"/>
    <col min="11852" max="12038" width="9.140625" style="287"/>
    <col min="12039" max="12039" width="1.28515625" style="287" customWidth="1"/>
    <col min="12040" max="12040" width="15.28515625" style="287" customWidth="1"/>
    <col min="12041" max="12070" width="6.85546875" style="287" customWidth="1"/>
    <col min="12071" max="12082" width="6.5703125" style="287" customWidth="1"/>
    <col min="12083" max="12083" width="6" style="287" customWidth="1"/>
    <col min="12084" max="12084" width="7.140625" style="287" customWidth="1"/>
    <col min="12085" max="12096" width="6" style="287" customWidth="1"/>
    <col min="12097" max="12101" width="6.28515625" style="287" customWidth="1"/>
    <col min="12102" max="12102" width="6.7109375" style="287" customWidth="1"/>
    <col min="12103" max="12104" width="6" style="287" bestFit="1" customWidth="1"/>
    <col min="12105" max="12105" width="6" style="287" customWidth="1"/>
    <col min="12106" max="12107" width="6" style="287" bestFit="1" customWidth="1"/>
    <col min="12108" max="12294" width="9.140625" style="287"/>
    <col min="12295" max="12295" width="1.28515625" style="287" customWidth="1"/>
    <col min="12296" max="12296" width="15.28515625" style="287" customWidth="1"/>
    <col min="12297" max="12326" width="6.85546875" style="287" customWidth="1"/>
    <col min="12327" max="12338" width="6.5703125" style="287" customWidth="1"/>
    <col min="12339" max="12339" width="6" style="287" customWidth="1"/>
    <col min="12340" max="12340" width="7.140625" style="287" customWidth="1"/>
    <col min="12341" max="12352" width="6" style="287" customWidth="1"/>
    <col min="12353" max="12357" width="6.28515625" style="287" customWidth="1"/>
    <col min="12358" max="12358" width="6.7109375" style="287" customWidth="1"/>
    <col min="12359" max="12360" width="6" style="287" bestFit="1" customWidth="1"/>
    <col min="12361" max="12361" width="6" style="287" customWidth="1"/>
    <col min="12362" max="12363" width="6" style="287" bestFit="1" customWidth="1"/>
    <col min="12364" max="12550" width="9.140625" style="287"/>
    <col min="12551" max="12551" width="1.28515625" style="287" customWidth="1"/>
    <col min="12552" max="12552" width="15.28515625" style="287" customWidth="1"/>
    <col min="12553" max="12582" width="6.85546875" style="287" customWidth="1"/>
    <col min="12583" max="12594" width="6.5703125" style="287" customWidth="1"/>
    <col min="12595" max="12595" width="6" style="287" customWidth="1"/>
    <col min="12596" max="12596" width="7.140625" style="287" customWidth="1"/>
    <col min="12597" max="12608" width="6" style="287" customWidth="1"/>
    <col min="12609" max="12613" width="6.28515625" style="287" customWidth="1"/>
    <col min="12614" max="12614" width="6.7109375" style="287" customWidth="1"/>
    <col min="12615" max="12616" width="6" style="287" bestFit="1" customWidth="1"/>
    <col min="12617" max="12617" width="6" style="287" customWidth="1"/>
    <col min="12618" max="12619" width="6" style="287" bestFit="1" customWidth="1"/>
    <col min="12620" max="12806" width="9.140625" style="287"/>
    <col min="12807" max="12807" width="1.28515625" style="287" customWidth="1"/>
    <col min="12808" max="12808" width="15.28515625" style="287" customWidth="1"/>
    <col min="12809" max="12838" width="6.85546875" style="287" customWidth="1"/>
    <col min="12839" max="12850" width="6.5703125" style="287" customWidth="1"/>
    <col min="12851" max="12851" width="6" style="287" customWidth="1"/>
    <col min="12852" max="12852" width="7.140625" style="287" customWidth="1"/>
    <col min="12853" max="12864" width="6" style="287" customWidth="1"/>
    <col min="12865" max="12869" width="6.28515625" style="287" customWidth="1"/>
    <col min="12870" max="12870" width="6.7109375" style="287" customWidth="1"/>
    <col min="12871" max="12872" width="6" style="287" bestFit="1" customWidth="1"/>
    <col min="12873" max="12873" width="6" style="287" customWidth="1"/>
    <col min="12874" max="12875" width="6" style="287" bestFit="1" customWidth="1"/>
    <col min="12876" max="13062" width="9.140625" style="287"/>
    <col min="13063" max="13063" width="1.28515625" style="287" customWidth="1"/>
    <col min="13064" max="13064" width="15.28515625" style="287" customWidth="1"/>
    <col min="13065" max="13094" width="6.85546875" style="287" customWidth="1"/>
    <col min="13095" max="13106" width="6.5703125" style="287" customWidth="1"/>
    <col min="13107" max="13107" width="6" style="287" customWidth="1"/>
    <col min="13108" max="13108" width="7.140625" style="287" customWidth="1"/>
    <col min="13109" max="13120" width="6" style="287" customWidth="1"/>
    <col min="13121" max="13125" width="6.28515625" style="287" customWidth="1"/>
    <col min="13126" max="13126" width="6.7109375" style="287" customWidth="1"/>
    <col min="13127" max="13128" width="6" style="287" bestFit="1" customWidth="1"/>
    <col min="13129" max="13129" width="6" style="287" customWidth="1"/>
    <col min="13130" max="13131" width="6" style="287" bestFit="1" customWidth="1"/>
    <col min="13132" max="13318" width="9.140625" style="287"/>
    <col min="13319" max="13319" width="1.28515625" style="287" customWidth="1"/>
    <col min="13320" max="13320" width="15.28515625" style="287" customWidth="1"/>
    <col min="13321" max="13350" width="6.85546875" style="287" customWidth="1"/>
    <col min="13351" max="13362" width="6.5703125" style="287" customWidth="1"/>
    <col min="13363" max="13363" width="6" style="287" customWidth="1"/>
    <col min="13364" max="13364" width="7.140625" style="287" customWidth="1"/>
    <col min="13365" max="13376" width="6" style="287" customWidth="1"/>
    <col min="13377" max="13381" width="6.28515625" style="287" customWidth="1"/>
    <col min="13382" max="13382" width="6.7109375" style="287" customWidth="1"/>
    <col min="13383" max="13384" width="6" style="287" bestFit="1" customWidth="1"/>
    <col min="13385" max="13385" width="6" style="287" customWidth="1"/>
    <col min="13386" max="13387" width="6" style="287" bestFit="1" customWidth="1"/>
    <col min="13388" max="13574" width="9.140625" style="287"/>
    <col min="13575" max="13575" width="1.28515625" style="287" customWidth="1"/>
    <col min="13576" max="13576" width="15.28515625" style="287" customWidth="1"/>
    <col min="13577" max="13606" width="6.85546875" style="287" customWidth="1"/>
    <col min="13607" max="13618" width="6.5703125" style="287" customWidth="1"/>
    <col min="13619" max="13619" width="6" style="287" customWidth="1"/>
    <col min="13620" max="13620" width="7.140625" style="287" customWidth="1"/>
    <col min="13621" max="13632" width="6" style="287" customWidth="1"/>
    <col min="13633" max="13637" width="6.28515625" style="287" customWidth="1"/>
    <col min="13638" max="13638" width="6.7109375" style="287" customWidth="1"/>
    <col min="13639" max="13640" width="6" style="287" bestFit="1" customWidth="1"/>
    <col min="13641" max="13641" width="6" style="287" customWidth="1"/>
    <col min="13642" max="13643" width="6" style="287" bestFit="1" customWidth="1"/>
    <col min="13644" max="13830" width="9.140625" style="287"/>
    <col min="13831" max="13831" width="1.28515625" style="287" customWidth="1"/>
    <col min="13832" max="13832" width="15.28515625" style="287" customWidth="1"/>
    <col min="13833" max="13862" width="6.85546875" style="287" customWidth="1"/>
    <col min="13863" max="13874" width="6.5703125" style="287" customWidth="1"/>
    <col min="13875" max="13875" width="6" style="287" customWidth="1"/>
    <col min="13876" max="13876" width="7.140625" style="287" customWidth="1"/>
    <col min="13877" max="13888" width="6" style="287" customWidth="1"/>
    <col min="13889" max="13893" width="6.28515625" style="287" customWidth="1"/>
    <col min="13894" max="13894" width="6.7109375" style="287" customWidth="1"/>
    <col min="13895" max="13896" width="6" style="287" bestFit="1" customWidth="1"/>
    <col min="13897" max="13897" width="6" style="287" customWidth="1"/>
    <col min="13898" max="13899" width="6" style="287" bestFit="1" customWidth="1"/>
    <col min="13900" max="14086" width="9.140625" style="287"/>
    <col min="14087" max="14087" width="1.28515625" style="287" customWidth="1"/>
    <col min="14088" max="14088" width="15.28515625" style="287" customWidth="1"/>
    <col min="14089" max="14118" width="6.85546875" style="287" customWidth="1"/>
    <col min="14119" max="14130" width="6.5703125" style="287" customWidth="1"/>
    <col min="14131" max="14131" width="6" style="287" customWidth="1"/>
    <col min="14132" max="14132" width="7.140625" style="287" customWidth="1"/>
    <col min="14133" max="14144" width="6" style="287" customWidth="1"/>
    <col min="14145" max="14149" width="6.28515625" style="287" customWidth="1"/>
    <col min="14150" max="14150" width="6.7109375" style="287" customWidth="1"/>
    <col min="14151" max="14152" width="6" style="287" bestFit="1" customWidth="1"/>
    <col min="14153" max="14153" width="6" style="287" customWidth="1"/>
    <col min="14154" max="14155" width="6" style="287" bestFit="1" customWidth="1"/>
    <col min="14156" max="14342" width="9.140625" style="287"/>
    <col min="14343" max="14343" width="1.28515625" style="287" customWidth="1"/>
    <col min="14344" max="14344" width="15.28515625" style="287" customWidth="1"/>
    <col min="14345" max="14374" width="6.85546875" style="287" customWidth="1"/>
    <col min="14375" max="14386" width="6.5703125" style="287" customWidth="1"/>
    <col min="14387" max="14387" width="6" style="287" customWidth="1"/>
    <col min="14388" max="14388" width="7.140625" style="287" customWidth="1"/>
    <col min="14389" max="14400" width="6" style="287" customWidth="1"/>
    <col min="14401" max="14405" width="6.28515625" style="287" customWidth="1"/>
    <col min="14406" max="14406" width="6.7109375" style="287" customWidth="1"/>
    <col min="14407" max="14408" width="6" style="287" bestFit="1" customWidth="1"/>
    <col min="14409" max="14409" width="6" style="287" customWidth="1"/>
    <col min="14410" max="14411" width="6" style="287" bestFit="1" customWidth="1"/>
    <col min="14412" max="14598" width="9.140625" style="287"/>
    <col min="14599" max="14599" width="1.28515625" style="287" customWidth="1"/>
    <col min="14600" max="14600" width="15.28515625" style="287" customWidth="1"/>
    <col min="14601" max="14630" width="6.85546875" style="287" customWidth="1"/>
    <col min="14631" max="14642" width="6.5703125" style="287" customWidth="1"/>
    <col min="14643" max="14643" width="6" style="287" customWidth="1"/>
    <col min="14644" max="14644" width="7.140625" style="287" customWidth="1"/>
    <col min="14645" max="14656" width="6" style="287" customWidth="1"/>
    <col min="14657" max="14661" width="6.28515625" style="287" customWidth="1"/>
    <col min="14662" max="14662" width="6.7109375" style="287" customWidth="1"/>
    <col min="14663" max="14664" width="6" style="287" bestFit="1" customWidth="1"/>
    <col min="14665" max="14665" width="6" style="287" customWidth="1"/>
    <col min="14666" max="14667" width="6" style="287" bestFit="1" customWidth="1"/>
    <col min="14668" max="14854" width="9.140625" style="287"/>
    <col min="14855" max="14855" width="1.28515625" style="287" customWidth="1"/>
    <col min="14856" max="14856" width="15.28515625" style="287" customWidth="1"/>
    <col min="14857" max="14886" width="6.85546875" style="287" customWidth="1"/>
    <col min="14887" max="14898" width="6.5703125" style="287" customWidth="1"/>
    <col min="14899" max="14899" width="6" style="287" customWidth="1"/>
    <col min="14900" max="14900" width="7.140625" style="287" customWidth="1"/>
    <col min="14901" max="14912" width="6" style="287" customWidth="1"/>
    <col min="14913" max="14917" width="6.28515625" style="287" customWidth="1"/>
    <col min="14918" max="14918" width="6.7109375" style="287" customWidth="1"/>
    <col min="14919" max="14920" width="6" style="287" bestFit="1" customWidth="1"/>
    <col min="14921" max="14921" width="6" style="287" customWidth="1"/>
    <col min="14922" max="14923" width="6" style="287" bestFit="1" customWidth="1"/>
    <col min="14924" max="15110" width="9.140625" style="287"/>
    <col min="15111" max="15111" width="1.28515625" style="287" customWidth="1"/>
    <col min="15112" max="15112" width="15.28515625" style="287" customWidth="1"/>
    <col min="15113" max="15142" width="6.85546875" style="287" customWidth="1"/>
    <col min="15143" max="15154" width="6.5703125" style="287" customWidth="1"/>
    <col min="15155" max="15155" width="6" style="287" customWidth="1"/>
    <col min="15156" max="15156" width="7.140625" style="287" customWidth="1"/>
    <col min="15157" max="15168" width="6" style="287" customWidth="1"/>
    <col min="15169" max="15173" width="6.28515625" style="287" customWidth="1"/>
    <col min="15174" max="15174" width="6.7109375" style="287" customWidth="1"/>
    <col min="15175" max="15176" width="6" style="287" bestFit="1" customWidth="1"/>
    <col min="15177" max="15177" width="6" style="287" customWidth="1"/>
    <col min="15178" max="15179" width="6" style="287" bestFit="1" customWidth="1"/>
    <col min="15180" max="15366" width="9.140625" style="287"/>
    <col min="15367" max="15367" width="1.28515625" style="287" customWidth="1"/>
    <col min="15368" max="15368" width="15.28515625" style="287" customWidth="1"/>
    <col min="15369" max="15398" width="6.85546875" style="287" customWidth="1"/>
    <col min="15399" max="15410" width="6.5703125" style="287" customWidth="1"/>
    <col min="15411" max="15411" width="6" style="287" customWidth="1"/>
    <col min="15412" max="15412" width="7.140625" style="287" customWidth="1"/>
    <col min="15413" max="15424" width="6" style="287" customWidth="1"/>
    <col min="15425" max="15429" width="6.28515625" style="287" customWidth="1"/>
    <col min="15430" max="15430" width="6.7109375" style="287" customWidth="1"/>
    <col min="15431" max="15432" width="6" style="287" bestFit="1" customWidth="1"/>
    <col min="15433" max="15433" width="6" style="287" customWidth="1"/>
    <col min="15434" max="15435" width="6" style="287" bestFit="1" customWidth="1"/>
    <col min="15436" max="15622" width="9.140625" style="287"/>
    <col min="15623" max="15623" width="1.28515625" style="287" customWidth="1"/>
    <col min="15624" max="15624" width="15.28515625" style="287" customWidth="1"/>
    <col min="15625" max="15654" width="6.85546875" style="287" customWidth="1"/>
    <col min="15655" max="15666" width="6.5703125" style="287" customWidth="1"/>
    <col min="15667" max="15667" width="6" style="287" customWidth="1"/>
    <col min="15668" max="15668" width="7.140625" style="287" customWidth="1"/>
    <col min="15669" max="15680" width="6" style="287" customWidth="1"/>
    <col min="15681" max="15685" width="6.28515625" style="287" customWidth="1"/>
    <col min="15686" max="15686" width="6.7109375" style="287" customWidth="1"/>
    <col min="15687" max="15688" width="6" style="287" bestFit="1" customWidth="1"/>
    <col min="15689" max="15689" width="6" style="287" customWidth="1"/>
    <col min="15690" max="15691" width="6" style="287" bestFit="1" customWidth="1"/>
    <col min="15692" max="15878" width="9.140625" style="287"/>
    <col min="15879" max="15879" width="1.28515625" style="287" customWidth="1"/>
    <col min="15880" max="15880" width="15.28515625" style="287" customWidth="1"/>
    <col min="15881" max="15910" width="6.85546875" style="287" customWidth="1"/>
    <col min="15911" max="15922" width="6.5703125" style="287" customWidth="1"/>
    <col min="15923" max="15923" width="6" style="287" customWidth="1"/>
    <col min="15924" max="15924" width="7.140625" style="287" customWidth="1"/>
    <col min="15925" max="15936" width="6" style="287" customWidth="1"/>
    <col min="15937" max="15941" width="6.28515625" style="287" customWidth="1"/>
    <col min="15942" max="15942" width="6.7109375" style="287" customWidth="1"/>
    <col min="15943" max="15944" width="6" style="287" bestFit="1" customWidth="1"/>
    <col min="15945" max="15945" width="6" style="287" customWidth="1"/>
    <col min="15946" max="15947" width="6" style="287" bestFit="1" customWidth="1"/>
    <col min="15948" max="16134" width="9.140625" style="287"/>
    <col min="16135" max="16135" width="1.28515625" style="287" customWidth="1"/>
    <col min="16136" max="16136" width="15.28515625" style="287" customWidth="1"/>
    <col min="16137" max="16166" width="6.85546875" style="287" customWidth="1"/>
    <col min="16167" max="16178" width="6.5703125" style="287" customWidth="1"/>
    <col min="16179" max="16179" width="6" style="287" customWidth="1"/>
    <col min="16180" max="16180" width="7.140625" style="287" customWidth="1"/>
    <col min="16181" max="16192" width="6" style="287" customWidth="1"/>
    <col min="16193" max="16197" width="6.28515625" style="287" customWidth="1"/>
    <col min="16198" max="16198" width="6.7109375" style="287" customWidth="1"/>
    <col min="16199" max="16200" width="6" style="287" bestFit="1" customWidth="1"/>
    <col min="16201" max="16201" width="6" style="287" customWidth="1"/>
    <col min="16202" max="16203" width="6" style="287" bestFit="1" customWidth="1"/>
    <col min="16204" max="16384" width="9.140625" style="287"/>
  </cols>
  <sheetData>
    <row r="1" spans="1:75" x14ac:dyDescent="0.2">
      <c r="B1" s="288"/>
      <c r="C1" s="289"/>
      <c r="D1" s="289"/>
      <c r="E1" s="289"/>
      <c r="F1" s="289"/>
      <c r="G1" s="289"/>
      <c r="H1" s="289"/>
      <c r="I1" s="289"/>
      <c r="J1" s="289"/>
      <c r="K1" s="290"/>
      <c r="L1" s="289"/>
      <c r="M1" s="289"/>
      <c r="N1" s="290"/>
      <c r="O1" s="289"/>
      <c r="P1" s="289"/>
      <c r="Q1" s="289"/>
      <c r="R1" s="289"/>
      <c r="S1" s="289"/>
      <c r="T1" s="290"/>
      <c r="U1" s="289"/>
      <c r="V1" s="290"/>
      <c r="W1" s="289"/>
      <c r="X1" s="289"/>
      <c r="Y1" s="289"/>
      <c r="Z1" s="291"/>
      <c r="AA1" s="292"/>
      <c r="AB1" s="289"/>
      <c r="AC1" s="289"/>
      <c r="AD1" s="289"/>
      <c r="AE1" s="289"/>
      <c r="AF1" s="291"/>
      <c r="AG1" s="293"/>
      <c r="AH1" s="293"/>
      <c r="AI1" s="293"/>
      <c r="AJ1" s="293"/>
      <c r="AK1" s="293"/>
      <c r="AL1" s="293"/>
      <c r="AM1" s="293"/>
      <c r="AN1" s="293"/>
      <c r="AO1" s="293"/>
      <c r="AP1" s="293"/>
      <c r="AQ1" s="293"/>
      <c r="AR1" s="293"/>
      <c r="AS1" s="293"/>
      <c r="AT1" s="293"/>
      <c r="AU1" s="293"/>
      <c r="AV1" s="293"/>
      <c r="AW1" s="293"/>
      <c r="AX1" s="290"/>
      <c r="AY1" s="293"/>
    </row>
    <row r="2" spans="1:75" x14ac:dyDescent="0.2">
      <c r="A2" s="274" t="s">
        <v>263</v>
      </c>
      <c r="B2" s="289"/>
      <c r="C2" s="289"/>
      <c r="D2" s="289"/>
      <c r="E2" s="289"/>
      <c r="F2" s="289"/>
      <c r="G2" s="289"/>
      <c r="H2" s="289"/>
      <c r="I2" s="289"/>
      <c r="J2" s="289"/>
      <c r="K2" s="289"/>
      <c r="L2" s="289"/>
      <c r="M2" s="289"/>
      <c r="N2" s="290"/>
      <c r="O2" s="289"/>
      <c r="P2" s="289"/>
      <c r="Q2" s="289"/>
      <c r="R2" s="289"/>
      <c r="S2" s="289"/>
      <c r="T2" s="289"/>
      <c r="U2" s="289"/>
      <c r="V2" s="289"/>
      <c r="W2" s="289"/>
      <c r="X2" s="289"/>
      <c r="Y2" s="289"/>
      <c r="Z2" s="289"/>
      <c r="AA2" s="289"/>
      <c r="AB2" s="289"/>
      <c r="AC2" s="289"/>
      <c r="AD2" s="289"/>
      <c r="AE2" s="289"/>
      <c r="AX2" s="290"/>
    </row>
    <row r="3" spans="1:75" x14ac:dyDescent="0.2">
      <c r="A3" s="294" t="s">
        <v>415</v>
      </c>
      <c r="B3" s="289"/>
      <c r="C3" s="289"/>
      <c r="D3" s="289"/>
      <c r="E3" s="289"/>
      <c r="F3" s="289"/>
      <c r="G3" s="289"/>
      <c r="H3" s="289"/>
      <c r="I3" s="289"/>
      <c r="J3" s="289"/>
      <c r="K3" s="289"/>
      <c r="L3" s="289"/>
      <c r="M3" s="289"/>
      <c r="N3" s="290"/>
      <c r="O3" s="289"/>
      <c r="P3" s="289"/>
      <c r="Q3" s="289"/>
      <c r="R3" s="289"/>
      <c r="S3" s="289"/>
      <c r="T3" s="289"/>
      <c r="U3" s="289"/>
      <c r="V3" s="289"/>
      <c r="W3" s="289"/>
      <c r="X3" s="289"/>
      <c r="Y3" s="289"/>
      <c r="Z3" s="289"/>
      <c r="AA3" s="289"/>
      <c r="AB3" s="289"/>
      <c r="AC3" s="289"/>
      <c r="AD3" s="289"/>
      <c r="AE3" s="289"/>
      <c r="AX3" s="290"/>
    </row>
    <row r="4" spans="1:75" x14ac:dyDescent="0.2">
      <c r="A4" s="295"/>
      <c r="B4" s="741" t="s">
        <v>416</v>
      </c>
      <c r="C4" s="295" t="s">
        <v>417</v>
      </c>
      <c r="D4" s="295" t="s">
        <v>418</v>
      </c>
      <c r="E4" s="295" t="s">
        <v>419</v>
      </c>
      <c r="F4" s="296" t="s">
        <v>376</v>
      </c>
      <c r="G4" s="295" t="s">
        <v>377</v>
      </c>
      <c r="H4" s="295" t="s">
        <v>378</v>
      </c>
      <c r="I4" s="295" t="s">
        <v>379</v>
      </c>
      <c r="J4" s="296" t="s">
        <v>380</v>
      </c>
      <c r="K4" s="295" t="s">
        <v>381</v>
      </c>
      <c r="L4" s="295" t="s">
        <v>382</v>
      </c>
      <c r="M4" s="295" t="s">
        <v>383</v>
      </c>
      <c r="N4" s="296" t="s">
        <v>384</v>
      </c>
      <c r="O4" s="295" t="s">
        <v>385</v>
      </c>
      <c r="P4" s="295" t="s">
        <v>386</v>
      </c>
      <c r="Q4" s="295" t="s">
        <v>387</v>
      </c>
      <c r="R4" s="296" t="s">
        <v>388</v>
      </c>
      <c r="S4" s="295" t="s">
        <v>389</v>
      </c>
      <c r="T4" s="295" t="s">
        <v>390</v>
      </c>
      <c r="U4" s="295" t="s">
        <v>391</v>
      </c>
      <c r="V4" s="296" t="s">
        <v>392</v>
      </c>
      <c r="W4" s="295" t="s">
        <v>393</v>
      </c>
      <c r="X4" s="295" t="s">
        <v>394</v>
      </c>
      <c r="Y4" s="295" t="s">
        <v>395</v>
      </c>
      <c r="Z4" s="296" t="s">
        <v>396</v>
      </c>
      <c r="AA4" s="295" t="s">
        <v>397</v>
      </c>
      <c r="AB4" s="295" t="s">
        <v>398</v>
      </c>
      <c r="AC4" s="295" t="s">
        <v>399</v>
      </c>
      <c r="AD4" s="296" t="s">
        <v>400</v>
      </c>
      <c r="AE4" s="295" t="s">
        <v>401</v>
      </c>
      <c r="AF4" s="295" t="s">
        <v>402</v>
      </c>
      <c r="AG4" s="295" t="s">
        <v>403</v>
      </c>
      <c r="AH4" s="296" t="s">
        <v>404</v>
      </c>
      <c r="AI4" s="295" t="s">
        <v>405</v>
      </c>
      <c r="AJ4" s="295" t="s">
        <v>406</v>
      </c>
      <c r="AK4" s="295" t="s">
        <v>407</v>
      </c>
      <c r="AL4" s="296" t="s">
        <v>408</v>
      </c>
      <c r="AM4" s="295" t="s">
        <v>409</v>
      </c>
      <c r="AN4" s="295" t="s">
        <v>410</v>
      </c>
      <c r="AO4" s="295" t="s">
        <v>411</v>
      </c>
      <c r="AP4" s="296" t="s">
        <v>412</v>
      </c>
      <c r="AQ4" s="295" t="s">
        <v>451</v>
      </c>
      <c r="AR4" s="295" t="s">
        <v>452</v>
      </c>
      <c r="AS4" s="295" t="s">
        <v>453</v>
      </c>
      <c r="AT4" s="296" t="s">
        <v>432</v>
      </c>
      <c r="AU4" s="295" t="s">
        <v>420</v>
      </c>
      <c r="AV4" s="295" t="s">
        <v>421</v>
      </c>
      <c r="AW4" s="295" t="s">
        <v>422</v>
      </c>
      <c r="AX4" s="297"/>
      <c r="AY4" s="297"/>
      <c r="AZ4" s="297"/>
      <c r="BA4" s="297"/>
      <c r="BB4" s="297"/>
      <c r="BC4" s="297"/>
      <c r="BD4" s="297"/>
      <c r="BE4" s="297"/>
      <c r="BF4" s="297"/>
      <c r="BG4" s="297"/>
      <c r="BH4" s="297"/>
      <c r="BI4" s="297"/>
      <c r="BJ4" s="297"/>
      <c r="BK4" s="297"/>
      <c r="BL4" s="297"/>
      <c r="BM4" s="297"/>
      <c r="BN4" s="297"/>
      <c r="BO4" s="297"/>
      <c r="BP4" s="297"/>
      <c r="BQ4" s="297"/>
      <c r="BR4" s="297"/>
      <c r="BS4" s="297"/>
      <c r="BT4" s="297"/>
      <c r="BU4" s="297"/>
      <c r="BV4" s="297"/>
      <c r="BW4" s="297"/>
    </row>
    <row r="5" spans="1:75" x14ac:dyDescent="0.2">
      <c r="A5" s="338" t="s">
        <v>567</v>
      </c>
      <c r="B5" s="1096" t="s">
        <v>151</v>
      </c>
      <c r="C5" s="1078" t="s">
        <v>151</v>
      </c>
      <c r="D5" s="1078" t="s">
        <v>151</v>
      </c>
      <c r="E5" s="1078" t="s">
        <v>151</v>
      </c>
      <c r="F5" s="1077">
        <f>RevBuild!I165</f>
        <v>4.1696212022504398E-2</v>
      </c>
      <c r="G5" s="1078">
        <f>RevBuild!J165</f>
        <v>4.0163325319412913E-2</v>
      </c>
      <c r="H5" s="1078">
        <f>RevBuild!K165</f>
        <v>2.026779052393457E-2</v>
      </c>
      <c r="I5" s="1078">
        <f>RevBuild!L165</f>
        <v>-3.2408765931739691E-2</v>
      </c>
      <c r="J5" s="1077">
        <f>RevBuild!O165</f>
        <v>3.3685034612691567E-3</v>
      </c>
      <c r="K5" s="1078">
        <f>RevBuild!P165</f>
        <v>4.6407756794415445E-3</v>
      </c>
      <c r="L5" s="1078">
        <f>RevBuild!Q165</f>
        <v>-7.2136595984895191E-3</v>
      </c>
      <c r="M5" s="1078">
        <f>RevBuild!R165</f>
        <v>2.9119484278487429E-2</v>
      </c>
      <c r="N5" s="1077">
        <f>RevBuild!U165</f>
        <v>3.20560944401731E-2</v>
      </c>
      <c r="O5" s="1078">
        <f>RevBuild!V165</f>
        <v>1.8925147758650285E-2</v>
      </c>
      <c r="P5" s="1078">
        <f>RevBuild!W165</f>
        <v>3.5402468225280925E-2</v>
      </c>
      <c r="Q5" s="1078">
        <f>RevBuild!X165</f>
        <v>2.9093355798868181E-2</v>
      </c>
      <c r="R5" s="1077">
        <f>RevBuild!AA165</f>
        <v>3.5496307139646799E-2</v>
      </c>
      <c r="S5" s="1078">
        <f>RevBuild!AB165</f>
        <v>4.5748872305692911E-2</v>
      </c>
      <c r="T5" s="1078">
        <f>RevBuild!AC165</f>
        <v>3.1236824469763835E-2</v>
      </c>
      <c r="U5" s="1078">
        <f>RevBuild!AD165</f>
        <v>5.3505677948645136E-2</v>
      </c>
      <c r="V5" s="1077">
        <f>RevBuild!AG165</f>
        <v>7.8024849440969435E-2</v>
      </c>
      <c r="W5" s="1078">
        <f>RevBuild!AH165</f>
        <v>4.5213377950026779E-2</v>
      </c>
      <c r="X5" s="1078">
        <f>RevBuild!AI165</f>
        <v>4.2137957971232876E-2</v>
      </c>
      <c r="Y5" s="1078">
        <f>RevBuild!AJ165</f>
        <v>5.8017248877798466E-2</v>
      </c>
      <c r="Z5" s="1077">
        <f>RevBuild!AM165</f>
        <v>3.0314928377147998E-2</v>
      </c>
      <c r="AA5" s="1078">
        <f>RevBuild!AN165</f>
        <v>3.8714671501744569E-2</v>
      </c>
      <c r="AB5" s="1078">
        <f>RevBuild!AO165</f>
        <v>3.2498537099345803E-2</v>
      </c>
      <c r="AC5" s="1078">
        <f>RevBuild!AP165</f>
        <v>3.5236738214097008E-2</v>
      </c>
      <c r="AD5" s="1077">
        <f>RevBuild!AS165</f>
        <v>2.8000000000000001E-2</v>
      </c>
      <c r="AE5" s="1078">
        <f>RevBuild!AT165</f>
        <v>4.2000000000000003E-2</v>
      </c>
      <c r="AF5" s="1078">
        <f>RevBuild!AU165</f>
        <v>6.4000000000000001E-2</v>
      </c>
      <c r="AG5" s="1078">
        <f>RevBuild!AV165</f>
        <v>5.000000000000001E-2</v>
      </c>
      <c r="AH5" s="1077">
        <f>RevBuild!AY165</f>
        <v>4.7E-2</v>
      </c>
      <c r="AI5" s="1078">
        <f>RevBuild!AZ165</f>
        <v>0.04</v>
      </c>
      <c r="AJ5" s="1078">
        <f>RevBuild!BA165</f>
        <v>4.8000000000000008E-2</v>
      </c>
      <c r="AK5" s="1078">
        <f>RevBuild!BB165</f>
        <v>6.6000000000000003E-2</v>
      </c>
      <c r="AL5" s="1077">
        <f>RevBuild!BE165</f>
        <v>9.4E-2</v>
      </c>
      <c r="AM5" s="1078">
        <f>RevBuild!BF165</f>
        <v>7.5999999999999998E-2</v>
      </c>
      <c r="AN5" s="1078">
        <f>RevBuild!BG165</f>
        <v>0.06</v>
      </c>
      <c r="AO5" s="1078">
        <f>RevBuild!BH165</f>
        <v>3.9654236572571389E-2</v>
      </c>
      <c r="AP5" s="1077">
        <f>RevBuild!BK165</f>
        <v>5.8999999999999997E-2</v>
      </c>
      <c r="AQ5" s="1078">
        <f>RevBuild!BL165</f>
        <v>4.8743008687772704E-2</v>
      </c>
      <c r="AR5" s="1078">
        <f>RevBuild!BM165</f>
        <v>4.8999999999999995E-2</v>
      </c>
      <c r="AS5" s="1078">
        <f>RevBuild!BN165</f>
        <v>5.180450804947101E-2</v>
      </c>
      <c r="AT5" s="1077">
        <f>RevBuild!BQ165</f>
        <v>3.8383945874007619E-2</v>
      </c>
      <c r="AU5" s="1078">
        <f>RevBuild!BR165</f>
        <v>5.4706124350839103E-2</v>
      </c>
      <c r="AV5" s="1078">
        <f>RevBuild!BS165</f>
        <v>4.8262275025712009E-2</v>
      </c>
      <c r="AW5" s="1078">
        <f>RevBuild!BT165</f>
        <v>4.5515874341307105E-2</v>
      </c>
      <c r="AX5" s="297"/>
      <c r="AY5" s="297"/>
      <c r="AZ5" s="297"/>
      <c r="BA5" s="297"/>
      <c r="BB5" s="297"/>
      <c r="BC5" s="297"/>
      <c r="BD5" s="297"/>
      <c r="BE5" s="297"/>
      <c r="BF5" s="297"/>
      <c r="BG5" s="297"/>
      <c r="BH5" s="297"/>
      <c r="BI5" s="297"/>
      <c r="BJ5" s="297"/>
      <c r="BK5" s="297"/>
      <c r="BL5" s="297"/>
      <c r="BM5" s="297"/>
      <c r="BN5" s="297"/>
      <c r="BO5" s="297"/>
      <c r="BP5" s="297"/>
      <c r="BQ5" s="297"/>
      <c r="BR5" s="297"/>
      <c r="BS5" s="297"/>
      <c r="BT5" s="297"/>
      <c r="BU5" s="297"/>
      <c r="BV5" s="297"/>
      <c r="BW5" s="297"/>
    </row>
    <row r="6" spans="1:75" x14ac:dyDescent="0.2">
      <c r="A6" s="1116" t="s">
        <v>476</v>
      </c>
      <c r="B6" s="1094" t="s">
        <v>151</v>
      </c>
      <c r="C6" s="1083" t="s">
        <v>151</v>
      </c>
      <c r="D6" s="1083" t="s">
        <v>151</v>
      </c>
      <c r="E6" s="1083" t="s">
        <v>151</v>
      </c>
      <c r="F6" s="1082" t="s">
        <v>151</v>
      </c>
      <c r="G6" s="1083" t="s">
        <v>151</v>
      </c>
      <c r="H6" s="1083" t="s">
        <v>151</v>
      </c>
      <c r="I6" s="1083" t="s">
        <v>151</v>
      </c>
      <c r="J6" s="1082" t="s">
        <v>151</v>
      </c>
      <c r="K6" s="1083" t="s">
        <v>151</v>
      </c>
      <c r="L6" s="1083" t="s">
        <v>151</v>
      </c>
      <c r="M6" s="1083" t="s">
        <v>151</v>
      </c>
      <c r="N6" s="1082" t="s">
        <v>151</v>
      </c>
      <c r="O6" s="1083" t="s">
        <v>151</v>
      </c>
      <c r="P6" s="1083" t="s">
        <v>151</v>
      </c>
      <c r="Q6" s="1083" t="s">
        <v>151</v>
      </c>
      <c r="R6" s="1082" t="s">
        <v>151</v>
      </c>
      <c r="S6" s="1083" t="s">
        <v>151</v>
      </c>
      <c r="T6" s="1083" t="s">
        <v>151</v>
      </c>
      <c r="U6" s="1083" t="s">
        <v>151</v>
      </c>
      <c r="V6" s="301">
        <f>RevBuild!AG131</f>
        <v>6.2E-2</v>
      </c>
      <c r="W6" s="300">
        <f>RevBuild!AH131</f>
        <v>2.0999999999999998E-2</v>
      </c>
      <c r="X6" s="300">
        <f>RevBuild!AI131</f>
        <v>2.3000000000000003E-2</v>
      </c>
      <c r="Y6" s="300">
        <f>RevBuild!AJ131</f>
        <v>3.5999999999999997E-2</v>
      </c>
      <c r="Z6" s="301">
        <f>RevBuild!AM131</f>
        <v>-2.9999999999999992E-3</v>
      </c>
      <c r="AA6" s="300">
        <f>RevBuild!AN131</f>
        <v>0.03</v>
      </c>
      <c r="AB6" s="300">
        <f>RevBuild!AO131</f>
        <v>0.03</v>
      </c>
      <c r="AC6" s="300">
        <f>RevBuild!AP131</f>
        <v>2.5999999999999999E-2</v>
      </c>
      <c r="AD6" s="301">
        <f>RevBuild!AS131</f>
        <v>3.4999999999999996E-2</v>
      </c>
      <c r="AE6" s="300">
        <f>RevBuild!AT131</f>
        <v>2.5999999999999995E-2</v>
      </c>
      <c r="AF6" s="300">
        <f>RevBuild!AU131</f>
        <v>4.8000000000000001E-2</v>
      </c>
      <c r="AG6" s="300">
        <f>RevBuild!AV131</f>
        <v>2.3E-2</v>
      </c>
      <c r="AH6" s="301">
        <f>RevBuild!AY131</f>
        <v>2.7000000000000003E-2</v>
      </c>
      <c r="AI6" s="300">
        <f>RevBuild!AZ131</f>
        <v>4.0999999999999995E-2</v>
      </c>
      <c r="AJ6" s="300">
        <f>RevBuild!BA131</f>
        <v>4.1000000000000002E-2</v>
      </c>
      <c r="AK6" s="300">
        <f>RevBuild!BB131</f>
        <v>6.5999999999999989E-2</v>
      </c>
      <c r="AL6" s="301">
        <f>RevBuild!BE131</f>
        <v>4.9000000000000002E-2</v>
      </c>
      <c r="AM6" s="300">
        <f>RevBuild!BF131</f>
        <v>2.8000000000000004E-2</v>
      </c>
      <c r="AN6" s="300">
        <f>RevBuild!BG131</f>
        <v>3.9E-2</v>
      </c>
      <c r="AO6" s="300">
        <f>RevBuild!BH131</f>
        <v>1.5817414383680603E-2</v>
      </c>
      <c r="AP6" s="301">
        <f>RevBuild!BK131</f>
        <v>2.9000000000000005E-2</v>
      </c>
      <c r="AQ6" s="300">
        <f>RevBuild!BL131</f>
        <v>3.8282324051768582E-2</v>
      </c>
      <c r="AR6" s="300">
        <f>RevBuild!BM131</f>
        <v>2.5770579282614003E-2</v>
      </c>
      <c r="AS6" s="300">
        <f>RevBuild!BN131</f>
        <v>4.2923851697378564E-2</v>
      </c>
      <c r="AT6" s="301">
        <f>RevBuild!BQ131</f>
        <v>3.0234812028255842E-2</v>
      </c>
      <c r="AU6" s="300">
        <f>RevBuild!BR131</f>
        <v>3.0000000000000027E-2</v>
      </c>
      <c r="AV6" s="300">
        <f>RevBuild!BS131</f>
        <v>3.5332041684418281E-2</v>
      </c>
      <c r="AW6" s="300">
        <f>RevBuild!BT131</f>
        <v>1.9268838584015624E-2</v>
      </c>
      <c r="AX6" s="297"/>
      <c r="AY6" s="297"/>
      <c r="AZ6" s="297"/>
      <c r="BA6" s="297"/>
      <c r="BB6" s="297"/>
      <c r="BC6" s="297"/>
      <c r="BD6" s="297"/>
      <c r="BE6" s="297"/>
      <c r="BF6" s="297"/>
      <c r="BG6" s="297"/>
      <c r="BH6" s="297"/>
      <c r="BI6" s="297"/>
      <c r="BJ6" s="297"/>
      <c r="BK6" s="297"/>
      <c r="BL6" s="297"/>
      <c r="BM6" s="297"/>
      <c r="BN6" s="297"/>
      <c r="BO6" s="297"/>
      <c r="BP6" s="297"/>
      <c r="BQ6" s="297"/>
      <c r="BR6" s="297"/>
      <c r="BS6" s="297"/>
      <c r="BT6" s="297"/>
      <c r="BU6" s="297"/>
      <c r="BV6" s="297"/>
      <c r="BW6" s="297"/>
    </row>
    <row r="7" spans="1:75" x14ac:dyDescent="0.2">
      <c r="A7" s="375" t="s">
        <v>571</v>
      </c>
      <c r="B7" s="1082">
        <f>RevBuild!C322</f>
        <v>6.2E-2</v>
      </c>
      <c r="C7" s="1083">
        <f>RevBuild!D322</f>
        <v>6.8000000000000005E-2</v>
      </c>
      <c r="D7" s="1083">
        <f>RevBuild!E322</f>
        <v>0.06</v>
      </c>
      <c r="E7" s="1083">
        <f>RevBuild!F322</f>
        <v>4.7679694182513332E-2</v>
      </c>
      <c r="F7" s="1082">
        <f>RevBuild!I322</f>
        <v>4.2999999999999997E-2</v>
      </c>
      <c r="G7" s="1083">
        <f>RevBuild!J322</f>
        <v>6.3E-2</v>
      </c>
      <c r="H7" s="1083">
        <f>RevBuild!K322</f>
        <v>4.8000000000000001E-2</v>
      </c>
      <c r="I7" s="1083">
        <f>RevBuild!L322</f>
        <v>1.7219467034829294E-2</v>
      </c>
      <c r="J7" s="1082">
        <f>RevBuild!O322</f>
        <v>-2.4E-2</v>
      </c>
      <c r="K7" s="1083">
        <f>RevBuild!P322</f>
        <v>-1.7000000000000001E-2</v>
      </c>
      <c r="L7" s="1083">
        <f>RevBuild!Q322</f>
        <v>-1.7999999999999999E-2</v>
      </c>
      <c r="M7" s="1083">
        <f>RevBuild!R322</f>
        <v>9.5357474219566196E-3</v>
      </c>
      <c r="N7" s="1082">
        <f>RevBuild!U322</f>
        <v>1.2E-2</v>
      </c>
      <c r="O7" s="1083">
        <f>RevBuild!V322</f>
        <v>1.2999999999999999E-2</v>
      </c>
      <c r="P7" s="1083">
        <f>RevBuild!W322</f>
        <v>1.4999999999999999E-2</v>
      </c>
      <c r="Q7" s="1083">
        <f>RevBuild!X322</f>
        <v>4.5016499796124661E-2</v>
      </c>
      <c r="R7" s="1082">
        <f>RevBuild!AA322</f>
        <v>3.3000000000000002E-2</v>
      </c>
      <c r="S7" s="1083">
        <f>RevBuild!AB322</f>
        <v>0.04</v>
      </c>
      <c r="T7" s="1083">
        <f>RevBuild!AC322</f>
        <v>2.8557555023459032E-2</v>
      </c>
      <c r="U7" s="1083">
        <f>RevBuild!AD322</f>
        <v>5.9519739901625152E-2</v>
      </c>
      <c r="V7" s="1082">
        <f>RevBuild!AG322</f>
        <v>8.2000000000000003E-2</v>
      </c>
      <c r="W7" s="1083">
        <f>RevBuild!AH322</f>
        <v>2.4E-2</v>
      </c>
      <c r="X7" s="1083">
        <f>RevBuild!AI322</f>
        <v>2.7E-2</v>
      </c>
      <c r="Y7" s="1083">
        <f>RevBuild!AJ322</f>
        <v>1.4140042771478843E-2</v>
      </c>
      <c r="Z7" s="1082">
        <f>RevBuild!AM322</f>
        <v>2E-3</v>
      </c>
      <c r="AA7" s="1083">
        <f>RevBuild!AN322</f>
        <v>2.1999999999999999E-2</v>
      </c>
      <c r="AB7" s="1083">
        <f>RevBuild!AO322</f>
        <v>1.9E-2</v>
      </c>
      <c r="AC7" s="1083">
        <f>RevBuild!AP322</f>
        <v>3.2216051868832633E-2</v>
      </c>
      <c r="AD7" s="1082">
        <f>RevBuild!AS322</f>
        <v>1.9E-2</v>
      </c>
      <c r="AE7" s="1083">
        <f>RevBuild!AT322</f>
        <v>2.3E-2</v>
      </c>
      <c r="AF7" s="1083">
        <f>RevBuild!AU322</f>
        <v>4.7E-2</v>
      </c>
      <c r="AG7" s="1083">
        <f>RevBuild!AV322</f>
        <v>4.1816451247622573E-2</v>
      </c>
      <c r="AH7" s="1082">
        <f>RevBuild!AY322</f>
        <v>0.02</v>
      </c>
      <c r="AI7" s="1083">
        <f>RevBuild!AZ322</f>
        <v>4.1000000000000002E-2</v>
      </c>
      <c r="AJ7" s="1083">
        <f>RevBuild!BA322</f>
        <v>3.5000000000000003E-2</v>
      </c>
      <c r="AK7" s="1083">
        <f>RevBuild!BB322</f>
        <v>5.2760680769887415E-2</v>
      </c>
      <c r="AL7" s="1082">
        <f>RevBuild!BE322</f>
        <v>3.5000000000000003E-2</v>
      </c>
      <c r="AM7" s="1083">
        <f>RevBuild!BF322</f>
        <v>2.8000000000000001E-2</v>
      </c>
      <c r="AN7" s="1083">
        <f>RevBuild!BG322</f>
        <v>2.1000000000000001E-2</v>
      </c>
      <c r="AO7" s="1083">
        <f>RevBuild!BH322</f>
        <v>2.1180692990196419E-2</v>
      </c>
      <c r="AP7" s="1082">
        <f>RevBuild!BK322</f>
        <v>4.3999999999999997E-2</v>
      </c>
      <c r="AQ7" s="1083">
        <f>RevBuild!BL322</f>
        <v>0.01</v>
      </c>
      <c r="AR7" s="1083">
        <f>RevBuild!BM322</f>
        <v>0.02</v>
      </c>
      <c r="AS7" s="1083" t="s">
        <v>151</v>
      </c>
      <c r="AT7" s="1082" t="s">
        <v>151</v>
      </c>
      <c r="AU7" s="1083" t="s">
        <v>151</v>
      </c>
      <c r="AV7" s="1083" t="s">
        <v>151</v>
      </c>
      <c r="AW7" s="1083" t="s">
        <v>151</v>
      </c>
      <c r="AX7" s="297"/>
      <c r="AY7" s="297"/>
      <c r="AZ7" s="297"/>
      <c r="BA7" s="297"/>
      <c r="BB7" s="297"/>
      <c r="BC7" s="297"/>
      <c r="BD7" s="297"/>
      <c r="BE7" s="297"/>
      <c r="BF7" s="297"/>
      <c r="BG7" s="297"/>
      <c r="BH7" s="297"/>
      <c r="BI7" s="297"/>
      <c r="BJ7" s="297"/>
      <c r="BK7" s="297"/>
      <c r="BL7" s="297"/>
      <c r="BM7" s="297"/>
      <c r="BN7" s="297"/>
      <c r="BO7" s="297"/>
      <c r="BP7" s="297"/>
      <c r="BQ7" s="297"/>
      <c r="BR7" s="297"/>
      <c r="BS7" s="297"/>
      <c r="BT7" s="297"/>
      <c r="BU7" s="297"/>
      <c r="BV7" s="297"/>
      <c r="BW7" s="297"/>
    </row>
    <row r="8" spans="1:75" x14ac:dyDescent="0.2">
      <c r="A8" s="1091" t="s">
        <v>572</v>
      </c>
      <c r="B8" s="1092">
        <f>RevBuild!C323</f>
        <v>0.23499999999999999</v>
      </c>
      <c r="C8" s="1093">
        <f>RevBuild!D323</f>
        <v>0.223</v>
      </c>
      <c r="D8" s="1093">
        <f>RevBuild!E323</f>
        <v>0.24099999999999999</v>
      </c>
      <c r="E8" s="1093">
        <f>RevBuild!F323</f>
        <v>0.1823502185353803</v>
      </c>
      <c r="F8" s="1092">
        <f>RevBuild!I323</f>
        <v>9.8000000000000004E-2</v>
      </c>
      <c r="G8" s="1093">
        <f>RevBuild!J323</f>
        <v>9.9000000000000005E-2</v>
      </c>
      <c r="H8" s="1093">
        <f>RevBuild!K323</f>
        <v>3.4000000000000002E-2</v>
      </c>
      <c r="I8" s="1093">
        <f>RevBuild!L323</f>
        <v>-6.8938047163734917E-2</v>
      </c>
      <c r="J8" s="1092">
        <f>RevBuild!O323</f>
        <v>-5.0999999999999997E-2</v>
      </c>
      <c r="K8" s="1093">
        <f>RevBuild!P323</f>
        <v>-0.18</v>
      </c>
      <c r="L8" s="1093">
        <f>RevBuild!Q323</f>
        <v>-0.13400000000000001</v>
      </c>
      <c r="M8" s="1093">
        <f>RevBuild!R323</f>
        <v>-8.2521110911157991E-2</v>
      </c>
      <c r="N8" s="1092">
        <f>RevBuild!U323</f>
        <v>5.0000000000000001E-3</v>
      </c>
      <c r="O8" s="1093">
        <f>RevBuild!V323</f>
        <v>0.08</v>
      </c>
      <c r="P8" s="1093">
        <f>RevBuild!W323</f>
        <v>1.2999999999999999E-2</v>
      </c>
      <c r="Q8" s="1093">
        <f>RevBuild!X323</f>
        <v>-2.9837340249036781E-3</v>
      </c>
      <c r="R8" s="1092">
        <f>RevBuild!AA323</f>
        <v>1.2999999999999999E-2</v>
      </c>
      <c r="S8" s="1093">
        <f>RevBuild!AB323</f>
        <v>1.2999999999999999E-2</v>
      </c>
      <c r="T8" s="1093">
        <f>RevBuild!AC323</f>
        <v>-2.1000000000000001E-2</v>
      </c>
      <c r="U8" s="1093">
        <f>RevBuild!AD323</f>
        <v>-1.0080875681312218E-2</v>
      </c>
      <c r="V8" s="1092">
        <f>RevBuild!AG323</f>
        <v>-2E-3</v>
      </c>
      <c r="W8" s="1093">
        <f>RevBuild!AH323</f>
        <v>1.0999999999999999E-2</v>
      </c>
      <c r="X8" s="1093">
        <f>RevBuild!AI323</f>
        <v>8.0000000000000002E-3</v>
      </c>
      <c r="Y8" s="1093">
        <f>RevBuild!AJ323</f>
        <v>9.6034361390006165E-2</v>
      </c>
      <c r="Z8" s="1092">
        <f>RevBuild!AM323</f>
        <v>-0.02</v>
      </c>
      <c r="AA8" s="1093">
        <f>RevBuild!AN323</f>
        <v>5.3999999999999999E-2</v>
      </c>
      <c r="AB8" s="1093">
        <f>RevBuild!AO323</f>
        <v>6.3E-2</v>
      </c>
      <c r="AC8" s="1093">
        <f>RevBuild!AP323</f>
        <v>1.8365510515300342E-2</v>
      </c>
      <c r="AD8" s="1092">
        <f>RevBuild!AS323</f>
        <v>9.4E-2</v>
      </c>
      <c r="AE8" s="1093">
        <f>RevBuild!AT323</f>
        <v>3.5999999999999997E-2</v>
      </c>
      <c r="AF8" s="1093">
        <f>RevBuild!AU323</f>
        <v>5.0999999999999997E-2</v>
      </c>
      <c r="AG8" s="1093">
        <f>RevBuild!AV323</f>
        <v>-1.7866718948691546E-2</v>
      </c>
      <c r="AH8" s="1092">
        <f>RevBuild!AY323</f>
        <v>4.9000000000000002E-2</v>
      </c>
      <c r="AI8" s="1093">
        <f>RevBuild!AZ323</f>
        <v>4.1000000000000002E-2</v>
      </c>
      <c r="AJ8" s="1093">
        <f>RevBuild!BA323</f>
        <v>5.8999999999999997E-2</v>
      </c>
      <c r="AK8" s="1093">
        <f>RevBuild!BB323</f>
        <v>9.7344315935473033E-2</v>
      </c>
      <c r="AL8" s="1092">
        <f>RevBuild!BE323</f>
        <v>9.7000000000000003E-2</v>
      </c>
      <c r="AM8" s="1093">
        <f>RevBuild!BF323</f>
        <v>2.9000000000000001E-2</v>
      </c>
      <c r="AN8" s="1093">
        <f>RevBuild!BG323</f>
        <v>9.9000000000000005E-2</v>
      </c>
      <c r="AO8" s="1093">
        <f>RevBuild!BH323</f>
        <v>3.0123771078393903E-3</v>
      </c>
      <c r="AP8" s="1092">
        <f>RevBuild!BK323</f>
        <v>-2.1000000000000001E-2</v>
      </c>
      <c r="AQ8" s="1093">
        <f>RevBuild!BL323</f>
        <v>0.10299999999999999</v>
      </c>
      <c r="AR8" s="1093">
        <f>RevBuild!BM323</f>
        <v>5.0000000000000001E-3</v>
      </c>
      <c r="AS8" s="1093" t="s">
        <v>151</v>
      </c>
      <c r="AT8" s="1092" t="s">
        <v>151</v>
      </c>
      <c r="AU8" s="1093" t="s">
        <v>151</v>
      </c>
      <c r="AV8" s="1093" t="s">
        <v>151</v>
      </c>
      <c r="AW8" s="1093" t="s">
        <v>151</v>
      </c>
      <c r="AX8" s="297"/>
      <c r="AY8" s="297"/>
      <c r="AZ8" s="297"/>
      <c r="BA8" s="297"/>
      <c r="BB8" s="297"/>
      <c r="BC8" s="297"/>
      <c r="BD8" s="297"/>
      <c r="BE8" s="297"/>
      <c r="BF8" s="297"/>
      <c r="BG8" s="297"/>
      <c r="BH8" s="297"/>
      <c r="BI8" s="297"/>
      <c r="BJ8" s="297"/>
      <c r="BK8" s="297"/>
      <c r="BL8" s="297"/>
      <c r="BM8" s="297"/>
      <c r="BN8" s="297"/>
      <c r="BO8" s="297"/>
      <c r="BP8" s="297"/>
      <c r="BQ8" s="297"/>
      <c r="BR8" s="297"/>
      <c r="BS8" s="297"/>
      <c r="BT8" s="297"/>
      <c r="BU8" s="297"/>
      <c r="BV8" s="297"/>
      <c r="BW8" s="297"/>
    </row>
    <row r="9" spans="1:75" hidden="1" outlineLevel="1" x14ac:dyDescent="0.2">
      <c r="A9" s="375" t="s">
        <v>303</v>
      </c>
      <c r="B9" s="1094">
        <f>RevBuild!C13</f>
        <v>9.9000000000000005E-2</v>
      </c>
      <c r="C9" s="1083">
        <f>RevBuild!D13</f>
        <v>0.10499999999999998</v>
      </c>
      <c r="D9" s="1083">
        <f>RevBuild!E13</f>
        <v>0.10400000000000001</v>
      </c>
      <c r="E9" s="1083">
        <f>RevBuild!F13</f>
        <v>9.4E-2</v>
      </c>
      <c r="F9" s="1082">
        <f>RevBuild!I13</f>
        <v>5.4999999999999993E-2</v>
      </c>
      <c r="G9" s="1083">
        <f>RevBuild!J13</f>
        <v>7.1999999999999995E-2</v>
      </c>
      <c r="H9" s="1083">
        <f>RevBuild!K13</f>
        <v>4.3999999999999997E-2</v>
      </c>
      <c r="I9" s="1083">
        <f>RevBuild!L13</f>
        <v>-3.0000000000000001E-3</v>
      </c>
      <c r="J9" s="1082">
        <f>RevBuild!O13</f>
        <v>-0.03</v>
      </c>
      <c r="K9" s="1083">
        <f>RevBuild!P13</f>
        <v>-0.06</v>
      </c>
      <c r="L9" s="1083">
        <f>RevBuild!Q13</f>
        <v>-4.9000000000000002E-2</v>
      </c>
      <c r="M9" s="1083">
        <f>RevBuild!R13</f>
        <v>-2.5000000000000001E-2</v>
      </c>
      <c r="N9" s="1082">
        <f>RevBuild!U13</f>
        <v>9.9999999999999985E-3</v>
      </c>
      <c r="O9" s="1083">
        <f>RevBuild!V13</f>
        <v>2.7999999999999997E-2</v>
      </c>
      <c r="P9" s="1083">
        <f>RevBuild!W13</f>
        <v>1.4999999999999999E-2</v>
      </c>
      <c r="Q9" s="1083">
        <f>RevBuild!X13</f>
        <v>3.0000000000000006E-2</v>
      </c>
      <c r="R9" s="1082">
        <f>RevBuild!AA13</f>
        <v>2.8999999999999998E-2</v>
      </c>
      <c r="S9" s="1083">
        <f>RevBuild!AB13</f>
        <v>3.4000000000000002E-2</v>
      </c>
      <c r="T9" s="1083">
        <f>RevBuild!AC13</f>
        <v>1.7999999999999999E-2</v>
      </c>
      <c r="U9" s="1083">
        <f>RevBuild!AD13</f>
        <v>4.4999999999999998E-2</v>
      </c>
      <c r="V9" s="1082">
        <f>RevBuild!AG13</f>
        <v>4.4999999999999998E-2</v>
      </c>
      <c r="W9" s="1083">
        <f>RevBuild!AH13</f>
        <v>3.2000000000000001E-2</v>
      </c>
      <c r="X9" s="1083">
        <f>RevBuild!AI13</f>
        <v>3.1000000000000003E-2</v>
      </c>
      <c r="Y9" s="1083">
        <f>RevBuild!AJ13</f>
        <v>7.0000000000000007E-2</v>
      </c>
      <c r="Z9" s="1082">
        <f>RevBuild!AM13</f>
        <v>1.1000000000000001E-2</v>
      </c>
      <c r="AA9" s="1083">
        <f>RevBuild!AN13</f>
        <v>3.5999999999999997E-2</v>
      </c>
      <c r="AB9" s="1083">
        <f>RevBuild!AO13</f>
        <v>4.8000000000000001E-2</v>
      </c>
      <c r="AC9" s="1083">
        <f>RevBuild!AP13</f>
        <v>2.1000000000000001E-2</v>
      </c>
      <c r="AD9" s="1082">
        <f>RevBuild!AS13</f>
        <v>3.5999999999999997E-2</v>
      </c>
      <c r="AE9" s="1083">
        <f>RevBuild!AT13</f>
        <v>4.2999999999999997E-2</v>
      </c>
      <c r="AF9" s="1083">
        <f>RevBuild!AU13</f>
        <v>5.5000000000000007E-2</v>
      </c>
      <c r="AG9" s="1083">
        <f>RevBuild!AV13</f>
        <v>1.9000000000000003E-2</v>
      </c>
      <c r="AH9" s="1082">
        <f>RevBuild!AY13</f>
        <v>4.3999999999999997E-2</v>
      </c>
      <c r="AI9" s="1083">
        <f>RevBuild!AZ13</f>
        <v>3.6999999999999998E-2</v>
      </c>
      <c r="AJ9" s="1083">
        <f>RevBuild!BA13</f>
        <v>4.3999999999999997E-2</v>
      </c>
      <c r="AK9" s="1083">
        <f>RevBuild!BB13</f>
        <v>7.5999999999999998E-2</v>
      </c>
      <c r="AL9" s="1082">
        <f>RevBuild!BE13</f>
        <v>6.4000000000000001E-2</v>
      </c>
      <c r="AM9" s="1083">
        <f>RevBuild!BF13</f>
        <v>1.9999999999999997E-2</v>
      </c>
      <c r="AN9" s="1083">
        <f>RevBuild!BG13</f>
        <v>4.3999999999999997E-2</v>
      </c>
      <c r="AO9" s="1083">
        <f>RevBuild!BH13</f>
        <v>2.1999999999999992E-2</v>
      </c>
      <c r="AP9" s="1082">
        <f>RevBuild!BK13</f>
        <v>8.0000000000000002E-3</v>
      </c>
      <c r="AQ9" s="1083">
        <f>RevBuild!BL13</f>
        <v>3.8000000000000006E-2</v>
      </c>
      <c r="AR9" s="1083">
        <f>RevBuild!BM13</f>
        <v>2.2779243575576504E-2</v>
      </c>
      <c r="AS9" s="1083">
        <f>RevBuild!BN13</f>
        <v>6.7000000000000004E-2</v>
      </c>
      <c r="AT9" s="1082">
        <f>RevBuild!BQ13</f>
        <v>6.3E-2</v>
      </c>
      <c r="AU9" s="1083">
        <f>RevBuild!BR13</f>
        <v>0.03</v>
      </c>
      <c r="AV9" s="1083">
        <f>RevBuild!BS13</f>
        <v>4.4999999999999998E-2</v>
      </c>
      <c r="AW9" s="1083">
        <f>RevBuild!BT13</f>
        <v>0</v>
      </c>
      <c r="AX9" s="297"/>
      <c r="AY9" s="297"/>
      <c r="AZ9" s="297"/>
      <c r="BA9" s="297"/>
      <c r="BB9" s="297"/>
      <c r="BC9" s="297"/>
      <c r="BD9" s="297"/>
      <c r="BE9" s="297"/>
      <c r="BF9" s="297"/>
      <c r="BG9" s="297"/>
      <c r="BH9" s="297"/>
      <c r="BI9" s="297"/>
      <c r="BJ9" s="297"/>
      <c r="BK9" s="297"/>
      <c r="BL9" s="297"/>
      <c r="BM9" s="297"/>
      <c r="BN9" s="297"/>
      <c r="BO9" s="297"/>
      <c r="BP9" s="297"/>
      <c r="BQ9" s="297"/>
      <c r="BR9" s="297"/>
      <c r="BS9" s="297"/>
      <c r="BT9" s="297"/>
      <c r="BU9" s="297"/>
      <c r="BV9" s="297"/>
      <c r="BW9" s="297"/>
    </row>
    <row r="10" spans="1:75" hidden="1" outlineLevel="1" x14ac:dyDescent="0.2">
      <c r="A10" s="1114" t="s">
        <v>571</v>
      </c>
      <c r="B10" s="1094"/>
      <c r="C10" s="1083"/>
      <c r="D10" s="1083"/>
      <c r="E10" s="1083"/>
      <c r="F10" s="1082"/>
      <c r="G10" s="1083"/>
      <c r="H10" s="1083"/>
      <c r="I10" s="1083"/>
      <c r="J10" s="1082"/>
      <c r="K10" s="1083"/>
      <c r="L10" s="1083"/>
      <c r="M10" s="1083"/>
      <c r="N10" s="1082"/>
      <c r="O10" s="1083"/>
      <c r="P10" s="1083"/>
      <c r="Q10" s="1083"/>
      <c r="R10" s="1082"/>
      <c r="S10" s="1083"/>
      <c r="T10" s="1083"/>
      <c r="U10" s="1083"/>
      <c r="V10" s="1082">
        <f>+RevBuild!AG20</f>
        <v>7.0999999999999994E-2</v>
      </c>
      <c r="W10" s="1083">
        <f>+RevBuild!AH20</f>
        <v>1.9E-2</v>
      </c>
      <c r="X10" s="1083">
        <f>+RevBuild!AI20</f>
        <v>2.3E-2</v>
      </c>
      <c r="Y10" s="1083">
        <f>+RevBuild!AJ20</f>
        <v>8.9999999999999993E-3</v>
      </c>
      <c r="Z10" s="1082">
        <f>+RevBuild!AM20</f>
        <v>1.2999999999999999E-2</v>
      </c>
      <c r="AA10" s="1083">
        <f>+RevBuild!AN20</f>
        <v>4.2000000000000003E-2</v>
      </c>
      <c r="AB10" s="1083">
        <f>+RevBuild!AO20</f>
        <v>3.4000000000000002E-2</v>
      </c>
      <c r="AC10" s="1083">
        <f>+RevBuild!AP20</f>
        <v>4.2999999999999997E-2</v>
      </c>
      <c r="AD10" s="1082">
        <f>+RevBuild!AS20</f>
        <v>2.3E-2</v>
      </c>
      <c r="AE10" s="1083">
        <f>+RevBuild!AT20</f>
        <v>2.5000000000000001E-2</v>
      </c>
      <c r="AF10" s="1083">
        <f>+RevBuild!AU20</f>
        <v>5.6000000000000001E-2</v>
      </c>
      <c r="AG10" s="1083">
        <f>+RevBuild!AV20</f>
        <v>4.9000000000000002E-2</v>
      </c>
      <c r="AH10" s="1082">
        <f>+RevBuild!AY20</f>
        <v>4.3999999999999997E-2</v>
      </c>
      <c r="AI10" s="1083">
        <f>+RevBuild!AZ20</f>
        <v>5.3999999999999999E-2</v>
      </c>
      <c r="AJ10" s="1083">
        <f>+RevBuild!BA20</f>
        <v>3.7999999999999999E-2</v>
      </c>
      <c r="AK10" s="1083">
        <f>+RevBuild!BB20</f>
        <v>6.0999999999999999E-2</v>
      </c>
      <c r="AL10" s="1082">
        <f>+RevBuild!BE20</f>
        <v>4.5999999999999999E-2</v>
      </c>
      <c r="AM10" s="1083">
        <f>+RevBuild!BF20</f>
        <v>2.3E-2</v>
      </c>
      <c r="AN10" s="1083">
        <f>+RevBuild!BG20</f>
        <v>2.3E-2</v>
      </c>
      <c r="AO10" s="1083">
        <f>+RevBuild!BH20</f>
        <v>1.9E-2</v>
      </c>
      <c r="AP10" s="1082">
        <f>+RevBuild!BK20</f>
        <v>3.0000000000000002E-2</v>
      </c>
      <c r="AQ10" s="1083">
        <f>+RevBuild!BL20</f>
        <v>1.8000000000000002E-2</v>
      </c>
      <c r="AR10" s="1083">
        <f>+RevBuild!BM20</f>
        <v>2.7E-2</v>
      </c>
      <c r="AS10" s="1083">
        <f>+RevBuild!BN20</f>
        <v>3.2000000000000001E-2</v>
      </c>
      <c r="AT10" s="1082">
        <f>+RevBuild!BQ20</f>
        <v>2.5000000000000001E-2</v>
      </c>
      <c r="AU10" s="1083">
        <f>+RevBuild!BR20</f>
        <v>2.5000000000000001E-2</v>
      </c>
      <c r="AV10" s="1083">
        <f>+RevBuild!BS20</f>
        <v>2.5000000000000001E-2</v>
      </c>
      <c r="AW10" s="1083">
        <f>+RevBuild!BT20</f>
        <v>2.5000000000000001E-2</v>
      </c>
      <c r="AX10" s="297"/>
      <c r="AY10" s="297"/>
      <c r="AZ10" s="297"/>
      <c r="BA10" s="297"/>
      <c r="BB10" s="297"/>
      <c r="BC10" s="297"/>
      <c r="BD10" s="297"/>
      <c r="BE10" s="297"/>
      <c r="BF10" s="297"/>
      <c r="BG10" s="297"/>
      <c r="BH10" s="297"/>
      <c r="BI10" s="297"/>
      <c r="BJ10" s="297"/>
      <c r="BK10" s="297"/>
      <c r="BL10" s="297"/>
      <c r="BM10" s="297"/>
      <c r="BN10" s="297"/>
      <c r="BO10" s="297"/>
      <c r="BP10" s="297"/>
      <c r="BQ10" s="297"/>
      <c r="BR10" s="297"/>
      <c r="BS10" s="297"/>
      <c r="BT10" s="297"/>
      <c r="BU10" s="297"/>
      <c r="BV10" s="297"/>
      <c r="BW10" s="297"/>
    </row>
    <row r="11" spans="1:75" hidden="1" outlineLevel="1" x14ac:dyDescent="0.2">
      <c r="A11" s="1115" t="s">
        <v>572</v>
      </c>
      <c r="B11" s="1092"/>
      <c r="C11" s="1093"/>
      <c r="D11" s="1093"/>
      <c r="E11" s="1093"/>
      <c r="F11" s="1092"/>
      <c r="G11" s="1093"/>
      <c r="H11" s="1093"/>
      <c r="I11" s="1093"/>
      <c r="J11" s="1092"/>
      <c r="K11" s="1093"/>
      <c r="L11" s="1093"/>
      <c r="M11" s="1093"/>
      <c r="N11" s="1092"/>
      <c r="O11" s="1093"/>
      <c r="P11" s="1093"/>
      <c r="Q11" s="1093"/>
      <c r="R11" s="1092"/>
      <c r="S11" s="1093"/>
      <c r="T11" s="1093"/>
      <c r="U11" s="1093"/>
      <c r="V11" s="1092">
        <f>+RevBuild!AG26</f>
        <v>-5.6000000000000001E-2</v>
      </c>
      <c r="W11" s="1093">
        <f>+RevBuild!AH26</f>
        <v>7.9000000000000001E-2</v>
      </c>
      <c r="X11" s="1093">
        <f>+RevBuild!AI26</f>
        <v>5.6000000000000001E-2</v>
      </c>
      <c r="Y11" s="1093">
        <f>+RevBuild!AJ26</f>
        <v>0.219</v>
      </c>
      <c r="Z11" s="1092">
        <f>+RevBuild!AM26</f>
        <v>2E-3</v>
      </c>
      <c r="AA11" s="1093">
        <f>+RevBuild!AN26</f>
        <v>1.4E-2</v>
      </c>
      <c r="AB11" s="1093">
        <f>+RevBuild!AO26</f>
        <v>9.9000000000000005E-2</v>
      </c>
      <c r="AC11" s="1093">
        <f>+RevBuild!AP26</f>
        <v>-2.4E-2</v>
      </c>
      <c r="AD11" s="1092">
        <f>+RevBuild!AS26</f>
        <v>0.157</v>
      </c>
      <c r="AE11" s="1093">
        <f>+RevBuild!AT26</f>
        <v>0.108</v>
      </c>
      <c r="AF11" s="1093">
        <f>+RevBuild!AU26</f>
        <v>5.1999999999999998E-2</v>
      </c>
      <c r="AG11" s="1093">
        <f>+RevBuild!AV26</f>
        <v>-4.7E-2</v>
      </c>
      <c r="AH11" s="1092">
        <f>+RevBuild!AY26</f>
        <v>4.4999999999999998E-2</v>
      </c>
      <c r="AI11" s="1093">
        <f>+RevBuild!AZ26</f>
        <v>-1.9E-2</v>
      </c>
      <c r="AJ11" s="1093">
        <f>+RevBuild!BA26</f>
        <v>6.4000000000000001E-2</v>
      </c>
      <c r="AK11" s="1093">
        <f>+RevBuild!BB26</f>
        <v>0.115</v>
      </c>
      <c r="AL11" s="1092">
        <f>+RevBuild!BE26</f>
        <v>0.13500000000000001</v>
      </c>
      <c r="AM11" s="1093">
        <f>+RevBuild!BF26</f>
        <v>2.7E-2</v>
      </c>
      <c r="AN11" s="1093">
        <f>+RevBuild!BG26</f>
        <v>0.13300000000000001</v>
      </c>
      <c r="AO11" s="1093">
        <f>+RevBuild!BH26</f>
        <v>2.7E-2</v>
      </c>
      <c r="AP11" s="1092">
        <f>+RevBuild!BK26</f>
        <v>-5.5E-2</v>
      </c>
      <c r="AQ11" s="1093">
        <f>+RevBuild!BL26</f>
        <v>0.14799999999999999</v>
      </c>
      <c r="AR11" s="1093">
        <f>+RevBuild!BM26</f>
        <v>1.0000000000000002E-2</v>
      </c>
      <c r="AS11" s="1093">
        <f>+RevBuild!BN26</f>
        <v>0.18099999999999999</v>
      </c>
      <c r="AT11" s="1092">
        <f>+RevBuild!BQ26</f>
        <v>0.20920926819971911</v>
      </c>
      <c r="AU11" s="1093">
        <f>+RevBuild!BR26</f>
        <v>4.6853895032042514E-2</v>
      </c>
      <c r="AV11" s="1093">
        <f>+RevBuild!BS26</f>
        <v>0.11785867195635347</v>
      </c>
      <c r="AW11" s="1093">
        <f>+RevBuild!BT26</f>
        <v>-8.8602442665476788E-2</v>
      </c>
      <c r="AX11" s="297"/>
      <c r="AY11" s="297"/>
      <c r="AZ11" s="297"/>
      <c r="BA11" s="297"/>
      <c r="BB11" s="297"/>
      <c r="BC11" s="297"/>
      <c r="BD11" s="297"/>
      <c r="BE11" s="297"/>
      <c r="BF11" s="297"/>
      <c r="BG11" s="297"/>
      <c r="BH11" s="297"/>
      <c r="BI11" s="297"/>
      <c r="BJ11" s="297"/>
      <c r="BK11" s="297"/>
      <c r="BL11" s="297"/>
      <c r="BM11" s="297"/>
      <c r="BN11" s="297"/>
      <c r="BO11" s="297"/>
      <c r="BP11" s="297"/>
      <c r="BQ11" s="297"/>
      <c r="BR11" s="297"/>
      <c r="BS11" s="297"/>
      <c r="BT11" s="297"/>
      <c r="BU11" s="297"/>
      <c r="BV11" s="297"/>
      <c r="BW11" s="297"/>
    </row>
    <row r="12" spans="1:75" s="1102" customFormat="1" hidden="1" outlineLevel="1" x14ac:dyDescent="0.2">
      <c r="A12" s="375" t="s">
        <v>310</v>
      </c>
      <c r="B12" s="1094" t="s">
        <v>151</v>
      </c>
      <c r="C12" s="1083" t="s">
        <v>151</v>
      </c>
      <c r="D12" s="1083" t="s">
        <v>151</v>
      </c>
      <c r="E12" s="1083" t="s">
        <v>151</v>
      </c>
      <c r="F12" s="1082" t="s">
        <v>151</v>
      </c>
      <c r="G12" s="1083" t="s">
        <v>151</v>
      </c>
      <c r="H12" s="1083" t="s">
        <v>151</v>
      </c>
      <c r="I12" s="1083" t="s">
        <v>151</v>
      </c>
      <c r="J12" s="1082" t="s">
        <v>151</v>
      </c>
      <c r="K12" s="1083" t="s">
        <v>151</v>
      </c>
      <c r="L12" s="1083" t="s">
        <v>151</v>
      </c>
      <c r="M12" s="1083" t="s">
        <v>151</v>
      </c>
      <c r="N12" s="1082" t="s">
        <v>151</v>
      </c>
      <c r="O12" s="1083" t="s">
        <v>151</v>
      </c>
      <c r="P12" s="1083" t="s">
        <v>151</v>
      </c>
      <c r="Q12" s="1083" t="s">
        <v>151</v>
      </c>
      <c r="R12" s="1082" t="s">
        <v>151</v>
      </c>
      <c r="S12" s="1083" t="s">
        <v>151</v>
      </c>
      <c r="T12" s="1083" t="s">
        <v>151</v>
      </c>
      <c r="U12" s="1083" t="s">
        <v>151</v>
      </c>
      <c r="V12" s="1082">
        <f>RevBuild!AG72</f>
        <v>8.8999999999999996E-2</v>
      </c>
      <c r="W12" s="1083">
        <f>RevBuild!AH72</f>
        <v>5.0000000000000001E-3</v>
      </c>
      <c r="X12" s="1083">
        <f>RevBuild!AI72</f>
        <v>0.01</v>
      </c>
      <c r="Y12" s="1083">
        <f>RevBuild!AJ72</f>
        <v>-1.4999999999999999E-2</v>
      </c>
      <c r="Z12" s="1082">
        <f>RevBuild!AM72</f>
        <v>-2.4E-2</v>
      </c>
      <c r="AA12" s="1083">
        <f>RevBuild!AN72</f>
        <v>1.9000000000000003E-2</v>
      </c>
      <c r="AB12" s="1083">
        <f>RevBuild!AO72</f>
        <v>-1.0000000000000009E-3</v>
      </c>
      <c r="AC12" s="1083">
        <f>RevBuild!AP72</f>
        <v>3.5000000000000003E-2</v>
      </c>
      <c r="AD12" s="1082">
        <f>RevBuild!AS72</f>
        <v>3.3000000000000002E-2</v>
      </c>
      <c r="AE12" s="1083">
        <f>RevBuild!AT72</f>
        <v>0</v>
      </c>
      <c r="AF12" s="1083">
        <f>RevBuild!AU72</f>
        <v>3.7000000000000005E-2</v>
      </c>
      <c r="AG12" s="1083">
        <f>RevBuild!AV72</f>
        <v>2.9000000000000005E-2</v>
      </c>
      <c r="AH12" s="1082">
        <f>RevBuild!AY72</f>
        <v>2.0000000000000018E-3</v>
      </c>
      <c r="AI12" s="1083">
        <f>RevBuild!AZ72</f>
        <v>4.5999999999999999E-2</v>
      </c>
      <c r="AJ12" s="1083">
        <f>RevBuild!BA72</f>
        <v>3.5999999999999997E-2</v>
      </c>
      <c r="AK12" s="1083">
        <f>RevBuild!BB72</f>
        <v>4.9000000000000002E-2</v>
      </c>
      <c r="AL12" s="1082">
        <f>RevBuild!BE72</f>
        <v>2.3000000000000003E-2</v>
      </c>
      <c r="AM12" s="1083">
        <f>RevBuild!BF72</f>
        <v>4.200000000000001E-2</v>
      </c>
      <c r="AN12" s="1083">
        <f>RevBuild!BG72</f>
        <v>3.1E-2</v>
      </c>
      <c r="AO12" s="1083">
        <f>RevBuild!BH72</f>
        <v>6.596540629820874E-3</v>
      </c>
      <c r="AP12" s="1082">
        <f>RevBuild!BK72</f>
        <v>6.8000000000000005E-2</v>
      </c>
      <c r="AQ12" s="1083">
        <f>RevBuild!BL72</f>
        <v>1.999999999999999E-2</v>
      </c>
      <c r="AR12" s="1083">
        <f>RevBuild!BM72</f>
        <v>3.2000000000000001E-2</v>
      </c>
      <c r="AS12" s="1083">
        <f>RevBuild!BN72</f>
        <v>1.0000000000000009E-3</v>
      </c>
      <c r="AT12" s="1082">
        <f>RevBuild!BQ72</f>
        <v>-0.02</v>
      </c>
      <c r="AU12" s="1083">
        <f>RevBuild!BR72</f>
        <v>0.03</v>
      </c>
      <c r="AV12" s="1083">
        <f>RevBuild!BS72</f>
        <v>0.02</v>
      </c>
      <c r="AW12" s="1083">
        <f>RevBuild!BT72</f>
        <v>0.05</v>
      </c>
      <c r="AX12" s="1101"/>
      <c r="AY12" s="1101"/>
      <c r="AZ12" s="1101"/>
      <c r="BA12" s="1101"/>
      <c r="BB12" s="1101"/>
      <c r="BC12" s="1101"/>
      <c r="BD12" s="1101"/>
      <c r="BE12" s="1101"/>
      <c r="BF12" s="1101"/>
      <c r="BG12" s="1101"/>
      <c r="BH12" s="1101"/>
      <c r="BI12" s="1101"/>
      <c r="BJ12" s="1101"/>
      <c r="BK12" s="1101"/>
      <c r="BL12" s="1101"/>
      <c r="BM12" s="1101"/>
      <c r="BN12" s="1101"/>
      <c r="BO12" s="1101"/>
      <c r="BP12" s="1101"/>
      <c r="BQ12" s="1101"/>
      <c r="BR12" s="1101"/>
      <c r="BS12" s="1101"/>
      <c r="BT12" s="1101"/>
      <c r="BU12" s="1101"/>
      <c r="BV12" s="1101"/>
      <c r="BW12" s="1101"/>
    </row>
    <row r="13" spans="1:75" s="1102" customFormat="1" hidden="1" outlineLevel="1" x14ac:dyDescent="0.2">
      <c r="A13" s="1114" t="s">
        <v>571</v>
      </c>
      <c r="B13" s="1094"/>
      <c r="C13" s="1083"/>
      <c r="D13" s="1083"/>
      <c r="E13" s="1083"/>
      <c r="F13" s="1082"/>
      <c r="G13" s="1083"/>
      <c r="H13" s="1083"/>
      <c r="I13" s="1083"/>
      <c r="J13" s="1082"/>
      <c r="K13" s="1083"/>
      <c r="L13" s="1083"/>
      <c r="M13" s="1083"/>
      <c r="N13" s="1082"/>
      <c r="O13" s="1083"/>
      <c r="P13" s="1083"/>
      <c r="Q13" s="1083"/>
      <c r="R13" s="1082"/>
      <c r="S13" s="1083"/>
      <c r="T13" s="1083"/>
      <c r="U13" s="1083"/>
      <c r="V13" s="1082">
        <f>+RevBuild!AG79</f>
        <v>0.1</v>
      </c>
      <c r="W13" s="1083">
        <f>+RevBuild!AH79</f>
        <v>3.4000000000000002E-2</v>
      </c>
      <c r="X13" s="1083">
        <f>+RevBuild!AI79</f>
        <v>3.4000000000000002E-2</v>
      </c>
      <c r="Y13" s="1083">
        <f>+RevBuild!AJ79</f>
        <v>2.1999999999999999E-2</v>
      </c>
      <c r="Z13" s="1082">
        <f>+RevBuild!AM79</f>
        <v>-1.7000000000000001E-2</v>
      </c>
      <c r="AA13" s="1083">
        <f>+RevBuild!AN79</f>
        <v>-1.2999999999999999E-2</v>
      </c>
      <c r="AB13" s="1083">
        <f>+RevBuild!AO79</f>
        <v>-8.0000000000000002E-3</v>
      </c>
      <c r="AC13" s="1083">
        <f>+RevBuild!AP79</f>
        <v>1.4999999999999999E-2</v>
      </c>
      <c r="AD13" s="1082">
        <f>RevBuild!AS79</f>
        <v>3.3000000000000002E-2</v>
      </c>
      <c r="AE13" s="1083">
        <f>RevBuild!AT79</f>
        <v>2.1000000000000001E-2</v>
      </c>
      <c r="AF13" s="1083">
        <f>RevBuild!AU79</f>
        <v>3.2000000000000001E-2</v>
      </c>
      <c r="AG13" s="1083">
        <f>RevBuild!AV79</f>
        <v>3.1E-2</v>
      </c>
      <c r="AH13" s="1082">
        <f>RevBuild!AY79</f>
        <v>1.6E-2</v>
      </c>
      <c r="AI13" s="1083">
        <f>RevBuild!AZ79</f>
        <v>0.02</v>
      </c>
      <c r="AJ13" s="1083">
        <f>RevBuild!BA79</f>
        <v>2.9000000000000001E-2</v>
      </c>
      <c r="AK13" s="1083">
        <f>RevBuild!BB79</f>
        <v>0.04</v>
      </c>
      <c r="AL13" s="1082">
        <f>RevBuild!BE79</f>
        <v>1.6E-2</v>
      </c>
      <c r="AM13" s="1083">
        <f>RevBuild!BF79</f>
        <v>4.4999999999999998E-2</v>
      </c>
      <c r="AN13" s="1083">
        <f>RevBuild!BG79</f>
        <v>2.7E-2</v>
      </c>
      <c r="AO13" s="1083">
        <f>RevBuild!BH79</f>
        <v>2.5000000000000001E-2</v>
      </c>
      <c r="AP13" s="1082">
        <f>RevBuild!BK79</f>
        <v>0.08</v>
      </c>
      <c r="AQ13" s="1083">
        <f>RevBuild!BL79</f>
        <v>1.4E-2</v>
      </c>
      <c r="AR13" s="1083">
        <f>RevBuild!BM79</f>
        <v>3.4000000000000002E-2</v>
      </c>
      <c r="AS13" s="1083">
        <f>RevBuild!BN79</f>
        <v>-2.5999999999999999E-2</v>
      </c>
      <c r="AT13" s="1082">
        <f>RevBuild!BQ79</f>
        <v>-0.02</v>
      </c>
      <c r="AU13" s="1083">
        <f>RevBuild!BR79</f>
        <v>0.05</v>
      </c>
      <c r="AV13" s="1083">
        <f>RevBuild!BS79</f>
        <v>0.03</v>
      </c>
      <c r="AW13" s="1083">
        <f>RevBuild!BT79</f>
        <v>0.02</v>
      </c>
      <c r="AX13" s="1101"/>
      <c r="AY13" s="1101"/>
      <c r="AZ13" s="1101"/>
      <c r="BA13" s="1101"/>
      <c r="BB13" s="1101"/>
      <c r="BC13" s="1101"/>
      <c r="BD13" s="1101"/>
      <c r="BE13" s="1101"/>
      <c r="BF13" s="1101"/>
      <c r="BG13" s="1101"/>
      <c r="BH13" s="1101"/>
      <c r="BI13" s="1101"/>
      <c r="BJ13" s="1101"/>
      <c r="BK13" s="1101"/>
      <c r="BL13" s="1101"/>
      <c r="BM13" s="1101"/>
      <c r="BN13" s="1101"/>
      <c r="BO13" s="1101"/>
      <c r="BP13" s="1101"/>
      <c r="BQ13" s="1101"/>
      <c r="BR13" s="1101"/>
      <c r="BS13" s="1101"/>
      <c r="BT13" s="1101"/>
      <c r="BU13" s="1101"/>
      <c r="BV13" s="1101"/>
      <c r="BW13" s="1101"/>
    </row>
    <row r="14" spans="1:75" s="1102" customFormat="1" hidden="1" outlineLevel="1" x14ac:dyDescent="0.2">
      <c r="A14" s="1115" t="s">
        <v>572</v>
      </c>
      <c r="B14" s="1094"/>
      <c r="C14" s="1083"/>
      <c r="D14" s="1083"/>
      <c r="E14" s="1083"/>
      <c r="F14" s="1082"/>
      <c r="G14" s="1083"/>
      <c r="H14" s="1083"/>
      <c r="I14" s="1083"/>
      <c r="J14" s="1082"/>
      <c r="K14" s="1083"/>
      <c r="L14" s="1083"/>
      <c r="M14" s="1083"/>
      <c r="N14" s="1082"/>
      <c r="O14" s="1083"/>
      <c r="P14" s="1083"/>
      <c r="Q14" s="1083"/>
      <c r="R14" s="1082"/>
      <c r="S14" s="1083"/>
      <c r="T14" s="1083"/>
      <c r="U14" s="1083"/>
      <c r="V14" s="1082">
        <f>+RevBuild!AG85</f>
        <v>0.06</v>
      </c>
      <c r="W14" s="1083">
        <f>+RevBuild!AH85</f>
        <v>-6.5000000000000002E-2</v>
      </c>
      <c r="X14" s="1083">
        <f>+RevBuild!AI85</f>
        <v>4.4999999999999998E-2</v>
      </c>
      <c r="Y14" s="1083">
        <f>+RevBuild!AJ85</f>
        <v>-9.1999999999999998E-2</v>
      </c>
      <c r="Z14" s="1082">
        <f>+RevBuild!AM85</f>
        <v>-4.2999999999999997E-2</v>
      </c>
      <c r="AA14" s="1083">
        <f>+RevBuild!AN85</f>
        <v>0.111</v>
      </c>
      <c r="AB14" s="1083">
        <f>+RevBuild!AO85</f>
        <v>1.4E-2</v>
      </c>
      <c r="AC14" s="1083">
        <f>+RevBuild!AP85</f>
        <v>8.5999999999999993E-2</v>
      </c>
      <c r="AD14" s="1092">
        <f>RevBuild!AS85</f>
        <v>2.4E-2</v>
      </c>
      <c r="AE14" s="1093">
        <f>RevBuild!AT85</f>
        <v>-5.5E-2</v>
      </c>
      <c r="AF14" s="1093">
        <f>RevBuild!AU85</f>
        <v>4.9000000000000002E-2</v>
      </c>
      <c r="AG14" s="1093">
        <f>RevBuild!AV85</f>
        <v>2.5999999999999999E-2</v>
      </c>
      <c r="AH14" s="1092">
        <f>RevBuild!AY85</f>
        <v>5.3999999999999999E-2</v>
      </c>
      <c r="AI14" s="1093">
        <f>RevBuild!AZ85</f>
        <v>0.11799999999999999</v>
      </c>
      <c r="AJ14" s="1093">
        <f>RevBuild!BA85</f>
        <v>5.2999999999999999E-2</v>
      </c>
      <c r="AK14" s="1093">
        <f>RevBuild!BB85</f>
        <v>7.0000000000000007E-2</v>
      </c>
      <c r="AL14" s="1092">
        <f>RevBuild!BE85</f>
        <v>4.2999999999999997E-2</v>
      </c>
      <c r="AM14" s="1093">
        <f>RevBuild!BF85</f>
        <v>3.1E-2</v>
      </c>
      <c r="AN14" s="1093">
        <f>RevBuild!BG85</f>
        <v>4.2000000000000003E-2</v>
      </c>
      <c r="AO14" s="1093">
        <f>RevBuild!BH85</f>
        <v>-3.9E-2</v>
      </c>
      <c r="AP14" s="1092">
        <f>RevBuild!BK85</f>
        <v>3.1E-2</v>
      </c>
      <c r="AQ14" s="1093">
        <f>RevBuild!BL85</f>
        <v>3.5999999999999997E-2</v>
      </c>
      <c r="AR14" s="1093">
        <f>RevBuild!BM85</f>
        <v>2.5999999999999999E-2</v>
      </c>
      <c r="AS14" s="1093">
        <f>RevBuild!BN85</f>
        <v>7.6999999999999999E-2</v>
      </c>
      <c r="AT14" s="1092">
        <f>RevBuild!BQ85</f>
        <v>-2.0000000000000254E-2</v>
      </c>
      <c r="AU14" s="1093">
        <f>RevBuild!BR85</f>
        <v>-3.7415580128166162E-2</v>
      </c>
      <c r="AV14" s="1093">
        <f>RevBuild!BS85</f>
        <v>-1.6429335978176668E-2</v>
      </c>
      <c r="AW14" s="1093">
        <f>RevBuild!BT85</f>
        <v>0.15632293119857207</v>
      </c>
      <c r="AX14" s="1101"/>
      <c r="AY14" s="1101"/>
      <c r="AZ14" s="1101"/>
      <c r="BA14" s="1101"/>
      <c r="BB14" s="1101"/>
      <c r="BC14" s="1101"/>
      <c r="BD14" s="1101"/>
      <c r="BE14" s="1101"/>
      <c r="BF14" s="1101"/>
      <c r="BG14" s="1101"/>
      <c r="BH14" s="1101"/>
      <c r="BI14" s="1101"/>
      <c r="BJ14" s="1101"/>
      <c r="BK14" s="1101"/>
      <c r="BL14" s="1101"/>
      <c r="BM14" s="1101"/>
      <c r="BN14" s="1101"/>
      <c r="BO14" s="1101"/>
      <c r="BP14" s="1101"/>
      <c r="BQ14" s="1101"/>
      <c r="BR14" s="1101"/>
      <c r="BS14" s="1101"/>
      <c r="BT14" s="1101"/>
      <c r="BU14" s="1101"/>
      <c r="BV14" s="1101"/>
      <c r="BW14" s="1101"/>
    </row>
    <row r="15" spans="1:75" collapsed="1" x14ac:dyDescent="0.2">
      <c r="A15" s="338" t="s">
        <v>566</v>
      </c>
      <c r="B15" s="1076" t="s">
        <v>151</v>
      </c>
      <c r="C15" s="302" t="s">
        <v>151</v>
      </c>
      <c r="D15" s="302" t="s">
        <v>151</v>
      </c>
      <c r="E15" s="302" t="s">
        <v>151</v>
      </c>
      <c r="F15" s="303" t="s">
        <v>151</v>
      </c>
      <c r="G15" s="302" t="s">
        <v>151</v>
      </c>
      <c r="H15" s="302" t="s">
        <v>151</v>
      </c>
      <c r="I15" s="302" t="s">
        <v>151</v>
      </c>
      <c r="J15" s="303" t="s">
        <v>151</v>
      </c>
      <c r="K15" s="302" t="s">
        <v>151</v>
      </c>
      <c r="L15" s="302" t="s">
        <v>151</v>
      </c>
      <c r="M15" s="302" t="s">
        <v>151</v>
      </c>
      <c r="N15" s="303" t="s">
        <v>151</v>
      </c>
      <c r="O15" s="302" t="s">
        <v>151</v>
      </c>
      <c r="P15" s="302" t="s">
        <v>151</v>
      </c>
      <c r="Q15" s="302" t="s">
        <v>151</v>
      </c>
      <c r="R15" s="303" t="s">
        <v>151</v>
      </c>
      <c r="S15" s="302" t="s">
        <v>151</v>
      </c>
      <c r="T15" s="302" t="s">
        <v>151</v>
      </c>
      <c r="U15" s="302" t="s">
        <v>151</v>
      </c>
      <c r="V15" s="303">
        <f>RevBuild!AG151</f>
        <v>0.14799999999999999</v>
      </c>
      <c r="W15" s="302">
        <f>RevBuild!AH151</f>
        <v>8.6999999999999994E-2</v>
      </c>
      <c r="X15" s="302">
        <f>RevBuild!AI151</f>
        <v>9.0999999999999998E-2</v>
      </c>
      <c r="Y15" s="302">
        <f>RevBuild!AJ151</f>
        <v>0.10600000000000002</v>
      </c>
      <c r="Z15" s="303">
        <f>RevBuild!AM151</f>
        <v>6.8000000000000005E-2</v>
      </c>
      <c r="AA15" s="302">
        <f>RevBuild!AN151</f>
        <v>4.1999999999999982E-2</v>
      </c>
      <c r="AB15" s="302">
        <f>RevBuild!AO151</f>
        <v>5.8999999999999997E-2</v>
      </c>
      <c r="AC15" s="302">
        <f>RevBuild!AP151</f>
        <v>4.8000000000000001E-2</v>
      </c>
      <c r="AD15" s="1117">
        <f>RevBuild!AS151</f>
        <v>0.02</v>
      </c>
      <c r="AE15" s="1118">
        <f>RevBuild!AT151</f>
        <v>7.2999999999999995E-2</v>
      </c>
      <c r="AF15" s="1118">
        <f>RevBuild!AU151</f>
        <v>8.1000000000000003E-2</v>
      </c>
      <c r="AG15" s="1118">
        <f>RevBuild!AV151</f>
        <v>7.8E-2</v>
      </c>
      <c r="AH15" s="1117">
        <f>RevBuild!AY151</f>
        <v>4.4999999999999998E-2</v>
      </c>
      <c r="AI15" s="1118">
        <f>RevBuild!AZ151</f>
        <v>6.0000000000000053E-3</v>
      </c>
      <c r="AJ15" s="1118">
        <f>RevBuild!BA151</f>
        <v>4.9999999999999975E-3</v>
      </c>
      <c r="AK15" s="1118">
        <f>RevBuild!BB151</f>
        <v>2.3000000000000007E-2</v>
      </c>
      <c r="AL15" s="1117">
        <f>RevBuild!BE151</f>
        <v>9.8000000000000004E-2</v>
      </c>
      <c r="AM15" s="1118">
        <f>RevBuild!BF151</f>
        <v>0.11799999999999999</v>
      </c>
      <c r="AN15" s="1118">
        <f>RevBuild!BG151</f>
        <v>8.5999999999999993E-2</v>
      </c>
      <c r="AO15" s="1118">
        <f>RevBuild!BH151</f>
        <v>8.1901387050405311E-2</v>
      </c>
      <c r="AP15" s="1117">
        <f>RevBuild!BK151</f>
        <v>7.0670141675081913E-2</v>
      </c>
      <c r="AQ15" s="1118">
        <f>RevBuild!BL151</f>
        <v>5.8044796262409326E-2</v>
      </c>
      <c r="AR15" s="1118">
        <f>RevBuild!BM151</f>
        <v>8.0243905000639063E-2</v>
      </c>
      <c r="AS15" s="1118">
        <f>RevBuild!BN151</f>
        <v>4.4786150715261708E-2</v>
      </c>
      <c r="AT15" s="1117">
        <f>RevBuild!BQ151</f>
        <v>5.9805354399284694E-2</v>
      </c>
      <c r="AU15" s="1118">
        <f>RevBuild!BR151</f>
        <v>7.4122800620644913E-2</v>
      </c>
      <c r="AV15" s="1118">
        <f>RevBuild!BS151</f>
        <v>6.1570758458156849E-2</v>
      </c>
      <c r="AW15" s="1118">
        <f>RevBuild!BT151</f>
        <v>8.5042510269334848E-2</v>
      </c>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7"/>
      <c r="BU15" s="297"/>
      <c r="BV15" s="297"/>
      <c r="BW15" s="297"/>
    </row>
    <row r="16" spans="1:75" x14ac:dyDescent="0.2">
      <c r="A16" s="1090" t="s">
        <v>303</v>
      </c>
      <c r="B16" s="1097" t="s">
        <v>151</v>
      </c>
      <c r="C16" s="1098" t="s">
        <v>151</v>
      </c>
      <c r="D16" s="1098" t="s">
        <v>151</v>
      </c>
      <c r="E16" s="1098" t="s">
        <v>151</v>
      </c>
      <c r="F16" s="1099" t="s">
        <v>151</v>
      </c>
      <c r="G16" s="1098" t="s">
        <v>151</v>
      </c>
      <c r="H16" s="1098" t="s">
        <v>151</v>
      </c>
      <c r="I16" s="1098" t="s">
        <v>151</v>
      </c>
      <c r="J16" s="1099" t="s">
        <v>151</v>
      </c>
      <c r="K16" s="1098" t="s">
        <v>151</v>
      </c>
      <c r="L16" s="1098" t="s">
        <v>151</v>
      </c>
      <c r="M16" s="1098" t="s">
        <v>151</v>
      </c>
      <c r="N16" s="1099">
        <f>RevBuild!U33</f>
        <v>2.4999999999999911E-2</v>
      </c>
      <c r="O16" s="1098">
        <f>RevBuild!V33</f>
        <v>0</v>
      </c>
      <c r="P16" s="1098">
        <f>RevBuild!W33</f>
        <v>0</v>
      </c>
      <c r="Q16" s="1098">
        <f>RevBuild!X33</f>
        <v>0</v>
      </c>
      <c r="R16" s="1099">
        <f>RevBuild!AA33</f>
        <v>7.5000000000000011E-2</v>
      </c>
      <c r="S16" s="1098">
        <f>RevBuild!AB33</f>
        <v>0.109</v>
      </c>
      <c r="T16" s="1098">
        <f>RevBuild!AC33</f>
        <v>9.4E-2</v>
      </c>
      <c r="U16" s="1098">
        <f>RevBuild!AD33</f>
        <v>7.1000000000000008E-2</v>
      </c>
      <c r="V16" s="1099">
        <f>RevBuild!AG33</f>
        <v>0.158</v>
      </c>
      <c r="W16" s="1098">
        <f>RevBuild!AH33</f>
        <v>0.14199999999999999</v>
      </c>
      <c r="X16" s="1098">
        <f>RevBuild!AI33</f>
        <v>0.122</v>
      </c>
      <c r="Y16" s="1098">
        <f>RevBuild!AJ33</f>
        <v>0.184</v>
      </c>
      <c r="Z16" s="1099">
        <f>RevBuild!AM33</f>
        <v>0.14899999999999999</v>
      </c>
      <c r="AA16" s="1098">
        <f>RevBuild!AN33</f>
        <v>9.6000000000000002E-2</v>
      </c>
      <c r="AB16" s="1098">
        <f>RevBuild!AO33</f>
        <v>0.104</v>
      </c>
      <c r="AC16" s="1098">
        <f>RevBuild!AP33</f>
        <v>7.0000000000000007E-2</v>
      </c>
      <c r="AD16" s="1099">
        <f>RevBuild!AS33</f>
        <v>-4.0000000000000001E-3</v>
      </c>
      <c r="AE16" s="1098">
        <f>RevBuild!AT33</f>
        <v>7.9000000000000001E-2</v>
      </c>
      <c r="AF16" s="1098">
        <f>RevBuild!AU33</f>
        <v>0.10899999999999999</v>
      </c>
      <c r="AG16" s="1098">
        <f>RevBuild!AV33</f>
        <v>6.8999999999999992E-2</v>
      </c>
      <c r="AH16" s="1099">
        <f>RevBuild!AY33</f>
        <v>1.2999999999999998E-2</v>
      </c>
      <c r="AI16" s="1098">
        <f>RevBuild!AZ33</f>
        <v>-4.0999999999999995E-2</v>
      </c>
      <c r="AJ16" s="1098">
        <f>RevBuild!BA33</f>
        <v>-1.9E-2</v>
      </c>
      <c r="AK16" s="1098">
        <f>RevBuild!BB33</f>
        <v>1.2000000000000002E-2</v>
      </c>
      <c r="AL16" s="1099">
        <f>RevBuild!BE33</f>
        <v>0.16699999999999998</v>
      </c>
      <c r="AM16" s="1098">
        <f>RevBuild!BF33</f>
        <v>0.188</v>
      </c>
      <c r="AN16" s="1098">
        <f>RevBuild!BG33</f>
        <v>0.1</v>
      </c>
      <c r="AO16" s="1098">
        <f>RevBuild!BH33</f>
        <v>0.10299999999999998</v>
      </c>
      <c r="AP16" s="1099">
        <f>RevBuild!BK33</f>
        <v>5.5E-2</v>
      </c>
      <c r="AQ16" s="1098">
        <f>RevBuild!BL33</f>
        <v>5.8999999999999997E-2</v>
      </c>
      <c r="AR16" s="1098">
        <f>RevBuild!BM33</f>
        <v>9.5000000000000001E-2</v>
      </c>
      <c r="AS16" s="1098">
        <f>RevBuild!BN33</f>
        <v>0.06</v>
      </c>
      <c r="AT16" s="1099">
        <f>RevBuild!BQ33</f>
        <v>7.9018275428019799E-2</v>
      </c>
      <c r="AU16" s="1098">
        <f>RevBuild!BR33</f>
        <v>8.6601993655972834E-2</v>
      </c>
      <c r="AV16" s="1098">
        <f>RevBuild!BS33</f>
        <v>6.3091869323960242E-2</v>
      </c>
      <c r="AW16" s="1098">
        <f>RevBuild!BT33</f>
        <v>0.09</v>
      </c>
      <c r="AX16" s="297"/>
      <c r="AY16" s="297"/>
      <c r="AZ16" s="297"/>
      <c r="BA16" s="297"/>
      <c r="BB16" s="297"/>
      <c r="BC16" s="297"/>
      <c r="BD16" s="297"/>
      <c r="BE16" s="297"/>
      <c r="BF16" s="297"/>
      <c r="BG16" s="297"/>
      <c r="BH16" s="297"/>
      <c r="BI16" s="297"/>
      <c r="BJ16" s="297"/>
      <c r="BK16" s="297"/>
      <c r="BL16" s="297"/>
      <c r="BM16" s="297"/>
      <c r="BN16" s="297"/>
      <c r="BO16" s="297"/>
      <c r="BP16" s="297"/>
      <c r="BQ16" s="297"/>
      <c r="BR16" s="297"/>
      <c r="BS16" s="297"/>
      <c r="BT16" s="297"/>
      <c r="BU16" s="297"/>
      <c r="BV16" s="297"/>
      <c r="BW16" s="297"/>
    </row>
    <row r="17" spans="1:75" x14ac:dyDescent="0.2">
      <c r="A17" s="1090" t="s">
        <v>310</v>
      </c>
      <c r="B17" s="1097" t="s">
        <v>151</v>
      </c>
      <c r="C17" s="1098" t="s">
        <v>151</v>
      </c>
      <c r="D17" s="1098" t="s">
        <v>151</v>
      </c>
      <c r="E17" s="1098" t="s">
        <v>151</v>
      </c>
      <c r="F17" s="1099" t="s">
        <v>151</v>
      </c>
      <c r="G17" s="1098" t="s">
        <v>151</v>
      </c>
      <c r="H17" s="1098" t="s">
        <v>151</v>
      </c>
      <c r="I17" s="1098" t="s">
        <v>151</v>
      </c>
      <c r="J17" s="1099" t="s">
        <v>151</v>
      </c>
      <c r="K17" s="1098" t="s">
        <v>151</v>
      </c>
      <c r="L17" s="1098" t="s">
        <v>151</v>
      </c>
      <c r="M17" s="1098" t="s">
        <v>151</v>
      </c>
      <c r="N17" s="1099" t="s">
        <v>151</v>
      </c>
      <c r="O17" s="1098" t="s">
        <v>151</v>
      </c>
      <c r="P17" s="1098" t="s">
        <v>151</v>
      </c>
      <c r="Q17" s="1098" t="s">
        <v>151</v>
      </c>
      <c r="R17" s="1099" t="s">
        <v>151</v>
      </c>
      <c r="S17" s="1098" t="s">
        <v>151</v>
      </c>
      <c r="T17" s="1098" t="s">
        <v>151</v>
      </c>
      <c r="U17" s="1098" t="s">
        <v>151</v>
      </c>
      <c r="V17" s="1099">
        <f>RevBuild!AG92</f>
        <v>0.13699999999999998</v>
      </c>
      <c r="W17" s="1098">
        <f>RevBuild!AH92</f>
        <v>3.4000000000000002E-2</v>
      </c>
      <c r="X17" s="1098">
        <f>RevBuild!AI92</f>
        <v>6.2E-2</v>
      </c>
      <c r="Y17" s="1098">
        <f>RevBuild!AJ92</f>
        <v>3.1E-2</v>
      </c>
      <c r="Z17" s="1099">
        <f>RevBuild!AM92</f>
        <v>-1.5000000000000013E-2</v>
      </c>
      <c r="AA17" s="1098">
        <f>RevBuild!AN92</f>
        <v>-1.4000000000000012E-2</v>
      </c>
      <c r="AB17" s="1098">
        <f>RevBuild!AO92</f>
        <v>2.0999999999999998E-2</v>
      </c>
      <c r="AC17" s="1098">
        <f>RevBuild!AP92</f>
        <v>2.8999999999999998E-2</v>
      </c>
      <c r="AD17" s="1099">
        <f>RevBuild!AS92</f>
        <v>4.2000000000000003E-2</v>
      </c>
      <c r="AE17" s="1098">
        <f>RevBuild!AT92</f>
        <v>6.8000000000000005E-2</v>
      </c>
      <c r="AF17" s="1098">
        <f>RevBuild!AU92</f>
        <v>5.6000000000000008E-2</v>
      </c>
      <c r="AG17" s="1098">
        <f>RevBuild!AV92</f>
        <v>8.5999999999999993E-2</v>
      </c>
      <c r="AH17" s="1099">
        <f>RevBuild!AY92</f>
        <v>7.400000000000001E-2</v>
      </c>
      <c r="AI17" s="1098">
        <f>RevBuild!AZ92</f>
        <v>4.7999999999999994E-2</v>
      </c>
      <c r="AJ17" s="1098">
        <f>RevBuild!BA92</f>
        <v>2.6999999999999996E-2</v>
      </c>
      <c r="AK17" s="1098">
        <f>RevBuild!BB92</f>
        <v>3.3000000000000002E-2</v>
      </c>
      <c r="AL17" s="1099">
        <f>RevBuild!BE92</f>
        <v>3.1E-2</v>
      </c>
      <c r="AM17" s="1098">
        <f>RevBuild!BF92</f>
        <v>4.9000000000000002E-2</v>
      </c>
      <c r="AN17" s="1098">
        <f>RevBuild!BG92</f>
        <v>7.2000000000000008E-2</v>
      </c>
      <c r="AO17" s="1098">
        <f>RevBuild!BH92</f>
        <v>6.3269409233216778E-2</v>
      </c>
      <c r="AP17" s="1099">
        <f>RevBuild!BK92</f>
        <v>8.8999999999999996E-2</v>
      </c>
      <c r="AQ17" s="1098">
        <f>RevBuild!BL92</f>
        <v>5.6999999999999995E-2</v>
      </c>
      <c r="AR17" s="1098">
        <f>RevBuild!BM92</f>
        <v>6.8999999999999992E-2</v>
      </c>
      <c r="AS17" s="1098">
        <f>RevBuild!BN92</f>
        <v>2.9000000000000005E-2</v>
      </c>
      <c r="AT17" s="1099">
        <f>RevBuild!BQ92</f>
        <v>3.9E-2</v>
      </c>
      <c r="AU17" s="1098">
        <f>RevBuild!BR92</f>
        <v>0.06</v>
      </c>
      <c r="AV17" s="1098">
        <f>RevBuild!BS92</f>
        <v>0.06</v>
      </c>
      <c r="AW17" s="1098">
        <f>RevBuild!BT92</f>
        <v>0.08</v>
      </c>
      <c r="AX17" s="297"/>
      <c r="AY17" s="297"/>
      <c r="AZ17" s="297"/>
      <c r="BA17" s="297"/>
      <c r="BB17" s="297"/>
      <c r="BC17" s="297"/>
      <c r="BD17" s="297"/>
      <c r="BE17" s="297"/>
      <c r="BF17" s="297"/>
      <c r="BG17" s="297"/>
      <c r="BH17" s="297"/>
      <c r="BI17" s="297"/>
      <c r="BJ17" s="297"/>
      <c r="BK17" s="297"/>
      <c r="BL17" s="297"/>
      <c r="BM17" s="297"/>
      <c r="BN17" s="297"/>
      <c r="BO17" s="297"/>
      <c r="BP17" s="297"/>
      <c r="BQ17" s="297"/>
      <c r="BR17" s="297"/>
      <c r="BS17" s="297"/>
      <c r="BT17" s="297"/>
      <c r="BU17" s="297"/>
      <c r="BV17" s="297"/>
      <c r="BW17" s="297"/>
    </row>
    <row r="18" spans="1:75" s="1089" customFormat="1" x14ac:dyDescent="0.2">
      <c r="A18" s="1116" t="s">
        <v>459</v>
      </c>
      <c r="B18" s="1100" t="s">
        <v>151</v>
      </c>
      <c r="C18" s="300" t="s">
        <v>151</v>
      </c>
      <c r="D18" s="300" t="s">
        <v>151</v>
      </c>
      <c r="E18" s="300" t="s">
        <v>151</v>
      </c>
      <c r="F18" s="301" t="s">
        <v>151</v>
      </c>
      <c r="G18" s="300" t="s">
        <v>151</v>
      </c>
      <c r="H18" s="300" t="s">
        <v>151</v>
      </c>
      <c r="I18" s="300" t="s">
        <v>151</v>
      </c>
      <c r="J18" s="301" t="s">
        <v>151</v>
      </c>
      <c r="K18" s="300" t="s">
        <v>151</v>
      </c>
      <c r="L18" s="300" t="s">
        <v>151</v>
      </c>
      <c r="M18" s="300" t="s">
        <v>151</v>
      </c>
      <c r="N18" s="301" t="s">
        <v>151</v>
      </c>
      <c r="O18" s="300" t="s">
        <v>151</v>
      </c>
      <c r="P18" s="300" t="s">
        <v>151</v>
      </c>
      <c r="Q18" s="300" t="s">
        <v>151</v>
      </c>
      <c r="R18" s="301" t="s">
        <v>151</v>
      </c>
      <c r="S18" s="300" t="s">
        <v>151</v>
      </c>
      <c r="T18" s="300" t="s">
        <v>151</v>
      </c>
      <c r="U18" s="300" t="s">
        <v>151</v>
      </c>
      <c r="V18" s="301">
        <f>RevBuild!AG158</f>
        <v>3.6000000000000004E-2</v>
      </c>
      <c r="W18" s="300">
        <f>RevBuild!AH158</f>
        <v>6.6000000000000003E-2</v>
      </c>
      <c r="X18" s="300">
        <f>RevBuild!AI158</f>
        <v>3.5000000000000003E-2</v>
      </c>
      <c r="Y18" s="300">
        <f>RevBuild!AJ158</f>
        <v>6.9000000000000006E-2</v>
      </c>
      <c r="Z18" s="301">
        <f>RevBuild!AM158</f>
        <v>8.3000000000000004E-2</v>
      </c>
      <c r="AA18" s="300">
        <f>RevBuild!AN158</f>
        <v>6.2E-2</v>
      </c>
      <c r="AB18" s="300">
        <f>RevBuild!AO158</f>
        <v>3.0000000000000001E-3</v>
      </c>
      <c r="AC18" s="300">
        <f>RevBuild!AP158</f>
        <v>4.5999999999999999E-2</v>
      </c>
      <c r="AD18" s="301">
        <f>RevBuild!AS158</f>
        <v>0.02</v>
      </c>
      <c r="AE18" s="300">
        <f>RevBuild!AT158</f>
        <v>3.6999999999999998E-2</v>
      </c>
      <c r="AF18" s="300">
        <f>RevBuild!AU158</f>
        <v>0.08</v>
      </c>
      <c r="AG18" s="300">
        <f>RevBuild!AV158</f>
        <v>9.4E-2</v>
      </c>
      <c r="AH18" s="301">
        <f>RevBuild!AY158</f>
        <v>0.11600000000000001</v>
      </c>
      <c r="AI18" s="300">
        <f>RevBuild!AZ158</f>
        <v>9.8999999999999991E-2</v>
      </c>
      <c r="AJ18" s="300">
        <f>RevBuild!BA158</f>
        <v>0.13600000000000001</v>
      </c>
      <c r="AK18" s="300">
        <f>RevBuild!BB158</f>
        <v>0.13400000000000001</v>
      </c>
      <c r="AL18" s="301">
        <f>RevBuild!BE158</f>
        <v>0.215</v>
      </c>
      <c r="AM18" s="300">
        <f>RevBuild!BF158</f>
        <v>0.14499999999999999</v>
      </c>
      <c r="AN18" s="300">
        <f>RevBuild!BG158</f>
        <v>7.0999999999999994E-2</v>
      </c>
      <c r="AO18" s="300">
        <f>RevBuild!BH158</f>
        <v>4.3856272924753192E-2</v>
      </c>
      <c r="AP18" s="301">
        <f>RevBuild!BK158</f>
        <v>0.11484821516510335</v>
      </c>
      <c r="AQ18" s="300">
        <f>RevBuild!BL158</f>
        <v>6.0666173618521668E-2</v>
      </c>
      <c r="AR18" s="300">
        <f>RevBuild!BM158</f>
        <v>8.0544486186152398E-2</v>
      </c>
      <c r="AS18" s="300">
        <f>RevBuild!BN158</f>
        <v>8.3432987532826464E-2</v>
      </c>
      <c r="AT18" s="301">
        <f>RevBuild!BQ158</f>
        <v>2.8426328216054397E-2</v>
      </c>
      <c r="AU18" s="300">
        <f>RevBuild!BR158</f>
        <v>8.8761486594088224E-2</v>
      </c>
      <c r="AV18" s="300">
        <f>RevBuild!BS158</f>
        <v>5.8938214519927978E-2</v>
      </c>
      <c r="AW18" s="300">
        <f>RevBuild!BT158</f>
        <v>5.9396376310996812E-2</v>
      </c>
      <c r="AX18" s="1088"/>
      <c r="AY18" s="1088"/>
      <c r="AZ18" s="1088"/>
      <c r="BA18" s="1088"/>
      <c r="BB18" s="1088"/>
      <c r="BC18" s="1088"/>
      <c r="BD18" s="1088"/>
      <c r="BE18" s="1088"/>
      <c r="BF18" s="1088"/>
      <c r="BG18" s="1088"/>
      <c r="BH18" s="1088"/>
      <c r="BI18" s="1088"/>
      <c r="BJ18" s="1088"/>
      <c r="BK18" s="1088"/>
      <c r="BL18" s="1088"/>
      <c r="BM18" s="1088"/>
      <c r="BN18" s="1088"/>
      <c r="BO18" s="1088"/>
      <c r="BP18" s="1088"/>
      <c r="BQ18" s="1088"/>
      <c r="BR18" s="1088"/>
      <c r="BS18" s="1088"/>
      <c r="BT18" s="1088"/>
      <c r="BU18" s="1088"/>
      <c r="BV18" s="1088"/>
      <c r="BW18" s="1088"/>
    </row>
    <row r="19" spans="1:75" s="1102" customFormat="1" x14ac:dyDescent="0.2">
      <c r="A19" s="375" t="s">
        <v>303</v>
      </c>
      <c r="B19" s="1094">
        <f>RevBuild!C40</f>
        <v>-1.9000000000000003E-2</v>
      </c>
      <c r="C19" s="1083">
        <f>RevBuild!D40</f>
        <v>7.7000000000000013E-2</v>
      </c>
      <c r="D19" s="1083">
        <f>RevBuild!E40</f>
        <v>0.22500000000000001</v>
      </c>
      <c r="E19" s="1083">
        <f>RevBuild!F40</f>
        <v>-0.06</v>
      </c>
      <c r="F19" s="1082">
        <f>RevBuild!I40</f>
        <v>-4.3999999999999997E-2</v>
      </c>
      <c r="G19" s="1083">
        <f>RevBuild!J40</f>
        <v>-8.900000000000001E-2</v>
      </c>
      <c r="H19" s="1083">
        <f>RevBuild!K40</f>
        <v>-4.2000000000000003E-2</v>
      </c>
      <c r="I19" s="1083">
        <f>RevBuild!L40</f>
        <v>-0.13500000000000001</v>
      </c>
      <c r="J19" s="1082">
        <f>RevBuild!O40</f>
        <v>-2.4E-2</v>
      </c>
      <c r="K19" s="1083">
        <f>RevBuild!P40</f>
        <v>6.7000000000000004E-2</v>
      </c>
      <c r="L19" s="1083">
        <f>RevBuild!Q40</f>
        <v>-4.1999999999999996E-2</v>
      </c>
      <c r="M19" s="1083">
        <f>RevBuild!R40</f>
        <v>4.2999999999999997E-2</v>
      </c>
      <c r="N19" s="1082">
        <f>RevBuild!U40</f>
        <v>2.4E-2</v>
      </c>
      <c r="O19" s="1083">
        <f>RevBuild!V40</f>
        <v>-4.1999999999999996E-2</v>
      </c>
      <c r="P19" s="1083">
        <f>RevBuild!W40</f>
        <v>8.8999999999999996E-2</v>
      </c>
      <c r="Q19" s="1083">
        <f>RevBuild!X40</f>
        <v>8.0000000000000002E-3</v>
      </c>
      <c r="R19" s="1082">
        <f>RevBuild!AA40</f>
        <v>9.9000000000000005E-2</v>
      </c>
      <c r="S19" s="1083">
        <f>RevBuild!AB40</f>
        <v>3.7999999999999992E-2</v>
      </c>
      <c r="T19" s="1083">
        <f>RevBuild!AC40</f>
        <v>1.7999999999999999E-2</v>
      </c>
      <c r="U19" s="1083">
        <f>RevBuild!AD40</f>
        <v>7.1999999999999995E-2</v>
      </c>
      <c r="V19" s="1082">
        <f>RevBuild!AG40</f>
        <v>3.4000000000000002E-2</v>
      </c>
      <c r="W19" s="1083">
        <f>RevBuild!AH40</f>
        <v>7.1999999999999995E-2</v>
      </c>
      <c r="X19" s="1083">
        <f>RevBuild!AI40</f>
        <v>3.7999999999999999E-2</v>
      </c>
      <c r="Y19" s="1083">
        <f>RevBuild!AJ40</f>
        <v>7.2000000000000008E-2</v>
      </c>
      <c r="Z19" s="1082">
        <f>RevBuild!AM40</f>
        <v>0.09</v>
      </c>
      <c r="AA19" s="1083">
        <f>RevBuild!AN40</f>
        <v>6.2E-2</v>
      </c>
      <c r="AB19" s="1083">
        <f>RevBuild!AO40</f>
        <v>5.0000000000000001E-3</v>
      </c>
      <c r="AC19" s="1083">
        <f>RevBuild!AP40</f>
        <v>5.1999999999999998E-2</v>
      </c>
      <c r="AD19" s="1082">
        <f>RevBuild!AS40</f>
        <v>0.02</v>
      </c>
      <c r="AE19" s="1083">
        <f>RevBuild!AT40</f>
        <v>3.9E-2</v>
      </c>
      <c r="AF19" s="1083">
        <f>RevBuild!AU40</f>
        <v>0.08</v>
      </c>
      <c r="AG19" s="1083">
        <f>RevBuild!AV40</f>
        <v>9.5000000000000001E-2</v>
      </c>
      <c r="AH19" s="1082">
        <f>RevBuild!AY40</f>
        <v>0.12200000000000001</v>
      </c>
      <c r="AI19" s="1083">
        <f>RevBuild!AZ40</f>
        <v>0.104</v>
      </c>
      <c r="AJ19" s="1083">
        <f>RevBuild!BA40</f>
        <v>0.14100000000000001</v>
      </c>
      <c r="AK19" s="1083">
        <f>RevBuild!BB40</f>
        <v>0.14000000000000001</v>
      </c>
      <c r="AL19" s="1082">
        <f>RevBuild!BE40</f>
        <v>0.223</v>
      </c>
      <c r="AM19" s="1083">
        <f>RevBuild!BF40</f>
        <v>0.14899999999999999</v>
      </c>
      <c r="AN19" s="1083">
        <f>RevBuild!BG40</f>
        <v>7.3999999999999996E-2</v>
      </c>
      <c r="AO19" s="1083">
        <f>RevBuild!BH40</f>
        <v>4.4999999999999998E-2</v>
      </c>
      <c r="AP19" s="1082">
        <f>RevBuild!BK40</f>
        <v>0.11700000000000001</v>
      </c>
      <c r="AQ19" s="1083">
        <f>RevBuild!BL40</f>
        <v>6.3E-2</v>
      </c>
      <c r="AR19" s="1083">
        <f>RevBuild!BM40</f>
        <v>8.1500000000000003E-2</v>
      </c>
      <c r="AS19" s="1083">
        <f>RevBuild!BN40</f>
        <v>8.6999999999999994E-2</v>
      </c>
      <c r="AT19" s="1082">
        <f>RevBuild!BQ40</f>
        <v>0.03</v>
      </c>
      <c r="AU19" s="1083">
        <f>RevBuild!BR40</f>
        <v>0.09</v>
      </c>
      <c r="AV19" s="1083">
        <f>RevBuild!BS40</f>
        <v>0.06</v>
      </c>
      <c r="AW19" s="1083">
        <f>RevBuild!BT40</f>
        <v>0.06</v>
      </c>
      <c r="AX19" s="1101"/>
      <c r="AY19" s="1101"/>
      <c r="AZ19" s="1101"/>
      <c r="BA19" s="1101"/>
      <c r="BB19" s="1101"/>
      <c r="BC19" s="1101"/>
      <c r="BD19" s="1101"/>
      <c r="BE19" s="1101"/>
      <c r="BF19" s="1101"/>
      <c r="BG19" s="1101"/>
      <c r="BH19" s="1101"/>
      <c r="BI19" s="1101"/>
      <c r="BJ19" s="1101"/>
      <c r="BK19" s="1101"/>
      <c r="BL19" s="1101"/>
      <c r="BM19" s="1101"/>
      <c r="BN19" s="1101"/>
      <c r="BO19" s="1101"/>
      <c r="BP19" s="1101"/>
      <c r="BQ19" s="1101"/>
      <c r="BR19" s="1101"/>
      <c r="BS19" s="1101"/>
      <c r="BT19" s="1101"/>
      <c r="BU19" s="1101"/>
      <c r="BV19" s="1101"/>
      <c r="BW19" s="1101"/>
    </row>
    <row r="20" spans="1:75" s="1102" customFormat="1" x14ac:dyDescent="0.2">
      <c r="A20" s="375" t="s">
        <v>310</v>
      </c>
      <c r="B20" s="1094"/>
      <c r="C20" s="1083"/>
      <c r="D20" s="1083"/>
      <c r="E20" s="1083"/>
      <c r="F20" s="1082"/>
      <c r="G20" s="1083"/>
      <c r="H20" s="1083"/>
      <c r="I20" s="1083"/>
      <c r="J20" s="1082"/>
      <c r="K20" s="1083"/>
      <c r="L20" s="1083"/>
      <c r="M20" s="1083"/>
      <c r="N20" s="1082"/>
      <c r="O20" s="1083"/>
      <c r="P20" s="1083"/>
      <c r="Q20" s="1083"/>
      <c r="R20" s="1082"/>
      <c r="S20" s="1083"/>
      <c r="T20" s="1083"/>
      <c r="U20" s="1083"/>
      <c r="V20" s="1082">
        <f>RevBuild!AG99</f>
        <v>7.3999999999999996E-2</v>
      </c>
      <c r="W20" s="1083">
        <f>RevBuild!AH99</f>
        <v>-2.1999999999999999E-2</v>
      </c>
      <c r="X20" s="1083">
        <f>RevBuild!AI99</f>
        <v>-2.1000000000000001E-2</v>
      </c>
      <c r="Y20" s="1083">
        <f>RevBuild!AJ99</f>
        <v>2.8999999999999998E-2</v>
      </c>
      <c r="Z20" s="1082">
        <f>RevBuild!AM99</f>
        <v>-3.3000000000000002E-2</v>
      </c>
      <c r="AA20" s="1083">
        <f>RevBuild!AN99</f>
        <v>5.6000000000000001E-2</v>
      </c>
      <c r="AB20" s="1083">
        <f>RevBuild!AO99</f>
        <v>-5.8000000000000003E-2</v>
      </c>
      <c r="AC20" s="1083">
        <f>RevBuild!AP99</f>
        <v>-6.5000000000000002E-2</v>
      </c>
      <c r="AD20" s="1082">
        <f>RevBuild!AS99</f>
        <v>8.9999999999999993E-3</v>
      </c>
      <c r="AE20" s="1083">
        <f>RevBuild!AT99</f>
        <v>-1.4E-2</v>
      </c>
      <c r="AF20" s="1083">
        <f>RevBuild!AU99</f>
        <v>8.1000000000000003E-2</v>
      </c>
      <c r="AG20" s="1083">
        <f>RevBuild!AV99</f>
        <v>8.4000000000000005E-2</v>
      </c>
      <c r="AH20" s="1082">
        <f>RevBuild!AY99</f>
        <v>1.4999999999999999E-2</v>
      </c>
      <c r="AI20" s="1083">
        <f>RevBuild!AZ99</f>
        <v>1.2999999999999999E-2</v>
      </c>
      <c r="AJ20" s="1083">
        <f>RevBuild!BA99</f>
        <v>1.2999999999999999E-2</v>
      </c>
      <c r="AK20" s="1083">
        <f>RevBuild!BB99</f>
        <v>-3.0000000000000001E-3</v>
      </c>
      <c r="AL20" s="1082">
        <f>RevBuild!BE99</f>
        <v>0.02</v>
      </c>
      <c r="AM20" s="1083">
        <f>RevBuild!BF99</f>
        <v>2.4E-2</v>
      </c>
      <c r="AN20" s="1083">
        <f>RevBuild!BG99</f>
        <v>-8.9999999999999993E-3</v>
      </c>
      <c r="AO20" s="1083">
        <f>RevBuild!BH99</f>
        <v>8.8696909645975611E-3</v>
      </c>
      <c r="AP20" s="1082">
        <f>RevBuild!BK99</f>
        <v>5.5E-2</v>
      </c>
      <c r="AQ20" s="1083">
        <f>RevBuild!BL99</f>
        <v>-5.0000000000000001E-3</v>
      </c>
      <c r="AR20" s="1083">
        <f>RevBuild!BM99</f>
        <v>4.4999999999999998E-2</v>
      </c>
      <c r="AS20" s="1083">
        <f>RevBuild!BN99</f>
        <v>-2.9000000000000005E-2</v>
      </c>
      <c r="AT20" s="1082">
        <f>RevBuild!BQ99</f>
        <v>-0.02</v>
      </c>
      <c r="AU20" s="1083">
        <f>RevBuild!BR99</f>
        <v>0.05</v>
      </c>
      <c r="AV20" s="1083">
        <f>RevBuild!BS99</f>
        <v>0.02</v>
      </c>
      <c r="AW20" s="1083">
        <f>RevBuild!BT99</f>
        <v>0.04</v>
      </c>
      <c r="AX20" s="1101"/>
      <c r="AY20" s="1101"/>
      <c r="AZ20" s="1101"/>
      <c r="BA20" s="1101"/>
      <c r="BB20" s="1101"/>
      <c r="BC20" s="1101"/>
      <c r="BD20" s="1101"/>
      <c r="BE20" s="1101"/>
      <c r="BF20" s="1101"/>
      <c r="BG20" s="1101"/>
      <c r="BH20" s="1101"/>
      <c r="BI20" s="1101"/>
      <c r="BJ20" s="1101"/>
      <c r="BK20" s="1101"/>
      <c r="BL20" s="1101"/>
      <c r="BM20" s="1101"/>
      <c r="BN20" s="1101"/>
      <c r="BO20" s="1101"/>
      <c r="BP20" s="1101"/>
      <c r="BQ20" s="1101"/>
      <c r="BR20" s="1101"/>
      <c r="BS20" s="1101"/>
      <c r="BT20" s="1101"/>
      <c r="BU20" s="1101"/>
      <c r="BV20" s="1101"/>
      <c r="BW20" s="1101"/>
    </row>
    <row r="21" spans="1:75" s="1089" customFormat="1" x14ac:dyDescent="0.2">
      <c r="A21" s="338" t="s">
        <v>565</v>
      </c>
      <c r="B21" s="1079">
        <f>RevBuild!C172</f>
        <v>0.17699999999999999</v>
      </c>
      <c r="C21" s="1080">
        <f>RevBuild!D172</f>
        <v>0.255</v>
      </c>
      <c r="D21" s="1080">
        <f>RevBuild!E172</f>
        <v>0.15499999999999997</v>
      </c>
      <c r="E21" s="1080">
        <f>RevBuild!F172</f>
        <v>0.15500000000000003</v>
      </c>
      <c r="F21" s="1081">
        <f>RevBuild!I172</f>
        <v>0.10199999999999998</v>
      </c>
      <c r="G21" s="1080">
        <f>RevBuild!J172</f>
        <v>1.799999999999996E-2</v>
      </c>
      <c r="H21" s="1080">
        <f>RevBuild!K172</f>
        <v>0.11299999999999999</v>
      </c>
      <c r="I21" s="1080">
        <f>RevBuild!L172</f>
        <v>0.109</v>
      </c>
      <c r="J21" s="1081">
        <f>RevBuild!O172</f>
        <v>8.7999999999999995E-2</v>
      </c>
      <c r="K21" s="1080">
        <f>RevBuild!P172</f>
        <v>7.2999999999999995E-2</v>
      </c>
      <c r="L21" s="1080">
        <f>RevBuild!Q172</f>
        <v>4.5999999999999999E-2</v>
      </c>
      <c r="M21" s="1080">
        <f>RevBuild!R172</f>
        <v>6.4000000000000001E-2</v>
      </c>
      <c r="N21" s="1081">
        <f>RevBuild!U172</f>
        <v>4.5999999999999999E-2</v>
      </c>
      <c r="O21" s="1080">
        <f>RevBuild!V172</f>
        <v>8.0000000000000016E-2</v>
      </c>
      <c r="P21" s="1080">
        <f>RevBuild!W172</f>
        <v>0.10699999999999998</v>
      </c>
      <c r="Q21" s="1080">
        <f>RevBuild!X172</f>
        <v>0.17499999999999999</v>
      </c>
      <c r="R21" s="1081">
        <f>RevBuild!AA172</f>
        <v>0.13800000000000001</v>
      </c>
      <c r="S21" s="1080">
        <f>RevBuild!AB172</f>
        <v>0.126</v>
      </c>
      <c r="T21" s="1080">
        <f>RevBuild!AC172</f>
        <v>0.11299999999999999</v>
      </c>
      <c r="U21" s="1080">
        <f>RevBuild!AD172</f>
        <v>2.4000000000000021E-2</v>
      </c>
      <c r="V21" s="1081">
        <f>RevBuild!AG172</f>
        <v>0.09</v>
      </c>
      <c r="W21" s="1080">
        <f>RevBuild!AH172</f>
        <v>8.5999999999999993E-2</v>
      </c>
      <c r="X21" s="1080">
        <f>RevBuild!AI172</f>
        <v>0.11199999999999999</v>
      </c>
      <c r="Y21" s="1080">
        <f>RevBuild!AJ172</f>
        <v>0.13500000000000001</v>
      </c>
      <c r="Z21" s="1081">
        <f>RevBuild!AM172</f>
        <v>0.11700000000000001</v>
      </c>
      <c r="AA21" s="1080">
        <f>RevBuild!AN172</f>
        <v>9.6000000000000002E-2</v>
      </c>
      <c r="AB21" s="1080">
        <f>RevBuild!AO172</f>
        <v>8.4999999999999992E-2</v>
      </c>
      <c r="AC21" s="1080">
        <f>RevBuild!AP172</f>
        <v>8.5999999999999993E-2</v>
      </c>
      <c r="AD21" s="1081">
        <f>RevBuild!AS172</f>
        <v>6.1999999999999993E-2</v>
      </c>
      <c r="AE21" s="1080">
        <f>RevBuild!AT172</f>
        <v>9.2999999999999999E-2</v>
      </c>
      <c r="AF21" s="1080">
        <f>RevBuild!AU172</f>
        <v>6.5000000000000002E-2</v>
      </c>
      <c r="AG21" s="1080">
        <f>RevBuild!AV172</f>
        <v>1.4999999999999996E-2</v>
      </c>
      <c r="AH21" s="1081">
        <f>RevBuild!AY172</f>
        <v>7.9000000000000001E-2</v>
      </c>
      <c r="AI21" s="1080">
        <f>RevBuild!AZ172</f>
        <v>2.9000000000000001E-2</v>
      </c>
      <c r="AJ21" s="1080">
        <f>RevBuild!BA172</f>
        <v>5.2000000000000005E-2</v>
      </c>
      <c r="AK21" s="1080">
        <f>RevBuild!BB172</f>
        <v>0.04</v>
      </c>
      <c r="AL21" s="1081">
        <f>RevBuild!BE172</f>
        <v>7.5000000000000011E-2</v>
      </c>
      <c r="AM21" s="1080">
        <f>RevBuild!BF172</f>
        <v>8.0999999999999989E-2</v>
      </c>
      <c r="AN21" s="1080">
        <f>RevBuild!BG172</f>
        <v>7.5999999999999998E-2</v>
      </c>
      <c r="AO21" s="1080">
        <f>RevBuild!BH172</f>
        <v>8.5001566846800797E-2</v>
      </c>
      <c r="AP21" s="1081">
        <f>RevBuild!BK172</f>
        <v>5.5226592165581234E-2</v>
      </c>
      <c r="AQ21" s="1080">
        <f>RevBuild!BL172</f>
        <v>2.1999999999999999E-2</v>
      </c>
      <c r="AR21" s="1080">
        <f>RevBuild!BM172</f>
        <v>0.03</v>
      </c>
      <c r="AS21" s="1080">
        <f>RevBuild!BN172</f>
        <v>3.2436989316296343E-2</v>
      </c>
      <c r="AT21" s="1081">
        <f>RevBuild!BQ172</f>
        <v>6.1076449771150898E-2</v>
      </c>
      <c r="AU21" s="1080">
        <f>RevBuild!BR172</f>
        <v>9.3288400762901347E-2</v>
      </c>
      <c r="AV21" s="1080">
        <f>RevBuild!BS172</f>
        <v>8.1586981249770707E-2</v>
      </c>
      <c r="AW21" s="1080">
        <f>RevBuild!BT172</f>
        <v>7.9072876578439866E-2</v>
      </c>
      <c r="AX21" s="1088"/>
      <c r="AY21" s="1088"/>
      <c r="AZ21" s="1088"/>
      <c r="BA21" s="1088"/>
      <c r="BB21" s="1088"/>
      <c r="BC21" s="1088"/>
      <c r="BD21" s="1088"/>
      <c r="BE21" s="1088"/>
      <c r="BF21" s="1088"/>
      <c r="BG21" s="1088"/>
      <c r="BH21" s="1088"/>
      <c r="BI21" s="1088"/>
      <c r="BJ21" s="1088"/>
      <c r="BK21" s="1088"/>
      <c r="BL21" s="1088"/>
      <c r="BM21" s="1088"/>
      <c r="BN21" s="1088"/>
      <c r="BO21" s="1088"/>
      <c r="BP21" s="1088"/>
      <c r="BQ21" s="1088"/>
      <c r="BR21" s="1088"/>
      <c r="BS21" s="1088"/>
      <c r="BT21" s="1088"/>
      <c r="BU21" s="1088"/>
      <c r="BV21" s="1088"/>
      <c r="BW21" s="1088"/>
    </row>
    <row r="22" spans="1:75" s="1102" customFormat="1" x14ac:dyDescent="0.2">
      <c r="A22" s="1090" t="s">
        <v>303</v>
      </c>
      <c r="B22" s="1097" t="s">
        <v>151</v>
      </c>
      <c r="C22" s="1098" t="s">
        <v>151</v>
      </c>
      <c r="D22" s="1098" t="s">
        <v>151</v>
      </c>
      <c r="E22" s="1098" t="s">
        <v>151</v>
      </c>
      <c r="F22" s="1099" t="s">
        <v>151</v>
      </c>
      <c r="G22" s="1098" t="s">
        <v>151</v>
      </c>
      <c r="H22" s="1098" t="s">
        <v>151</v>
      </c>
      <c r="I22" s="1098" t="s">
        <v>151</v>
      </c>
      <c r="J22" s="1099" t="s">
        <v>151</v>
      </c>
      <c r="K22" s="1098" t="s">
        <v>151</v>
      </c>
      <c r="L22" s="1098" t="s">
        <v>151</v>
      </c>
      <c r="M22" s="1098" t="s">
        <v>151</v>
      </c>
      <c r="N22" s="1099" t="s">
        <v>151</v>
      </c>
      <c r="O22" s="1098" t="s">
        <v>151</v>
      </c>
      <c r="P22" s="1098" t="s">
        <v>151</v>
      </c>
      <c r="Q22" s="1098" t="s">
        <v>151</v>
      </c>
      <c r="R22" s="1099" t="s">
        <v>151</v>
      </c>
      <c r="S22" s="1098" t="s">
        <v>151</v>
      </c>
      <c r="T22" s="1098" t="s">
        <v>151</v>
      </c>
      <c r="U22" s="1098" t="s">
        <v>151</v>
      </c>
      <c r="V22" s="1099">
        <f>RevBuild!AG54</f>
        <v>9.8999999999999991E-2</v>
      </c>
      <c r="W22" s="1098">
        <f>RevBuild!AH54</f>
        <v>0.09</v>
      </c>
      <c r="X22" s="1098">
        <f>RevBuild!AI54</f>
        <v>0.12299999999999998</v>
      </c>
      <c r="Y22" s="1098">
        <f>RevBuild!AJ54</f>
        <v>0.157</v>
      </c>
      <c r="Z22" s="1099">
        <f>RevBuild!AM54</f>
        <v>0.11399999999999999</v>
      </c>
      <c r="AA22" s="1098">
        <f>RevBuild!AN54</f>
        <v>8.0999999999999989E-2</v>
      </c>
      <c r="AB22" s="1098">
        <f>RevBuild!AO54</f>
        <v>7.3000000000000009E-2</v>
      </c>
      <c r="AC22" s="1098">
        <f>RevBuild!AP54</f>
        <v>6.699999999999999E-2</v>
      </c>
      <c r="AD22" s="1099">
        <f>RevBuild!AS54</f>
        <v>4.7999999999999994E-2</v>
      </c>
      <c r="AE22" s="1098">
        <f>RevBuild!AT54</f>
        <v>8.5000000000000006E-2</v>
      </c>
      <c r="AF22" s="1098">
        <f>RevBuild!AU54</f>
        <v>5.3999999999999999E-2</v>
      </c>
      <c r="AG22" s="1098">
        <f>RevBuild!AV54</f>
        <v>-7.0000000000000001E-3</v>
      </c>
      <c r="AH22" s="1099">
        <f>RevBuild!AY54</f>
        <v>5.8999999999999997E-2</v>
      </c>
      <c r="AI22" s="1098">
        <f>RevBuild!AZ54</f>
        <v>2.5999999999999999E-2</v>
      </c>
      <c r="AJ22" s="1098">
        <f>RevBuild!BA54</f>
        <v>4.4999999999999998E-2</v>
      </c>
      <c r="AK22" s="1098">
        <f>RevBuild!BB54</f>
        <v>4.2000000000000003E-2</v>
      </c>
      <c r="AL22" s="1099">
        <f>RevBuild!BE54</f>
        <v>7.9999999999999988E-2</v>
      </c>
      <c r="AM22" s="1098">
        <f>RevBuild!BF54</f>
        <v>8.4999999999999992E-2</v>
      </c>
      <c r="AN22" s="1098">
        <f>RevBuild!BG54</f>
        <v>6.9999999999999993E-2</v>
      </c>
      <c r="AO22" s="1098">
        <f>RevBuild!BH54</f>
        <v>7.3999999999999982E-2</v>
      </c>
      <c r="AP22" s="1099">
        <f>RevBuild!BK54</f>
        <v>3.4000000000000002E-2</v>
      </c>
      <c r="AQ22" s="1098">
        <f>RevBuild!BL54</f>
        <v>3.0000000000000001E-3</v>
      </c>
      <c r="AR22" s="1098">
        <f>RevBuild!BM54</f>
        <v>0.02</v>
      </c>
      <c r="AS22" s="1098">
        <f>RevBuild!BN54</f>
        <v>1.7999999999999999E-2</v>
      </c>
      <c r="AT22" s="1099">
        <f>RevBuild!BQ54</f>
        <v>5.5963415044973222E-2</v>
      </c>
      <c r="AU22" s="1098">
        <f>RevBuild!BR54</f>
        <v>8.572763921499138E-2</v>
      </c>
      <c r="AV22" s="1098">
        <f>RevBuild!BS54</f>
        <v>6.4702106118089464E-2</v>
      </c>
      <c r="AW22" s="1098">
        <f>RevBuild!BT54</f>
        <v>6.4951946052142551E-2</v>
      </c>
      <c r="AX22" s="1101"/>
      <c r="AY22" s="1101"/>
      <c r="AZ22" s="1101"/>
      <c r="BA22" s="1101"/>
      <c r="BB22" s="1101"/>
      <c r="BC22" s="1101"/>
      <c r="BD22" s="1101"/>
      <c r="BE22" s="1101"/>
      <c r="BF22" s="1101"/>
      <c r="BG22" s="1101"/>
      <c r="BH22" s="1101"/>
      <c r="BI22" s="1101"/>
      <c r="BJ22" s="1101"/>
      <c r="BK22" s="1101"/>
      <c r="BL22" s="1101"/>
      <c r="BM22" s="1101"/>
      <c r="BN22" s="1101"/>
      <c r="BO22" s="1101"/>
      <c r="BP22" s="1101"/>
      <c r="BQ22" s="1101"/>
      <c r="BR22" s="1101"/>
      <c r="BS22" s="1101"/>
      <c r="BT22" s="1101"/>
      <c r="BU22" s="1101"/>
      <c r="BV22" s="1101"/>
      <c r="BW22" s="1101"/>
    </row>
    <row r="23" spans="1:75" s="1102" customFormat="1" x14ac:dyDescent="0.2">
      <c r="A23" s="1090" t="s">
        <v>310</v>
      </c>
      <c r="B23" s="1097" t="s">
        <v>151</v>
      </c>
      <c r="C23" s="1098" t="s">
        <v>151</v>
      </c>
      <c r="D23" s="1098" t="s">
        <v>151</v>
      </c>
      <c r="E23" s="1098" t="s">
        <v>151</v>
      </c>
      <c r="F23" s="1099" t="s">
        <v>151</v>
      </c>
      <c r="G23" s="1098" t="s">
        <v>151</v>
      </c>
      <c r="H23" s="1098" t="s">
        <v>151</v>
      </c>
      <c r="I23" s="1098" t="s">
        <v>151</v>
      </c>
      <c r="J23" s="1099" t="s">
        <v>151</v>
      </c>
      <c r="K23" s="1098" t="s">
        <v>151</v>
      </c>
      <c r="L23" s="1098" t="s">
        <v>151</v>
      </c>
      <c r="M23" s="1098" t="s">
        <v>151</v>
      </c>
      <c r="N23" s="1099" t="s">
        <v>151</v>
      </c>
      <c r="O23" s="1098" t="s">
        <v>151</v>
      </c>
      <c r="P23" s="1098" t="s">
        <v>151</v>
      </c>
      <c r="Q23" s="1098" t="s">
        <v>151</v>
      </c>
      <c r="R23" s="1099" t="s">
        <v>151</v>
      </c>
      <c r="S23" s="1098" t="s">
        <v>151</v>
      </c>
      <c r="T23" s="1098" t="s">
        <v>151</v>
      </c>
      <c r="U23" s="1098" t="s">
        <v>151</v>
      </c>
      <c r="V23" s="1099">
        <f>RevBuild!AG113</f>
        <v>0.04</v>
      </c>
      <c r="W23" s="1098">
        <f>RevBuild!AH113</f>
        <v>6.2E-2</v>
      </c>
      <c r="X23" s="1098">
        <f>RevBuild!AI113</f>
        <v>4.7000000000000014E-2</v>
      </c>
      <c r="Y23" s="1098">
        <f>RevBuild!AJ113</f>
        <v>-1.0000000000000009E-2</v>
      </c>
      <c r="Z23" s="1099">
        <f>RevBuild!AM113</f>
        <v>0.14299999999999999</v>
      </c>
      <c r="AA23" s="1098">
        <f>RevBuild!AN113</f>
        <v>0.184</v>
      </c>
      <c r="AB23" s="1098">
        <f>RevBuild!AO113</f>
        <v>0.16200000000000001</v>
      </c>
      <c r="AC23" s="1098">
        <f>RevBuild!AP113</f>
        <v>0.215</v>
      </c>
      <c r="AD23" s="1099">
        <f>RevBuild!AS113</f>
        <v>0.14199999999999999</v>
      </c>
      <c r="AE23" s="1098">
        <f>RevBuild!AT113</f>
        <v>0.14399999999999996</v>
      </c>
      <c r="AF23" s="1098">
        <f>RevBuild!AU113</f>
        <v>0.13399999999999998</v>
      </c>
      <c r="AG23" s="1098">
        <f>RevBuild!AV113</f>
        <v>0.15</v>
      </c>
      <c r="AH23" s="1099">
        <f>RevBuild!AY113</f>
        <v>0.17299999999999999</v>
      </c>
      <c r="AI23" s="1098">
        <f>RevBuild!AZ113</f>
        <v>3.9E-2</v>
      </c>
      <c r="AJ23" s="1098">
        <f>RevBuild!BA113</f>
        <v>8.4000000000000005E-2</v>
      </c>
      <c r="AK23" s="1098">
        <f>RevBuild!BB113</f>
        <v>2.7E-2</v>
      </c>
      <c r="AL23" s="1099">
        <f>RevBuild!BE113</f>
        <v>5.1000000000000004E-2</v>
      </c>
      <c r="AM23" s="1098">
        <f>RevBuild!BF113</f>
        <v>6.3999999999999987E-2</v>
      </c>
      <c r="AN23" s="1098">
        <f>RevBuild!BG113</f>
        <v>0.108</v>
      </c>
      <c r="AO23" s="1098">
        <f>RevBuild!BH113</f>
        <v>0.13875164451604249</v>
      </c>
      <c r="AP23" s="1099">
        <f>RevBuild!BK113</f>
        <v>0.17199999999999999</v>
      </c>
      <c r="AQ23" s="1098">
        <f>RevBuild!BL113</f>
        <v>0.124</v>
      </c>
      <c r="AR23" s="1098">
        <f>RevBuild!BM113</f>
        <v>8.7000000000000008E-2</v>
      </c>
      <c r="AS23" s="1098">
        <f>RevBuild!BN113</f>
        <v>0.11399999999999999</v>
      </c>
      <c r="AT23" s="1099">
        <f>RevBuild!BQ113</f>
        <v>8.7999999999999995E-2</v>
      </c>
      <c r="AU23" s="1098">
        <f>RevBuild!BR113</f>
        <v>0.1307137766569815</v>
      </c>
      <c r="AV23" s="1098">
        <f>RevBuild!BS113</f>
        <v>0.16091526841252418</v>
      </c>
      <c r="AW23" s="1098">
        <f>RevBuild!BT113</f>
        <v>0.14417115441104475</v>
      </c>
      <c r="AX23" s="1101"/>
      <c r="AY23" s="1101"/>
      <c r="AZ23" s="1101"/>
      <c r="BA23" s="1101"/>
      <c r="BB23" s="1101"/>
      <c r="BC23" s="1101"/>
      <c r="BD23" s="1101"/>
      <c r="BE23" s="1101"/>
      <c r="BF23" s="1101"/>
      <c r="BG23" s="1101"/>
      <c r="BH23" s="1101"/>
      <c r="BI23" s="1101"/>
      <c r="BJ23" s="1101"/>
      <c r="BK23" s="1101"/>
      <c r="BL23" s="1101"/>
      <c r="BM23" s="1101"/>
      <c r="BN23" s="1101"/>
      <c r="BO23" s="1101"/>
      <c r="BP23" s="1101"/>
      <c r="BQ23" s="1101"/>
      <c r="BR23" s="1101"/>
      <c r="BS23" s="1101"/>
      <c r="BT23" s="1101"/>
      <c r="BU23" s="1101"/>
      <c r="BV23" s="1101"/>
      <c r="BW23" s="1101"/>
    </row>
    <row r="24" spans="1:75" x14ac:dyDescent="0.2">
      <c r="A24" s="304" t="s">
        <v>564</v>
      </c>
      <c r="B24" s="742">
        <f>RevBuild!C179</f>
        <v>4.1999999999999996E-2</v>
      </c>
      <c r="C24" s="305">
        <f>RevBuild!D179</f>
        <v>8.3000000000000018E-2</v>
      </c>
      <c r="D24" s="305">
        <f>RevBuild!E179</f>
        <v>0.13</v>
      </c>
      <c r="E24" s="305">
        <f>RevBuild!F179</f>
        <v>3.7999999999999992E-2</v>
      </c>
      <c r="F24" s="306">
        <f>RevBuild!I179</f>
        <v>0.03</v>
      </c>
      <c r="G24" s="305">
        <f>RevBuild!J179</f>
        <v>4.0000000000000008E-2</v>
      </c>
      <c r="H24" s="305">
        <f>RevBuild!K179</f>
        <v>2.1999999999999999E-2</v>
      </c>
      <c r="I24" s="305">
        <f>RevBuild!L179</f>
        <v>-0.03</v>
      </c>
      <c r="J24" s="306">
        <f>RevBuild!O179</f>
        <v>4.9999999999999975E-3</v>
      </c>
      <c r="K24" s="305">
        <f>RevBuild!P179</f>
        <v>6.9999999999999993E-3</v>
      </c>
      <c r="L24" s="305">
        <f>RevBuild!Q179</f>
        <v>-5.9999999999999984E-3</v>
      </c>
      <c r="M24" s="305">
        <f>RevBuild!R179</f>
        <v>0.03</v>
      </c>
      <c r="N24" s="306">
        <f>RevBuild!U179</f>
        <v>3.1999999999999987E-2</v>
      </c>
      <c r="O24" s="305">
        <f>RevBuild!V179</f>
        <v>2.0999999999999991E-2</v>
      </c>
      <c r="P24" s="305">
        <f>RevBuild!W179</f>
        <v>3.7000000000000005E-2</v>
      </c>
      <c r="Q24" s="305">
        <f>RevBuild!X179</f>
        <v>3.2999999999999988E-2</v>
      </c>
      <c r="R24" s="306">
        <f>RevBuild!AA179</f>
        <v>3.8000000000000006E-2</v>
      </c>
      <c r="S24" s="305">
        <f>RevBuild!AB179</f>
        <v>5.6000000000000008E-2</v>
      </c>
      <c r="T24" s="305">
        <f>RevBuild!AC179</f>
        <v>3.2999999999999995E-2</v>
      </c>
      <c r="U24" s="305">
        <f>RevBuild!AD179</f>
        <v>5.2999999999999992E-2</v>
      </c>
      <c r="V24" s="306">
        <f>RevBuild!AG179</f>
        <v>7.8E-2</v>
      </c>
      <c r="W24" s="305">
        <f>RevBuild!AH179</f>
        <v>4.5999999999999999E-2</v>
      </c>
      <c r="X24" s="305">
        <f>RevBuild!AI179</f>
        <v>4.3999999999999997E-2</v>
      </c>
      <c r="Y24" s="305">
        <f>RevBuild!AJ179</f>
        <v>0.06</v>
      </c>
      <c r="Z24" s="306">
        <f>RevBuild!AM179</f>
        <v>3.3000000000000002E-2</v>
      </c>
      <c r="AA24" s="305">
        <f>RevBuild!AN179</f>
        <v>3.9999999999999994E-2</v>
      </c>
      <c r="AB24" s="305">
        <f>RevBuild!AO179</f>
        <v>3.4000000000000002E-2</v>
      </c>
      <c r="AC24" s="305">
        <f>RevBuild!AP179</f>
        <v>3.6999999999999998E-2</v>
      </c>
      <c r="AD24" s="306">
        <f>RevBuild!AS179</f>
        <v>2.9000000000000001E-2</v>
      </c>
      <c r="AE24" s="305">
        <f>RevBuild!AT179</f>
        <v>4.3000000000000003E-2</v>
      </c>
      <c r="AF24" s="305">
        <f>RevBuild!AU179</f>
        <v>6.4000000000000001E-2</v>
      </c>
      <c r="AG24" s="305">
        <f>RevBuild!AV179</f>
        <v>4.9000000000000002E-2</v>
      </c>
      <c r="AH24" s="306">
        <f>RevBuild!AY179</f>
        <v>4.8000000000000001E-2</v>
      </c>
      <c r="AI24" s="305">
        <f>RevBuild!AZ179</f>
        <v>3.9E-2</v>
      </c>
      <c r="AJ24" s="305">
        <f>RevBuild!BA179</f>
        <v>4.8000000000000001E-2</v>
      </c>
      <c r="AK24" s="305">
        <f>RevBuild!BB179</f>
        <v>6.5000000000000002E-2</v>
      </c>
      <c r="AL24" s="306">
        <f>RevBuild!BE179</f>
        <v>9.2999999999999999E-2</v>
      </c>
      <c r="AM24" s="305">
        <f>RevBuild!BF179</f>
        <v>7.5999999999999998E-2</v>
      </c>
      <c r="AN24" s="305">
        <f>RevBuild!BG179</f>
        <v>0.06</v>
      </c>
      <c r="AO24" s="305">
        <f>RevBuild!BH179</f>
        <v>4.1999999999999996E-2</v>
      </c>
      <c r="AP24" s="306">
        <f>RevBuild!BK179</f>
        <v>5.9086631877826951E-2</v>
      </c>
      <c r="AQ24" s="305">
        <f>RevBuild!BL179</f>
        <v>4.7237835711525775E-2</v>
      </c>
      <c r="AR24" s="305">
        <f>RevBuild!BM179</f>
        <v>5.3999999999999999E-2</v>
      </c>
      <c r="AS24" s="305">
        <f>RevBuild!BN179</f>
        <v>5.1108063163142758E-2</v>
      </c>
      <c r="AT24" s="306">
        <f>RevBuild!BQ179</f>
        <v>3.9206612296900145E-2</v>
      </c>
      <c r="AU24" s="305">
        <f>RevBuild!BR179</f>
        <v>5.6074814558657149E-2</v>
      </c>
      <c r="AV24" s="305">
        <f>RevBuild!BS179</f>
        <v>4.9411499160256112E-2</v>
      </c>
      <c r="AW24" s="305">
        <f>RevBuild!BT179</f>
        <v>4.6674771721355812E-2</v>
      </c>
      <c r="AX24" s="297"/>
      <c r="AY24" s="297"/>
      <c r="AZ24" s="297"/>
      <c r="BA24" s="297"/>
      <c r="BB24" s="297"/>
      <c r="BC24" s="297"/>
      <c r="BD24" s="297"/>
      <c r="BE24" s="297"/>
      <c r="BF24" s="297"/>
      <c r="BG24" s="297"/>
      <c r="BH24" s="297"/>
      <c r="BI24" s="297"/>
      <c r="BJ24" s="297"/>
      <c r="BK24" s="297"/>
      <c r="BL24" s="297"/>
      <c r="BM24" s="297"/>
      <c r="BN24" s="297"/>
      <c r="BO24" s="297"/>
      <c r="BP24" s="297"/>
      <c r="BQ24" s="297"/>
      <c r="BR24" s="297"/>
      <c r="BS24" s="297"/>
      <c r="BT24" s="297"/>
      <c r="BU24" s="297"/>
      <c r="BV24" s="297"/>
      <c r="BW24" s="297"/>
    </row>
    <row r="25" spans="1:75" s="1102" customFormat="1" x14ac:dyDescent="0.2">
      <c r="A25" s="360" t="s">
        <v>303</v>
      </c>
      <c r="B25" s="1097" t="s">
        <v>151</v>
      </c>
      <c r="C25" s="1098" t="s">
        <v>151</v>
      </c>
      <c r="D25" s="1098" t="s">
        <v>151</v>
      </c>
      <c r="E25" s="1098" t="s">
        <v>151</v>
      </c>
      <c r="F25" s="1099" t="s">
        <v>151</v>
      </c>
      <c r="G25" s="1098" t="s">
        <v>151</v>
      </c>
      <c r="H25" s="1098" t="s">
        <v>151</v>
      </c>
      <c r="I25" s="1098" t="s">
        <v>151</v>
      </c>
      <c r="J25" s="1099" t="s">
        <v>151</v>
      </c>
      <c r="K25" s="1098" t="s">
        <v>151</v>
      </c>
      <c r="L25" s="1098" t="s">
        <v>151</v>
      </c>
      <c r="M25" s="1098" t="s">
        <v>151</v>
      </c>
      <c r="N25" s="1099" t="s">
        <v>151</v>
      </c>
      <c r="O25" s="1098" t="s">
        <v>151</v>
      </c>
      <c r="P25" s="1098" t="s">
        <v>151</v>
      </c>
      <c r="Q25" s="1098" t="s">
        <v>151</v>
      </c>
      <c r="R25" s="1099" t="s">
        <v>151</v>
      </c>
      <c r="S25" s="1098" t="s">
        <v>151</v>
      </c>
      <c r="T25" s="1098" t="s">
        <v>151</v>
      </c>
      <c r="U25" s="1098" t="s">
        <v>151</v>
      </c>
      <c r="V25" s="1084">
        <f>RevBuild!AG61</f>
        <v>6.5000000000000002E-2</v>
      </c>
      <c r="W25" s="1085">
        <f>RevBuild!AH61</f>
        <v>6.5000000000000002E-2</v>
      </c>
      <c r="X25" s="1085">
        <f>RevBuild!AI61</f>
        <v>5.2999999999999999E-2</v>
      </c>
      <c r="Y25" s="1085">
        <f>RevBuild!AJ61</f>
        <v>9.4E-2</v>
      </c>
      <c r="Z25" s="1084">
        <f>RevBuild!AM61</f>
        <v>6.1999999999999993E-2</v>
      </c>
      <c r="AA25" s="1085">
        <f>RevBuild!AN61</f>
        <v>5.6000000000000001E-2</v>
      </c>
      <c r="AB25" s="1085">
        <f>RevBuild!AO61</f>
        <v>4.7E-2</v>
      </c>
      <c r="AC25" s="1085">
        <f>RevBuild!AP61</f>
        <v>0.04</v>
      </c>
      <c r="AD25" s="1084">
        <f>RevBuild!AS61</f>
        <v>2.4000000000000004E-2</v>
      </c>
      <c r="AE25" s="1085">
        <f>RevBuild!AT61</f>
        <v>5.1999999999999998E-2</v>
      </c>
      <c r="AF25" s="1085">
        <f>RevBuild!AU61</f>
        <v>7.2000000000000008E-2</v>
      </c>
      <c r="AG25" s="1085">
        <f>RevBuild!AV61</f>
        <v>4.5999999999999999E-2</v>
      </c>
      <c r="AH25" s="1084">
        <f>RevBuild!AY61</f>
        <v>5.7999999999999996E-2</v>
      </c>
      <c r="AI25" s="1085">
        <f>RevBuild!AZ61</f>
        <v>3.5000000000000003E-2</v>
      </c>
      <c r="AJ25" s="1085">
        <f>RevBuild!BA61</f>
        <v>5.7000000000000002E-2</v>
      </c>
      <c r="AK25" s="1085">
        <f>RevBuild!BB61</f>
        <v>7.8E-2</v>
      </c>
      <c r="AL25" s="1084">
        <f>RevBuild!BE61</f>
        <v>0.128</v>
      </c>
      <c r="AM25" s="1085">
        <f>RevBuild!BF61</f>
        <v>9.2000000000000012E-2</v>
      </c>
      <c r="AN25" s="1085">
        <f>RevBuild!BG61</f>
        <v>6.5000000000000002E-2</v>
      </c>
      <c r="AO25" s="1085">
        <f>RevBuild!BH61</f>
        <v>4.5999999999999999E-2</v>
      </c>
      <c r="AP25" s="1084">
        <f>RevBuild!BK61</f>
        <v>5.0195550936251498E-2</v>
      </c>
      <c r="AQ25" s="1085">
        <f>RevBuild!BL61</f>
        <v>4.77968807315583E-2</v>
      </c>
      <c r="AR25" s="1085">
        <f>RevBuild!BM61</f>
        <v>4.7145497427402275E-2</v>
      </c>
      <c r="AS25" s="1085">
        <f>RevBuild!BN61</f>
        <v>6.9462847841814529E-2</v>
      </c>
      <c r="AT25" s="1084">
        <f>RevBuild!BQ61</f>
        <v>5.6307646522739674E-2</v>
      </c>
      <c r="AU25" s="1085">
        <f>RevBuild!BR61</f>
        <v>6.2044136615398093E-2</v>
      </c>
      <c r="AV25" s="1085">
        <f>RevBuild!BS61</f>
        <v>5.4430278244772312E-2</v>
      </c>
      <c r="AW25" s="1085">
        <f>RevBuild!BT61</f>
        <v>3.8134908102463561E-2</v>
      </c>
      <c r="AX25" s="1101"/>
      <c r="AY25" s="1101"/>
      <c r="AZ25" s="1101"/>
      <c r="BA25" s="1101"/>
      <c r="BB25" s="1101"/>
      <c r="BC25" s="1101"/>
      <c r="BD25" s="1101"/>
      <c r="BE25" s="1101"/>
      <c r="BF25" s="1101"/>
      <c r="BG25" s="1101"/>
      <c r="BH25" s="1101"/>
      <c r="BI25" s="1101"/>
      <c r="BJ25" s="1101"/>
      <c r="BK25" s="1101"/>
      <c r="BL25" s="1101"/>
      <c r="BM25" s="1101"/>
      <c r="BN25" s="1101"/>
      <c r="BO25" s="1101"/>
      <c r="BP25" s="1101"/>
      <c r="BQ25" s="1101"/>
      <c r="BR25" s="1101"/>
      <c r="BS25" s="1101"/>
      <c r="BT25" s="1101"/>
      <c r="BU25" s="1101"/>
      <c r="BV25" s="1101"/>
      <c r="BW25" s="1101"/>
    </row>
    <row r="26" spans="1:75" s="1102" customFormat="1" x14ac:dyDescent="0.2">
      <c r="A26" s="349" t="s">
        <v>310</v>
      </c>
      <c r="B26" s="1094" t="s">
        <v>151</v>
      </c>
      <c r="C26" s="1083" t="s">
        <v>151</v>
      </c>
      <c r="D26" s="1083" t="s">
        <v>151</v>
      </c>
      <c r="E26" s="1083" t="s">
        <v>151</v>
      </c>
      <c r="F26" s="1082" t="s">
        <v>151</v>
      </c>
      <c r="G26" s="1083" t="s">
        <v>151</v>
      </c>
      <c r="H26" s="1083" t="s">
        <v>151</v>
      </c>
      <c r="I26" s="1083" t="s">
        <v>151</v>
      </c>
      <c r="J26" s="1082" t="s">
        <v>151</v>
      </c>
      <c r="K26" s="1083" t="s">
        <v>151</v>
      </c>
      <c r="L26" s="1083" t="s">
        <v>151</v>
      </c>
      <c r="M26" s="1083" t="s">
        <v>151</v>
      </c>
      <c r="N26" s="1082" t="s">
        <v>151</v>
      </c>
      <c r="O26" s="1083" t="s">
        <v>151</v>
      </c>
      <c r="P26" s="1083" t="s">
        <v>151</v>
      </c>
      <c r="Q26" s="1083" t="s">
        <v>151</v>
      </c>
      <c r="R26" s="1082" t="s">
        <v>151</v>
      </c>
      <c r="S26" s="1083" t="s">
        <v>151</v>
      </c>
      <c r="T26" s="1083" t="s">
        <v>151</v>
      </c>
      <c r="U26" s="1083" t="s">
        <v>151</v>
      </c>
      <c r="V26" s="1086">
        <f>RevBuild!AG120</f>
        <v>0.104</v>
      </c>
      <c r="W26" s="1087">
        <f>RevBuild!AH120</f>
        <v>1.4999999999999999E-2</v>
      </c>
      <c r="X26" s="1087">
        <f>RevBuild!AI120</f>
        <v>2.8000000000000011E-2</v>
      </c>
      <c r="Y26" s="1087">
        <f>RevBuild!AJ120</f>
        <v>1.0000000000000009E-3</v>
      </c>
      <c r="Z26" s="1086">
        <f>RevBuild!AM120</f>
        <v>-1.8999999999999989E-2</v>
      </c>
      <c r="AA26" s="1087">
        <f>RevBuild!AN120</f>
        <v>9.999999999999995E-3</v>
      </c>
      <c r="AB26" s="1087">
        <f>RevBuild!AO120</f>
        <v>9.0000000000000011E-3</v>
      </c>
      <c r="AC26" s="1087">
        <f>RevBuild!AP120</f>
        <v>3.2000000000000001E-2</v>
      </c>
      <c r="AD26" s="1086">
        <f>RevBuild!AS120</f>
        <v>3.8000000000000006E-2</v>
      </c>
      <c r="AE26" s="1087">
        <f>RevBuild!AT120</f>
        <v>2.799999999999999E-2</v>
      </c>
      <c r="AF26" s="1087">
        <f>RevBuild!AU120</f>
        <v>4.7000000000000007E-2</v>
      </c>
      <c r="AG26" s="1087">
        <f>RevBuild!AV120</f>
        <v>5.2999999999999999E-2</v>
      </c>
      <c r="AH26" s="1086">
        <f>RevBuild!AY120</f>
        <v>3.2000000000000001E-2</v>
      </c>
      <c r="AI26" s="1087">
        <f>RevBuild!AZ120</f>
        <v>4.6000000000000006E-2</v>
      </c>
      <c r="AJ26" s="1087">
        <f>RevBuild!BA120</f>
        <v>3.2000000000000001E-2</v>
      </c>
      <c r="AK26" s="1087">
        <f>RevBuild!BB120</f>
        <v>4.1000000000000002E-2</v>
      </c>
      <c r="AL26" s="1086">
        <f>RevBuild!BE120</f>
        <v>2.7000000000000003E-2</v>
      </c>
      <c r="AM26" s="1087">
        <f>RevBuild!BF120</f>
        <v>4.4999999999999998E-2</v>
      </c>
      <c r="AN26" s="1087">
        <f>RevBuild!BG120</f>
        <v>4.9999999999999996E-2</v>
      </c>
      <c r="AO26" s="1087">
        <f>RevBuild!BH120</f>
        <v>3.2094529911287153E-2</v>
      </c>
      <c r="AP26" s="1086">
        <f>RevBuild!BK120</f>
        <v>7.8456677766123598E-2</v>
      </c>
      <c r="AQ26" s="1087">
        <f>RevBuild!BL120</f>
        <v>3.6584803908678465E-2</v>
      </c>
      <c r="AR26" s="1087">
        <f>RevBuild!BM120</f>
        <v>4.9725812194343133E-2</v>
      </c>
      <c r="AS26" s="1087">
        <f>RevBuild!BN120</f>
        <v>1.3753398344708678E-2</v>
      </c>
      <c r="AT26" s="1086">
        <f>RevBuild!BQ120</f>
        <v>5.3415225774349206E-3</v>
      </c>
      <c r="AU26" s="1087">
        <f>RevBuild!BR120</f>
        <v>4.4309042883778904E-2</v>
      </c>
      <c r="AV26" s="1087">
        <f>RevBuild!BS120</f>
        <v>3.9227185217767024E-2</v>
      </c>
      <c r="AW26" s="1087">
        <f>RevBuild!BT120</f>
        <v>6.3278764603472482E-2</v>
      </c>
      <c r="AY26" s="1101"/>
      <c r="AZ26" s="1101"/>
    </row>
    <row r="27" spans="1:75" s="297" customFormat="1" x14ac:dyDescent="0.2">
      <c r="A27" s="309"/>
      <c r="B27" s="309"/>
      <c r="C27" s="309"/>
      <c r="D27" s="309"/>
      <c r="E27" s="309"/>
      <c r="F27" s="309"/>
      <c r="G27" s="309"/>
      <c r="H27" s="309"/>
      <c r="I27" s="309"/>
      <c r="J27" s="309"/>
      <c r="K27" s="309"/>
      <c r="L27" s="309"/>
      <c r="M27" s="309"/>
      <c r="N27" s="309"/>
      <c r="O27" s="309"/>
      <c r="P27" s="309"/>
      <c r="Q27" s="309"/>
      <c r="R27" s="309"/>
      <c r="S27" s="309"/>
      <c r="T27" s="309"/>
      <c r="U27" s="309"/>
      <c r="V27" s="309"/>
      <c r="W27" s="309"/>
      <c r="X27" s="309"/>
      <c r="Y27" s="309"/>
      <c r="Z27" s="309"/>
      <c r="AA27" s="309"/>
      <c r="AB27" s="309"/>
      <c r="AC27" s="309"/>
      <c r="AD27" s="309"/>
      <c r="AE27" s="309"/>
      <c r="AF27" s="309"/>
      <c r="AG27" s="309"/>
      <c r="AH27" s="309"/>
      <c r="AI27" s="310"/>
      <c r="AJ27" s="310"/>
      <c r="AK27" s="310"/>
      <c r="AL27" s="310"/>
      <c r="AM27" s="309"/>
      <c r="AN27" s="309"/>
      <c r="AO27" s="309"/>
      <c r="AP27" s="309"/>
      <c r="AQ27" s="309"/>
      <c r="AR27" s="309"/>
      <c r="AS27" s="309"/>
      <c r="AT27" s="309"/>
      <c r="AU27" s="309"/>
      <c r="AV27" s="309"/>
      <c r="AW27" s="309"/>
    </row>
    <row r="28" spans="1:75" s="297" customFormat="1" x14ac:dyDescent="0.2">
      <c r="A28" s="311" t="s">
        <v>423</v>
      </c>
      <c r="B28" s="293"/>
      <c r="C28" s="293"/>
      <c r="D28" s="312"/>
      <c r="E28" s="312"/>
      <c r="F28" s="312"/>
      <c r="G28" s="312"/>
      <c r="H28" s="312"/>
      <c r="I28" s="312"/>
      <c r="J28" s="312"/>
      <c r="K28" s="312"/>
      <c r="L28" s="312"/>
      <c r="M28" s="312"/>
      <c r="N28" s="312"/>
      <c r="O28" s="309"/>
      <c r="P28" s="309"/>
      <c r="Q28" s="309"/>
      <c r="R28" s="309"/>
      <c r="S28" s="309"/>
      <c r="T28" s="309"/>
      <c r="U28" s="309"/>
      <c r="V28" s="309"/>
      <c r="W28" s="309"/>
      <c r="X28" s="309"/>
      <c r="Y28" s="309"/>
      <c r="Z28" s="309"/>
      <c r="AA28" s="309"/>
      <c r="AB28" s="309"/>
      <c r="AC28" s="309"/>
      <c r="AD28" s="309"/>
      <c r="AE28" s="309"/>
      <c r="AF28" s="309"/>
      <c r="AG28" s="309"/>
      <c r="AH28" s="309"/>
      <c r="AI28" s="309"/>
      <c r="AJ28" s="309"/>
      <c r="AK28" s="309"/>
      <c r="AL28" s="309"/>
      <c r="AM28" s="309"/>
      <c r="AN28" s="309"/>
      <c r="AO28" s="309"/>
      <c r="AP28" s="309"/>
      <c r="AQ28" s="309"/>
      <c r="AR28" s="309"/>
      <c r="AS28" s="309"/>
      <c r="AT28" s="309"/>
      <c r="AU28" s="309"/>
      <c r="AV28" s="309"/>
      <c r="AW28" s="309"/>
    </row>
    <row r="29" spans="1:75" x14ac:dyDescent="0.2">
      <c r="A29" s="295"/>
      <c r="B29" s="741"/>
      <c r="C29" s="295"/>
      <c r="D29" s="295"/>
      <c r="E29" s="295"/>
      <c r="F29" s="296" t="str">
        <f t="shared" ref="F29:AW29" si="0">F4</f>
        <v>1Q08</v>
      </c>
      <c r="G29" s="295" t="str">
        <f t="shared" si="0"/>
        <v>2Q08</v>
      </c>
      <c r="H29" s="295" t="str">
        <f t="shared" si="0"/>
        <v>3Q08</v>
      </c>
      <c r="I29" s="295" t="str">
        <f t="shared" si="0"/>
        <v>4Q08</v>
      </c>
      <c r="J29" s="296" t="str">
        <f t="shared" si="0"/>
        <v>1Q09</v>
      </c>
      <c r="K29" s="295" t="str">
        <f t="shared" si="0"/>
        <v>2Q09</v>
      </c>
      <c r="L29" s="295" t="str">
        <f t="shared" si="0"/>
        <v>3Q09</v>
      </c>
      <c r="M29" s="295" t="str">
        <f t="shared" si="0"/>
        <v>4Q09</v>
      </c>
      <c r="N29" s="296" t="str">
        <f t="shared" si="0"/>
        <v>1Q10</v>
      </c>
      <c r="O29" s="295" t="str">
        <f t="shared" si="0"/>
        <v>2Q10</v>
      </c>
      <c r="P29" s="295" t="str">
        <f t="shared" si="0"/>
        <v>3Q10</v>
      </c>
      <c r="Q29" s="295" t="str">
        <f t="shared" si="0"/>
        <v>4Q10</v>
      </c>
      <c r="R29" s="296" t="str">
        <f t="shared" si="0"/>
        <v>1Q11</v>
      </c>
      <c r="S29" s="295" t="str">
        <f t="shared" si="0"/>
        <v>2Q11</v>
      </c>
      <c r="T29" s="295" t="str">
        <f t="shared" si="0"/>
        <v>3Q11</v>
      </c>
      <c r="U29" s="295" t="str">
        <f t="shared" si="0"/>
        <v>4Q11</v>
      </c>
      <c r="V29" s="296" t="str">
        <f t="shared" si="0"/>
        <v>1Q12</v>
      </c>
      <c r="W29" s="295" t="str">
        <f t="shared" si="0"/>
        <v>2Q12</v>
      </c>
      <c r="X29" s="295" t="str">
        <f t="shared" si="0"/>
        <v>3Q12</v>
      </c>
      <c r="Y29" s="295" t="str">
        <f t="shared" si="0"/>
        <v>4Q12</v>
      </c>
      <c r="Z29" s="296" t="str">
        <f t="shared" si="0"/>
        <v>1Q13</v>
      </c>
      <c r="AA29" s="295" t="str">
        <f t="shared" si="0"/>
        <v>2Q13</v>
      </c>
      <c r="AB29" s="295" t="str">
        <f t="shared" si="0"/>
        <v>3Q13</v>
      </c>
      <c r="AC29" s="295" t="str">
        <f t="shared" si="0"/>
        <v>4Q13</v>
      </c>
      <c r="AD29" s="296" t="str">
        <f t="shared" si="0"/>
        <v>1Q14</v>
      </c>
      <c r="AE29" s="295" t="str">
        <f t="shared" si="0"/>
        <v>2Q14</v>
      </c>
      <c r="AF29" s="295" t="str">
        <f t="shared" si="0"/>
        <v>3Q14</v>
      </c>
      <c r="AG29" s="295" t="str">
        <f t="shared" si="0"/>
        <v>4Q14</v>
      </c>
      <c r="AH29" s="296" t="str">
        <f t="shared" si="0"/>
        <v>1Q15</v>
      </c>
      <c r="AI29" s="295" t="str">
        <f t="shared" si="0"/>
        <v>2Q15</v>
      </c>
      <c r="AJ29" s="295" t="str">
        <f t="shared" si="0"/>
        <v>3Q15</v>
      </c>
      <c r="AK29" s="295" t="str">
        <f t="shared" si="0"/>
        <v>4Q15</v>
      </c>
      <c r="AL29" s="296" t="str">
        <f t="shared" si="0"/>
        <v>1Q16</v>
      </c>
      <c r="AM29" s="295" t="str">
        <f t="shared" si="0"/>
        <v>2Q16</v>
      </c>
      <c r="AN29" s="295" t="str">
        <f t="shared" si="0"/>
        <v>3Q16</v>
      </c>
      <c r="AO29" s="295" t="str">
        <f t="shared" si="0"/>
        <v>4Q16</v>
      </c>
      <c r="AP29" s="296" t="str">
        <f t="shared" si="0"/>
        <v>1Q17</v>
      </c>
      <c r="AQ29" s="295" t="str">
        <f t="shared" si="0"/>
        <v>2Q17</v>
      </c>
      <c r="AR29" s="295" t="str">
        <f t="shared" si="0"/>
        <v>3Q17</v>
      </c>
      <c r="AS29" s="295" t="str">
        <f t="shared" si="0"/>
        <v>4Q17</v>
      </c>
      <c r="AT29" s="296" t="str">
        <f t="shared" si="0"/>
        <v>1Q18E</v>
      </c>
      <c r="AU29" s="295" t="str">
        <f t="shared" si="0"/>
        <v>2Q18E</v>
      </c>
      <c r="AV29" s="295" t="str">
        <f t="shared" si="0"/>
        <v>3Q18E</v>
      </c>
      <c r="AW29" s="295" t="str">
        <f t="shared" si="0"/>
        <v>4Q18E</v>
      </c>
      <c r="AX29" s="297"/>
      <c r="AY29" s="297"/>
      <c r="AZ29" s="297"/>
      <c r="BA29" s="297"/>
      <c r="BB29" s="297"/>
      <c r="BC29" s="297"/>
      <c r="BD29" s="297"/>
      <c r="BE29" s="297"/>
      <c r="BF29" s="297"/>
      <c r="BG29" s="297"/>
      <c r="BH29" s="297"/>
      <c r="BI29" s="297"/>
      <c r="BJ29" s="297"/>
      <c r="BK29" s="297"/>
      <c r="BL29" s="297"/>
      <c r="BM29" s="297"/>
      <c r="BN29" s="297"/>
      <c r="BO29" s="297"/>
      <c r="BP29" s="297"/>
      <c r="BQ29" s="297"/>
      <c r="BR29" s="297"/>
      <c r="BS29" s="297"/>
      <c r="BT29" s="297"/>
      <c r="BU29" s="297"/>
      <c r="BV29" s="297"/>
      <c r="BW29" s="297"/>
    </row>
    <row r="30" spans="1:75" x14ac:dyDescent="0.2">
      <c r="A30" s="338" t="str">
        <f>A5</f>
        <v>Global Health Care Distribution revenues</v>
      </c>
      <c r="B30" s="1096"/>
      <c r="C30" s="1078"/>
      <c r="D30" s="1078"/>
      <c r="E30" s="1078"/>
      <c r="F30" s="1077" t="str">
        <f t="shared" ref="F30:O34" si="1">IFERROR(F5+B5,"NM")</f>
        <v>NM</v>
      </c>
      <c r="G30" s="1078" t="str">
        <f t="shared" si="1"/>
        <v>NM</v>
      </c>
      <c r="H30" s="1078" t="str">
        <f t="shared" si="1"/>
        <v>NM</v>
      </c>
      <c r="I30" s="1078" t="str">
        <f t="shared" si="1"/>
        <v>NM</v>
      </c>
      <c r="J30" s="1077">
        <f t="shared" si="1"/>
        <v>4.5064715483773554E-2</v>
      </c>
      <c r="K30" s="1078">
        <f t="shared" si="1"/>
        <v>4.4804100998854457E-2</v>
      </c>
      <c r="L30" s="1078">
        <f t="shared" si="1"/>
        <v>1.3054130925445051E-2</v>
      </c>
      <c r="M30" s="1078">
        <f t="shared" si="1"/>
        <v>-3.2892816532522628E-3</v>
      </c>
      <c r="N30" s="1077">
        <f t="shared" si="1"/>
        <v>3.5424597901442256E-2</v>
      </c>
      <c r="O30" s="1078">
        <f t="shared" si="1"/>
        <v>2.3565923438091829E-2</v>
      </c>
      <c r="P30" s="1078">
        <f t="shared" ref="P30:Y34" si="2">IFERROR(P5+L5,"NM")</f>
        <v>2.8188808626791406E-2</v>
      </c>
      <c r="Q30" s="1078">
        <f t="shared" si="2"/>
        <v>5.821284007735561E-2</v>
      </c>
      <c r="R30" s="1077">
        <f t="shared" si="2"/>
        <v>6.7552401579819898E-2</v>
      </c>
      <c r="S30" s="1078">
        <f t="shared" si="2"/>
        <v>6.4674020064343196E-2</v>
      </c>
      <c r="T30" s="1078">
        <f t="shared" si="2"/>
        <v>6.6639292695044761E-2</v>
      </c>
      <c r="U30" s="1078">
        <f t="shared" si="2"/>
        <v>8.2599033747513317E-2</v>
      </c>
      <c r="V30" s="1077">
        <f t="shared" si="2"/>
        <v>0.11352115658061623</v>
      </c>
      <c r="W30" s="1078">
        <f t="shared" si="2"/>
        <v>9.096225025571969E-2</v>
      </c>
      <c r="X30" s="1078">
        <f t="shared" si="2"/>
        <v>7.3374782440996711E-2</v>
      </c>
      <c r="Y30" s="1078">
        <f t="shared" si="2"/>
        <v>0.1115229268264436</v>
      </c>
      <c r="Z30" s="1077">
        <f t="shared" ref="Z30:AW30" si="3">IFERROR(Z5+V5,"NM")</f>
        <v>0.10833977781811743</v>
      </c>
      <c r="AA30" s="1078">
        <f t="shared" si="3"/>
        <v>8.3928049451771347E-2</v>
      </c>
      <c r="AB30" s="1078">
        <f t="shared" si="3"/>
        <v>7.4636495070578679E-2</v>
      </c>
      <c r="AC30" s="1078">
        <f t="shared" si="3"/>
        <v>9.3253987091895474E-2</v>
      </c>
      <c r="AD30" s="1077">
        <f t="shared" si="3"/>
        <v>5.8314928377147995E-2</v>
      </c>
      <c r="AE30" s="1078">
        <f t="shared" si="3"/>
        <v>8.0714671501744578E-2</v>
      </c>
      <c r="AF30" s="1078">
        <f t="shared" si="3"/>
        <v>9.6498537099345805E-2</v>
      </c>
      <c r="AG30" s="1078">
        <f t="shared" si="3"/>
        <v>8.5236738214097024E-2</v>
      </c>
      <c r="AH30" s="1077">
        <f t="shared" si="3"/>
        <v>7.4999999999999997E-2</v>
      </c>
      <c r="AI30" s="1078">
        <f t="shared" si="3"/>
        <v>8.2000000000000003E-2</v>
      </c>
      <c r="AJ30" s="1078">
        <f t="shared" si="3"/>
        <v>0.11200000000000002</v>
      </c>
      <c r="AK30" s="1078">
        <f t="shared" si="3"/>
        <v>0.11600000000000002</v>
      </c>
      <c r="AL30" s="1077">
        <f t="shared" si="3"/>
        <v>0.14100000000000001</v>
      </c>
      <c r="AM30" s="1078">
        <f t="shared" si="3"/>
        <v>0.11599999999999999</v>
      </c>
      <c r="AN30" s="1078">
        <f t="shared" si="3"/>
        <v>0.10800000000000001</v>
      </c>
      <c r="AO30" s="1078">
        <f t="shared" si="3"/>
        <v>0.10565423657257139</v>
      </c>
      <c r="AP30" s="1077">
        <f t="shared" si="3"/>
        <v>0.153</v>
      </c>
      <c r="AQ30" s="1078">
        <f t="shared" si="3"/>
        <v>0.1247430086877727</v>
      </c>
      <c r="AR30" s="1078">
        <f t="shared" si="3"/>
        <v>0.10899999999999999</v>
      </c>
      <c r="AS30" s="1078">
        <f t="shared" si="3"/>
        <v>9.1458744622042398E-2</v>
      </c>
      <c r="AT30" s="1077">
        <f t="shared" si="3"/>
        <v>9.7383945874007616E-2</v>
      </c>
      <c r="AU30" s="1078">
        <f t="shared" si="3"/>
        <v>0.10344913303861181</v>
      </c>
      <c r="AV30" s="1078">
        <f t="shared" si="3"/>
        <v>9.7262275025711997E-2</v>
      </c>
      <c r="AW30" s="1078">
        <f t="shared" si="3"/>
        <v>9.7320382390778115E-2</v>
      </c>
      <c r="AX30" s="297"/>
      <c r="AY30" s="282"/>
      <c r="AZ30" s="297"/>
      <c r="BA30" s="297"/>
      <c r="BB30" s="297"/>
      <c r="BC30" s="297"/>
      <c r="BD30" s="297"/>
      <c r="BE30" s="297"/>
      <c r="BF30" s="297"/>
      <c r="BG30" s="297"/>
      <c r="BH30" s="297"/>
      <c r="BI30" s="297"/>
      <c r="BJ30" s="297"/>
      <c r="BK30" s="297"/>
      <c r="BL30" s="297"/>
      <c r="BM30" s="297"/>
      <c r="BN30" s="297"/>
      <c r="BO30" s="297"/>
      <c r="BP30" s="297"/>
      <c r="BQ30" s="297"/>
      <c r="BR30" s="297"/>
      <c r="BS30" s="297"/>
      <c r="BT30" s="297"/>
      <c r="BU30" s="297"/>
      <c r="BV30" s="297"/>
      <c r="BW30" s="297"/>
    </row>
    <row r="31" spans="1:75" x14ac:dyDescent="0.2">
      <c r="A31" s="308" t="str">
        <f>A6</f>
        <v>Global Dental revenues</v>
      </c>
      <c r="B31" s="1094"/>
      <c r="C31" s="1083"/>
      <c r="D31" s="1083"/>
      <c r="E31" s="1083"/>
      <c r="F31" s="1082" t="str">
        <f t="shared" si="1"/>
        <v>NM</v>
      </c>
      <c r="G31" s="1083" t="str">
        <f t="shared" si="1"/>
        <v>NM</v>
      </c>
      <c r="H31" s="1083" t="str">
        <f t="shared" si="1"/>
        <v>NM</v>
      </c>
      <c r="I31" s="1083" t="str">
        <f t="shared" si="1"/>
        <v>NM</v>
      </c>
      <c r="J31" s="1082" t="str">
        <f t="shared" si="1"/>
        <v>NM</v>
      </c>
      <c r="K31" s="1083" t="str">
        <f t="shared" si="1"/>
        <v>NM</v>
      </c>
      <c r="L31" s="1083" t="str">
        <f t="shared" si="1"/>
        <v>NM</v>
      </c>
      <c r="M31" s="1083" t="str">
        <f t="shared" si="1"/>
        <v>NM</v>
      </c>
      <c r="N31" s="1082" t="str">
        <f t="shared" si="1"/>
        <v>NM</v>
      </c>
      <c r="O31" s="1083" t="str">
        <f t="shared" si="1"/>
        <v>NM</v>
      </c>
      <c r="P31" s="1083" t="str">
        <f t="shared" si="2"/>
        <v>NM</v>
      </c>
      <c r="Q31" s="1083" t="str">
        <f t="shared" si="2"/>
        <v>NM</v>
      </c>
      <c r="R31" s="1082" t="str">
        <f t="shared" si="2"/>
        <v>NM</v>
      </c>
      <c r="S31" s="1083" t="str">
        <f t="shared" si="2"/>
        <v>NM</v>
      </c>
      <c r="T31" s="1083" t="str">
        <f t="shared" si="2"/>
        <v>NM</v>
      </c>
      <c r="U31" s="1083" t="str">
        <f t="shared" si="2"/>
        <v>NM</v>
      </c>
      <c r="V31" s="301" t="str">
        <f t="shared" si="2"/>
        <v>NM</v>
      </c>
      <c r="W31" s="300" t="str">
        <f t="shared" si="2"/>
        <v>NM</v>
      </c>
      <c r="X31" s="300" t="str">
        <f t="shared" si="2"/>
        <v>NM</v>
      </c>
      <c r="Y31" s="300" t="str">
        <f t="shared" si="2"/>
        <v>NM</v>
      </c>
      <c r="Z31" s="301">
        <f t="shared" ref="Z31:AW31" si="4">IFERROR(Z6+V6,"NM")</f>
        <v>5.8999999999999997E-2</v>
      </c>
      <c r="AA31" s="300">
        <f t="shared" si="4"/>
        <v>5.0999999999999997E-2</v>
      </c>
      <c r="AB31" s="300">
        <f t="shared" si="4"/>
        <v>5.3000000000000005E-2</v>
      </c>
      <c r="AC31" s="300">
        <f t="shared" si="4"/>
        <v>6.2E-2</v>
      </c>
      <c r="AD31" s="301">
        <f t="shared" si="4"/>
        <v>3.2000000000000001E-2</v>
      </c>
      <c r="AE31" s="300">
        <f t="shared" si="4"/>
        <v>5.5999999999999994E-2</v>
      </c>
      <c r="AF31" s="300">
        <f t="shared" si="4"/>
        <v>7.8E-2</v>
      </c>
      <c r="AG31" s="300">
        <f t="shared" si="4"/>
        <v>4.9000000000000002E-2</v>
      </c>
      <c r="AH31" s="301">
        <f t="shared" si="4"/>
        <v>6.2E-2</v>
      </c>
      <c r="AI31" s="300">
        <f t="shared" si="4"/>
        <v>6.699999999999999E-2</v>
      </c>
      <c r="AJ31" s="300">
        <f t="shared" si="4"/>
        <v>8.8999999999999996E-2</v>
      </c>
      <c r="AK31" s="300">
        <f t="shared" si="4"/>
        <v>8.8999999999999996E-2</v>
      </c>
      <c r="AL31" s="301">
        <f t="shared" si="4"/>
        <v>7.6000000000000012E-2</v>
      </c>
      <c r="AM31" s="300">
        <f t="shared" si="4"/>
        <v>6.9000000000000006E-2</v>
      </c>
      <c r="AN31" s="300">
        <f t="shared" si="4"/>
        <v>0.08</v>
      </c>
      <c r="AO31" s="300">
        <f t="shared" si="4"/>
        <v>8.1817414383680592E-2</v>
      </c>
      <c r="AP31" s="301">
        <f t="shared" si="4"/>
        <v>7.8000000000000014E-2</v>
      </c>
      <c r="AQ31" s="300">
        <f t="shared" si="4"/>
        <v>6.6282324051768593E-2</v>
      </c>
      <c r="AR31" s="300">
        <f t="shared" si="4"/>
        <v>6.477057928261401E-2</v>
      </c>
      <c r="AS31" s="300">
        <f t="shared" si="4"/>
        <v>5.8741266081059167E-2</v>
      </c>
      <c r="AT31" s="301">
        <f t="shared" si="4"/>
        <v>5.9234812028255847E-2</v>
      </c>
      <c r="AU31" s="300">
        <f t="shared" si="4"/>
        <v>6.8282324051768609E-2</v>
      </c>
      <c r="AV31" s="300">
        <f t="shared" si="4"/>
        <v>6.1102620967032284E-2</v>
      </c>
      <c r="AW31" s="300">
        <f t="shared" si="4"/>
        <v>6.2192690281394188E-2</v>
      </c>
      <c r="AX31" s="297"/>
      <c r="AY31" s="282"/>
      <c r="AZ31" s="297"/>
      <c r="BA31" s="297"/>
      <c r="BB31" s="297"/>
      <c r="BC31" s="297"/>
      <c r="BD31" s="297"/>
      <c r="BE31" s="297"/>
      <c r="BF31" s="297"/>
      <c r="BG31" s="297"/>
      <c r="BH31" s="297"/>
      <c r="BI31" s="297"/>
      <c r="BJ31" s="297"/>
      <c r="BK31" s="297"/>
      <c r="BL31" s="297"/>
      <c r="BM31" s="297"/>
      <c r="BN31" s="297"/>
      <c r="BO31" s="297"/>
      <c r="BP31" s="297"/>
      <c r="BQ31" s="297"/>
      <c r="BR31" s="297"/>
      <c r="BS31" s="297"/>
      <c r="BT31" s="297"/>
      <c r="BU31" s="297"/>
      <c r="BV31" s="297"/>
      <c r="BW31" s="297"/>
    </row>
    <row r="32" spans="1:75" x14ac:dyDescent="0.2">
      <c r="A32" s="375" t="str">
        <f>A7</f>
        <v>Core gr. - Dental Consumables</v>
      </c>
      <c r="B32" s="1094"/>
      <c r="C32" s="1083"/>
      <c r="D32" s="1083"/>
      <c r="E32" s="1083"/>
      <c r="F32" s="1082">
        <f t="shared" si="1"/>
        <v>0.105</v>
      </c>
      <c r="G32" s="1083">
        <f t="shared" si="1"/>
        <v>0.13100000000000001</v>
      </c>
      <c r="H32" s="1083">
        <f t="shared" si="1"/>
        <v>0.108</v>
      </c>
      <c r="I32" s="1083">
        <f t="shared" si="1"/>
        <v>6.4899161217342627E-2</v>
      </c>
      <c r="J32" s="1082">
        <f t="shared" si="1"/>
        <v>1.8999999999999996E-2</v>
      </c>
      <c r="K32" s="1083">
        <f t="shared" si="1"/>
        <v>4.5999999999999999E-2</v>
      </c>
      <c r="L32" s="1083">
        <f t="shared" si="1"/>
        <v>3.0000000000000002E-2</v>
      </c>
      <c r="M32" s="1083">
        <f t="shared" si="1"/>
        <v>2.6755214456785914E-2</v>
      </c>
      <c r="N32" s="1082">
        <f t="shared" si="1"/>
        <v>-1.2E-2</v>
      </c>
      <c r="O32" s="1083">
        <f t="shared" si="1"/>
        <v>-4.0000000000000018E-3</v>
      </c>
      <c r="P32" s="1083">
        <f t="shared" si="2"/>
        <v>-2.9999999999999992E-3</v>
      </c>
      <c r="Q32" s="1083">
        <f t="shared" si="2"/>
        <v>5.455224721808128E-2</v>
      </c>
      <c r="R32" s="1082">
        <f t="shared" si="2"/>
        <v>4.4999999999999998E-2</v>
      </c>
      <c r="S32" s="1083">
        <f t="shared" si="2"/>
        <v>5.2999999999999999E-2</v>
      </c>
      <c r="T32" s="1083">
        <f t="shared" si="2"/>
        <v>4.3557555023459031E-2</v>
      </c>
      <c r="U32" s="1083">
        <f t="shared" si="2"/>
        <v>0.10453623969774981</v>
      </c>
      <c r="V32" s="1082">
        <f t="shared" si="2"/>
        <v>0.115</v>
      </c>
      <c r="W32" s="1083">
        <f t="shared" si="2"/>
        <v>6.4000000000000001E-2</v>
      </c>
      <c r="X32" s="1083">
        <f t="shared" si="2"/>
        <v>5.5557555023459035E-2</v>
      </c>
      <c r="Y32" s="1083">
        <f t="shared" si="2"/>
        <v>7.3659782673103996E-2</v>
      </c>
      <c r="Z32" s="1082">
        <f t="shared" ref="Z32:AW32" si="5">IFERROR(Z7+V7,"NM")</f>
        <v>8.4000000000000005E-2</v>
      </c>
      <c r="AA32" s="1083">
        <f t="shared" si="5"/>
        <v>4.5999999999999999E-2</v>
      </c>
      <c r="AB32" s="1083">
        <f t="shared" si="5"/>
        <v>4.5999999999999999E-2</v>
      </c>
      <c r="AC32" s="1083">
        <f t="shared" si="5"/>
        <v>4.6356094640311478E-2</v>
      </c>
      <c r="AD32" s="1082">
        <f t="shared" si="5"/>
        <v>2.0999999999999998E-2</v>
      </c>
      <c r="AE32" s="1083">
        <f t="shared" si="5"/>
        <v>4.4999999999999998E-2</v>
      </c>
      <c r="AF32" s="1083">
        <f t="shared" si="5"/>
        <v>6.6000000000000003E-2</v>
      </c>
      <c r="AG32" s="1083">
        <f t="shared" si="5"/>
        <v>7.4032503116455206E-2</v>
      </c>
      <c r="AH32" s="1082">
        <f t="shared" si="5"/>
        <v>3.9E-2</v>
      </c>
      <c r="AI32" s="1083">
        <f t="shared" si="5"/>
        <v>6.4000000000000001E-2</v>
      </c>
      <c r="AJ32" s="1083">
        <f t="shared" si="5"/>
        <v>8.2000000000000003E-2</v>
      </c>
      <c r="AK32" s="1083">
        <f t="shared" si="5"/>
        <v>9.4577132017509988E-2</v>
      </c>
      <c r="AL32" s="1082">
        <f t="shared" si="5"/>
        <v>5.5000000000000007E-2</v>
      </c>
      <c r="AM32" s="1083">
        <f t="shared" si="5"/>
        <v>6.9000000000000006E-2</v>
      </c>
      <c r="AN32" s="1083">
        <f t="shared" si="5"/>
        <v>5.6000000000000008E-2</v>
      </c>
      <c r="AO32" s="1083">
        <f t="shared" si="5"/>
        <v>7.3941373760083834E-2</v>
      </c>
      <c r="AP32" s="1082">
        <f t="shared" si="5"/>
        <v>7.9000000000000001E-2</v>
      </c>
      <c r="AQ32" s="1083">
        <f>IFERROR(AQ7+AM7,"NM")</f>
        <v>3.7999999999999999E-2</v>
      </c>
      <c r="AR32" s="1083">
        <f t="shared" si="5"/>
        <v>4.1000000000000002E-2</v>
      </c>
      <c r="AS32" s="1083" t="str">
        <f t="shared" si="5"/>
        <v>NM</v>
      </c>
      <c r="AT32" s="1082" t="str">
        <f t="shared" si="5"/>
        <v>NM</v>
      </c>
      <c r="AU32" s="1083" t="str">
        <f t="shared" si="5"/>
        <v>NM</v>
      </c>
      <c r="AV32" s="1083" t="str">
        <f t="shared" si="5"/>
        <v>NM</v>
      </c>
      <c r="AW32" s="1083" t="str">
        <f t="shared" si="5"/>
        <v>NM</v>
      </c>
      <c r="AX32" s="297"/>
      <c r="AY32" s="282"/>
      <c r="AZ32" s="297"/>
      <c r="BA32" s="297"/>
      <c r="BB32" s="297"/>
      <c r="BC32" s="297"/>
      <c r="BD32" s="297"/>
      <c r="BE32" s="297"/>
      <c r="BF32" s="297"/>
      <c r="BG32" s="297"/>
      <c r="BH32" s="297"/>
      <c r="BI32" s="297"/>
      <c r="BJ32" s="297"/>
      <c r="BK32" s="297"/>
      <c r="BL32" s="297"/>
      <c r="BM32" s="297"/>
      <c r="BN32" s="297"/>
      <c r="BO32" s="297"/>
      <c r="BP32" s="297"/>
      <c r="BQ32" s="297"/>
      <c r="BR32" s="297"/>
      <c r="BS32" s="297"/>
      <c r="BT32" s="297"/>
      <c r="BU32" s="297"/>
      <c r="BV32" s="297"/>
      <c r="BW32" s="297"/>
    </row>
    <row r="33" spans="1:75" x14ac:dyDescent="0.2">
      <c r="A33" s="1091" t="str">
        <f>A8</f>
        <v>Core gr. - Dental Equipment</v>
      </c>
      <c r="B33" s="1095"/>
      <c r="C33" s="1093"/>
      <c r="D33" s="1093"/>
      <c r="E33" s="1093"/>
      <c r="F33" s="1092">
        <f t="shared" si="1"/>
        <v>0.33299999999999996</v>
      </c>
      <c r="G33" s="1093">
        <f t="shared" si="1"/>
        <v>0.32200000000000001</v>
      </c>
      <c r="H33" s="1093">
        <f t="shared" si="1"/>
        <v>0.27500000000000002</v>
      </c>
      <c r="I33" s="1093">
        <f t="shared" si="1"/>
        <v>0.11341217137164539</v>
      </c>
      <c r="J33" s="1092">
        <f t="shared" si="1"/>
        <v>4.7000000000000007E-2</v>
      </c>
      <c r="K33" s="1093">
        <f t="shared" si="1"/>
        <v>-8.0999999999999989E-2</v>
      </c>
      <c r="L33" s="1093">
        <f t="shared" si="1"/>
        <v>-0.1</v>
      </c>
      <c r="M33" s="1093">
        <f t="shared" si="1"/>
        <v>-0.15145915807489291</v>
      </c>
      <c r="N33" s="1092">
        <f t="shared" si="1"/>
        <v>-4.5999999999999999E-2</v>
      </c>
      <c r="O33" s="1093">
        <f t="shared" si="1"/>
        <v>-9.9999999999999992E-2</v>
      </c>
      <c r="P33" s="1093">
        <f t="shared" si="2"/>
        <v>-0.12100000000000001</v>
      </c>
      <c r="Q33" s="1093">
        <f t="shared" si="2"/>
        <v>-8.5504844936061669E-2</v>
      </c>
      <c r="R33" s="1092">
        <f t="shared" si="2"/>
        <v>1.7999999999999999E-2</v>
      </c>
      <c r="S33" s="1093">
        <f t="shared" si="2"/>
        <v>9.2999999999999999E-2</v>
      </c>
      <c r="T33" s="1093">
        <f t="shared" si="2"/>
        <v>-8.0000000000000019E-3</v>
      </c>
      <c r="U33" s="1093">
        <f t="shared" si="2"/>
        <v>-1.3064609706215896E-2</v>
      </c>
      <c r="V33" s="1092">
        <f t="shared" si="2"/>
        <v>1.0999999999999999E-2</v>
      </c>
      <c r="W33" s="1093">
        <f t="shared" si="2"/>
        <v>2.4E-2</v>
      </c>
      <c r="X33" s="1093">
        <f t="shared" si="2"/>
        <v>-1.3000000000000001E-2</v>
      </c>
      <c r="Y33" s="1093">
        <f t="shared" si="2"/>
        <v>8.5953485708693947E-2</v>
      </c>
      <c r="Z33" s="1092">
        <f t="shared" ref="Z33:AW33" si="6">IFERROR(Z8+V8,"NM")</f>
        <v>-2.1999999999999999E-2</v>
      </c>
      <c r="AA33" s="1093">
        <f t="shared" si="6"/>
        <v>6.5000000000000002E-2</v>
      </c>
      <c r="AB33" s="1093">
        <f t="shared" si="6"/>
        <v>7.1000000000000008E-2</v>
      </c>
      <c r="AC33" s="1093">
        <f t="shared" si="6"/>
        <v>0.11439987190530651</v>
      </c>
      <c r="AD33" s="1092">
        <f t="shared" si="6"/>
        <v>7.3999999999999996E-2</v>
      </c>
      <c r="AE33" s="1093">
        <f t="shared" si="6"/>
        <v>0.09</v>
      </c>
      <c r="AF33" s="1093">
        <f t="shared" si="6"/>
        <v>0.11399999999999999</v>
      </c>
      <c r="AG33" s="1093">
        <f t="shared" si="6"/>
        <v>4.987915666087965E-4</v>
      </c>
      <c r="AH33" s="1092">
        <f t="shared" si="6"/>
        <v>0.14300000000000002</v>
      </c>
      <c r="AI33" s="1093">
        <f t="shared" si="6"/>
        <v>7.6999999999999999E-2</v>
      </c>
      <c r="AJ33" s="1093">
        <f t="shared" si="6"/>
        <v>0.10999999999999999</v>
      </c>
      <c r="AK33" s="1093">
        <f t="shared" si="6"/>
        <v>7.9477596986781487E-2</v>
      </c>
      <c r="AL33" s="1092">
        <f t="shared" si="6"/>
        <v>0.14600000000000002</v>
      </c>
      <c r="AM33" s="1093">
        <f t="shared" si="6"/>
        <v>7.0000000000000007E-2</v>
      </c>
      <c r="AN33" s="1093">
        <f t="shared" si="6"/>
        <v>0.158</v>
      </c>
      <c r="AO33" s="1093">
        <f t="shared" si="6"/>
        <v>0.10035669304331242</v>
      </c>
      <c r="AP33" s="1092">
        <f t="shared" si="6"/>
        <v>7.5999999999999998E-2</v>
      </c>
      <c r="AQ33" s="1093">
        <f t="shared" si="6"/>
        <v>0.13200000000000001</v>
      </c>
      <c r="AR33" s="1093">
        <f t="shared" si="6"/>
        <v>0.10400000000000001</v>
      </c>
      <c r="AS33" s="1093" t="str">
        <f t="shared" si="6"/>
        <v>NM</v>
      </c>
      <c r="AT33" s="1092" t="str">
        <f t="shared" si="6"/>
        <v>NM</v>
      </c>
      <c r="AU33" s="1093" t="str">
        <f t="shared" si="6"/>
        <v>NM</v>
      </c>
      <c r="AV33" s="1093" t="str">
        <f t="shared" si="6"/>
        <v>NM</v>
      </c>
      <c r="AW33" s="1093" t="str">
        <f t="shared" si="6"/>
        <v>NM</v>
      </c>
      <c r="AX33" s="297"/>
      <c r="AY33" s="282"/>
      <c r="AZ33" s="297"/>
      <c r="BA33" s="297"/>
      <c r="BB33" s="297"/>
      <c r="BC33" s="297"/>
      <c r="BD33" s="297"/>
      <c r="BE33" s="297"/>
      <c r="BF33" s="297"/>
      <c r="BG33" s="297"/>
      <c r="BH33" s="297"/>
      <c r="BI33" s="297"/>
      <c r="BJ33" s="297"/>
      <c r="BK33" s="297"/>
      <c r="BL33" s="297"/>
      <c r="BM33" s="297"/>
      <c r="BN33" s="297"/>
      <c r="BO33" s="297"/>
      <c r="BP33" s="297"/>
      <c r="BQ33" s="297"/>
      <c r="BR33" s="297"/>
      <c r="BS33" s="297"/>
      <c r="BT33" s="297"/>
      <c r="BU33" s="297"/>
      <c r="BV33" s="297"/>
      <c r="BW33" s="297"/>
    </row>
    <row r="34" spans="1:75" hidden="1" outlineLevel="1" x14ac:dyDescent="0.2">
      <c r="A34" s="375" t="str">
        <f>A9</f>
        <v>North America</v>
      </c>
      <c r="B34" s="1094"/>
      <c r="C34" s="1083"/>
      <c r="D34" s="1083"/>
      <c r="E34" s="1083"/>
      <c r="F34" s="1082">
        <f t="shared" si="1"/>
        <v>0.154</v>
      </c>
      <c r="G34" s="1083">
        <f t="shared" si="1"/>
        <v>0.17699999999999999</v>
      </c>
      <c r="H34" s="1083">
        <f t="shared" si="1"/>
        <v>0.14800000000000002</v>
      </c>
      <c r="I34" s="1083">
        <f t="shared" si="1"/>
        <v>9.0999999999999998E-2</v>
      </c>
      <c r="J34" s="1082">
        <f t="shared" si="1"/>
        <v>2.4999999999999994E-2</v>
      </c>
      <c r="K34" s="1083">
        <f t="shared" si="1"/>
        <v>1.1999999999999997E-2</v>
      </c>
      <c r="L34" s="1083">
        <f t="shared" si="1"/>
        <v>-5.0000000000000044E-3</v>
      </c>
      <c r="M34" s="1083">
        <f t="shared" si="1"/>
        <v>-2.8000000000000001E-2</v>
      </c>
      <c r="N34" s="1082">
        <f t="shared" si="1"/>
        <v>-0.02</v>
      </c>
      <c r="O34" s="1083">
        <f t="shared" si="1"/>
        <v>-3.2000000000000001E-2</v>
      </c>
      <c r="P34" s="1083">
        <f t="shared" si="2"/>
        <v>-3.4000000000000002E-2</v>
      </c>
      <c r="Q34" s="1083">
        <f t="shared" si="2"/>
        <v>5.0000000000000044E-3</v>
      </c>
      <c r="R34" s="1082">
        <f t="shared" si="2"/>
        <v>3.8999999999999993E-2</v>
      </c>
      <c r="S34" s="1083">
        <f t="shared" si="2"/>
        <v>6.2E-2</v>
      </c>
      <c r="T34" s="1083">
        <f t="shared" si="2"/>
        <v>3.3000000000000002E-2</v>
      </c>
      <c r="U34" s="1083">
        <f t="shared" si="2"/>
        <v>7.5000000000000011E-2</v>
      </c>
      <c r="V34" s="1082">
        <f t="shared" si="2"/>
        <v>7.3999999999999996E-2</v>
      </c>
      <c r="W34" s="1083">
        <f t="shared" si="2"/>
        <v>6.6000000000000003E-2</v>
      </c>
      <c r="X34" s="1083">
        <f t="shared" si="2"/>
        <v>4.9000000000000002E-2</v>
      </c>
      <c r="Y34" s="1083">
        <f t="shared" si="2"/>
        <v>0.115</v>
      </c>
      <c r="Z34" s="1082">
        <f t="shared" ref="Z34:AW34" si="7">IFERROR(Z9+V9,"NM")</f>
        <v>5.6000000000000001E-2</v>
      </c>
      <c r="AA34" s="1083">
        <f t="shared" si="7"/>
        <v>6.8000000000000005E-2</v>
      </c>
      <c r="AB34" s="1083">
        <f t="shared" si="7"/>
        <v>7.9000000000000001E-2</v>
      </c>
      <c r="AC34" s="1083">
        <f t="shared" si="7"/>
        <v>9.1000000000000011E-2</v>
      </c>
      <c r="AD34" s="1082">
        <f t="shared" si="7"/>
        <v>4.7E-2</v>
      </c>
      <c r="AE34" s="1083">
        <f t="shared" si="7"/>
        <v>7.8999999999999987E-2</v>
      </c>
      <c r="AF34" s="1083">
        <f t="shared" si="7"/>
        <v>0.10300000000000001</v>
      </c>
      <c r="AG34" s="1083">
        <f t="shared" si="7"/>
        <v>4.0000000000000008E-2</v>
      </c>
      <c r="AH34" s="1082">
        <f t="shared" si="7"/>
        <v>7.9999999999999988E-2</v>
      </c>
      <c r="AI34" s="1083">
        <f t="shared" si="7"/>
        <v>7.9999999999999988E-2</v>
      </c>
      <c r="AJ34" s="1083">
        <f t="shared" si="7"/>
        <v>9.9000000000000005E-2</v>
      </c>
      <c r="AK34" s="1083">
        <f t="shared" si="7"/>
        <v>9.5000000000000001E-2</v>
      </c>
      <c r="AL34" s="1082">
        <f t="shared" si="7"/>
        <v>0.108</v>
      </c>
      <c r="AM34" s="1083">
        <f t="shared" si="7"/>
        <v>5.6999999999999995E-2</v>
      </c>
      <c r="AN34" s="1083">
        <f t="shared" si="7"/>
        <v>8.7999999999999995E-2</v>
      </c>
      <c r="AO34" s="1083">
        <f t="shared" si="7"/>
        <v>9.799999999999999E-2</v>
      </c>
      <c r="AP34" s="1082">
        <f t="shared" si="7"/>
        <v>7.2000000000000008E-2</v>
      </c>
      <c r="AQ34" s="1083">
        <f t="shared" si="7"/>
        <v>5.8000000000000003E-2</v>
      </c>
      <c r="AR34" s="1083">
        <f t="shared" si="7"/>
        <v>6.6779243575576505E-2</v>
      </c>
      <c r="AS34" s="1083">
        <f t="shared" si="7"/>
        <v>8.8999999999999996E-2</v>
      </c>
      <c r="AT34" s="1082">
        <f t="shared" si="7"/>
        <v>7.1000000000000008E-2</v>
      </c>
      <c r="AU34" s="1083">
        <f t="shared" si="7"/>
        <v>6.8000000000000005E-2</v>
      </c>
      <c r="AV34" s="1083">
        <f t="shared" si="7"/>
        <v>6.7779243575576506E-2</v>
      </c>
      <c r="AW34" s="1083">
        <f t="shared" si="7"/>
        <v>6.7000000000000004E-2</v>
      </c>
      <c r="AX34" s="297"/>
      <c r="AY34" s="282"/>
      <c r="AZ34" s="297"/>
      <c r="BA34" s="297"/>
      <c r="BB34" s="297"/>
      <c r="BC34" s="297"/>
      <c r="BD34" s="297"/>
      <c r="BE34" s="297"/>
      <c r="BF34" s="297"/>
      <c r="BG34" s="297"/>
      <c r="BH34" s="297"/>
      <c r="BI34" s="297"/>
      <c r="BJ34" s="297"/>
      <c r="BK34" s="297"/>
      <c r="BL34" s="297"/>
      <c r="BM34" s="297"/>
      <c r="BN34" s="297"/>
      <c r="BO34" s="297"/>
      <c r="BP34" s="297"/>
      <c r="BQ34" s="297"/>
      <c r="BR34" s="297"/>
      <c r="BS34" s="297"/>
      <c r="BT34" s="297"/>
      <c r="BU34" s="297"/>
      <c r="BV34" s="297"/>
      <c r="BW34" s="297"/>
    </row>
    <row r="35" spans="1:75" hidden="1" outlineLevel="1" x14ac:dyDescent="0.2">
      <c r="A35" s="1114" t="s">
        <v>571</v>
      </c>
      <c r="B35" s="1094"/>
      <c r="C35" s="1083"/>
      <c r="D35" s="1083"/>
      <c r="E35" s="1083"/>
      <c r="F35" s="1082"/>
      <c r="G35" s="1083"/>
      <c r="H35" s="1083"/>
      <c r="I35" s="1083"/>
      <c r="J35" s="1082"/>
      <c r="K35" s="1083"/>
      <c r="L35" s="1083"/>
      <c r="M35" s="1083"/>
      <c r="N35" s="1082"/>
      <c r="O35" s="1083"/>
      <c r="P35" s="1083"/>
      <c r="Q35" s="1083"/>
      <c r="R35" s="1082"/>
      <c r="S35" s="1083"/>
      <c r="T35" s="1083"/>
      <c r="U35" s="1083"/>
      <c r="V35" s="1082"/>
      <c r="W35" s="1083"/>
      <c r="X35" s="1083"/>
      <c r="Y35" s="1083"/>
      <c r="Z35" s="1082">
        <f t="shared" ref="Z35:AI36" si="8">IFERROR(Z10+V10,"NM")</f>
        <v>8.3999999999999991E-2</v>
      </c>
      <c r="AA35" s="1083">
        <f t="shared" si="8"/>
        <v>6.0999999999999999E-2</v>
      </c>
      <c r="AB35" s="1083">
        <f t="shared" si="8"/>
        <v>5.7000000000000002E-2</v>
      </c>
      <c r="AC35" s="1083">
        <f t="shared" si="8"/>
        <v>5.1999999999999998E-2</v>
      </c>
      <c r="AD35" s="1082">
        <f t="shared" si="8"/>
        <v>3.5999999999999997E-2</v>
      </c>
      <c r="AE35" s="1083">
        <f t="shared" si="8"/>
        <v>6.7000000000000004E-2</v>
      </c>
      <c r="AF35" s="1083">
        <f t="shared" si="8"/>
        <v>0.09</v>
      </c>
      <c r="AG35" s="1083">
        <f t="shared" si="8"/>
        <v>9.1999999999999998E-2</v>
      </c>
      <c r="AH35" s="1082">
        <f t="shared" si="8"/>
        <v>6.7000000000000004E-2</v>
      </c>
      <c r="AI35" s="1083">
        <f t="shared" si="8"/>
        <v>7.9000000000000001E-2</v>
      </c>
      <c r="AJ35" s="1083">
        <f t="shared" ref="AJ35:AS36" si="9">IFERROR(AJ10+AF10,"NM")</f>
        <v>9.4E-2</v>
      </c>
      <c r="AK35" s="1083">
        <f t="shared" si="9"/>
        <v>0.11</v>
      </c>
      <c r="AL35" s="1082">
        <f t="shared" si="9"/>
        <v>0.09</v>
      </c>
      <c r="AM35" s="1083">
        <f t="shared" si="9"/>
        <v>7.6999999999999999E-2</v>
      </c>
      <c r="AN35" s="1083">
        <f t="shared" si="9"/>
        <v>6.0999999999999999E-2</v>
      </c>
      <c r="AO35" s="1083">
        <f t="shared" si="9"/>
        <v>0.08</v>
      </c>
      <c r="AP35" s="1082">
        <f t="shared" si="9"/>
        <v>7.5999999999999998E-2</v>
      </c>
      <c r="AQ35" s="1083">
        <f t="shared" si="9"/>
        <v>4.1000000000000002E-2</v>
      </c>
      <c r="AR35" s="1083">
        <f t="shared" si="9"/>
        <v>0.05</v>
      </c>
      <c r="AS35" s="1083">
        <f t="shared" si="9"/>
        <v>5.1000000000000004E-2</v>
      </c>
      <c r="AT35" s="1082">
        <f t="shared" ref="AT35:AW36" si="10">IFERROR(AT10+AP10,"NM")</f>
        <v>5.5000000000000007E-2</v>
      </c>
      <c r="AU35" s="1083">
        <f t="shared" si="10"/>
        <v>4.3000000000000003E-2</v>
      </c>
      <c r="AV35" s="1083">
        <f t="shared" si="10"/>
        <v>5.2000000000000005E-2</v>
      </c>
      <c r="AW35" s="1083">
        <f t="shared" si="10"/>
        <v>5.7000000000000002E-2</v>
      </c>
      <c r="AX35" s="297"/>
      <c r="AY35" s="282"/>
      <c r="AZ35" s="297"/>
      <c r="BA35" s="297"/>
      <c r="BB35" s="297"/>
      <c r="BC35" s="297"/>
      <c r="BD35" s="297"/>
      <c r="BE35" s="297"/>
      <c r="BF35" s="297"/>
      <c r="BG35" s="297"/>
      <c r="BH35" s="297"/>
      <c r="BI35" s="297"/>
      <c r="BJ35" s="297"/>
      <c r="BK35" s="297"/>
      <c r="BL35" s="297"/>
      <c r="BM35" s="297"/>
      <c r="BN35" s="297"/>
      <c r="BO35" s="297"/>
      <c r="BP35" s="297"/>
      <c r="BQ35" s="297"/>
      <c r="BR35" s="297"/>
      <c r="BS35" s="297"/>
      <c r="BT35" s="297"/>
      <c r="BU35" s="297"/>
      <c r="BV35" s="297"/>
      <c r="BW35" s="297"/>
    </row>
    <row r="36" spans="1:75" hidden="1" outlineLevel="1" x14ac:dyDescent="0.2">
      <c r="A36" s="1115" t="s">
        <v>572</v>
      </c>
      <c r="B36" s="1092"/>
      <c r="C36" s="1093"/>
      <c r="D36" s="1093"/>
      <c r="E36" s="1093"/>
      <c r="F36" s="1092"/>
      <c r="G36" s="1093"/>
      <c r="H36" s="1093"/>
      <c r="I36" s="1093"/>
      <c r="J36" s="1092"/>
      <c r="K36" s="1093"/>
      <c r="L36" s="1093"/>
      <c r="M36" s="1093"/>
      <c r="N36" s="1092"/>
      <c r="O36" s="1093"/>
      <c r="P36" s="1093"/>
      <c r="Q36" s="1093"/>
      <c r="R36" s="1092"/>
      <c r="S36" s="1093"/>
      <c r="T36" s="1093"/>
      <c r="U36" s="1093"/>
      <c r="V36" s="1092"/>
      <c r="W36" s="1093"/>
      <c r="X36" s="1093"/>
      <c r="Y36" s="1093"/>
      <c r="Z36" s="1092">
        <f t="shared" si="8"/>
        <v>-5.3999999999999999E-2</v>
      </c>
      <c r="AA36" s="1093">
        <f t="shared" si="8"/>
        <v>9.2999999999999999E-2</v>
      </c>
      <c r="AB36" s="1093">
        <f t="shared" si="8"/>
        <v>0.155</v>
      </c>
      <c r="AC36" s="1093">
        <f t="shared" si="8"/>
        <v>0.19500000000000001</v>
      </c>
      <c r="AD36" s="1092">
        <f t="shared" si="8"/>
        <v>0.159</v>
      </c>
      <c r="AE36" s="1093">
        <f t="shared" si="8"/>
        <v>0.122</v>
      </c>
      <c r="AF36" s="1093">
        <f t="shared" si="8"/>
        <v>0.151</v>
      </c>
      <c r="AG36" s="1093">
        <f t="shared" si="8"/>
        <v>-7.1000000000000008E-2</v>
      </c>
      <c r="AH36" s="1092">
        <f t="shared" si="8"/>
        <v>0.20200000000000001</v>
      </c>
      <c r="AI36" s="1093">
        <f t="shared" si="8"/>
        <v>8.8999999999999996E-2</v>
      </c>
      <c r="AJ36" s="1093">
        <f t="shared" si="9"/>
        <v>0.11599999999999999</v>
      </c>
      <c r="AK36" s="1093">
        <f t="shared" si="9"/>
        <v>6.8000000000000005E-2</v>
      </c>
      <c r="AL36" s="1092">
        <f t="shared" si="9"/>
        <v>0.18</v>
      </c>
      <c r="AM36" s="1093">
        <f t="shared" si="9"/>
        <v>8.0000000000000002E-3</v>
      </c>
      <c r="AN36" s="1093">
        <f t="shared" si="9"/>
        <v>0.19700000000000001</v>
      </c>
      <c r="AO36" s="1093">
        <f t="shared" si="9"/>
        <v>0.14200000000000002</v>
      </c>
      <c r="AP36" s="1092">
        <f t="shared" si="9"/>
        <v>8.0000000000000016E-2</v>
      </c>
      <c r="AQ36" s="1093">
        <f t="shared" si="9"/>
        <v>0.17499999999999999</v>
      </c>
      <c r="AR36" s="1093">
        <f t="shared" si="9"/>
        <v>0.14300000000000002</v>
      </c>
      <c r="AS36" s="1093">
        <f t="shared" si="9"/>
        <v>0.20799999999999999</v>
      </c>
      <c r="AT36" s="1092">
        <f t="shared" si="10"/>
        <v>0.15420926819971911</v>
      </c>
      <c r="AU36" s="1093">
        <f t="shared" si="10"/>
        <v>0.19485389503204251</v>
      </c>
      <c r="AV36" s="1093">
        <f t="shared" si="10"/>
        <v>0.12785867195635348</v>
      </c>
      <c r="AW36" s="1093">
        <f t="shared" si="10"/>
        <v>9.2397557334523206E-2</v>
      </c>
      <c r="AX36" s="297"/>
      <c r="AY36" s="282"/>
      <c r="AZ36" s="297"/>
      <c r="BA36" s="297"/>
      <c r="BB36" s="297"/>
      <c r="BC36" s="297"/>
      <c r="BD36" s="297"/>
      <c r="BE36" s="297"/>
      <c r="BF36" s="297"/>
      <c r="BG36" s="297"/>
      <c r="BH36" s="297"/>
      <c r="BI36" s="297"/>
      <c r="BJ36" s="297"/>
      <c r="BK36" s="297"/>
      <c r="BL36" s="297"/>
      <c r="BM36" s="297"/>
      <c r="BN36" s="297"/>
      <c r="BO36" s="297"/>
      <c r="BP36" s="297"/>
      <c r="BQ36" s="297"/>
      <c r="BR36" s="297"/>
      <c r="BS36" s="297"/>
      <c r="BT36" s="297"/>
      <c r="BU36" s="297"/>
      <c r="BV36" s="297"/>
      <c r="BW36" s="297"/>
    </row>
    <row r="37" spans="1:75" s="1102" customFormat="1" hidden="1" outlineLevel="1" x14ac:dyDescent="0.2">
      <c r="A37" s="375" t="str">
        <f>A12</f>
        <v>International</v>
      </c>
      <c r="B37" s="1094"/>
      <c r="C37" s="1083"/>
      <c r="D37" s="1083"/>
      <c r="E37" s="1083"/>
      <c r="F37" s="1082" t="str">
        <f t="shared" ref="F37:Y37" si="11">IFERROR(F12+B12,"NM")</f>
        <v>NM</v>
      </c>
      <c r="G37" s="1083" t="str">
        <f t="shared" si="11"/>
        <v>NM</v>
      </c>
      <c r="H37" s="1083" t="str">
        <f t="shared" si="11"/>
        <v>NM</v>
      </c>
      <c r="I37" s="1083" t="str">
        <f t="shared" si="11"/>
        <v>NM</v>
      </c>
      <c r="J37" s="1082" t="str">
        <f t="shared" si="11"/>
        <v>NM</v>
      </c>
      <c r="K37" s="1083" t="str">
        <f t="shared" si="11"/>
        <v>NM</v>
      </c>
      <c r="L37" s="1083" t="str">
        <f t="shared" si="11"/>
        <v>NM</v>
      </c>
      <c r="M37" s="1083" t="str">
        <f t="shared" si="11"/>
        <v>NM</v>
      </c>
      <c r="N37" s="1082" t="str">
        <f t="shared" si="11"/>
        <v>NM</v>
      </c>
      <c r="O37" s="1083" t="str">
        <f t="shared" si="11"/>
        <v>NM</v>
      </c>
      <c r="P37" s="1083" t="str">
        <f t="shared" si="11"/>
        <v>NM</v>
      </c>
      <c r="Q37" s="1083" t="str">
        <f t="shared" si="11"/>
        <v>NM</v>
      </c>
      <c r="R37" s="1082" t="str">
        <f t="shared" si="11"/>
        <v>NM</v>
      </c>
      <c r="S37" s="1083" t="str">
        <f t="shared" si="11"/>
        <v>NM</v>
      </c>
      <c r="T37" s="1083" t="str">
        <f t="shared" si="11"/>
        <v>NM</v>
      </c>
      <c r="U37" s="1083" t="str">
        <f t="shared" si="11"/>
        <v>NM</v>
      </c>
      <c r="V37" s="1082" t="str">
        <f t="shared" si="11"/>
        <v>NM</v>
      </c>
      <c r="W37" s="1083" t="str">
        <f t="shared" si="11"/>
        <v>NM</v>
      </c>
      <c r="X37" s="1083" t="str">
        <f t="shared" si="11"/>
        <v>NM</v>
      </c>
      <c r="Y37" s="1083" t="str">
        <f t="shared" si="11"/>
        <v>NM</v>
      </c>
      <c r="Z37" s="1082">
        <f t="shared" ref="Z37:AW39" si="12">IFERROR(Z12+V12,"NM")</f>
        <v>6.5000000000000002E-2</v>
      </c>
      <c r="AA37" s="1083">
        <f t="shared" si="12"/>
        <v>2.4000000000000004E-2</v>
      </c>
      <c r="AB37" s="1083">
        <f t="shared" si="12"/>
        <v>8.9999999999999993E-3</v>
      </c>
      <c r="AC37" s="1083">
        <f t="shared" si="12"/>
        <v>2.0000000000000004E-2</v>
      </c>
      <c r="AD37" s="1082">
        <f t="shared" si="12"/>
        <v>9.0000000000000011E-3</v>
      </c>
      <c r="AE37" s="1083">
        <f t="shared" si="12"/>
        <v>1.9000000000000003E-2</v>
      </c>
      <c r="AF37" s="1083">
        <f t="shared" si="12"/>
        <v>3.6000000000000004E-2</v>
      </c>
      <c r="AG37" s="1083">
        <f t="shared" si="12"/>
        <v>6.4000000000000001E-2</v>
      </c>
      <c r="AH37" s="1082">
        <f t="shared" si="12"/>
        <v>3.5000000000000003E-2</v>
      </c>
      <c r="AI37" s="1083">
        <f t="shared" si="12"/>
        <v>4.5999999999999999E-2</v>
      </c>
      <c r="AJ37" s="1083">
        <f t="shared" si="12"/>
        <v>7.3000000000000009E-2</v>
      </c>
      <c r="AK37" s="1083">
        <f t="shared" si="12"/>
        <v>7.8000000000000014E-2</v>
      </c>
      <c r="AL37" s="1082">
        <f t="shared" si="12"/>
        <v>2.5000000000000005E-2</v>
      </c>
      <c r="AM37" s="1083">
        <f t="shared" si="12"/>
        <v>8.8000000000000009E-2</v>
      </c>
      <c r="AN37" s="1083">
        <f t="shared" si="12"/>
        <v>6.7000000000000004E-2</v>
      </c>
      <c r="AO37" s="1083">
        <f t="shared" si="12"/>
        <v>5.5596540629820876E-2</v>
      </c>
      <c r="AP37" s="1082">
        <f t="shared" si="12"/>
        <v>9.1000000000000011E-2</v>
      </c>
      <c r="AQ37" s="1083">
        <f t="shared" si="12"/>
        <v>6.2E-2</v>
      </c>
      <c r="AR37" s="1083">
        <f t="shared" si="12"/>
        <v>6.3E-2</v>
      </c>
      <c r="AS37" s="1083">
        <f t="shared" si="12"/>
        <v>7.5965406298208749E-3</v>
      </c>
      <c r="AT37" s="1082">
        <f t="shared" si="12"/>
        <v>4.8000000000000001E-2</v>
      </c>
      <c r="AU37" s="1083">
        <f t="shared" si="12"/>
        <v>4.9999999999999989E-2</v>
      </c>
      <c r="AV37" s="1083">
        <f t="shared" si="12"/>
        <v>5.2000000000000005E-2</v>
      </c>
      <c r="AW37" s="1083">
        <f t="shared" si="12"/>
        <v>5.1000000000000004E-2</v>
      </c>
      <c r="AX37" s="1101"/>
      <c r="AY37" s="282"/>
      <c r="AZ37" s="1101"/>
      <c r="BA37" s="1101"/>
      <c r="BB37" s="1101"/>
      <c r="BC37" s="1101"/>
      <c r="BD37" s="1101"/>
      <c r="BE37" s="1101"/>
      <c r="BF37" s="1101"/>
      <c r="BG37" s="1101"/>
      <c r="BH37" s="1101"/>
      <c r="BI37" s="1101"/>
      <c r="BJ37" s="1101"/>
      <c r="BK37" s="1101"/>
      <c r="BL37" s="1101"/>
      <c r="BM37" s="1101"/>
      <c r="BN37" s="1101"/>
      <c r="BO37" s="1101"/>
      <c r="BP37" s="1101"/>
      <c r="BQ37" s="1101"/>
      <c r="BR37" s="1101"/>
      <c r="BS37" s="1101"/>
      <c r="BT37" s="1101"/>
      <c r="BU37" s="1101"/>
      <c r="BV37" s="1101"/>
      <c r="BW37" s="1101"/>
    </row>
    <row r="38" spans="1:75" s="1102" customFormat="1" hidden="1" outlineLevel="1" x14ac:dyDescent="0.2">
      <c r="A38" s="1114" t="s">
        <v>571</v>
      </c>
      <c r="B38" s="1094"/>
      <c r="C38" s="1083"/>
      <c r="D38" s="1083"/>
      <c r="E38" s="1083"/>
      <c r="F38" s="1082"/>
      <c r="G38" s="1083"/>
      <c r="H38" s="1083"/>
      <c r="I38" s="1083"/>
      <c r="J38" s="1082"/>
      <c r="K38" s="1083"/>
      <c r="L38" s="1083"/>
      <c r="M38" s="1083"/>
      <c r="N38" s="1082"/>
      <c r="O38" s="1083"/>
      <c r="P38" s="1083"/>
      <c r="Q38" s="1083"/>
      <c r="R38" s="1082"/>
      <c r="S38" s="1083"/>
      <c r="T38" s="1083"/>
      <c r="U38" s="1083"/>
      <c r="V38" s="1082"/>
      <c r="W38" s="1083"/>
      <c r="X38" s="1083"/>
      <c r="Y38" s="1083"/>
      <c r="Z38" s="1082">
        <f t="shared" si="12"/>
        <v>8.3000000000000004E-2</v>
      </c>
      <c r="AA38" s="1083">
        <f t="shared" si="12"/>
        <v>2.1000000000000005E-2</v>
      </c>
      <c r="AB38" s="1083">
        <f t="shared" si="12"/>
        <v>2.6000000000000002E-2</v>
      </c>
      <c r="AC38" s="1083">
        <f t="shared" si="12"/>
        <v>3.6999999999999998E-2</v>
      </c>
      <c r="AD38" s="1082">
        <f t="shared" si="12"/>
        <v>1.6E-2</v>
      </c>
      <c r="AE38" s="1083">
        <f t="shared" si="12"/>
        <v>8.0000000000000019E-3</v>
      </c>
      <c r="AF38" s="1083">
        <f t="shared" si="12"/>
        <v>2.4E-2</v>
      </c>
      <c r="AG38" s="1083">
        <f t="shared" si="12"/>
        <v>4.5999999999999999E-2</v>
      </c>
      <c r="AH38" s="1082">
        <f t="shared" si="12"/>
        <v>4.9000000000000002E-2</v>
      </c>
      <c r="AI38" s="1083">
        <f t="shared" si="12"/>
        <v>4.1000000000000002E-2</v>
      </c>
      <c r="AJ38" s="1083">
        <f t="shared" si="12"/>
        <v>6.0999999999999999E-2</v>
      </c>
      <c r="AK38" s="1083">
        <f t="shared" si="12"/>
        <v>7.1000000000000008E-2</v>
      </c>
      <c r="AL38" s="1082">
        <f t="shared" si="12"/>
        <v>3.2000000000000001E-2</v>
      </c>
      <c r="AM38" s="1083">
        <f t="shared" si="12"/>
        <v>6.5000000000000002E-2</v>
      </c>
      <c r="AN38" s="1083">
        <f t="shared" si="12"/>
        <v>5.6000000000000001E-2</v>
      </c>
      <c r="AO38" s="1083">
        <f t="shared" si="12"/>
        <v>6.5000000000000002E-2</v>
      </c>
      <c r="AP38" s="1082">
        <f t="shared" si="12"/>
        <v>9.6000000000000002E-2</v>
      </c>
      <c r="AQ38" s="1083">
        <f t="shared" si="12"/>
        <v>5.8999999999999997E-2</v>
      </c>
      <c r="AR38" s="1083">
        <f t="shared" si="12"/>
        <v>6.0999999999999999E-2</v>
      </c>
      <c r="AS38" s="1083">
        <f t="shared" si="12"/>
        <v>-9.9999999999999742E-4</v>
      </c>
      <c r="AT38" s="1082">
        <f t="shared" si="12"/>
        <v>0.06</v>
      </c>
      <c r="AU38" s="1083">
        <f t="shared" si="12"/>
        <v>6.4000000000000001E-2</v>
      </c>
      <c r="AV38" s="1083">
        <f t="shared" si="12"/>
        <v>6.4000000000000001E-2</v>
      </c>
      <c r="AW38" s="1083">
        <f t="shared" si="12"/>
        <v>-5.9999999999999984E-3</v>
      </c>
      <c r="AX38" s="1101"/>
      <c r="AY38" s="282"/>
      <c r="AZ38" s="1101"/>
      <c r="BA38" s="1101"/>
      <c r="BB38" s="1101"/>
      <c r="BC38" s="1101"/>
      <c r="BD38" s="1101"/>
      <c r="BE38" s="1101"/>
      <c r="BF38" s="1101"/>
      <c r="BG38" s="1101"/>
      <c r="BH38" s="1101"/>
      <c r="BI38" s="1101"/>
      <c r="BJ38" s="1101"/>
      <c r="BK38" s="1101"/>
      <c r="BL38" s="1101"/>
      <c r="BM38" s="1101"/>
      <c r="BN38" s="1101"/>
      <c r="BO38" s="1101"/>
      <c r="BP38" s="1101"/>
      <c r="BQ38" s="1101"/>
      <c r="BR38" s="1101"/>
      <c r="BS38" s="1101"/>
      <c r="BT38" s="1101"/>
      <c r="BU38" s="1101"/>
      <c r="BV38" s="1101"/>
      <c r="BW38" s="1101"/>
    </row>
    <row r="39" spans="1:75" s="1102" customFormat="1" hidden="1" outlineLevel="1" x14ac:dyDescent="0.2">
      <c r="A39" s="1115" t="s">
        <v>572</v>
      </c>
      <c r="B39" s="1094"/>
      <c r="C39" s="1083"/>
      <c r="D39" s="1083"/>
      <c r="E39" s="1083"/>
      <c r="F39" s="1082"/>
      <c r="G39" s="1083"/>
      <c r="H39" s="1083"/>
      <c r="I39" s="1083"/>
      <c r="J39" s="1082"/>
      <c r="K39" s="1083"/>
      <c r="L39" s="1083"/>
      <c r="M39" s="1083"/>
      <c r="N39" s="1082"/>
      <c r="O39" s="1083"/>
      <c r="P39" s="1083"/>
      <c r="Q39" s="1083"/>
      <c r="R39" s="1082"/>
      <c r="S39" s="1083"/>
      <c r="T39" s="1083"/>
      <c r="U39" s="1083"/>
      <c r="V39" s="1082"/>
      <c r="W39" s="1083"/>
      <c r="X39" s="1083"/>
      <c r="Y39" s="1083"/>
      <c r="Z39" s="1082">
        <f t="shared" si="12"/>
        <v>1.7000000000000001E-2</v>
      </c>
      <c r="AA39" s="1083">
        <f t="shared" si="12"/>
        <v>4.5999999999999999E-2</v>
      </c>
      <c r="AB39" s="1083">
        <f t="shared" si="12"/>
        <v>5.8999999999999997E-2</v>
      </c>
      <c r="AC39" s="1083">
        <f t="shared" si="12"/>
        <v>-6.0000000000000053E-3</v>
      </c>
      <c r="AD39" s="1092">
        <f t="shared" si="12"/>
        <v>-1.8999999999999996E-2</v>
      </c>
      <c r="AE39" s="1093">
        <f t="shared" si="12"/>
        <v>5.6000000000000001E-2</v>
      </c>
      <c r="AF39" s="1093">
        <f t="shared" si="12"/>
        <v>6.3E-2</v>
      </c>
      <c r="AG39" s="1093">
        <f t="shared" si="12"/>
        <v>0.11199999999999999</v>
      </c>
      <c r="AH39" s="1092">
        <f t="shared" si="12"/>
        <v>7.8E-2</v>
      </c>
      <c r="AI39" s="1093">
        <f t="shared" si="12"/>
        <v>6.3E-2</v>
      </c>
      <c r="AJ39" s="1093">
        <f t="shared" si="12"/>
        <v>0.10200000000000001</v>
      </c>
      <c r="AK39" s="1093">
        <f t="shared" si="12"/>
        <v>9.6000000000000002E-2</v>
      </c>
      <c r="AL39" s="1092">
        <f t="shared" si="12"/>
        <v>9.7000000000000003E-2</v>
      </c>
      <c r="AM39" s="1093">
        <f t="shared" si="12"/>
        <v>0.14899999999999999</v>
      </c>
      <c r="AN39" s="1093">
        <f t="shared" si="12"/>
        <v>9.5000000000000001E-2</v>
      </c>
      <c r="AO39" s="1093">
        <f t="shared" si="12"/>
        <v>3.1000000000000007E-2</v>
      </c>
      <c r="AP39" s="1092">
        <f t="shared" si="12"/>
        <v>7.3999999999999996E-2</v>
      </c>
      <c r="AQ39" s="1093">
        <f t="shared" si="12"/>
        <v>6.7000000000000004E-2</v>
      </c>
      <c r="AR39" s="1093">
        <f t="shared" si="12"/>
        <v>6.8000000000000005E-2</v>
      </c>
      <c r="AS39" s="1093">
        <f t="shared" si="12"/>
        <v>3.7999999999999999E-2</v>
      </c>
      <c r="AT39" s="1092">
        <f t="shared" si="12"/>
        <v>1.0999999999999746E-2</v>
      </c>
      <c r="AU39" s="1093">
        <f t="shared" si="12"/>
        <v>-1.4155801281661648E-3</v>
      </c>
      <c r="AV39" s="1093">
        <f t="shared" si="12"/>
        <v>9.5706640218233309E-3</v>
      </c>
      <c r="AW39" s="1093">
        <f t="shared" si="12"/>
        <v>0.23332293119857206</v>
      </c>
      <c r="AX39" s="1101"/>
      <c r="AY39" s="282"/>
      <c r="AZ39" s="1101"/>
      <c r="BA39" s="1101"/>
      <c r="BB39" s="1101"/>
      <c r="BC39" s="1101"/>
      <c r="BD39" s="1101"/>
      <c r="BE39" s="1101"/>
      <c r="BF39" s="1101"/>
      <c r="BG39" s="1101"/>
      <c r="BH39" s="1101"/>
      <c r="BI39" s="1101"/>
      <c r="BJ39" s="1101"/>
      <c r="BK39" s="1101"/>
      <c r="BL39" s="1101"/>
      <c r="BM39" s="1101"/>
      <c r="BN39" s="1101"/>
      <c r="BO39" s="1101"/>
      <c r="BP39" s="1101"/>
      <c r="BQ39" s="1101"/>
      <c r="BR39" s="1101"/>
      <c r="BS39" s="1101"/>
      <c r="BT39" s="1101"/>
      <c r="BU39" s="1101"/>
      <c r="BV39" s="1101"/>
      <c r="BW39" s="1101"/>
    </row>
    <row r="40" spans="1:75" collapsed="1" x14ac:dyDescent="0.2">
      <c r="A40" s="307" t="str">
        <f t="shared" ref="A40:A51" si="13">A15</f>
        <v>Global Animal Health revenues</v>
      </c>
      <c r="B40" s="1076"/>
      <c r="C40" s="302"/>
      <c r="D40" s="302"/>
      <c r="E40" s="302"/>
      <c r="F40" s="303" t="str">
        <f t="shared" ref="F40:F51" si="14">IFERROR(F15+B15,"NM")</f>
        <v>NM</v>
      </c>
      <c r="G40" s="302" t="str">
        <f t="shared" ref="G40:G51" si="15">IFERROR(G15+C15,"NM")</f>
        <v>NM</v>
      </c>
      <c r="H40" s="302" t="str">
        <f t="shared" ref="H40:H51" si="16">IFERROR(H15+D15,"NM")</f>
        <v>NM</v>
      </c>
      <c r="I40" s="302" t="str">
        <f t="shared" ref="I40:I51" si="17">IFERROR(I15+E15,"NM")</f>
        <v>NM</v>
      </c>
      <c r="J40" s="303" t="str">
        <f t="shared" ref="J40:J51" si="18">IFERROR(J15+F15,"NM")</f>
        <v>NM</v>
      </c>
      <c r="K40" s="302" t="str">
        <f t="shared" ref="K40:K51" si="19">IFERROR(K15+G15,"NM")</f>
        <v>NM</v>
      </c>
      <c r="L40" s="302" t="str">
        <f t="shared" ref="L40:L51" si="20">IFERROR(L15+H15,"NM")</f>
        <v>NM</v>
      </c>
      <c r="M40" s="302" t="str">
        <f t="shared" ref="M40:M51" si="21">IFERROR(M15+I15,"NM")</f>
        <v>NM</v>
      </c>
      <c r="N40" s="303" t="str">
        <f t="shared" ref="N40:N51" si="22">IFERROR(N15+J15,"NM")</f>
        <v>NM</v>
      </c>
      <c r="O40" s="302" t="str">
        <f t="shared" ref="O40:O51" si="23">IFERROR(O15+K15,"NM")</f>
        <v>NM</v>
      </c>
      <c r="P40" s="302" t="str">
        <f t="shared" ref="P40:P51" si="24">IFERROR(P15+L15,"NM")</f>
        <v>NM</v>
      </c>
      <c r="Q40" s="302" t="str">
        <f t="shared" ref="Q40:Q51" si="25">IFERROR(Q15+M15,"NM")</f>
        <v>NM</v>
      </c>
      <c r="R40" s="303" t="str">
        <f t="shared" ref="R40:R51" si="26">IFERROR(R15+N15,"NM")</f>
        <v>NM</v>
      </c>
      <c r="S40" s="302" t="str">
        <f t="shared" ref="S40:S51" si="27">IFERROR(S15+O15,"NM")</f>
        <v>NM</v>
      </c>
      <c r="T40" s="302" t="str">
        <f t="shared" ref="T40:T51" si="28">IFERROR(T15+P15,"NM")</f>
        <v>NM</v>
      </c>
      <c r="U40" s="302" t="str">
        <f t="shared" ref="U40:U51" si="29">IFERROR(U15+Q15,"NM")</f>
        <v>NM</v>
      </c>
      <c r="V40" s="303" t="str">
        <f t="shared" ref="V40:V51" si="30">IFERROR(V15+R15,"NM")</f>
        <v>NM</v>
      </c>
      <c r="W40" s="302" t="str">
        <f t="shared" ref="W40:W51" si="31">IFERROR(W15+S15,"NM")</f>
        <v>NM</v>
      </c>
      <c r="X40" s="302" t="str">
        <f t="shared" ref="X40:X51" si="32">IFERROR(X15+T15,"NM")</f>
        <v>NM</v>
      </c>
      <c r="Y40" s="302" t="str">
        <f t="shared" ref="Y40:Y51" si="33">IFERROR(Y15+U15,"NM")</f>
        <v>NM</v>
      </c>
      <c r="Z40" s="303">
        <f t="shared" ref="Z40:AW40" si="34">IFERROR(Z15+V15,"NM")</f>
        <v>0.216</v>
      </c>
      <c r="AA40" s="302">
        <f t="shared" si="34"/>
        <v>0.12899999999999998</v>
      </c>
      <c r="AB40" s="302">
        <f t="shared" si="34"/>
        <v>0.15</v>
      </c>
      <c r="AC40" s="302">
        <f t="shared" si="34"/>
        <v>0.15400000000000003</v>
      </c>
      <c r="AD40" s="1117">
        <f t="shared" si="34"/>
        <v>8.8000000000000009E-2</v>
      </c>
      <c r="AE40" s="1118">
        <f t="shared" si="34"/>
        <v>0.11499999999999998</v>
      </c>
      <c r="AF40" s="1118">
        <f t="shared" si="34"/>
        <v>0.14000000000000001</v>
      </c>
      <c r="AG40" s="1118">
        <f t="shared" si="34"/>
        <v>0.126</v>
      </c>
      <c r="AH40" s="1117">
        <f t="shared" si="34"/>
        <v>6.5000000000000002E-2</v>
      </c>
      <c r="AI40" s="1118">
        <f t="shared" si="34"/>
        <v>7.9000000000000001E-2</v>
      </c>
      <c r="AJ40" s="1118">
        <f t="shared" si="34"/>
        <v>8.5999999999999993E-2</v>
      </c>
      <c r="AK40" s="1118">
        <f t="shared" si="34"/>
        <v>0.10100000000000001</v>
      </c>
      <c r="AL40" s="1117">
        <f t="shared" si="34"/>
        <v>0.14300000000000002</v>
      </c>
      <c r="AM40" s="1118">
        <f t="shared" si="34"/>
        <v>0.124</v>
      </c>
      <c r="AN40" s="1118">
        <f t="shared" si="34"/>
        <v>9.0999999999999998E-2</v>
      </c>
      <c r="AO40" s="1118">
        <f t="shared" si="34"/>
        <v>0.10490138705040532</v>
      </c>
      <c r="AP40" s="1117">
        <f t="shared" si="34"/>
        <v>0.16867014167508193</v>
      </c>
      <c r="AQ40" s="1118">
        <f t="shared" si="34"/>
        <v>0.17604479626240932</v>
      </c>
      <c r="AR40" s="1118">
        <f t="shared" si="34"/>
        <v>0.16624390500063907</v>
      </c>
      <c r="AS40" s="1118">
        <f t="shared" si="34"/>
        <v>0.12668753776566702</v>
      </c>
      <c r="AT40" s="1117">
        <f t="shared" si="34"/>
        <v>0.13047549607436659</v>
      </c>
      <c r="AU40" s="1118">
        <f t="shared" si="34"/>
        <v>0.13216759688305424</v>
      </c>
      <c r="AV40" s="1118">
        <f t="shared" si="34"/>
        <v>0.1418146634587959</v>
      </c>
      <c r="AW40" s="1118">
        <f t="shared" si="34"/>
        <v>0.12982866098459656</v>
      </c>
      <c r="AX40" s="297"/>
      <c r="AY40" s="282"/>
      <c r="AZ40" s="297"/>
      <c r="BA40" s="297"/>
      <c r="BB40" s="297"/>
      <c r="BC40" s="297"/>
      <c r="BD40" s="297"/>
      <c r="BE40" s="297"/>
      <c r="BF40" s="297"/>
      <c r="BG40" s="297"/>
      <c r="BH40" s="297"/>
      <c r="BI40" s="297"/>
      <c r="BJ40" s="297"/>
      <c r="BK40" s="297"/>
      <c r="BL40" s="297"/>
      <c r="BM40" s="297"/>
      <c r="BN40" s="297"/>
      <c r="BO40" s="297"/>
      <c r="BP40" s="297"/>
      <c r="BQ40" s="297"/>
      <c r="BR40" s="297"/>
      <c r="BS40" s="297"/>
      <c r="BT40" s="297"/>
      <c r="BU40" s="297"/>
      <c r="BV40" s="297"/>
      <c r="BW40" s="297"/>
    </row>
    <row r="41" spans="1:75" x14ac:dyDescent="0.2">
      <c r="A41" s="1090" t="str">
        <f t="shared" si="13"/>
        <v>North America</v>
      </c>
      <c r="B41" s="1097"/>
      <c r="C41" s="1098"/>
      <c r="D41" s="1098"/>
      <c r="E41" s="1098"/>
      <c r="F41" s="1099" t="str">
        <f t="shared" si="14"/>
        <v>NM</v>
      </c>
      <c r="G41" s="1098" t="str">
        <f t="shared" si="15"/>
        <v>NM</v>
      </c>
      <c r="H41" s="1098" t="str">
        <f t="shared" si="16"/>
        <v>NM</v>
      </c>
      <c r="I41" s="1098" t="str">
        <f t="shared" si="17"/>
        <v>NM</v>
      </c>
      <c r="J41" s="1099" t="str">
        <f t="shared" si="18"/>
        <v>NM</v>
      </c>
      <c r="K41" s="1098" t="str">
        <f t="shared" si="19"/>
        <v>NM</v>
      </c>
      <c r="L41" s="1098" t="str">
        <f t="shared" si="20"/>
        <v>NM</v>
      </c>
      <c r="M41" s="1098" t="str">
        <f t="shared" si="21"/>
        <v>NM</v>
      </c>
      <c r="N41" s="1099" t="str">
        <f t="shared" si="22"/>
        <v>NM</v>
      </c>
      <c r="O41" s="1098" t="str">
        <f t="shared" si="23"/>
        <v>NM</v>
      </c>
      <c r="P41" s="1098" t="str">
        <f t="shared" si="24"/>
        <v>NM</v>
      </c>
      <c r="Q41" s="1098" t="str">
        <f t="shared" si="25"/>
        <v>NM</v>
      </c>
      <c r="R41" s="1099">
        <f t="shared" si="26"/>
        <v>9.9999999999999922E-2</v>
      </c>
      <c r="S41" s="1098">
        <f t="shared" si="27"/>
        <v>0.109</v>
      </c>
      <c r="T41" s="1098">
        <f t="shared" si="28"/>
        <v>9.4E-2</v>
      </c>
      <c r="U41" s="1098">
        <f t="shared" si="29"/>
        <v>7.1000000000000008E-2</v>
      </c>
      <c r="V41" s="1099">
        <f t="shared" si="30"/>
        <v>0.23300000000000001</v>
      </c>
      <c r="W41" s="1098">
        <f t="shared" si="31"/>
        <v>0.251</v>
      </c>
      <c r="X41" s="1098">
        <f t="shared" si="32"/>
        <v>0.216</v>
      </c>
      <c r="Y41" s="1098">
        <f t="shared" si="33"/>
        <v>0.255</v>
      </c>
      <c r="Z41" s="1099">
        <f t="shared" ref="Z41:AW41" si="35">IFERROR(Z16+V16,"NM")</f>
        <v>0.307</v>
      </c>
      <c r="AA41" s="1098">
        <f t="shared" si="35"/>
        <v>0.23799999999999999</v>
      </c>
      <c r="AB41" s="1098">
        <f t="shared" si="35"/>
        <v>0.22599999999999998</v>
      </c>
      <c r="AC41" s="1098">
        <f t="shared" si="35"/>
        <v>0.254</v>
      </c>
      <c r="AD41" s="1099">
        <f t="shared" si="35"/>
        <v>0.14499999999999999</v>
      </c>
      <c r="AE41" s="1098">
        <f t="shared" si="35"/>
        <v>0.17499999999999999</v>
      </c>
      <c r="AF41" s="1098">
        <f t="shared" si="35"/>
        <v>0.21299999999999997</v>
      </c>
      <c r="AG41" s="1098">
        <f t="shared" si="35"/>
        <v>0.13900000000000001</v>
      </c>
      <c r="AH41" s="1099">
        <f t="shared" si="35"/>
        <v>8.9999999999999976E-3</v>
      </c>
      <c r="AI41" s="1098">
        <f t="shared" si="35"/>
        <v>3.8000000000000006E-2</v>
      </c>
      <c r="AJ41" s="1098">
        <f t="shared" si="35"/>
        <v>8.9999999999999983E-2</v>
      </c>
      <c r="AK41" s="1098">
        <f t="shared" si="35"/>
        <v>8.0999999999999989E-2</v>
      </c>
      <c r="AL41" s="1099">
        <f t="shared" si="35"/>
        <v>0.18</v>
      </c>
      <c r="AM41" s="1098">
        <f t="shared" si="35"/>
        <v>0.14700000000000002</v>
      </c>
      <c r="AN41" s="1098">
        <f t="shared" si="35"/>
        <v>8.1000000000000003E-2</v>
      </c>
      <c r="AO41" s="1098">
        <f t="shared" si="35"/>
        <v>0.11499999999999998</v>
      </c>
      <c r="AP41" s="1099">
        <f t="shared" si="35"/>
        <v>0.22199999999999998</v>
      </c>
      <c r="AQ41" s="1098">
        <f t="shared" si="35"/>
        <v>0.247</v>
      </c>
      <c r="AR41" s="1098">
        <f t="shared" si="35"/>
        <v>0.19500000000000001</v>
      </c>
      <c r="AS41" s="1098">
        <f t="shared" si="35"/>
        <v>0.16299999999999998</v>
      </c>
      <c r="AT41" s="1099">
        <f t="shared" si="35"/>
        <v>0.13401827542801981</v>
      </c>
      <c r="AU41" s="1098">
        <f t="shared" si="35"/>
        <v>0.14560199365597282</v>
      </c>
      <c r="AV41" s="1098">
        <f t="shared" si="35"/>
        <v>0.15809186932396024</v>
      </c>
      <c r="AW41" s="1098">
        <f t="shared" si="35"/>
        <v>0.15</v>
      </c>
      <c r="AX41" s="297"/>
      <c r="AY41" s="282"/>
      <c r="AZ41" s="297"/>
      <c r="BA41" s="297"/>
      <c r="BB41" s="297"/>
      <c r="BC41" s="297"/>
      <c r="BD41" s="297"/>
      <c r="BE41" s="297"/>
      <c r="BF41" s="297"/>
      <c r="BG41" s="297"/>
      <c r="BH41" s="297"/>
      <c r="BI41" s="297"/>
      <c r="BJ41" s="297"/>
      <c r="BK41" s="297"/>
      <c r="BL41" s="297"/>
      <c r="BM41" s="297"/>
      <c r="BN41" s="297"/>
      <c r="BO41" s="297"/>
      <c r="BP41" s="297"/>
      <c r="BQ41" s="297"/>
      <c r="BR41" s="297"/>
      <c r="BS41" s="297"/>
      <c r="BT41" s="297"/>
      <c r="BU41" s="297"/>
      <c r="BV41" s="297"/>
      <c r="BW41" s="297"/>
    </row>
    <row r="42" spans="1:75" x14ac:dyDescent="0.2">
      <c r="A42" s="1090" t="str">
        <f t="shared" si="13"/>
        <v>International</v>
      </c>
      <c r="B42" s="1097"/>
      <c r="C42" s="1098"/>
      <c r="D42" s="1098"/>
      <c r="E42" s="1098"/>
      <c r="F42" s="1099" t="str">
        <f t="shared" si="14"/>
        <v>NM</v>
      </c>
      <c r="G42" s="1098" t="str">
        <f t="shared" si="15"/>
        <v>NM</v>
      </c>
      <c r="H42" s="1098" t="str">
        <f t="shared" si="16"/>
        <v>NM</v>
      </c>
      <c r="I42" s="1098" t="str">
        <f t="shared" si="17"/>
        <v>NM</v>
      </c>
      <c r="J42" s="1099" t="str">
        <f t="shared" si="18"/>
        <v>NM</v>
      </c>
      <c r="K42" s="1098" t="str">
        <f t="shared" si="19"/>
        <v>NM</v>
      </c>
      <c r="L42" s="1098" t="str">
        <f t="shared" si="20"/>
        <v>NM</v>
      </c>
      <c r="M42" s="1098" t="str">
        <f t="shared" si="21"/>
        <v>NM</v>
      </c>
      <c r="N42" s="1099" t="str">
        <f t="shared" si="22"/>
        <v>NM</v>
      </c>
      <c r="O42" s="1098" t="str">
        <f t="shared" si="23"/>
        <v>NM</v>
      </c>
      <c r="P42" s="1098" t="str">
        <f t="shared" si="24"/>
        <v>NM</v>
      </c>
      <c r="Q42" s="1098" t="str">
        <f t="shared" si="25"/>
        <v>NM</v>
      </c>
      <c r="R42" s="1099" t="str">
        <f t="shared" si="26"/>
        <v>NM</v>
      </c>
      <c r="S42" s="1098" t="str">
        <f t="shared" si="27"/>
        <v>NM</v>
      </c>
      <c r="T42" s="1098" t="str">
        <f t="shared" si="28"/>
        <v>NM</v>
      </c>
      <c r="U42" s="1098" t="str">
        <f t="shared" si="29"/>
        <v>NM</v>
      </c>
      <c r="V42" s="1099" t="str">
        <f t="shared" si="30"/>
        <v>NM</v>
      </c>
      <c r="W42" s="1098" t="str">
        <f t="shared" si="31"/>
        <v>NM</v>
      </c>
      <c r="X42" s="1098" t="str">
        <f t="shared" si="32"/>
        <v>NM</v>
      </c>
      <c r="Y42" s="1098" t="str">
        <f t="shared" si="33"/>
        <v>NM</v>
      </c>
      <c r="Z42" s="1099">
        <f t="shared" ref="Z42:AW42" si="36">IFERROR(Z17+V17,"NM")</f>
        <v>0.12199999999999997</v>
      </c>
      <c r="AA42" s="1098">
        <f t="shared" si="36"/>
        <v>1.999999999999999E-2</v>
      </c>
      <c r="AB42" s="1098">
        <f t="shared" si="36"/>
        <v>8.299999999999999E-2</v>
      </c>
      <c r="AC42" s="1098">
        <f t="shared" si="36"/>
        <v>0.06</v>
      </c>
      <c r="AD42" s="1099">
        <f t="shared" si="36"/>
        <v>2.6999999999999989E-2</v>
      </c>
      <c r="AE42" s="1098">
        <f t="shared" si="36"/>
        <v>5.3999999999999992E-2</v>
      </c>
      <c r="AF42" s="1098">
        <f t="shared" si="36"/>
        <v>7.7000000000000013E-2</v>
      </c>
      <c r="AG42" s="1098">
        <f t="shared" si="36"/>
        <v>0.11499999999999999</v>
      </c>
      <c r="AH42" s="1099">
        <f t="shared" si="36"/>
        <v>0.11600000000000002</v>
      </c>
      <c r="AI42" s="1098">
        <f t="shared" si="36"/>
        <v>0.11599999999999999</v>
      </c>
      <c r="AJ42" s="1098">
        <f t="shared" si="36"/>
        <v>8.3000000000000004E-2</v>
      </c>
      <c r="AK42" s="1098">
        <f t="shared" si="36"/>
        <v>0.11899999999999999</v>
      </c>
      <c r="AL42" s="1099">
        <f t="shared" si="36"/>
        <v>0.10500000000000001</v>
      </c>
      <c r="AM42" s="1098">
        <f t="shared" si="36"/>
        <v>9.7000000000000003E-2</v>
      </c>
      <c r="AN42" s="1098">
        <f t="shared" si="36"/>
        <v>9.9000000000000005E-2</v>
      </c>
      <c r="AO42" s="1098">
        <f t="shared" si="36"/>
        <v>9.6269409233216779E-2</v>
      </c>
      <c r="AP42" s="1099">
        <f t="shared" si="36"/>
        <v>0.12</v>
      </c>
      <c r="AQ42" s="1098">
        <f t="shared" si="36"/>
        <v>0.106</v>
      </c>
      <c r="AR42" s="1098">
        <f t="shared" si="36"/>
        <v>0.14100000000000001</v>
      </c>
      <c r="AS42" s="1098">
        <f t="shared" si="36"/>
        <v>9.2269409233216776E-2</v>
      </c>
      <c r="AT42" s="1099">
        <f t="shared" si="36"/>
        <v>0.128</v>
      </c>
      <c r="AU42" s="1098">
        <f t="shared" si="36"/>
        <v>0.11699999999999999</v>
      </c>
      <c r="AV42" s="1098">
        <f t="shared" si="36"/>
        <v>0.129</v>
      </c>
      <c r="AW42" s="1098">
        <f t="shared" si="36"/>
        <v>0.10900000000000001</v>
      </c>
      <c r="AX42" s="297"/>
      <c r="AY42" s="282"/>
      <c r="AZ42" s="297"/>
      <c r="BA42" s="297"/>
      <c r="BB42" s="297"/>
      <c r="BC42" s="297"/>
      <c r="BD42" s="297"/>
      <c r="BE42" s="297"/>
      <c r="BF42" s="297"/>
      <c r="BG42" s="297"/>
      <c r="BH42" s="297"/>
      <c r="BI42" s="297"/>
      <c r="BJ42" s="297"/>
      <c r="BK42" s="297"/>
      <c r="BL42" s="297"/>
      <c r="BM42" s="297"/>
      <c r="BN42" s="297"/>
      <c r="BO42" s="297"/>
      <c r="BP42" s="297"/>
      <c r="BQ42" s="297"/>
      <c r="BR42" s="297"/>
      <c r="BS42" s="297"/>
      <c r="BT42" s="297"/>
      <c r="BU42" s="297"/>
      <c r="BV42" s="297"/>
      <c r="BW42" s="297"/>
    </row>
    <row r="43" spans="1:75" s="1089" customFormat="1" x14ac:dyDescent="0.2">
      <c r="A43" s="308" t="str">
        <f t="shared" si="13"/>
        <v>Global Medical revenues</v>
      </c>
      <c r="B43" s="1100"/>
      <c r="C43" s="300"/>
      <c r="D43" s="300"/>
      <c r="E43" s="300"/>
      <c r="F43" s="301" t="str">
        <f t="shared" si="14"/>
        <v>NM</v>
      </c>
      <c r="G43" s="300" t="str">
        <f t="shared" si="15"/>
        <v>NM</v>
      </c>
      <c r="H43" s="300" t="str">
        <f t="shared" si="16"/>
        <v>NM</v>
      </c>
      <c r="I43" s="300" t="str">
        <f t="shared" si="17"/>
        <v>NM</v>
      </c>
      <c r="J43" s="301" t="str">
        <f t="shared" si="18"/>
        <v>NM</v>
      </c>
      <c r="K43" s="300" t="str">
        <f t="shared" si="19"/>
        <v>NM</v>
      </c>
      <c r="L43" s="300" t="str">
        <f t="shared" si="20"/>
        <v>NM</v>
      </c>
      <c r="M43" s="300" t="str">
        <f t="shared" si="21"/>
        <v>NM</v>
      </c>
      <c r="N43" s="301" t="str">
        <f t="shared" si="22"/>
        <v>NM</v>
      </c>
      <c r="O43" s="300" t="str">
        <f t="shared" si="23"/>
        <v>NM</v>
      </c>
      <c r="P43" s="300" t="str">
        <f t="shared" si="24"/>
        <v>NM</v>
      </c>
      <c r="Q43" s="300" t="str">
        <f t="shared" si="25"/>
        <v>NM</v>
      </c>
      <c r="R43" s="301" t="str">
        <f t="shared" si="26"/>
        <v>NM</v>
      </c>
      <c r="S43" s="300" t="str">
        <f t="shared" si="27"/>
        <v>NM</v>
      </c>
      <c r="T43" s="300" t="str">
        <f t="shared" si="28"/>
        <v>NM</v>
      </c>
      <c r="U43" s="300" t="str">
        <f t="shared" si="29"/>
        <v>NM</v>
      </c>
      <c r="V43" s="301" t="str">
        <f t="shared" si="30"/>
        <v>NM</v>
      </c>
      <c r="W43" s="300" t="str">
        <f t="shared" si="31"/>
        <v>NM</v>
      </c>
      <c r="X43" s="300" t="str">
        <f t="shared" si="32"/>
        <v>NM</v>
      </c>
      <c r="Y43" s="300" t="str">
        <f t="shared" si="33"/>
        <v>NM</v>
      </c>
      <c r="Z43" s="301">
        <f t="shared" ref="Z43:AW43" si="37">IFERROR(Z18+V18,"NM")</f>
        <v>0.11900000000000001</v>
      </c>
      <c r="AA43" s="300">
        <f t="shared" si="37"/>
        <v>0.128</v>
      </c>
      <c r="AB43" s="300">
        <f t="shared" si="37"/>
        <v>3.8000000000000006E-2</v>
      </c>
      <c r="AC43" s="300">
        <f t="shared" si="37"/>
        <v>0.115</v>
      </c>
      <c r="AD43" s="301">
        <f t="shared" si="37"/>
        <v>0.10300000000000001</v>
      </c>
      <c r="AE43" s="300">
        <f t="shared" si="37"/>
        <v>9.9000000000000005E-2</v>
      </c>
      <c r="AF43" s="300">
        <f t="shared" si="37"/>
        <v>8.3000000000000004E-2</v>
      </c>
      <c r="AG43" s="300">
        <f t="shared" si="37"/>
        <v>0.14000000000000001</v>
      </c>
      <c r="AH43" s="301">
        <f t="shared" si="37"/>
        <v>0.13600000000000001</v>
      </c>
      <c r="AI43" s="300">
        <f t="shared" si="37"/>
        <v>0.13599999999999998</v>
      </c>
      <c r="AJ43" s="300">
        <f t="shared" si="37"/>
        <v>0.21600000000000003</v>
      </c>
      <c r="AK43" s="300">
        <f t="shared" si="37"/>
        <v>0.22800000000000001</v>
      </c>
      <c r="AL43" s="301">
        <f t="shared" si="37"/>
        <v>0.33100000000000002</v>
      </c>
      <c r="AM43" s="300">
        <f t="shared" si="37"/>
        <v>0.24399999999999999</v>
      </c>
      <c r="AN43" s="300">
        <f t="shared" si="37"/>
        <v>0.20700000000000002</v>
      </c>
      <c r="AO43" s="300">
        <f t="shared" si="37"/>
        <v>0.1778562729247532</v>
      </c>
      <c r="AP43" s="301">
        <f t="shared" si="37"/>
        <v>0.32984821516510332</v>
      </c>
      <c r="AQ43" s="300">
        <f t="shared" si="37"/>
        <v>0.20566617361852166</v>
      </c>
      <c r="AR43" s="300">
        <f t="shared" si="37"/>
        <v>0.15154448618615241</v>
      </c>
      <c r="AS43" s="300">
        <f t="shared" si="37"/>
        <v>0.12728926045757966</v>
      </c>
      <c r="AT43" s="301">
        <f t="shared" si="37"/>
        <v>0.14327454338115775</v>
      </c>
      <c r="AU43" s="300">
        <f t="shared" si="37"/>
        <v>0.14942766021260989</v>
      </c>
      <c r="AV43" s="300">
        <f t="shared" si="37"/>
        <v>0.13948270070608038</v>
      </c>
      <c r="AW43" s="300">
        <f t="shared" si="37"/>
        <v>0.14282936384382328</v>
      </c>
      <c r="AX43" s="1088"/>
      <c r="AY43" s="282"/>
      <c r="AZ43" s="1088"/>
      <c r="BA43" s="1088"/>
      <c r="BB43" s="1088"/>
      <c r="BC43" s="1088"/>
      <c r="BD43" s="1088"/>
      <c r="BE43" s="1088"/>
      <c r="BF43" s="1088"/>
      <c r="BG43" s="1088"/>
      <c r="BH43" s="1088"/>
      <c r="BI43" s="1088"/>
      <c r="BJ43" s="1088"/>
      <c r="BK43" s="1088"/>
      <c r="BL43" s="1088"/>
      <c r="BM43" s="1088"/>
      <c r="BN43" s="1088"/>
      <c r="BO43" s="1088"/>
      <c r="BP43" s="1088"/>
      <c r="BQ43" s="1088"/>
      <c r="BR43" s="1088"/>
      <c r="BS43" s="1088"/>
      <c r="BT43" s="1088"/>
      <c r="BU43" s="1088"/>
      <c r="BV43" s="1088"/>
      <c r="BW43" s="1088"/>
    </row>
    <row r="44" spans="1:75" s="1102" customFormat="1" x14ac:dyDescent="0.2">
      <c r="A44" s="375" t="str">
        <f t="shared" si="13"/>
        <v>North America</v>
      </c>
      <c r="B44" s="1094"/>
      <c r="C44" s="1083"/>
      <c r="D44" s="1083"/>
      <c r="E44" s="1083"/>
      <c r="F44" s="1082">
        <f t="shared" si="14"/>
        <v>-6.3E-2</v>
      </c>
      <c r="G44" s="1083">
        <f t="shared" si="15"/>
        <v>-1.1999999999999997E-2</v>
      </c>
      <c r="H44" s="1083">
        <f t="shared" si="16"/>
        <v>0.183</v>
      </c>
      <c r="I44" s="1083">
        <f t="shared" si="17"/>
        <v>-0.19500000000000001</v>
      </c>
      <c r="J44" s="1082">
        <f t="shared" si="18"/>
        <v>-6.8000000000000005E-2</v>
      </c>
      <c r="K44" s="1083">
        <f t="shared" si="19"/>
        <v>-2.2000000000000006E-2</v>
      </c>
      <c r="L44" s="1083">
        <f t="shared" si="20"/>
        <v>-8.3999999999999991E-2</v>
      </c>
      <c r="M44" s="1083">
        <f t="shared" si="21"/>
        <v>-9.2000000000000012E-2</v>
      </c>
      <c r="N44" s="1082">
        <f t="shared" si="22"/>
        <v>0</v>
      </c>
      <c r="O44" s="1083">
        <f t="shared" si="23"/>
        <v>2.5000000000000008E-2</v>
      </c>
      <c r="P44" s="1083">
        <f t="shared" si="24"/>
        <v>4.7E-2</v>
      </c>
      <c r="Q44" s="1083">
        <f t="shared" si="25"/>
        <v>5.0999999999999997E-2</v>
      </c>
      <c r="R44" s="1082">
        <f t="shared" si="26"/>
        <v>0.123</v>
      </c>
      <c r="S44" s="1083">
        <f t="shared" si="27"/>
        <v>-4.0000000000000036E-3</v>
      </c>
      <c r="T44" s="1083">
        <f t="shared" si="28"/>
        <v>0.107</v>
      </c>
      <c r="U44" s="1083">
        <f t="shared" si="29"/>
        <v>7.9999999999999988E-2</v>
      </c>
      <c r="V44" s="1082">
        <f t="shared" si="30"/>
        <v>0.13300000000000001</v>
      </c>
      <c r="W44" s="1083">
        <f t="shared" si="31"/>
        <v>0.10999999999999999</v>
      </c>
      <c r="X44" s="1083">
        <f t="shared" si="32"/>
        <v>5.5999999999999994E-2</v>
      </c>
      <c r="Y44" s="1083">
        <f t="shared" si="33"/>
        <v>0.14400000000000002</v>
      </c>
      <c r="Z44" s="1082">
        <f t="shared" ref="Z44:AW44" si="38">IFERROR(Z19+V19,"NM")</f>
        <v>0.124</v>
      </c>
      <c r="AA44" s="1083">
        <f t="shared" si="38"/>
        <v>0.13400000000000001</v>
      </c>
      <c r="AB44" s="1083">
        <f t="shared" si="38"/>
        <v>4.2999999999999997E-2</v>
      </c>
      <c r="AC44" s="1083">
        <f t="shared" si="38"/>
        <v>0.124</v>
      </c>
      <c r="AD44" s="1082">
        <f t="shared" si="38"/>
        <v>0.11</v>
      </c>
      <c r="AE44" s="1083">
        <f t="shared" si="38"/>
        <v>0.10100000000000001</v>
      </c>
      <c r="AF44" s="1083">
        <f t="shared" si="38"/>
        <v>8.5000000000000006E-2</v>
      </c>
      <c r="AG44" s="1083">
        <f t="shared" si="38"/>
        <v>0.14699999999999999</v>
      </c>
      <c r="AH44" s="1082">
        <f t="shared" si="38"/>
        <v>0.14200000000000002</v>
      </c>
      <c r="AI44" s="1083">
        <f t="shared" si="38"/>
        <v>0.14299999999999999</v>
      </c>
      <c r="AJ44" s="1083">
        <f t="shared" si="38"/>
        <v>0.22100000000000003</v>
      </c>
      <c r="AK44" s="1083">
        <f t="shared" si="38"/>
        <v>0.23500000000000001</v>
      </c>
      <c r="AL44" s="1082">
        <f t="shared" si="38"/>
        <v>0.34500000000000003</v>
      </c>
      <c r="AM44" s="1083">
        <f t="shared" si="38"/>
        <v>0.253</v>
      </c>
      <c r="AN44" s="1083">
        <f t="shared" si="38"/>
        <v>0.21500000000000002</v>
      </c>
      <c r="AO44" s="1083">
        <f t="shared" si="38"/>
        <v>0.185</v>
      </c>
      <c r="AP44" s="1082">
        <f t="shared" si="38"/>
        <v>0.34</v>
      </c>
      <c r="AQ44" s="1083">
        <f t="shared" si="38"/>
        <v>0.21199999999999999</v>
      </c>
      <c r="AR44" s="1083">
        <f t="shared" si="38"/>
        <v>0.1555</v>
      </c>
      <c r="AS44" s="1083">
        <f t="shared" si="38"/>
        <v>0.13200000000000001</v>
      </c>
      <c r="AT44" s="1082">
        <f t="shared" si="38"/>
        <v>0.14700000000000002</v>
      </c>
      <c r="AU44" s="1083">
        <f t="shared" si="38"/>
        <v>0.153</v>
      </c>
      <c r="AV44" s="1083">
        <f t="shared" si="38"/>
        <v>0.14150000000000001</v>
      </c>
      <c r="AW44" s="1083">
        <f t="shared" si="38"/>
        <v>0.14699999999999999</v>
      </c>
      <c r="AX44" s="1101"/>
      <c r="AY44" s="282"/>
      <c r="AZ44" s="1101"/>
      <c r="BA44" s="1101"/>
      <c r="BB44" s="1101"/>
      <c r="BC44" s="1101"/>
      <c r="BD44" s="1101"/>
      <c r="BE44" s="1101"/>
      <c r="BF44" s="1101"/>
      <c r="BG44" s="1101"/>
      <c r="BH44" s="1101"/>
      <c r="BI44" s="1101"/>
      <c r="BJ44" s="1101"/>
      <c r="BK44" s="1101"/>
      <c r="BL44" s="1101"/>
      <c r="BM44" s="1101"/>
      <c r="BN44" s="1101"/>
      <c r="BO44" s="1101"/>
      <c r="BP44" s="1101"/>
      <c r="BQ44" s="1101"/>
      <c r="BR44" s="1101"/>
      <c r="BS44" s="1101"/>
      <c r="BT44" s="1101"/>
      <c r="BU44" s="1101"/>
      <c r="BV44" s="1101"/>
      <c r="BW44" s="1101"/>
    </row>
    <row r="45" spans="1:75" s="1102" customFormat="1" x14ac:dyDescent="0.2">
      <c r="A45" s="375" t="str">
        <f t="shared" si="13"/>
        <v>International</v>
      </c>
      <c r="B45" s="1094"/>
      <c r="C45" s="1083"/>
      <c r="D45" s="1083"/>
      <c r="E45" s="1083"/>
      <c r="F45" s="1082">
        <f t="shared" si="14"/>
        <v>0</v>
      </c>
      <c r="G45" s="1083">
        <f t="shared" si="15"/>
        <v>0</v>
      </c>
      <c r="H45" s="1083">
        <f t="shared" si="16"/>
        <v>0</v>
      </c>
      <c r="I45" s="1083">
        <f t="shared" si="17"/>
        <v>0</v>
      </c>
      <c r="J45" s="1082">
        <f t="shared" si="18"/>
        <v>0</v>
      </c>
      <c r="K45" s="1083">
        <f t="shared" si="19"/>
        <v>0</v>
      </c>
      <c r="L45" s="1083">
        <f t="shared" si="20"/>
        <v>0</v>
      </c>
      <c r="M45" s="1083">
        <f t="shared" si="21"/>
        <v>0</v>
      </c>
      <c r="N45" s="1082">
        <f t="shared" si="22"/>
        <v>0</v>
      </c>
      <c r="O45" s="1083">
        <f t="shared" si="23"/>
        <v>0</v>
      </c>
      <c r="P45" s="1083">
        <f t="shared" si="24"/>
        <v>0</v>
      </c>
      <c r="Q45" s="1083">
        <f t="shared" si="25"/>
        <v>0</v>
      </c>
      <c r="R45" s="1082">
        <f t="shared" si="26"/>
        <v>0</v>
      </c>
      <c r="S45" s="1083">
        <f t="shared" si="27"/>
        <v>0</v>
      </c>
      <c r="T45" s="1083">
        <f t="shared" si="28"/>
        <v>0</v>
      </c>
      <c r="U45" s="1083">
        <f t="shared" si="29"/>
        <v>0</v>
      </c>
      <c r="V45" s="1082">
        <f t="shared" si="30"/>
        <v>7.3999999999999996E-2</v>
      </c>
      <c r="W45" s="1083">
        <f t="shared" si="31"/>
        <v>-2.1999999999999999E-2</v>
      </c>
      <c r="X45" s="1083">
        <f t="shared" si="32"/>
        <v>-2.1000000000000001E-2</v>
      </c>
      <c r="Y45" s="1083">
        <f t="shared" si="33"/>
        <v>2.8999999999999998E-2</v>
      </c>
      <c r="Z45" s="1082">
        <f t="shared" ref="Z45:AW45" si="39">IFERROR(Z20+V20,"NM")</f>
        <v>4.0999999999999995E-2</v>
      </c>
      <c r="AA45" s="1083">
        <f t="shared" si="39"/>
        <v>3.4000000000000002E-2</v>
      </c>
      <c r="AB45" s="1083">
        <f t="shared" si="39"/>
        <v>-7.9000000000000001E-2</v>
      </c>
      <c r="AC45" s="1083">
        <f t="shared" si="39"/>
        <v>-3.6000000000000004E-2</v>
      </c>
      <c r="AD45" s="1082">
        <f t="shared" si="39"/>
        <v>-2.4E-2</v>
      </c>
      <c r="AE45" s="1083">
        <f t="shared" si="39"/>
        <v>4.2000000000000003E-2</v>
      </c>
      <c r="AF45" s="1083">
        <f t="shared" si="39"/>
        <v>2.3E-2</v>
      </c>
      <c r="AG45" s="1083">
        <f t="shared" si="39"/>
        <v>1.9000000000000003E-2</v>
      </c>
      <c r="AH45" s="1082">
        <f t="shared" si="39"/>
        <v>2.4E-2</v>
      </c>
      <c r="AI45" s="1083">
        <f t="shared" si="39"/>
        <v>-1.0000000000000009E-3</v>
      </c>
      <c r="AJ45" s="1083">
        <f t="shared" si="39"/>
        <v>9.4E-2</v>
      </c>
      <c r="AK45" s="1083">
        <f t="shared" si="39"/>
        <v>8.1000000000000003E-2</v>
      </c>
      <c r="AL45" s="1082">
        <f t="shared" si="39"/>
        <v>3.5000000000000003E-2</v>
      </c>
      <c r="AM45" s="1083">
        <f t="shared" si="39"/>
        <v>3.6999999999999998E-2</v>
      </c>
      <c r="AN45" s="1083">
        <f t="shared" si="39"/>
        <v>4.0000000000000001E-3</v>
      </c>
      <c r="AO45" s="1083">
        <f t="shared" si="39"/>
        <v>5.869690964597561E-3</v>
      </c>
      <c r="AP45" s="1082">
        <f t="shared" si="39"/>
        <v>7.4999999999999997E-2</v>
      </c>
      <c r="AQ45" s="1083">
        <f t="shared" si="39"/>
        <v>1.9E-2</v>
      </c>
      <c r="AR45" s="1083">
        <f t="shared" si="39"/>
        <v>3.5999999999999997E-2</v>
      </c>
      <c r="AS45" s="1083">
        <f t="shared" si="39"/>
        <v>-2.0130309035402444E-2</v>
      </c>
      <c r="AT45" s="1082">
        <f t="shared" si="39"/>
        <v>3.5000000000000003E-2</v>
      </c>
      <c r="AU45" s="1083">
        <f t="shared" si="39"/>
        <v>4.5000000000000005E-2</v>
      </c>
      <c r="AV45" s="1083">
        <f t="shared" si="39"/>
        <v>6.5000000000000002E-2</v>
      </c>
      <c r="AW45" s="1083">
        <f t="shared" si="39"/>
        <v>1.0999999999999996E-2</v>
      </c>
      <c r="AX45" s="1101"/>
      <c r="AY45" s="282"/>
      <c r="AZ45" s="1101"/>
      <c r="BA45" s="1101"/>
      <c r="BB45" s="1101"/>
      <c r="BC45" s="1101"/>
      <c r="BD45" s="1101"/>
      <c r="BE45" s="1101"/>
      <c r="BF45" s="1101"/>
      <c r="BG45" s="1101"/>
      <c r="BH45" s="1101"/>
      <c r="BI45" s="1101"/>
      <c r="BJ45" s="1101"/>
      <c r="BK45" s="1101"/>
      <c r="BL45" s="1101"/>
      <c r="BM45" s="1101"/>
      <c r="BN45" s="1101"/>
      <c r="BO45" s="1101"/>
      <c r="BP45" s="1101"/>
      <c r="BQ45" s="1101"/>
      <c r="BR45" s="1101"/>
      <c r="BS45" s="1101"/>
      <c r="BT45" s="1101"/>
      <c r="BU45" s="1101"/>
      <c r="BV45" s="1101"/>
      <c r="BW45" s="1101"/>
    </row>
    <row r="46" spans="1:75" s="1089" customFormat="1" x14ac:dyDescent="0.2">
      <c r="A46" s="338" t="str">
        <f t="shared" si="13"/>
        <v>Global Technology and Value-Added Services revenues</v>
      </c>
      <c r="B46" s="1079"/>
      <c r="C46" s="1080"/>
      <c r="D46" s="1080"/>
      <c r="E46" s="1080"/>
      <c r="F46" s="1081">
        <f t="shared" si="14"/>
        <v>0.27899999999999997</v>
      </c>
      <c r="G46" s="1080">
        <f t="shared" si="15"/>
        <v>0.27299999999999996</v>
      </c>
      <c r="H46" s="1080">
        <f t="shared" si="16"/>
        <v>0.26799999999999996</v>
      </c>
      <c r="I46" s="1080">
        <f t="shared" si="17"/>
        <v>0.26400000000000001</v>
      </c>
      <c r="J46" s="1081">
        <f t="shared" si="18"/>
        <v>0.18999999999999997</v>
      </c>
      <c r="K46" s="1080">
        <f t="shared" si="19"/>
        <v>9.0999999999999956E-2</v>
      </c>
      <c r="L46" s="1080">
        <f t="shared" si="20"/>
        <v>0.15899999999999997</v>
      </c>
      <c r="M46" s="1080">
        <f t="shared" si="21"/>
        <v>0.17299999999999999</v>
      </c>
      <c r="N46" s="1081">
        <f t="shared" si="22"/>
        <v>0.13400000000000001</v>
      </c>
      <c r="O46" s="1080">
        <f t="shared" si="23"/>
        <v>0.15300000000000002</v>
      </c>
      <c r="P46" s="1080">
        <f t="shared" si="24"/>
        <v>0.15299999999999997</v>
      </c>
      <c r="Q46" s="1080">
        <f t="shared" si="25"/>
        <v>0.23899999999999999</v>
      </c>
      <c r="R46" s="1081">
        <f t="shared" si="26"/>
        <v>0.184</v>
      </c>
      <c r="S46" s="1080">
        <f t="shared" si="27"/>
        <v>0.20600000000000002</v>
      </c>
      <c r="T46" s="1080">
        <f t="shared" si="28"/>
        <v>0.21999999999999997</v>
      </c>
      <c r="U46" s="1080">
        <f t="shared" si="29"/>
        <v>0.19900000000000001</v>
      </c>
      <c r="V46" s="1081">
        <f t="shared" si="30"/>
        <v>0.22800000000000001</v>
      </c>
      <c r="W46" s="1080">
        <f t="shared" si="31"/>
        <v>0.21199999999999999</v>
      </c>
      <c r="X46" s="1080">
        <f t="shared" si="32"/>
        <v>0.22499999999999998</v>
      </c>
      <c r="Y46" s="1080">
        <f t="shared" si="33"/>
        <v>0.15900000000000003</v>
      </c>
      <c r="Z46" s="1081">
        <f t="shared" ref="Z46:AW46" si="40">IFERROR(Z21+V21,"NM")</f>
        <v>0.20700000000000002</v>
      </c>
      <c r="AA46" s="1080">
        <f t="shared" si="40"/>
        <v>0.182</v>
      </c>
      <c r="AB46" s="1080">
        <f t="shared" si="40"/>
        <v>0.19699999999999998</v>
      </c>
      <c r="AC46" s="1080">
        <f t="shared" si="40"/>
        <v>0.221</v>
      </c>
      <c r="AD46" s="1081">
        <f t="shared" si="40"/>
        <v>0.17899999999999999</v>
      </c>
      <c r="AE46" s="1080">
        <f t="shared" si="40"/>
        <v>0.189</v>
      </c>
      <c r="AF46" s="1080">
        <f t="shared" si="40"/>
        <v>0.15</v>
      </c>
      <c r="AG46" s="1080">
        <f t="shared" si="40"/>
        <v>0.10099999999999999</v>
      </c>
      <c r="AH46" s="1081">
        <f t="shared" si="40"/>
        <v>0.14099999999999999</v>
      </c>
      <c r="AI46" s="1080">
        <f t="shared" si="40"/>
        <v>0.122</v>
      </c>
      <c r="AJ46" s="1080">
        <f t="shared" si="40"/>
        <v>0.11700000000000001</v>
      </c>
      <c r="AK46" s="1080">
        <f t="shared" si="40"/>
        <v>5.4999999999999993E-2</v>
      </c>
      <c r="AL46" s="1081">
        <f t="shared" si="40"/>
        <v>0.15400000000000003</v>
      </c>
      <c r="AM46" s="1080">
        <f t="shared" si="40"/>
        <v>0.10999999999999999</v>
      </c>
      <c r="AN46" s="1080">
        <f t="shared" si="40"/>
        <v>0.128</v>
      </c>
      <c r="AO46" s="1080">
        <f t="shared" si="40"/>
        <v>0.1250015668468008</v>
      </c>
      <c r="AP46" s="1081">
        <f t="shared" si="40"/>
        <v>0.13022659216558125</v>
      </c>
      <c r="AQ46" s="1080">
        <f t="shared" si="40"/>
        <v>0.10299999999999998</v>
      </c>
      <c r="AR46" s="1080">
        <f t="shared" si="40"/>
        <v>0.106</v>
      </c>
      <c r="AS46" s="1080">
        <f t="shared" si="40"/>
        <v>0.11743855616309715</v>
      </c>
      <c r="AT46" s="1081">
        <f t="shared" si="40"/>
        <v>0.11630304193673213</v>
      </c>
      <c r="AU46" s="1080">
        <f t="shared" si="40"/>
        <v>0.11528840076290134</v>
      </c>
      <c r="AV46" s="1080">
        <f t="shared" si="40"/>
        <v>0.11158698124977071</v>
      </c>
      <c r="AW46" s="1080">
        <f t="shared" si="40"/>
        <v>0.11150986589473622</v>
      </c>
      <c r="AX46" s="1088"/>
      <c r="AY46" s="282"/>
      <c r="AZ46" s="1088"/>
      <c r="BA46" s="1088"/>
      <c r="BB46" s="1088"/>
      <c r="BC46" s="1088"/>
      <c r="BD46" s="1088"/>
      <c r="BE46" s="1088"/>
      <c r="BF46" s="1088"/>
      <c r="BG46" s="1088"/>
      <c r="BH46" s="1088"/>
      <c r="BI46" s="1088"/>
      <c r="BJ46" s="1088"/>
      <c r="BK46" s="1088"/>
      <c r="BL46" s="1088"/>
      <c r="BM46" s="1088"/>
      <c r="BN46" s="1088"/>
      <c r="BO46" s="1088"/>
      <c r="BP46" s="1088"/>
      <c r="BQ46" s="1088"/>
      <c r="BR46" s="1088"/>
      <c r="BS46" s="1088"/>
      <c r="BT46" s="1088"/>
      <c r="BU46" s="1088"/>
      <c r="BV46" s="1088"/>
      <c r="BW46" s="1088"/>
    </row>
    <row r="47" spans="1:75" s="1102" customFormat="1" x14ac:dyDescent="0.2">
      <c r="A47" s="1090" t="str">
        <f t="shared" si="13"/>
        <v>North America</v>
      </c>
      <c r="B47" s="1097"/>
      <c r="C47" s="1098"/>
      <c r="D47" s="1098"/>
      <c r="E47" s="1098"/>
      <c r="F47" s="1099" t="str">
        <f t="shared" si="14"/>
        <v>NM</v>
      </c>
      <c r="G47" s="1098" t="str">
        <f t="shared" si="15"/>
        <v>NM</v>
      </c>
      <c r="H47" s="1098" t="str">
        <f t="shared" si="16"/>
        <v>NM</v>
      </c>
      <c r="I47" s="1098" t="str">
        <f t="shared" si="17"/>
        <v>NM</v>
      </c>
      <c r="J47" s="1099" t="str">
        <f t="shared" si="18"/>
        <v>NM</v>
      </c>
      <c r="K47" s="1098" t="str">
        <f t="shared" si="19"/>
        <v>NM</v>
      </c>
      <c r="L47" s="1098" t="str">
        <f t="shared" si="20"/>
        <v>NM</v>
      </c>
      <c r="M47" s="1098" t="str">
        <f t="shared" si="21"/>
        <v>NM</v>
      </c>
      <c r="N47" s="1099" t="str">
        <f t="shared" si="22"/>
        <v>NM</v>
      </c>
      <c r="O47" s="1098" t="str">
        <f t="shared" si="23"/>
        <v>NM</v>
      </c>
      <c r="P47" s="1098" t="str">
        <f t="shared" si="24"/>
        <v>NM</v>
      </c>
      <c r="Q47" s="1098" t="str">
        <f t="shared" si="25"/>
        <v>NM</v>
      </c>
      <c r="R47" s="1099" t="str">
        <f t="shared" si="26"/>
        <v>NM</v>
      </c>
      <c r="S47" s="1098" t="str">
        <f t="shared" si="27"/>
        <v>NM</v>
      </c>
      <c r="T47" s="1098" t="str">
        <f t="shared" si="28"/>
        <v>NM</v>
      </c>
      <c r="U47" s="1098" t="str">
        <f t="shared" si="29"/>
        <v>NM</v>
      </c>
      <c r="V47" s="1099" t="str">
        <f t="shared" si="30"/>
        <v>NM</v>
      </c>
      <c r="W47" s="1098" t="str">
        <f t="shared" si="31"/>
        <v>NM</v>
      </c>
      <c r="X47" s="1098" t="str">
        <f t="shared" si="32"/>
        <v>NM</v>
      </c>
      <c r="Y47" s="1098" t="str">
        <f t="shared" si="33"/>
        <v>NM</v>
      </c>
      <c r="Z47" s="1099">
        <f t="shared" ref="Z47:AW47" si="41">IFERROR(Z22+V22,"NM")</f>
        <v>0.21299999999999997</v>
      </c>
      <c r="AA47" s="1098">
        <f t="shared" si="41"/>
        <v>0.17099999999999999</v>
      </c>
      <c r="AB47" s="1098">
        <f t="shared" si="41"/>
        <v>0.19600000000000001</v>
      </c>
      <c r="AC47" s="1098">
        <f t="shared" si="41"/>
        <v>0.22399999999999998</v>
      </c>
      <c r="AD47" s="1099">
        <f t="shared" si="41"/>
        <v>0.16199999999999998</v>
      </c>
      <c r="AE47" s="1098">
        <f t="shared" si="41"/>
        <v>0.16599999999999998</v>
      </c>
      <c r="AF47" s="1098">
        <f t="shared" si="41"/>
        <v>0.127</v>
      </c>
      <c r="AG47" s="1098">
        <f t="shared" si="41"/>
        <v>5.9999999999999991E-2</v>
      </c>
      <c r="AH47" s="1099">
        <f t="shared" si="41"/>
        <v>0.10699999999999998</v>
      </c>
      <c r="AI47" s="1098">
        <f t="shared" si="41"/>
        <v>0.111</v>
      </c>
      <c r="AJ47" s="1098">
        <f t="shared" si="41"/>
        <v>9.9000000000000005E-2</v>
      </c>
      <c r="AK47" s="1098">
        <f t="shared" si="41"/>
        <v>3.5000000000000003E-2</v>
      </c>
      <c r="AL47" s="1099">
        <f t="shared" si="41"/>
        <v>0.13899999999999998</v>
      </c>
      <c r="AM47" s="1098">
        <f t="shared" si="41"/>
        <v>0.11099999999999999</v>
      </c>
      <c r="AN47" s="1098">
        <f t="shared" si="41"/>
        <v>0.11499999999999999</v>
      </c>
      <c r="AO47" s="1098">
        <f t="shared" si="41"/>
        <v>0.11599999999999999</v>
      </c>
      <c r="AP47" s="1099">
        <f t="shared" si="41"/>
        <v>0.11399999999999999</v>
      </c>
      <c r="AQ47" s="1098">
        <f t="shared" si="41"/>
        <v>8.7999999999999995E-2</v>
      </c>
      <c r="AR47" s="1098">
        <f t="shared" si="41"/>
        <v>0.09</v>
      </c>
      <c r="AS47" s="1098">
        <f t="shared" si="41"/>
        <v>9.1999999999999985E-2</v>
      </c>
      <c r="AT47" s="1099">
        <f t="shared" si="41"/>
        <v>8.9963415044973224E-2</v>
      </c>
      <c r="AU47" s="1098">
        <f t="shared" si="41"/>
        <v>8.8727639214991383E-2</v>
      </c>
      <c r="AV47" s="1098">
        <f t="shared" si="41"/>
        <v>8.4702106118089468E-2</v>
      </c>
      <c r="AW47" s="1098">
        <f t="shared" si="41"/>
        <v>8.2951946052142553E-2</v>
      </c>
      <c r="AX47" s="1101"/>
      <c r="AY47" s="282"/>
      <c r="AZ47" s="1101"/>
      <c r="BA47" s="1101"/>
      <c r="BB47" s="1101"/>
      <c r="BC47" s="1101"/>
      <c r="BD47" s="1101"/>
      <c r="BE47" s="1101"/>
      <c r="BF47" s="1101"/>
      <c r="BG47" s="1101"/>
      <c r="BH47" s="1101"/>
      <c r="BI47" s="1101"/>
      <c r="BJ47" s="1101"/>
      <c r="BK47" s="1101"/>
      <c r="BL47" s="1101"/>
      <c r="BM47" s="1101"/>
      <c r="BN47" s="1101"/>
      <c r="BO47" s="1101"/>
      <c r="BP47" s="1101"/>
      <c r="BQ47" s="1101"/>
      <c r="BR47" s="1101"/>
      <c r="BS47" s="1101"/>
      <c r="BT47" s="1101"/>
      <c r="BU47" s="1101"/>
      <c r="BV47" s="1101"/>
      <c r="BW47" s="1101"/>
    </row>
    <row r="48" spans="1:75" s="1102" customFormat="1" x14ac:dyDescent="0.2">
      <c r="A48" s="1090" t="str">
        <f t="shared" si="13"/>
        <v>International</v>
      </c>
      <c r="B48" s="1097"/>
      <c r="C48" s="1098"/>
      <c r="D48" s="1098"/>
      <c r="E48" s="1098"/>
      <c r="F48" s="1099" t="str">
        <f t="shared" si="14"/>
        <v>NM</v>
      </c>
      <c r="G48" s="1098" t="str">
        <f t="shared" si="15"/>
        <v>NM</v>
      </c>
      <c r="H48" s="1098" t="str">
        <f t="shared" si="16"/>
        <v>NM</v>
      </c>
      <c r="I48" s="1098" t="str">
        <f t="shared" si="17"/>
        <v>NM</v>
      </c>
      <c r="J48" s="1099" t="str">
        <f t="shared" si="18"/>
        <v>NM</v>
      </c>
      <c r="K48" s="1098" t="str">
        <f t="shared" si="19"/>
        <v>NM</v>
      </c>
      <c r="L48" s="1098" t="str">
        <f t="shared" si="20"/>
        <v>NM</v>
      </c>
      <c r="M48" s="1098" t="str">
        <f t="shared" si="21"/>
        <v>NM</v>
      </c>
      <c r="N48" s="1099" t="str">
        <f t="shared" si="22"/>
        <v>NM</v>
      </c>
      <c r="O48" s="1098" t="str">
        <f t="shared" si="23"/>
        <v>NM</v>
      </c>
      <c r="P48" s="1098" t="str">
        <f t="shared" si="24"/>
        <v>NM</v>
      </c>
      <c r="Q48" s="1098" t="str">
        <f t="shared" si="25"/>
        <v>NM</v>
      </c>
      <c r="R48" s="1099" t="str">
        <f t="shared" si="26"/>
        <v>NM</v>
      </c>
      <c r="S48" s="1098" t="str">
        <f t="shared" si="27"/>
        <v>NM</v>
      </c>
      <c r="T48" s="1098" t="str">
        <f t="shared" si="28"/>
        <v>NM</v>
      </c>
      <c r="U48" s="1098" t="str">
        <f t="shared" si="29"/>
        <v>NM</v>
      </c>
      <c r="V48" s="1099" t="str">
        <f t="shared" si="30"/>
        <v>NM</v>
      </c>
      <c r="W48" s="1098" t="str">
        <f t="shared" si="31"/>
        <v>NM</v>
      </c>
      <c r="X48" s="1098" t="str">
        <f t="shared" si="32"/>
        <v>NM</v>
      </c>
      <c r="Y48" s="1098" t="str">
        <f t="shared" si="33"/>
        <v>NM</v>
      </c>
      <c r="Z48" s="1099">
        <f t="shared" ref="Z48:AW48" si="42">IFERROR(Z23+V23,"NM")</f>
        <v>0.183</v>
      </c>
      <c r="AA48" s="1098">
        <f t="shared" si="42"/>
        <v>0.246</v>
      </c>
      <c r="AB48" s="1098">
        <f t="shared" si="42"/>
        <v>0.20900000000000002</v>
      </c>
      <c r="AC48" s="1098">
        <f t="shared" si="42"/>
        <v>0.20499999999999999</v>
      </c>
      <c r="AD48" s="1099">
        <f t="shared" si="42"/>
        <v>0.28499999999999998</v>
      </c>
      <c r="AE48" s="1098">
        <f t="shared" si="42"/>
        <v>0.32799999999999996</v>
      </c>
      <c r="AF48" s="1098">
        <f t="shared" si="42"/>
        <v>0.29599999999999999</v>
      </c>
      <c r="AG48" s="1098">
        <f t="shared" si="42"/>
        <v>0.36499999999999999</v>
      </c>
      <c r="AH48" s="1099">
        <f t="shared" si="42"/>
        <v>0.31499999999999995</v>
      </c>
      <c r="AI48" s="1098">
        <f t="shared" si="42"/>
        <v>0.18299999999999997</v>
      </c>
      <c r="AJ48" s="1098">
        <f t="shared" si="42"/>
        <v>0.21799999999999997</v>
      </c>
      <c r="AK48" s="1098">
        <f t="shared" si="42"/>
        <v>0.17699999999999999</v>
      </c>
      <c r="AL48" s="1099">
        <f t="shared" si="42"/>
        <v>0.22399999999999998</v>
      </c>
      <c r="AM48" s="1098">
        <f t="shared" si="42"/>
        <v>0.10299999999999998</v>
      </c>
      <c r="AN48" s="1098">
        <f t="shared" si="42"/>
        <v>0.192</v>
      </c>
      <c r="AO48" s="1098">
        <f t="shared" si="42"/>
        <v>0.16575164451604249</v>
      </c>
      <c r="AP48" s="1099">
        <f t="shared" si="42"/>
        <v>0.22299999999999998</v>
      </c>
      <c r="AQ48" s="1098">
        <f t="shared" si="42"/>
        <v>0.188</v>
      </c>
      <c r="AR48" s="1098">
        <f t="shared" si="42"/>
        <v>0.19500000000000001</v>
      </c>
      <c r="AS48" s="1098">
        <f t="shared" si="42"/>
        <v>0.25275164451604248</v>
      </c>
      <c r="AT48" s="1099">
        <f t="shared" si="42"/>
        <v>0.26</v>
      </c>
      <c r="AU48" s="1098">
        <f t="shared" si="42"/>
        <v>0.25471377665698147</v>
      </c>
      <c r="AV48" s="1098">
        <f t="shared" si="42"/>
        <v>0.2479152684125242</v>
      </c>
      <c r="AW48" s="1098">
        <f t="shared" si="42"/>
        <v>0.25817115441104477</v>
      </c>
      <c r="AX48" s="1101"/>
      <c r="AY48" s="282"/>
      <c r="AZ48" s="1101"/>
      <c r="BA48" s="1101"/>
      <c r="BB48" s="1101"/>
      <c r="BC48" s="1101"/>
      <c r="BD48" s="1101"/>
      <c r="BE48" s="1101"/>
      <c r="BF48" s="1101"/>
      <c r="BG48" s="1101"/>
      <c r="BH48" s="1101"/>
      <c r="BI48" s="1101"/>
      <c r="BJ48" s="1101"/>
      <c r="BK48" s="1101"/>
      <c r="BL48" s="1101"/>
      <c r="BM48" s="1101"/>
      <c r="BN48" s="1101"/>
      <c r="BO48" s="1101"/>
      <c r="BP48" s="1101"/>
      <c r="BQ48" s="1101"/>
      <c r="BR48" s="1101"/>
      <c r="BS48" s="1101"/>
      <c r="BT48" s="1101"/>
      <c r="BU48" s="1101"/>
      <c r="BV48" s="1101"/>
      <c r="BW48" s="1101"/>
    </row>
    <row r="49" spans="1:75" x14ac:dyDescent="0.2">
      <c r="A49" s="304" t="str">
        <f t="shared" si="13"/>
        <v>Global Organic Growth</v>
      </c>
      <c r="B49" s="742"/>
      <c r="C49" s="305"/>
      <c r="D49" s="305"/>
      <c r="E49" s="305"/>
      <c r="F49" s="306">
        <f t="shared" si="14"/>
        <v>7.1999999999999995E-2</v>
      </c>
      <c r="G49" s="305">
        <f t="shared" si="15"/>
        <v>0.12300000000000003</v>
      </c>
      <c r="H49" s="305">
        <f t="shared" si="16"/>
        <v>0.152</v>
      </c>
      <c r="I49" s="305">
        <f t="shared" si="17"/>
        <v>7.9999999999999932E-3</v>
      </c>
      <c r="J49" s="306">
        <f t="shared" si="18"/>
        <v>3.4999999999999996E-2</v>
      </c>
      <c r="K49" s="305">
        <f t="shared" si="19"/>
        <v>4.7000000000000007E-2</v>
      </c>
      <c r="L49" s="305">
        <f t="shared" si="20"/>
        <v>1.6E-2</v>
      </c>
      <c r="M49" s="305">
        <f t="shared" si="21"/>
        <v>0</v>
      </c>
      <c r="N49" s="306">
        <f t="shared" si="22"/>
        <v>3.6999999999999984E-2</v>
      </c>
      <c r="O49" s="305">
        <f t="shared" si="23"/>
        <v>2.799999999999999E-2</v>
      </c>
      <c r="P49" s="305">
        <f t="shared" si="24"/>
        <v>3.1000000000000007E-2</v>
      </c>
      <c r="Q49" s="305">
        <f t="shared" si="25"/>
        <v>6.2999999999999987E-2</v>
      </c>
      <c r="R49" s="306">
        <f t="shared" si="26"/>
        <v>6.9999999999999993E-2</v>
      </c>
      <c r="S49" s="305">
        <f t="shared" si="27"/>
        <v>7.6999999999999999E-2</v>
      </c>
      <c r="T49" s="305">
        <f t="shared" si="28"/>
        <v>7.0000000000000007E-2</v>
      </c>
      <c r="U49" s="305">
        <f t="shared" si="29"/>
        <v>8.5999999999999979E-2</v>
      </c>
      <c r="V49" s="306">
        <f t="shared" si="30"/>
        <v>0.11600000000000001</v>
      </c>
      <c r="W49" s="305">
        <f t="shared" si="31"/>
        <v>0.10200000000000001</v>
      </c>
      <c r="X49" s="305">
        <f t="shared" si="32"/>
        <v>7.6999999999999985E-2</v>
      </c>
      <c r="Y49" s="305">
        <f t="shared" si="33"/>
        <v>0.11299999999999999</v>
      </c>
      <c r="Z49" s="306">
        <f t="shared" ref="Z49:AW49" si="43">IFERROR(Z24+V24,"NM")</f>
        <v>0.111</v>
      </c>
      <c r="AA49" s="305">
        <f t="shared" si="43"/>
        <v>8.5999999999999993E-2</v>
      </c>
      <c r="AB49" s="305">
        <f t="shared" si="43"/>
        <v>7.8E-2</v>
      </c>
      <c r="AC49" s="305">
        <f t="shared" si="43"/>
        <v>9.7000000000000003E-2</v>
      </c>
      <c r="AD49" s="306">
        <f t="shared" si="43"/>
        <v>6.2E-2</v>
      </c>
      <c r="AE49" s="305">
        <f t="shared" si="43"/>
        <v>8.299999999999999E-2</v>
      </c>
      <c r="AF49" s="305">
        <f t="shared" si="43"/>
        <v>9.8000000000000004E-2</v>
      </c>
      <c r="AG49" s="305">
        <f t="shared" si="43"/>
        <v>8.5999999999999993E-2</v>
      </c>
      <c r="AH49" s="306">
        <f t="shared" si="43"/>
        <v>7.6999999999999999E-2</v>
      </c>
      <c r="AI49" s="305">
        <f t="shared" si="43"/>
        <v>8.2000000000000003E-2</v>
      </c>
      <c r="AJ49" s="305">
        <f t="shared" si="43"/>
        <v>0.112</v>
      </c>
      <c r="AK49" s="305">
        <f t="shared" si="43"/>
        <v>0.114</v>
      </c>
      <c r="AL49" s="306">
        <f t="shared" si="43"/>
        <v>0.14100000000000001</v>
      </c>
      <c r="AM49" s="305">
        <f t="shared" si="43"/>
        <v>0.11499999999999999</v>
      </c>
      <c r="AN49" s="305">
        <f t="shared" si="43"/>
        <v>0.108</v>
      </c>
      <c r="AO49" s="305">
        <f t="shared" si="43"/>
        <v>0.107</v>
      </c>
      <c r="AP49" s="306">
        <f t="shared" si="43"/>
        <v>0.15208663187782695</v>
      </c>
      <c r="AQ49" s="305">
        <f t="shared" si="43"/>
        <v>0.12323783571152577</v>
      </c>
      <c r="AR49" s="305">
        <f t="shared" si="43"/>
        <v>0.11399999999999999</v>
      </c>
      <c r="AS49" s="305">
        <f t="shared" si="43"/>
        <v>9.3108063163142754E-2</v>
      </c>
      <c r="AT49" s="306">
        <f t="shared" si="43"/>
        <v>9.8293244174727096E-2</v>
      </c>
      <c r="AU49" s="305">
        <f t="shared" si="43"/>
        <v>0.10331265027018292</v>
      </c>
      <c r="AV49" s="305">
        <f t="shared" si="43"/>
        <v>0.1034114991602561</v>
      </c>
      <c r="AW49" s="305">
        <f t="shared" si="43"/>
        <v>9.7782834884498571E-2</v>
      </c>
      <c r="AX49" s="297"/>
      <c r="AY49" s="282"/>
      <c r="AZ49" s="297"/>
      <c r="BA49" s="297"/>
      <c r="BB49" s="297"/>
      <c r="BC49" s="297"/>
      <c r="BD49" s="297"/>
      <c r="BE49" s="297"/>
      <c r="BF49" s="297"/>
      <c r="BG49" s="297"/>
      <c r="BH49" s="297"/>
      <c r="BI49" s="297"/>
      <c r="BJ49" s="297"/>
      <c r="BK49" s="297"/>
      <c r="BL49" s="297"/>
      <c r="BM49" s="297"/>
      <c r="BN49" s="297"/>
      <c r="BO49" s="297"/>
      <c r="BP49" s="297"/>
      <c r="BQ49" s="297"/>
      <c r="BR49" s="297"/>
      <c r="BS49" s="297"/>
      <c r="BT49" s="297"/>
      <c r="BU49" s="297"/>
      <c r="BV49" s="297"/>
      <c r="BW49" s="297"/>
    </row>
    <row r="50" spans="1:75" s="1102" customFormat="1" x14ac:dyDescent="0.2">
      <c r="A50" s="360" t="str">
        <f t="shared" si="13"/>
        <v>North America</v>
      </c>
      <c r="B50" s="1097"/>
      <c r="C50" s="1098"/>
      <c r="D50" s="1098"/>
      <c r="E50" s="1098"/>
      <c r="F50" s="1099" t="str">
        <f t="shared" si="14"/>
        <v>NM</v>
      </c>
      <c r="G50" s="1098" t="str">
        <f t="shared" si="15"/>
        <v>NM</v>
      </c>
      <c r="H50" s="1098" t="str">
        <f t="shared" si="16"/>
        <v>NM</v>
      </c>
      <c r="I50" s="1098" t="str">
        <f t="shared" si="17"/>
        <v>NM</v>
      </c>
      <c r="J50" s="1099" t="str">
        <f t="shared" si="18"/>
        <v>NM</v>
      </c>
      <c r="K50" s="1098" t="str">
        <f t="shared" si="19"/>
        <v>NM</v>
      </c>
      <c r="L50" s="1098" t="str">
        <f t="shared" si="20"/>
        <v>NM</v>
      </c>
      <c r="M50" s="1098" t="str">
        <f t="shared" si="21"/>
        <v>NM</v>
      </c>
      <c r="N50" s="1099" t="str">
        <f t="shared" si="22"/>
        <v>NM</v>
      </c>
      <c r="O50" s="1098" t="str">
        <f t="shared" si="23"/>
        <v>NM</v>
      </c>
      <c r="P50" s="1098" t="str">
        <f t="shared" si="24"/>
        <v>NM</v>
      </c>
      <c r="Q50" s="1098" t="str">
        <f t="shared" si="25"/>
        <v>NM</v>
      </c>
      <c r="R50" s="1099" t="str">
        <f t="shared" si="26"/>
        <v>NM</v>
      </c>
      <c r="S50" s="1098" t="str">
        <f t="shared" si="27"/>
        <v>NM</v>
      </c>
      <c r="T50" s="1098" t="str">
        <f t="shared" si="28"/>
        <v>NM</v>
      </c>
      <c r="U50" s="1098" t="str">
        <f t="shared" si="29"/>
        <v>NM</v>
      </c>
      <c r="V50" s="1084" t="str">
        <f t="shared" si="30"/>
        <v>NM</v>
      </c>
      <c r="W50" s="1085" t="str">
        <f t="shared" si="31"/>
        <v>NM</v>
      </c>
      <c r="X50" s="1085" t="str">
        <f t="shared" si="32"/>
        <v>NM</v>
      </c>
      <c r="Y50" s="1085" t="str">
        <f t="shared" si="33"/>
        <v>NM</v>
      </c>
      <c r="Z50" s="1084">
        <f t="shared" ref="Z50:AW50" si="44">IFERROR(Z25+V25,"NM")</f>
        <v>0.127</v>
      </c>
      <c r="AA50" s="1085">
        <f t="shared" si="44"/>
        <v>0.121</v>
      </c>
      <c r="AB50" s="1085">
        <f t="shared" si="44"/>
        <v>0.1</v>
      </c>
      <c r="AC50" s="1085">
        <f t="shared" si="44"/>
        <v>0.13400000000000001</v>
      </c>
      <c r="AD50" s="1084">
        <f t="shared" si="44"/>
        <v>8.5999999999999993E-2</v>
      </c>
      <c r="AE50" s="1085">
        <f t="shared" si="44"/>
        <v>0.108</v>
      </c>
      <c r="AF50" s="1085">
        <f t="shared" si="44"/>
        <v>0.11900000000000001</v>
      </c>
      <c r="AG50" s="1085">
        <f t="shared" si="44"/>
        <v>8.5999999999999993E-2</v>
      </c>
      <c r="AH50" s="1084">
        <f t="shared" si="44"/>
        <v>8.2000000000000003E-2</v>
      </c>
      <c r="AI50" s="1085">
        <f t="shared" si="44"/>
        <v>8.6999999999999994E-2</v>
      </c>
      <c r="AJ50" s="1085">
        <f t="shared" si="44"/>
        <v>0.129</v>
      </c>
      <c r="AK50" s="1085">
        <f t="shared" si="44"/>
        <v>0.124</v>
      </c>
      <c r="AL50" s="1084">
        <f t="shared" si="44"/>
        <v>0.186</v>
      </c>
      <c r="AM50" s="1085">
        <f t="shared" si="44"/>
        <v>0.127</v>
      </c>
      <c r="AN50" s="1085">
        <f t="shared" si="44"/>
        <v>0.122</v>
      </c>
      <c r="AO50" s="1085">
        <f t="shared" si="44"/>
        <v>0.124</v>
      </c>
      <c r="AP50" s="1084">
        <f t="shared" si="44"/>
        <v>0.1781955509362515</v>
      </c>
      <c r="AQ50" s="1085">
        <f t="shared" si="44"/>
        <v>0.13979688073155833</v>
      </c>
      <c r="AR50" s="1085">
        <f t="shared" si="44"/>
        <v>0.11214549742740228</v>
      </c>
      <c r="AS50" s="1085">
        <f t="shared" si="44"/>
        <v>0.11546284784181453</v>
      </c>
      <c r="AT50" s="1084">
        <f t="shared" si="44"/>
        <v>0.10650319745899117</v>
      </c>
      <c r="AU50" s="1085">
        <f t="shared" si="44"/>
        <v>0.10984101734695639</v>
      </c>
      <c r="AV50" s="1085">
        <f t="shared" si="44"/>
        <v>0.10157577567217459</v>
      </c>
      <c r="AW50" s="1085">
        <f t="shared" si="44"/>
        <v>0.10759775594427809</v>
      </c>
      <c r="AX50" s="1101"/>
      <c r="AY50" s="282"/>
      <c r="AZ50" s="1101"/>
      <c r="BA50" s="1101"/>
      <c r="BB50" s="1101"/>
      <c r="BC50" s="1101"/>
      <c r="BD50" s="1101"/>
      <c r="BE50" s="1101"/>
      <c r="BF50" s="1101"/>
      <c r="BG50" s="1101"/>
      <c r="BH50" s="1101"/>
      <c r="BI50" s="1101"/>
      <c r="BJ50" s="1101"/>
      <c r="BK50" s="1101"/>
      <c r="BL50" s="1101"/>
      <c r="BM50" s="1101"/>
      <c r="BN50" s="1101"/>
      <c r="BO50" s="1101"/>
      <c r="BP50" s="1101"/>
      <c r="BQ50" s="1101"/>
      <c r="BR50" s="1101"/>
      <c r="BS50" s="1101"/>
      <c r="BT50" s="1101"/>
      <c r="BU50" s="1101"/>
      <c r="BV50" s="1101"/>
      <c r="BW50" s="1101"/>
    </row>
    <row r="51" spans="1:75" s="1102" customFormat="1" x14ac:dyDescent="0.2">
      <c r="A51" s="349" t="str">
        <f t="shared" si="13"/>
        <v>International</v>
      </c>
      <c r="B51" s="1094"/>
      <c r="C51" s="1083"/>
      <c r="D51" s="1083"/>
      <c r="E51" s="1083"/>
      <c r="F51" s="1082" t="str">
        <f t="shared" si="14"/>
        <v>NM</v>
      </c>
      <c r="G51" s="1083" t="str">
        <f t="shared" si="15"/>
        <v>NM</v>
      </c>
      <c r="H51" s="1083" t="str">
        <f t="shared" si="16"/>
        <v>NM</v>
      </c>
      <c r="I51" s="1083" t="str">
        <f t="shared" si="17"/>
        <v>NM</v>
      </c>
      <c r="J51" s="1082" t="str">
        <f t="shared" si="18"/>
        <v>NM</v>
      </c>
      <c r="K51" s="1083" t="str">
        <f t="shared" si="19"/>
        <v>NM</v>
      </c>
      <c r="L51" s="1083" t="str">
        <f t="shared" si="20"/>
        <v>NM</v>
      </c>
      <c r="M51" s="1083" t="str">
        <f t="shared" si="21"/>
        <v>NM</v>
      </c>
      <c r="N51" s="1082" t="str">
        <f t="shared" si="22"/>
        <v>NM</v>
      </c>
      <c r="O51" s="1083" t="str">
        <f t="shared" si="23"/>
        <v>NM</v>
      </c>
      <c r="P51" s="1083" t="str">
        <f t="shared" si="24"/>
        <v>NM</v>
      </c>
      <c r="Q51" s="1083" t="str">
        <f t="shared" si="25"/>
        <v>NM</v>
      </c>
      <c r="R51" s="1082" t="str">
        <f t="shared" si="26"/>
        <v>NM</v>
      </c>
      <c r="S51" s="1083" t="str">
        <f t="shared" si="27"/>
        <v>NM</v>
      </c>
      <c r="T51" s="1083" t="str">
        <f t="shared" si="28"/>
        <v>NM</v>
      </c>
      <c r="U51" s="1083" t="str">
        <f t="shared" si="29"/>
        <v>NM</v>
      </c>
      <c r="V51" s="1086" t="str">
        <f t="shared" si="30"/>
        <v>NM</v>
      </c>
      <c r="W51" s="1087" t="str">
        <f t="shared" si="31"/>
        <v>NM</v>
      </c>
      <c r="X51" s="1087" t="str">
        <f t="shared" si="32"/>
        <v>NM</v>
      </c>
      <c r="Y51" s="1087" t="str">
        <f t="shared" si="33"/>
        <v>NM</v>
      </c>
      <c r="Z51" s="1086">
        <f t="shared" ref="Z51:AW51" si="45">IFERROR(Z26+V26,"NM")</f>
        <v>8.5000000000000006E-2</v>
      </c>
      <c r="AA51" s="1087">
        <f t="shared" si="45"/>
        <v>2.4999999999999994E-2</v>
      </c>
      <c r="AB51" s="1087">
        <f t="shared" si="45"/>
        <v>3.7000000000000012E-2</v>
      </c>
      <c r="AC51" s="1087">
        <f t="shared" si="45"/>
        <v>3.3000000000000002E-2</v>
      </c>
      <c r="AD51" s="1086">
        <f t="shared" si="45"/>
        <v>1.9000000000000017E-2</v>
      </c>
      <c r="AE51" s="1087">
        <f t="shared" si="45"/>
        <v>3.7999999999999985E-2</v>
      </c>
      <c r="AF51" s="1087">
        <f t="shared" si="45"/>
        <v>5.6000000000000008E-2</v>
      </c>
      <c r="AG51" s="1087">
        <f t="shared" si="45"/>
        <v>8.4999999999999992E-2</v>
      </c>
      <c r="AH51" s="1086">
        <f t="shared" si="45"/>
        <v>7.0000000000000007E-2</v>
      </c>
      <c r="AI51" s="1087">
        <f t="shared" si="45"/>
        <v>7.3999999999999996E-2</v>
      </c>
      <c r="AJ51" s="1087">
        <f t="shared" si="45"/>
        <v>7.9000000000000015E-2</v>
      </c>
      <c r="AK51" s="1087">
        <f t="shared" si="45"/>
        <v>9.4E-2</v>
      </c>
      <c r="AL51" s="1086">
        <f t="shared" si="45"/>
        <v>5.9000000000000004E-2</v>
      </c>
      <c r="AM51" s="1087">
        <f t="shared" si="45"/>
        <v>9.0999999999999998E-2</v>
      </c>
      <c r="AN51" s="1087">
        <f t="shared" si="45"/>
        <v>8.199999999999999E-2</v>
      </c>
      <c r="AO51" s="1087">
        <f t="shared" si="45"/>
        <v>7.3094529911287148E-2</v>
      </c>
      <c r="AP51" s="1086">
        <f t="shared" si="45"/>
        <v>0.10545667776612361</v>
      </c>
      <c r="AQ51" s="1087">
        <f t="shared" si="45"/>
        <v>8.1584803908678463E-2</v>
      </c>
      <c r="AR51" s="1087">
        <f t="shared" si="45"/>
        <v>9.9725812194343122E-2</v>
      </c>
      <c r="AS51" s="1087">
        <f t="shared" si="45"/>
        <v>4.5847928255995832E-2</v>
      </c>
      <c r="AT51" s="1086">
        <f t="shared" si="45"/>
        <v>8.3798200343558518E-2</v>
      </c>
      <c r="AU51" s="1087">
        <f t="shared" si="45"/>
        <v>8.0893846792457369E-2</v>
      </c>
      <c r="AV51" s="1087">
        <f t="shared" si="45"/>
        <v>8.8952997412110157E-2</v>
      </c>
      <c r="AW51" s="1087">
        <f t="shared" si="45"/>
        <v>7.703216294818116E-2</v>
      </c>
      <c r="AY51" s="282"/>
      <c r="AZ51" s="1101"/>
    </row>
    <row r="52" spans="1:75" s="297" customFormat="1" x14ac:dyDescent="0.2">
      <c r="A52" s="314"/>
      <c r="B52" s="314"/>
      <c r="C52" s="314"/>
      <c r="D52" s="314"/>
      <c r="E52" s="314"/>
      <c r="F52" s="314"/>
      <c r="G52" s="314"/>
      <c r="H52" s="314"/>
      <c r="I52" s="314"/>
      <c r="J52" s="314"/>
      <c r="K52" s="314"/>
      <c r="L52" s="314"/>
      <c r="M52" s="314"/>
      <c r="N52" s="314"/>
      <c r="O52" s="314"/>
      <c r="P52" s="314"/>
      <c r="Q52" s="314"/>
      <c r="R52" s="314"/>
      <c r="S52" s="314"/>
      <c r="T52" s="314"/>
      <c r="U52" s="314"/>
      <c r="V52" s="314"/>
      <c r="W52" s="314"/>
      <c r="X52" s="314"/>
      <c r="Y52" s="314"/>
      <c r="Z52" s="314"/>
      <c r="AA52" s="314"/>
      <c r="AB52" s="314"/>
      <c r="AC52" s="314"/>
      <c r="AD52" s="314"/>
      <c r="AE52" s="314"/>
      <c r="AF52" s="314"/>
      <c r="AG52" s="314"/>
      <c r="AH52" s="314"/>
      <c r="AI52" s="315"/>
      <c r="AJ52" s="314"/>
      <c r="AK52" s="314"/>
      <c r="AL52" s="314"/>
      <c r="AM52" s="314"/>
      <c r="AN52" s="314"/>
      <c r="AO52" s="314"/>
      <c r="AP52" s="314"/>
      <c r="AQ52" s="314"/>
      <c r="AR52" s="314"/>
      <c r="AS52" s="314"/>
      <c r="AT52" s="314"/>
      <c r="AU52" s="314"/>
      <c r="AV52" s="314"/>
      <c r="AW52" s="314"/>
      <c r="AX52" s="316"/>
      <c r="AY52" s="316"/>
      <c r="AZ52" s="316"/>
      <c r="BA52" s="316"/>
      <c r="BB52" s="316"/>
      <c r="BC52" s="316"/>
      <c r="BD52" s="316"/>
      <c r="BE52" s="316"/>
      <c r="BF52" s="316"/>
      <c r="BG52" s="316"/>
      <c r="BH52" s="316"/>
      <c r="BI52" s="316"/>
      <c r="BJ52" s="316"/>
      <c r="BK52" s="316"/>
      <c r="BL52" s="316"/>
      <c r="BM52" s="316"/>
      <c r="BN52" s="316"/>
      <c r="BO52" s="316"/>
      <c r="BP52" s="316"/>
      <c r="BQ52" s="316"/>
      <c r="BR52" s="316"/>
      <c r="BS52" s="316"/>
      <c r="BT52" s="316"/>
      <c r="BU52" s="316"/>
      <c r="BV52" s="316"/>
      <c r="BW52" s="316"/>
    </row>
    <row r="53" spans="1:75" s="297" customFormat="1" x14ac:dyDescent="0.2">
      <c r="A53" s="294" t="s">
        <v>424</v>
      </c>
      <c r="B53" s="317"/>
      <c r="C53" s="317"/>
      <c r="D53" s="317"/>
      <c r="E53" s="317"/>
      <c r="F53" s="317"/>
      <c r="G53" s="317"/>
      <c r="H53" s="317"/>
      <c r="I53" s="317"/>
      <c r="J53" s="317"/>
      <c r="K53" s="317"/>
      <c r="L53" s="317"/>
      <c r="M53" s="317"/>
      <c r="N53" s="317"/>
      <c r="O53" s="317"/>
      <c r="P53" s="317"/>
      <c r="Q53" s="317"/>
      <c r="R53" s="317"/>
      <c r="S53" s="317"/>
      <c r="T53" s="317"/>
      <c r="U53" s="317"/>
      <c r="V53" s="317"/>
      <c r="W53" s="317"/>
      <c r="X53" s="317"/>
      <c r="Y53" s="317"/>
      <c r="Z53" s="317"/>
      <c r="AA53" s="317"/>
      <c r="AB53" s="317"/>
      <c r="AC53" s="317"/>
      <c r="AD53" s="317"/>
      <c r="AE53" s="317"/>
      <c r="AF53" s="317"/>
      <c r="AG53" s="317"/>
      <c r="AH53" s="317"/>
      <c r="AI53" s="317"/>
      <c r="AJ53" s="317"/>
      <c r="AK53" s="317"/>
      <c r="AL53" s="317"/>
      <c r="AM53" s="317"/>
      <c r="AN53" s="317"/>
      <c r="AO53" s="317"/>
      <c r="AP53" s="317"/>
      <c r="AQ53" s="317"/>
      <c r="AR53" s="317"/>
      <c r="AS53" s="317"/>
      <c r="AT53" s="317"/>
      <c r="AU53" s="317"/>
      <c r="AV53" s="317"/>
      <c r="AW53" s="317"/>
      <c r="AX53" s="316"/>
      <c r="AY53" s="316"/>
      <c r="AZ53" s="316"/>
      <c r="BA53" s="316"/>
      <c r="BB53" s="316"/>
      <c r="BC53" s="316"/>
      <c r="BD53" s="316"/>
      <c r="BE53" s="316"/>
      <c r="BF53" s="316"/>
      <c r="BG53" s="316"/>
      <c r="BH53" s="316"/>
      <c r="BI53" s="316"/>
      <c r="BJ53" s="316"/>
      <c r="BK53" s="316"/>
      <c r="BL53" s="316"/>
      <c r="BM53" s="316"/>
      <c r="BN53" s="316"/>
      <c r="BO53" s="316"/>
      <c r="BP53" s="316"/>
      <c r="BQ53" s="316"/>
      <c r="BR53" s="316"/>
      <c r="BS53" s="316"/>
      <c r="BT53" s="316"/>
      <c r="BU53" s="316"/>
      <c r="BV53" s="316"/>
      <c r="BW53" s="316"/>
    </row>
    <row r="54" spans="1:75" x14ac:dyDescent="0.2">
      <c r="A54" s="295"/>
      <c r="B54" s="741" t="str">
        <f>B$4</f>
        <v>1Q07</v>
      </c>
      <c r="C54" s="295" t="str">
        <f t="shared" ref="C54:AW54" si="46">C$4</f>
        <v>2Q07</v>
      </c>
      <c r="D54" s="295" t="str">
        <f t="shared" si="46"/>
        <v>3Q07</v>
      </c>
      <c r="E54" s="295" t="str">
        <f t="shared" si="46"/>
        <v>4Q07</v>
      </c>
      <c r="F54" s="296" t="str">
        <f t="shared" si="46"/>
        <v>1Q08</v>
      </c>
      <c r="G54" s="295" t="str">
        <f t="shared" si="46"/>
        <v>2Q08</v>
      </c>
      <c r="H54" s="295" t="str">
        <f t="shared" si="46"/>
        <v>3Q08</v>
      </c>
      <c r="I54" s="295" t="str">
        <f t="shared" si="46"/>
        <v>4Q08</v>
      </c>
      <c r="J54" s="296" t="str">
        <f t="shared" si="46"/>
        <v>1Q09</v>
      </c>
      <c r="K54" s="295" t="str">
        <f t="shared" si="46"/>
        <v>2Q09</v>
      </c>
      <c r="L54" s="295" t="str">
        <f t="shared" si="46"/>
        <v>3Q09</v>
      </c>
      <c r="M54" s="295" t="str">
        <f t="shared" si="46"/>
        <v>4Q09</v>
      </c>
      <c r="N54" s="296" t="str">
        <f t="shared" si="46"/>
        <v>1Q10</v>
      </c>
      <c r="O54" s="295" t="str">
        <f t="shared" si="46"/>
        <v>2Q10</v>
      </c>
      <c r="P54" s="295" t="str">
        <f t="shared" si="46"/>
        <v>3Q10</v>
      </c>
      <c r="Q54" s="295" t="str">
        <f t="shared" si="46"/>
        <v>4Q10</v>
      </c>
      <c r="R54" s="296" t="str">
        <f t="shared" si="46"/>
        <v>1Q11</v>
      </c>
      <c r="S54" s="295" t="str">
        <f t="shared" si="46"/>
        <v>2Q11</v>
      </c>
      <c r="T54" s="295" t="str">
        <f t="shared" si="46"/>
        <v>3Q11</v>
      </c>
      <c r="U54" s="295" t="str">
        <f t="shared" si="46"/>
        <v>4Q11</v>
      </c>
      <c r="V54" s="296" t="str">
        <f t="shared" si="46"/>
        <v>1Q12</v>
      </c>
      <c r="W54" s="295" t="str">
        <f t="shared" si="46"/>
        <v>2Q12</v>
      </c>
      <c r="X54" s="295" t="str">
        <f t="shared" si="46"/>
        <v>3Q12</v>
      </c>
      <c r="Y54" s="295" t="str">
        <f t="shared" si="46"/>
        <v>4Q12</v>
      </c>
      <c r="Z54" s="296" t="str">
        <f t="shared" si="46"/>
        <v>1Q13</v>
      </c>
      <c r="AA54" s="295" t="str">
        <f t="shared" si="46"/>
        <v>2Q13</v>
      </c>
      <c r="AB54" s="295" t="str">
        <f t="shared" si="46"/>
        <v>3Q13</v>
      </c>
      <c r="AC54" s="295" t="str">
        <f t="shared" si="46"/>
        <v>4Q13</v>
      </c>
      <c r="AD54" s="296" t="str">
        <f t="shared" si="46"/>
        <v>1Q14</v>
      </c>
      <c r="AE54" s="295" t="str">
        <f t="shared" si="46"/>
        <v>2Q14</v>
      </c>
      <c r="AF54" s="295" t="str">
        <f t="shared" si="46"/>
        <v>3Q14</v>
      </c>
      <c r="AG54" s="295" t="str">
        <f t="shared" si="46"/>
        <v>4Q14</v>
      </c>
      <c r="AH54" s="296" t="str">
        <f t="shared" si="46"/>
        <v>1Q15</v>
      </c>
      <c r="AI54" s="295" t="str">
        <f t="shared" si="46"/>
        <v>2Q15</v>
      </c>
      <c r="AJ54" s="295" t="str">
        <f t="shared" si="46"/>
        <v>3Q15</v>
      </c>
      <c r="AK54" s="295" t="str">
        <f t="shared" si="46"/>
        <v>4Q15</v>
      </c>
      <c r="AL54" s="296" t="str">
        <f t="shared" si="46"/>
        <v>1Q16</v>
      </c>
      <c r="AM54" s="295" t="str">
        <f t="shared" si="46"/>
        <v>2Q16</v>
      </c>
      <c r="AN54" s="295" t="str">
        <f t="shared" si="46"/>
        <v>3Q16</v>
      </c>
      <c r="AO54" s="295" t="str">
        <f t="shared" si="46"/>
        <v>4Q16</v>
      </c>
      <c r="AP54" s="296" t="str">
        <f t="shared" si="46"/>
        <v>1Q17</v>
      </c>
      <c r="AQ54" s="295" t="str">
        <f t="shared" si="46"/>
        <v>2Q17</v>
      </c>
      <c r="AR54" s="295" t="str">
        <f t="shared" si="46"/>
        <v>3Q17</v>
      </c>
      <c r="AS54" s="295" t="str">
        <f t="shared" si="46"/>
        <v>4Q17</v>
      </c>
      <c r="AT54" s="296" t="str">
        <f t="shared" si="46"/>
        <v>1Q18E</v>
      </c>
      <c r="AU54" s="295" t="str">
        <f t="shared" si="46"/>
        <v>2Q18E</v>
      </c>
      <c r="AV54" s="295" t="str">
        <f t="shared" si="46"/>
        <v>3Q18E</v>
      </c>
      <c r="AW54" s="295" t="str">
        <f t="shared" si="46"/>
        <v>4Q18E</v>
      </c>
      <c r="AX54" s="297"/>
      <c r="AY54" s="297"/>
      <c r="AZ54" s="297"/>
      <c r="BA54" s="297"/>
      <c r="BB54" s="297"/>
      <c r="BC54" s="297"/>
      <c r="BD54" s="297"/>
      <c r="BE54" s="297"/>
      <c r="BF54" s="297"/>
      <c r="BG54" s="297"/>
      <c r="BH54" s="297"/>
      <c r="BI54" s="297"/>
      <c r="BJ54" s="297"/>
      <c r="BK54" s="297"/>
      <c r="BL54" s="297"/>
      <c r="BM54" s="297"/>
      <c r="BN54" s="297"/>
      <c r="BO54" s="297"/>
      <c r="BP54" s="297"/>
      <c r="BQ54" s="297"/>
      <c r="BR54" s="297"/>
      <c r="BS54" s="297"/>
      <c r="BT54" s="297"/>
      <c r="BU54" s="297"/>
      <c r="BV54" s="297"/>
      <c r="BW54" s="297"/>
    </row>
    <row r="55" spans="1:75" x14ac:dyDescent="0.2">
      <c r="A55" s="298" t="s">
        <v>307</v>
      </c>
      <c r="B55" s="743"/>
      <c r="C55" s="278"/>
      <c r="D55" s="278"/>
      <c r="E55" s="278"/>
      <c r="F55" s="318"/>
      <c r="G55" s="278"/>
      <c r="H55" s="278"/>
      <c r="I55" s="278"/>
      <c r="J55" s="318"/>
      <c r="K55" s="278"/>
      <c r="L55" s="278"/>
      <c r="M55" s="278"/>
      <c r="N55" s="318">
        <f t="shared" ref="N55:Y55" si="47">(N92/2)/J64</f>
        <v>1.7756494353533277E-2</v>
      </c>
      <c r="O55" s="278">
        <f t="shared" si="47"/>
        <v>1.4115775748091022E-2</v>
      </c>
      <c r="P55" s="278">
        <f t="shared" si="47"/>
        <v>1.2791093828694261E-2</v>
      </c>
      <c r="Q55" s="278">
        <f t="shared" si="47"/>
        <v>2.024682698279421E-2</v>
      </c>
      <c r="R55" s="319">
        <f t="shared" si="47"/>
        <v>2.9497344982356215E-2</v>
      </c>
      <c r="S55" s="61">
        <f t="shared" si="47"/>
        <v>3.0430184145650681E-2</v>
      </c>
      <c r="T55" s="61">
        <f t="shared" si="47"/>
        <v>3.074778284245093E-2</v>
      </c>
      <c r="U55" s="61">
        <f t="shared" si="47"/>
        <v>3.4410612171719437E-2</v>
      </c>
      <c r="V55" s="319">
        <f t="shared" si="47"/>
        <v>4.8135369018267975E-2</v>
      </c>
      <c r="W55" s="61">
        <f t="shared" si="47"/>
        <v>4.6462043824202305E-2</v>
      </c>
      <c r="X55" s="61">
        <f t="shared" si="47"/>
        <v>3.9021227972077042E-2</v>
      </c>
      <c r="Y55" s="61">
        <f t="shared" si="47"/>
        <v>4.1953165958924434E-2</v>
      </c>
      <c r="Z55" s="319">
        <f t="shared" ref="Z55:AW55" si="48">(Z92/2)/V64</f>
        <v>5.4789009357187064E-2</v>
      </c>
      <c r="AA55" s="61">
        <f t="shared" si="48"/>
        <v>4.5173375016816744E-2</v>
      </c>
      <c r="AB55" s="61">
        <f t="shared" si="48"/>
        <v>3.8502898487657033E-2</v>
      </c>
      <c r="AC55" s="61">
        <f t="shared" si="48"/>
        <v>3.9773652055944651E-2</v>
      </c>
      <c r="AD55" s="319">
        <f t="shared" si="48"/>
        <v>3.8028960149161704E-2</v>
      </c>
      <c r="AE55" s="61">
        <f t="shared" si="48"/>
        <v>3.2805638429140437E-2</v>
      </c>
      <c r="AF55" s="61">
        <f t="shared" si="48"/>
        <v>4.3529228778739271E-2</v>
      </c>
      <c r="AG55" s="61">
        <f t="shared" si="48"/>
        <v>4.300435395545462E-2</v>
      </c>
      <c r="AH55" s="319">
        <f t="shared" si="48"/>
        <v>4.0064710515448028E-2</v>
      </c>
      <c r="AI55" s="61">
        <f t="shared" si="48"/>
        <v>3.6689318355357096E-2</v>
      </c>
      <c r="AJ55" s="61">
        <f t="shared" si="48"/>
        <v>4.5855384123509917E-2</v>
      </c>
      <c r="AK55" s="61">
        <f t="shared" si="48"/>
        <v>5.3743454947910385E-2</v>
      </c>
      <c r="AL55" s="319">
        <f t="shared" si="48"/>
        <v>6.6037809565462416E-2</v>
      </c>
      <c r="AM55" s="61">
        <f t="shared" si="48"/>
        <v>6.181523001630037E-2</v>
      </c>
      <c r="AN55" s="61">
        <f t="shared" si="48"/>
        <v>5.5044236405650482E-2</v>
      </c>
      <c r="AO55" s="61">
        <f t="shared" si="48"/>
        <v>5.070235399599362E-2</v>
      </c>
      <c r="AP55" s="319">
        <f t="shared" si="48"/>
        <v>6.3113942465108167E-2</v>
      </c>
      <c r="AQ55" s="61">
        <f t="shared" si="48"/>
        <v>6.3767261194723313E-2</v>
      </c>
      <c r="AR55" s="61">
        <f t="shared" si="48"/>
        <v>5.6046843868322982E-2</v>
      </c>
      <c r="AS55" s="61">
        <f t="shared" si="48"/>
        <v>4.6217794720456312E-2</v>
      </c>
      <c r="AT55" s="319">
        <f t="shared" si="48"/>
        <v>4.6804327537652825E-2</v>
      </c>
      <c r="AU55" s="61">
        <f t="shared" si="48"/>
        <v>4.7309793454594684E-2</v>
      </c>
      <c r="AV55" s="61">
        <f t="shared" si="48"/>
        <v>4.7410423037340832E-2</v>
      </c>
      <c r="AW55" s="61">
        <f t="shared" si="48"/>
        <v>4.5593594262281011E-2</v>
      </c>
      <c r="AX55" s="290"/>
      <c r="AY55" s="290"/>
      <c r="AZ55" s="290"/>
      <c r="BA55" s="290"/>
      <c r="BB55" s="290"/>
      <c r="BC55" s="290"/>
      <c r="BD55" s="290"/>
      <c r="BE55" s="290"/>
      <c r="BF55" s="290"/>
      <c r="BG55" s="290"/>
      <c r="BH55" s="290"/>
      <c r="BI55" s="290"/>
      <c r="BJ55" s="290"/>
      <c r="BK55" s="290"/>
      <c r="BL55" s="290"/>
      <c r="BM55" s="290"/>
      <c r="BN55" s="290"/>
      <c r="BO55" s="290"/>
      <c r="BP55" s="290"/>
      <c r="BQ55" s="290"/>
      <c r="BR55" s="290"/>
      <c r="BS55" s="290"/>
      <c r="BT55" s="290"/>
      <c r="BU55" s="290"/>
      <c r="BV55" s="290"/>
      <c r="BW55" s="290"/>
    </row>
    <row r="56" spans="1:75" x14ac:dyDescent="0.2">
      <c r="A56" s="349" t="s">
        <v>304</v>
      </c>
      <c r="B56" s="744"/>
      <c r="C56" s="320"/>
      <c r="D56" s="320"/>
      <c r="E56" s="320"/>
      <c r="F56" s="321"/>
      <c r="G56" s="320"/>
      <c r="H56" s="320"/>
      <c r="I56" s="320"/>
      <c r="J56" s="321"/>
      <c r="K56" s="320"/>
      <c r="L56" s="320"/>
      <c r="M56" s="320"/>
      <c r="N56" s="322" t="s">
        <v>425</v>
      </c>
      <c r="O56" s="323" t="s">
        <v>425</v>
      </c>
      <c r="P56" s="323" t="s">
        <v>425</v>
      </c>
      <c r="Q56" s="323" t="s">
        <v>425</v>
      </c>
      <c r="R56" s="322" t="s">
        <v>425</v>
      </c>
      <c r="S56" s="323" t="s">
        <v>425</v>
      </c>
      <c r="T56" s="323" t="s">
        <v>425</v>
      </c>
      <c r="U56" s="323" t="s">
        <v>425</v>
      </c>
      <c r="V56" s="322" t="s">
        <v>425</v>
      </c>
      <c r="W56" s="323" t="s">
        <v>425</v>
      </c>
      <c r="X56" s="323" t="s">
        <v>425</v>
      </c>
      <c r="Y56" s="323" t="s">
        <v>425</v>
      </c>
      <c r="Z56" s="322" t="s">
        <v>425</v>
      </c>
      <c r="AA56" s="323" t="s">
        <v>425</v>
      </c>
      <c r="AB56" s="323" t="s">
        <v>425</v>
      </c>
      <c r="AC56" s="323" t="s">
        <v>425</v>
      </c>
      <c r="AD56" s="324">
        <f t="shared" ref="AD56:AW56" si="49">(AD94/2)/Z65</f>
        <v>1.6044250689665307E-2</v>
      </c>
      <c r="AE56" s="325">
        <f t="shared" si="49"/>
        <v>2.1145425145345953E-2</v>
      </c>
      <c r="AF56" s="325">
        <f t="shared" si="49"/>
        <v>3.3532600124577309E-2</v>
      </c>
      <c r="AG56" s="325">
        <f t="shared" si="49"/>
        <v>2.8567199198179415E-2</v>
      </c>
      <c r="AH56" s="324">
        <f t="shared" si="49"/>
        <v>2.7415960639295325E-2</v>
      </c>
      <c r="AI56" s="325">
        <f t="shared" si="49"/>
        <v>3.0243698670277482E-2</v>
      </c>
      <c r="AJ56" s="325">
        <f t="shared" si="49"/>
        <v>3.8295259490492561E-2</v>
      </c>
      <c r="AK56" s="325">
        <f t="shared" si="49"/>
        <v>4.1440344624940208E-2</v>
      </c>
      <c r="AL56" s="324">
        <f t="shared" si="49"/>
        <v>4.4238152891871114E-2</v>
      </c>
      <c r="AM56" s="325">
        <f t="shared" si="49"/>
        <v>3.5843301459860095E-2</v>
      </c>
      <c r="AN56" s="325">
        <f t="shared" si="49"/>
        <v>3.863701936554792E-2</v>
      </c>
      <c r="AO56" s="325">
        <f t="shared" si="49"/>
        <v>3.8029078109041388E-2</v>
      </c>
      <c r="AP56" s="324">
        <f t="shared" si="49"/>
        <v>4.1352244854062394E-2</v>
      </c>
      <c r="AQ56" s="325">
        <f t="shared" si="49"/>
        <v>3.4327802165471877E-2</v>
      </c>
      <c r="AR56" s="325">
        <f t="shared" si="49"/>
        <v>3.2548157870013715E-2</v>
      </c>
      <c r="AS56" s="325">
        <f t="shared" si="49"/>
        <v>2.7900649328862295E-2</v>
      </c>
      <c r="AT56" s="324">
        <f t="shared" si="49"/>
        <v>3.0161346446449407E-2</v>
      </c>
      <c r="AU56" s="325">
        <f t="shared" si="49"/>
        <v>2.9810065167417365E-2</v>
      </c>
      <c r="AV56" s="325">
        <f t="shared" si="49"/>
        <v>3.1065304010874175E-2</v>
      </c>
      <c r="AW56" s="325">
        <f t="shared" si="49"/>
        <v>2.763743993015259E-2</v>
      </c>
      <c r="AX56" s="290"/>
      <c r="AY56" s="290"/>
      <c r="AZ56" s="290"/>
      <c r="BA56" s="290"/>
      <c r="BB56" s="290"/>
      <c r="BC56" s="290"/>
      <c r="BD56" s="290"/>
      <c r="BE56" s="290"/>
      <c r="BF56" s="290"/>
      <c r="BG56" s="290"/>
      <c r="BH56" s="290"/>
      <c r="BI56" s="290"/>
      <c r="BJ56" s="290"/>
      <c r="BK56" s="290"/>
      <c r="BL56" s="290"/>
      <c r="BM56" s="290"/>
      <c r="BN56" s="290"/>
      <c r="BO56" s="290"/>
      <c r="BP56" s="290"/>
      <c r="BQ56" s="290"/>
      <c r="BR56" s="290"/>
      <c r="BS56" s="290"/>
      <c r="BT56" s="290"/>
      <c r="BU56" s="290"/>
      <c r="BV56" s="290"/>
      <c r="BW56" s="290"/>
    </row>
    <row r="57" spans="1:75" x14ac:dyDescent="0.2">
      <c r="A57" s="360" t="s">
        <v>305</v>
      </c>
      <c r="B57" s="743"/>
      <c r="C57" s="278"/>
      <c r="D57" s="278"/>
      <c r="E57" s="278"/>
      <c r="F57" s="318"/>
      <c r="G57" s="278"/>
      <c r="H57" s="278"/>
      <c r="I57" s="278"/>
      <c r="J57" s="318"/>
      <c r="K57" s="278"/>
      <c r="L57" s="278"/>
      <c r="M57" s="278"/>
      <c r="N57" s="326" t="s">
        <v>425</v>
      </c>
      <c r="O57" s="327" t="s">
        <v>425</v>
      </c>
      <c r="P57" s="327" t="s">
        <v>425</v>
      </c>
      <c r="Q57" s="327" t="s">
        <v>425</v>
      </c>
      <c r="R57" s="326" t="s">
        <v>425</v>
      </c>
      <c r="S57" s="327" t="s">
        <v>425</v>
      </c>
      <c r="T57" s="327" t="s">
        <v>425</v>
      </c>
      <c r="U57" s="327" t="s">
        <v>425</v>
      </c>
      <c r="V57" s="326" t="s">
        <v>425</v>
      </c>
      <c r="W57" s="327" t="s">
        <v>425</v>
      </c>
      <c r="X57" s="327" t="s">
        <v>425</v>
      </c>
      <c r="Y57" s="327" t="s">
        <v>425</v>
      </c>
      <c r="Z57" s="326" t="s">
        <v>425</v>
      </c>
      <c r="AA57" s="327" t="s">
        <v>425</v>
      </c>
      <c r="AB57" s="327" t="s">
        <v>425</v>
      </c>
      <c r="AC57" s="327" t="s">
        <v>425</v>
      </c>
      <c r="AD57" s="319">
        <f t="shared" ref="AD57:AW57" si="50">(AD96/2)/Z66</f>
        <v>3.7959451890190281E-2</v>
      </c>
      <c r="AE57" s="61">
        <f t="shared" si="50"/>
        <v>4.5694891692443451E-2</v>
      </c>
      <c r="AF57" s="61">
        <f t="shared" si="50"/>
        <v>6.2501943050558242E-2</v>
      </c>
      <c r="AG57" s="61">
        <f t="shared" si="50"/>
        <v>6.4246589861185491E-2</v>
      </c>
      <c r="AH57" s="319">
        <f t="shared" si="50"/>
        <v>4.6756612038723395E-2</v>
      </c>
      <c r="AI57" s="61">
        <f t="shared" si="50"/>
        <v>3.1608873313727803E-2</v>
      </c>
      <c r="AJ57" s="61">
        <f t="shared" si="50"/>
        <v>3.5946255171831462E-2</v>
      </c>
      <c r="AK57" s="61">
        <f t="shared" si="50"/>
        <v>4.219306664771337E-2</v>
      </c>
      <c r="AL57" s="319">
        <f t="shared" si="50"/>
        <v>5.9978246780764667E-2</v>
      </c>
      <c r="AM57" s="61">
        <f t="shared" si="50"/>
        <v>6.324588408647025E-2</v>
      </c>
      <c r="AN57" s="61">
        <f t="shared" si="50"/>
        <v>5.4483803460048885E-2</v>
      </c>
      <c r="AO57" s="61">
        <f t="shared" si="50"/>
        <v>4.8118143595222984E-2</v>
      </c>
      <c r="AP57" s="319">
        <f t="shared" si="50"/>
        <v>6.4926800883573374E-2</v>
      </c>
      <c r="AQ57" s="61">
        <f t="shared" si="50"/>
        <v>7.598904402306475E-2</v>
      </c>
      <c r="AR57" s="61">
        <f t="shared" si="50"/>
        <v>8.3606446900398493E-2</v>
      </c>
      <c r="AS57" s="61">
        <f t="shared" si="50"/>
        <v>6.7399197307249248E-2</v>
      </c>
      <c r="AT57" s="319">
        <f t="shared" si="50"/>
        <v>6.2301906416102518E-2</v>
      </c>
      <c r="AU57" s="61">
        <f t="shared" si="50"/>
        <v>6.1354548142048292E-2</v>
      </c>
      <c r="AV57" s="61">
        <f t="shared" si="50"/>
        <v>6.6104790783838366E-2</v>
      </c>
      <c r="AW57" s="61">
        <f t="shared" si="50"/>
        <v>6.4888654000685581E-2</v>
      </c>
      <c r="AX57" s="290"/>
      <c r="AY57" s="290"/>
      <c r="AZ57" s="290"/>
      <c r="BA57" s="290"/>
      <c r="BB57" s="290"/>
      <c r="BC57" s="290"/>
      <c r="BD57" s="290"/>
      <c r="BE57" s="290"/>
      <c r="BF57" s="290"/>
      <c r="BG57" s="290"/>
      <c r="BH57" s="290"/>
      <c r="BI57" s="290"/>
      <c r="BJ57" s="290"/>
      <c r="BK57" s="290"/>
      <c r="BL57" s="290"/>
      <c r="BM57" s="290"/>
      <c r="BN57" s="290"/>
      <c r="BO57" s="290"/>
      <c r="BP57" s="290"/>
      <c r="BQ57" s="290"/>
      <c r="BR57" s="290"/>
      <c r="BS57" s="290"/>
      <c r="BT57" s="290"/>
      <c r="BU57" s="290"/>
      <c r="BV57" s="290"/>
      <c r="BW57" s="290"/>
    </row>
    <row r="58" spans="1:75" x14ac:dyDescent="0.2">
      <c r="A58" s="349" t="s">
        <v>306</v>
      </c>
      <c r="B58" s="744"/>
      <c r="C58" s="320"/>
      <c r="D58" s="320"/>
      <c r="E58" s="320"/>
      <c r="F58" s="321"/>
      <c r="G58" s="320"/>
      <c r="H58" s="320"/>
      <c r="I58" s="320"/>
      <c r="J58" s="321"/>
      <c r="K58" s="320"/>
      <c r="L58" s="320"/>
      <c r="M58" s="320"/>
      <c r="N58" s="322" t="s">
        <v>425</v>
      </c>
      <c r="O58" s="323" t="s">
        <v>425</v>
      </c>
      <c r="P58" s="323" t="s">
        <v>425</v>
      </c>
      <c r="Q58" s="323" t="s">
        <v>425</v>
      </c>
      <c r="R58" s="322" t="s">
        <v>425</v>
      </c>
      <c r="S58" s="323" t="s">
        <v>425</v>
      </c>
      <c r="T58" s="323" t="s">
        <v>425</v>
      </c>
      <c r="U58" s="323" t="s">
        <v>425</v>
      </c>
      <c r="V58" s="322" t="s">
        <v>425</v>
      </c>
      <c r="W58" s="323" t="s">
        <v>425</v>
      </c>
      <c r="X58" s="323" t="s">
        <v>425</v>
      </c>
      <c r="Y58" s="323" t="s">
        <v>425</v>
      </c>
      <c r="Z58" s="322" t="s">
        <v>425</v>
      </c>
      <c r="AA58" s="323" t="s">
        <v>425</v>
      </c>
      <c r="AB58" s="323" t="s">
        <v>425</v>
      </c>
      <c r="AC58" s="323" t="s">
        <v>425</v>
      </c>
      <c r="AD58" s="324">
        <f t="shared" ref="AD58:AW58" si="51">(AD98/2)/Z67</f>
        <v>4.7867621418395213E-2</v>
      </c>
      <c r="AE58" s="325">
        <f t="shared" si="51"/>
        <v>4.7674439334135968E-2</v>
      </c>
      <c r="AF58" s="325">
        <f t="shared" si="51"/>
        <v>4.1409544960666581E-2</v>
      </c>
      <c r="AG58" s="325">
        <f t="shared" si="51"/>
        <v>5.6330193062090375E-2</v>
      </c>
      <c r="AH58" s="324">
        <f t="shared" si="51"/>
        <v>7.0484723738972466E-2</v>
      </c>
      <c r="AI58" s="325">
        <f t="shared" si="51"/>
        <v>6.7048759227986116E-2</v>
      </c>
      <c r="AJ58" s="325">
        <f t="shared" si="51"/>
        <v>8.0760632893471199E-2</v>
      </c>
      <c r="AK58" s="325">
        <f t="shared" si="51"/>
        <v>0.10959770917801574</v>
      </c>
      <c r="AL58" s="324">
        <f t="shared" si="51"/>
        <v>0.13696061905202092</v>
      </c>
      <c r="AM58" s="325">
        <f t="shared" si="51"/>
        <v>0.13262339937388287</v>
      </c>
      <c r="AN58" s="325">
        <f t="shared" si="51"/>
        <v>9.0362307720643006E-2</v>
      </c>
      <c r="AO58" s="325">
        <f t="shared" si="51"/>
        <v>8.6457610572985233E-2</v>
      </c>
      <c r="AP58" s="324">
        <f t="shared" si="51"/>
        <v>0.11320091169764185</v>
      </c>
      <c r="AQ58" s="325">
        <f t="shared" si="51"/>
        <v>0.11973974759894206</v>
      </c>
      <c r="AR58" s="325">
        <f t="shared" si="51"/>
        <v>7.6150507193018635E-2</v>
      </c>
      <c r="AS58" s="325">
        <f t="shared" si="51"/>
        <v>6.8580219290548097E-2</v>
      </c>
      <c r="AT58" s="324">
        <f t="shared" si="51"/>
        <v>6.4817960346376366E-2</v>
      </c>
      <c r="AU58" s="325">
        <f t="shared" si="51"/>
        <v>7.0978037439602917E-2</v>
      </c>
      <c r="AV58" s="325">
        <f t="shared" si="51"/>
        <v>6.3568115636233075E-2</v>
      </c>
      <c r="AW58" s="325">
        <f t="shared" si="51"/>
        <v>7.1390790248382907E-2</v>
      </c>
      <c r="AX58" s="290"/>
      <c r="AY58" s="290"/>
      <c r="AZ58" s="290"/>
      <c r="BA58" s="290"/>
      <c r="BB58" s="290"/>
      <c r="BC58" s="290"/>
      <c r="BD58" s="290"/>
      <c r="BE58" s="290"/>
      <c r="BF58" s="290"/>
      <c r="BG58" s="290"/>
      <c r="BH58" s="290"/>
      <c r="BI58" s="290"/>
      <c r="BJ58" s="290"/>
      <c r="BK58" s="290"/>
      <c r="BL58" s="290"/>
      <c r="BM58" s="290"/>
      <c r="BN58" s="290"/>
      <c r="BO58" s="290"/>
      <c r="BP58" s="290"/>
      <c r="BQ58" s="290"/>
      <c r="BR58" s="290"/>
      <c r="BS58" s="290"/>
      <c r="BT58" s="290"/>
      <c r="BU58" s="290"/>
      <c r="BV58" s="290"/>
      <c r="BW58" s="290"/>
    </row>
    <row r="59" spans="1:75" x14ac:dyDescent="0.2">
      <c r="A59" s="298" t="s">
        <v>308</v>
      </c>
      <c r="B59" s="743"/>
      <c r="C59" s="278"/>
      <c r="D59" s="278"/>
      <c r="E59" s="278"/>
      <c r="F59" s="318"/>
      <c r="G59" s="278"/>
      <c r="H59" s="278"/>
      <c r="I59" s="278"/>
      <c r="J59" s="318"/>
      <c r="K59" s="278"/>
      <c r="L59" s="278"/>
      <c r="M59" s="278"/>
      <c r="N59" s="318">
        <f t="shared" ref="N59:Y59" si="52">(N100/2)/J68</f>
        <v>6.5330564166150032E-2</v>
      </c>
      <c r="O59" s="278">
        <f t="shared" si="52"/>
        <v>6.8591830979295429E-2</v>
      </c>
      <c r="P59" s="278">
        <f t="shared" si="52"/>
        <v>7.472585105644397E-2</v>
      </c>
      <c r="Q59" s="278">
        <f t="shared" si="52"/>
        <v>9.267398824303387E-2</v>
      </c>
      <c r="R59" s="319">
        <f t="shared" si="52"/>
        <v>0.10572213883885888</v>
      </c>
      <c r="S59" s="61">
        <f t="shared" si="52"/>
        <v>9.0744868853475547E-2</v>
      </c>
      <c r="T59" s="61">
        <f t="shared" si="52"/>
        <v>0.10009689693763352</v>
      </c>
      <c r="U59" s="61">
        <f t="shared" si="52"/>
        <v>8.6166122743808013E-2</v>
      </c>
      <c r="V59" s="319">
        <f t="shared" si="52"/>
        <v>9.362515275132087E-2</v>
      </c>
      <c r="W59" s="61">
        <f t="shared" si="52"/>
        <v>9.12359685450473E-2</v>
      </c>
      <c r="X59" s="61">
        <f t="shared" si="52"/>
        <v>9.6281664040391041E-2</v>
      </c>
      <c r="Y59" s="61">
        <f t="shared" si="52"/>
        <v>8.2876055143160141E-2</v>
      </c>
      <c r="Z59" s="319">
        <f t="shared" ref="Z59:AW59" si="53">(Z100/2)/V68</f>
        <v>9.2546975546975552E-2</v>
      </c>
      <c r="AA59" s="61">
        <f t="shared" si="53"/>
        <v>8.8959249776238758E-2</v>
      </c>
      <c r="AB59" s="61">
        <f t="shared" si="53"/>
        <v>8.7637756108559034E-2</v>
      </c>
      <c r="AC59" s="61">
        <f t="shared" si="53"/>
        <v>9.0779499612817574E-2</v>
      </c>
      <c r="AD59" s="319">
        <f t="shared" si="53"/>
        <v>9.5501224702858961E-2</v>
      </c>
      <c r="AE59" s="61">
        <f t="shared" si="53"/>
        <v>8.2633884297520666E-2</v>
      </c>
      <c r="AF59" s="61">
        <f t="shared" si="53"/>
        <v>7.9065878656582156E-2</v>
      </c>
      <c r="AG59" s="61">
        <f t="shared" si="53"/>
        <v>5.513092341297237E-2</v>
      </c>
      <c r="AH59" s="319">
        <f t="shared" si="53"/>
        <v>5.9570362355371373E-2</v>
      </c>
      <c r="AI59" s="61">
        <f t="shared" si="53"/>
        <v>5.862883055240746E-2</v>
      </c>
      <c r="AJ59" s="61">
        <f t="shared" si="53"/>
        <v>5.5965924612329701E-2</v>
      </c>
      <c r="AK59" s="61">
        <f t="shared" si="53"/>
        <v>4.0080924792184607E-2</v>
      </c>
      <c r="AL59" s="319">
        <f t="shared" si="53"/>
        <v>5.200699402678613E-2</v>
      </c>
      <c r="AM59" s="61">
        <f t="shared" si="53"/>
        <v>6.3373301675977656E-2</v>
      </c>
      <c r="AN59" s="61">
        <f t="shared" si="53"/>
        <v>5.9017459158884754E-2</v>
      </c>
      <c r="AO59" s="61">
        <f t="shared" si="53"/>
        <v>6.1228338609450123E-2</v>
      </c>
      <c r="AP59" s="319">
        <f t="shared" si="53"/>
        <v>5.821154602868555E-2</v>
      </c>
      <c r="AQ59" s="61">
        <f t="shared" si="53"/>
        <v>5.0567240396565086E-2</v>
      </c>
      <c r="AR59" s="61">
        <f t="shared" si="53"/>
        <v>4.6718322572018037E-2</v>
      </c>
      <c r="AS59" s="61">
        <f t="shared" si="53"/>
        <v>4.8063380469940374E-2</v>
      </c>
      <c r="AT59" s="319">
        <f t="shared" si="53"/>
        <v>5.591713773415749E-2</v>
      </c>
      <c r="AU59" s="61">
        <f t="shared" si="53"/>
        <v>5.6584766845106951E-2</v>
      </c>
      <c r="AV59" s="61">
        <f t="shared" si="53"/>
        <v>5.6218874986239994E-2</v>
      </c>
      <c r="AW59" s="61">
        <f t="shared" si="53"/>
        <v>5.3966249530940466E-2</v>
      </c>
      <c r="AX59" s="290"/>
      <c r="AY59" s="290"/>
      <c r="AZ59" s="290"/>
      <c r="BA59" s="290"/>
      <c r="BB59" s="290"/>
      <c r="BC59" s="290"/>
      <c r="BD59" s="290"/>
      <c r="BE59" s="290"/>
      <c r="BF59" s="290"/>
      <c r="BG59" s="290"/>
      <c r="BH59" s="290"/>
      <c r="BI59" s="290"/>
      <c r="BJ59" s="290"/>
      <c r="BK59" s="290"/>
      <c r="BL59" s="290"/>
      <c r="BM59" s="290"/>
      <c r="BN59" s="290"/>
      <c r="BO59" s="290"/>
      <c r="BP59" s="290"/>
      <c r="BQ59" s="290"/>
      <c r="BR59" s="290"/>
      <c r="BS59" s="290"/>
      <c r="BT59" s="290"/>
      <c r="BU59" s="290"/>
      <c r="BV59" s="290"/>
      <c r="BW59" s="290"/>
    </row>
    <row r="60" spans="1:75" x14ac:dyDescent="0.2">
      <c r="A60" s="304" t="s">
        <v>424</v>
      </c>
      <c r="B60" s="745"/>
      <c r="C60" s="328"/>
      <c r="D60" s="328"/>
      <c r="E60" s="328"/>
      <c r="F60" s="329"/>
      <c r="G60" s="328"/>
      <c r="H60" s="328"/>
      <c r="I60" s="328"/>
      <c r="J60" s="329"/>
      <c r="K60" s="328">
        <f t="shared" ref="K60:Y60" si="54">(K102/2)/G69</f>
        <v>1.7350655543982969E-2</v>
      </c>
      <c r="L60" s="328">
        <f t="shared" si="54"/>
        <v>1.3718455652535655E-2</v>
      </c>
      <c r="M60" s="328">
        <f t="shared" si="54"/>
        <v>3.0843435588748165E-3</v>
      </c>
      <c r="N60" s="329">
        <f t="shared" si="54"/>
        <v>8.6337207854109456E-3</v>
      </c>
      <c r="O60" s="328">
        <f t="shared" si="54"/>
        <v>1.56123629337192E-2</v>
      </c>
      <c r="P60" s="328">
        <f t="shared" si="54"/>
        <v>1.457965431566083E-2</v>
      </c>
      <c r="Q60" s="328">
        <f t="shared" si="54"/>
        <v>2.207090831826776E-2</v>
      </c>
      <c r="R60" s="330">
        <f t="shared" si="54"/>
        <v>3.1325753560452418E-2</v>
      </c>
      <c r="S60" s="331">
        <f t="shared" si="54"/>
        <v>3.4030851881230735E-2</v>
      </c>
      <c r="T60" s="331">
        <f t="shared" si="54"/>
        <v>3.4487184653271094E-2</v>
      </c>
      <c r="U60" s="331">
        <f t="shared" si="54"/>
        <v>3.5837029074387419E-2</v>
      </c>
      <c r="V60" s="330">
        <f t="shared" si="54"/>
        <v>4.9416601292458361E-2</v>
      </c>
      <c r="W60" s="331">
        <f t="shared" si="54"/>
        <v>4.9327084115570921E-2</v>
      </c>
      <c r="X60" s="331">
        <f t="shared" si="54"/>
        <v>4.2261854706152832E-2</v>
      </c>
      <c r="Y60" s="331">
        <f t="shared" si="54"/>
        <v>4.3059064960848631E-2</v>
      </c>
      <c r="Z60" s="330">
        <f t="shared" ref="Z60:AW60" si="55">(Z102/2)/V69</f>
        <v>5.5841677588435362E-2</v>
      </c>
      <c r="AA60" s="331">
        <f t="shared" si="55"/>
        <v>4.6249078449132661E-2</v>
      </c>
      <c r="AB60" s="331">
        <f t="shared" si="55"/>
        <v>3.9761178777064511E-2</v>
      </c>
      <c r="AC60" s="331">
        <f t="shared" si="55"/>
        <v>4.1343346808180234E-2</v>
      </c>
      <c r="AD60" s="330">
        <f t="shared" si="55"/>
        <v>3.9818920859764788E-2</v>
      </c>
      <c r="AE60" s="331">
        <f t="shared" si="55"/>
        <v>3.4146248656874913E-2</v>
      </c>
      <c r="AF60" s="331">
        <f t="shared" si="55"/>
        <v>4.4391536708222712E-2</v>
      </c>
      <c r="AG60" s="331">
        <f t="shared" si="55"/>
        <v>4.3451027759196008E-2</v>
      </c>
      <c r="AH60" s="330">
        <f t="shared" si="55"/>
        <v>4.0744637182176142E-2</v>
      </c>
      <c r="AI60" s="331">
        <f t="shared" si="55"/>
        <v>3.7088707737919085E-2</v>
      </c>
      <c r="AJ60" s="331">
        <f t="shared" si="55"/>
        <v>4.5843229235946241E-2</v>
      </c>
      <c r="AK60" s="331">
        <f t="shared" si="55"/>
        <v>5.3264257265470953E-2</v>
      </c>
      <c r="AL60" s="330">
        <f t="shared" si="55"/>
        <v>6.5471569373197286E-2</v>
      </c>
      <c r="AM60" s="331">
        <f t="shared" si="55"/>
        <v>6.1574462598694715E-2</v>
      </c>
      <c r="AN60" s="331">
        <f t="shared" si="55"/>
        <v>5.4817053728170202E-2</v>
      </c>
      <c r="AO60" s="331">
        <f t="shared" si="55"/>
        <v>5.1076871379674899E-2</v>
      </c>
      <c r="AP60" s="330">
        <f t="shared" si="55"/>
        <v>6.3104284873342159E-2</v>
      </c>
      <c r="AQ60" s="331">
        <f t="shared" si="55"/>
        <v>6.3090499820721804E-2</v>
      </c>
      <c r="AR60" s="331">
        <f t="shared" si="55"/>
        <v>5.6837660393110612E-2</v>
      </c>
      <c r="AS60" s="331">
        <f t="shared" si="55"/>
        <v>4.7670948824935076E-2</v>
      </c>
      <c r="AT60" s="330">
        <f t="shared" si="55"/>
        <v>4.7395708459404634E-2</v>
      </c>
      <c r="AU60" s="331">
        <f t="shared" si="55"/>
        <v>4.7569919328848444E-2</v>
      </c>
      <c r="AV60" s="331">
        <f t="shared" si="55"/>
        <v>4.8888878115506636E-2</v>
      </c>
      <c r="AW60" s="331">
        <f t="shared" si="55"/>
        <v>4.7111987635070018E-2</v>
      </c>
      <c r="AX60" s="290"/>
      <c r="AY60" s="290"/>
      <c r="AZ60" s="290"/>
      <c r="BA60" s="290"/>
      <c r="BB60" s="290"/>
      <c r="BC60" s="290"/>
      <c r="BD60" s="290"/>
      <c r="BE60" s="290"/>
      <c r="BF60" s="290"/>
      <c r="BG60" s="290"/>
      <c r="BH60" s="290"/>
      <c r="BI60" s="290"/>
      <c r="BJ60" s="290"/>
      <c r="BK60" s="290"/>
      <c r="BL60" s="290"/>
      <c r="BM60" s="290"/>
      <c r="BN60" s="290"/>
      <c r="BO60" s="290"/>
      <c r="BP60" s="290"/>
      <c r="BQ60" s="290"/>
      <c r="BR60" s="290"/>
      <c r="BS60" s="290"/>
      <c r="BT60" s="290"/>
      <c r="BU60" s="290"/>
      <c r="BV60" s="290"/>
      <c r="BW60" s="290"/>
    </row>
    <row r="61" spans="1:75" s="297" customFormat="1" x14ac:dyDescent="0.2">
      <c r="A61" s="314"/>
      <c r="B61" s="317"/>
      <c r="C61" s="317"/>
      <c r="D61" s="317"/>
      <c r="E61" s="317"/>
      <c r="F61" s="317"/>
      <c r="G61" s="317"/>
      <c r="H61" s="317"/>
      <c r="I61" s="317"/>
      <c r="J61" s="317"/>
      <c r="K61" s="317"/>
      <c r="L61" s="317"/>
      <c r="M61" s="317"/>
      <c r="N61" s="317"/>
      <c r="O61" s="317"/>
      <c r="P61" s="317"/>
      <c r="Q61" s="317"/>
      <c r="R61" s="317"/>
      <c r="S61" s="317"/>
      <c r="T61" s="317"/>
      <c r="U61" s="317"/>
      <c r="V61" s="317"/>
      <c r="W61" s="317"/>
      <c r="X61" s="317"/>
      <c r="Y61" s="317"/>
      <c r="Z61" s="317"/>
      <c r="AA61" s="317"/>
      <c r="AB61" s="317"/>
      <c r="AC61" s="317"/>
      <c r="AD61" s="317"/>
      <c r="AE61" s="317"/>
      <c r="AF61" s="314"/>
      <c r="AG61" s="314"/>
      <c r="AH61" s="314"/>
      <c r="AI61" s="314"/>
      <c r="AJ61" s="314"/>
      <c r="AK61" s="314"/>
      <c r="AL61" s="314"/>
      <c r="AM61" s="314"/>
      <c r="AN61" s="314"/>
      <c r="AO61" s="314"/>
      <c r="AP61" s="314"/>
      <c r="AQ61" s="314"/>
      <c r="AR61" s="314"/>
      <c r="AS61" s="314"/>
      <c r="AT61" s="314"/>
      <c r="AU61" s="314"/>
      <c r="AV61" s="314"/>
      <c r="AW61" s="314"/>
      <c r="AX61" s="316"/>
      <c r="AY61" s="316"/>
      <c r="AZ61" s="316"/>
      <c r="BA61" s="316"/>
      <c r="BB61" s="316"/>
      <c r="BC61" s="316"/>
      <c r="BD61" s="316"/>
      <c r="BE61" s="316"/>
      <c r="BF61" s="316"/>
      <c r="BG61" s="316"/>
      <c r="BH61" s="316"/>
      <c r="BI61" s="316"/>
      <c r="BJ61" s="316"/>
      <c r="BK61" s="316"/>
      <c r="BL61" s="316"/>
      <c r="BM61" s="316"/>
      <c r="BN61" s="316"/>
      <c r="BO61" s="316"/>
      <c r="BP61" s="316"/>
      <c r="BQ61" s="316"/>
      <c r="BR61" s="316"/>
      <c r="BS61" s="316"/>
      <c r="BT61" s="316"/>
      <c r="BU61" s="316"/>
      <c r="BV61" s="316"/>
      <c r="BW61" s="316"/>
    </row>
    <row r="62" spans="1:75" s="297" customFormat="1" outlineLevel="1" x14ac:dyDescent="0.2">
      <c r="A62" s="311" t="s">
        <v>430</v>
      </c>
      <c r="B62" s="317"/>
      <c r="C62" s="317"/>
      <c r="D62" s="317"/>
      <c r="E62" s="317"/>
      <c r="F62" s="317"/>
      <c r="G62" s="317"/>
      <c r="H62" s="317"/>
      <c r="I62" s="317"/>
      <c r="J62" s="317"/>
      <c r="K62" s="317"/>
      <c r="L62" s="317"/>
      <c r="M62" s="317"/>
      <c r="N62" s="317"/>
      <c r="O62" s="317"/>
      <c r="P62" s="317"/>
      <c r="Q62" s="317"/>
      <c r="R62" s="317"/>
      <c r="S62" s="317"/>
      <c r="T62" s="317"/>
      <c r="U62" s="317"/>
      <c r="V62" s="317"/>
      <c r="W62" s="317"/>
      <c r="X62" s="317"/>
      <c r="Y62" s="317"/>
      <c r="Z62" s="317"/>
      <c r="AA62" s="317"/>
      <c r="AB62" s="317"/>
      <c r="AC62" s="317"/>
      <c r="AD62" s="317"/>
      <c r="AE62" s="317"/>
      <c r="AF62" s="314"/>
      <c r="AG62" s="314"/>
      <c r="AH62" s="314"/>
      <c r="AI62" s="314"/>
      <c r="AJ62" s="314"/>
      <c r="AK62" s="314"/>
      <c r="AL62" s="314"/>
      <c r="AM62" s="314"/>
      <c r="AN62" s="314"/>
      <c r="AO62" s="314"/>
      <c r="AP62" s="314"/>
      <c r="AQ62" s="314"/>
      <c r="AR62" s="314"/>
      <c r="AS62" s="314"/>
      <c r="AT62" s="314"/>
      <c r="AU62" s="314"/>
      <c r="AV62" s="314"/>
      <c r="AW62" s="314"/>
      <c r="AX62" s="316"/>
      <c r="AY62" s="316"/>
      <c r="AZ62" s="316"/>
      <c r="BA62" s="316"/>
      <c r="BB62" s="316"/>
      <c r="BC62" s="316"/>
      <c r="BD62" s="316"/>
      <c r="BE62" s="316"/>
      <c r="BF62" s="316"/>
      <c r="BG62" s="316"/>
      <c r="BH62" s="316"/>
      <c r="BI62" s="316"/>
      <c r="BJ62" s="316"/>
      <c r="BK62" s="316"/>
      <c r="BL62" s="316"/>
      <c r="BM62" s="316"/>
      <c r="BN62" s="316"/>
      <c r="BO62" s="316"/>
      <c r="BP62" s="316"/>
      <c r="BQ62" s="316"/>
      <c r="BR62" s="316"/>
      <c r="BS62" s="316"/>
      <c r="BT62" s="316"/>
      <c r="BU62" s="316"/>
      <c r="BV62" s="316"/>
      <c r="BW62" s="316"/>
    </row>
    <row r="63" spans="1:75" outlineLevel="1" x14ac:dyDescent="0.2">
      <c r="A63" s="295"/>
      <c r="B63" s="741" t="str">
        <f t="shared" ref="B63:AW63" si="56">B4</f>
        <v>1Q07</v>
      </c>
      <c r="C63" s="295" t="str">
        <f t="shared" si="56"/>
        <v>2Q07</v>
      </c>
      <c r="D63" s="295" t="str">
        <f t="shared" si="56"/>
        <v>3Q07</v>
      </c>
      <c r="E63" s="295" t="str">
        <f t="shared" si="56"/>
        <v>4Q07</v>
      </c>
      <c r="F63" s="296" t="str">
        <f t="shared" si="56"/>
        <v>1Q08</v>
      </c>
      <c r="G63" s="295" t="str">
        <f t="shared" si="56"/>
        <v>2Q08</v>
      </c>
      <c r="H63" s="295" t="str">
        <f t="shared" si="56"/>
        <v>3Q08</v>
      </c>
      <c r="I63" s="295" t="str">
        <f t="shared" si="56"/>
        <v>4Q08</v>
      </c>
      <c r="J63" s="296" t="str">
        <f t="shared" si="56"/>
        <v>1Q09</v>
      </c>
      <c r="K63" s="295" t="str">
        <f t="shared" si="56"/>
        <v>2Q09</v>
      </c>
      <c r="L63" s="295" t="str">
        <f t="shared" si="56"/>
        <v>3Q09</v>
      </c>
      <c r="M63" s="295" t="str">
        <f t="shared" si="56"/>
        <v>4Q09</v>
      </c>
      <c r="N63" s="296" t="str">
        <f t="shared" si="56"/>
        <v>1Q10</v>
      </c>
      <c r="O63" s="295" t="str">
        <f t="shared" si="56"/>
        <v>2Q10</v>
      </c>
      <c r="P63" s="295" t="str">
        <f t="shared" si="56"/>
        <v>3Q10</v>
      </c>
      <c r="Q63" s="295" t="str">
        <f t="shared" si="56"/>
        <v>4Q10</v>
      </c>
      <c r="R63" s="296" t="str">
        <f t="shared" si="56"/>
        <v>1Q11</v>
      </c>
      <c r="S63" s="295" t="str">
        <f t="shared" si="56"/>
        <v>2Q11</v>
      </c>
      <c r="T63" s="295" t="str">
        <f t="shared" si="56"/>
        <v>3Q11</v>
      </c>
      <c r="U63" s="295" t="str">
        <f t="shared" si="56"/>
        <v>4Q11</v>
      </c>
      <c r="V63" s="296" t="str">
        <f t="shared" si="56"/>
        <v>1Q12</v>
      </c>
      <c r="W63" s="295" t="str">
        <f t="shared" si="56"/>
        <v>2Q12</v>
      </c>
      <c r="X63" s="295" t="str">
        <f t="shared" si="56"/>
        <v>3Q12</v>
      </c>
      <c r="Y63" s="295" t="str">
        <f t="shared" si="56"/>
        <v>4Q12</v>
      </c>
      <c r="Z63" s="296" t="str">
        <f t="shared" si="56"/>
        <v>1Q13</v>
      </c>
      <c r="AA63" s="295" t="str">
        <f t="shared" si="56"/>
        <v>2Q13</v>
      </c>
      <c r="AB63" s="295" t="str">
        <f t="shared" si="56"/>
        <v>3Q13</v>
      </c>
      <c r="AC63" s="295" t="str">
        <f t="shared" si="56"/>
        <v>4Q13</v>
      </c>
      <c r="AD63" s="296" t="str">
        <f t="shared" si="56"/>
        <v>1Q14</v>
      </c>
      <c r="AE63" s="295" t="str">
        <f t="shared" si="56"/>
        <v>2Q14</v>
      </c>
      <c r="AF63" s="295" t="str">
        <f t="shared" si="56"/>
        <v>3Q14</v>
      </c>
      <c r="AG63" s="295" t="str">
        <f t="shared" si="56"/>
        <v>4Q14</v>
      </c>
      <c r="AH63" s="296" t="str">
        <f t="shared" si="56"/>
        <v>1Q15</v>
      </c>
      <c r="AI63" s="295" t="str">
        <f t="shared" si="56"/>
        <v>2Q15</v>
      </c>
      <c r="AJ63" s="295" t="str">
        <f t="shared" si="56"/>
        <v>3Q15</v>
      </c>
      <c r="AK63" s="295" t="str">
        <f t="shared" si="56"/>
        <v>4Q15</v>
      </c>
      <c r="AL63" s="296" t="str">
        <f t="shared" si="56"/>
        <v>1Q16</v>
      </c>
      <c r="AM63" s="295" t="str">
        <f t="shared" si="56"/>
        <v>2Q16</v>
      </c>
      <c r="AN63" s="295" t="str">
        <f t="shared" si="56"/>
        <v>3Q16</v>
      </c>
      <c r="AO63" s="295" t="str">
        <f t="shared" si="56"/>
        <v>4Q16</v>
      </c>
      <c r="AP63" s="296" t="str">
        <f t="shared" si="56"/>
        <v>1Q17</v>
      </c>
      <c r="AQ63" s="295" t="str">
        <f t="shared" si="56"/>
        <v>2Q17</v>
      </c>
      <c r="AR63" s="295" t="str">
        <f t="shared" si="56"/>
        <v>3Q17</v>
      </c>
      <c r="AS63" s="295" t="str">
        <f t="shared" si="56"/>
        <v>4Q17</v>
      </c>
      <c r="AT63" s="296" t="str">
        <f t="shared" si="56"/>
        <v>1Q18E</v>
      </c>
      <c r="AU63" s="295" t="str">
        <f t="shared" si="56"/>
        <v>2Q18E</v>
      </c>
      <c r="AV63" s="295" t="str">
        <f t="shared" si="56"/>
        <v>3Q18E</v>
      </c>
      <c r="AW63" s="295" t="str">
        <f t="shared" si="56"/>
        <v>4Q18E</v>
      </c>
      <c r="AX63" s="297"/>
      <c r="AY63" s="297"/>
      <c r="AZ63" s="297"/>
      <c r="BA63" s="297"/>
      <c r="BB63" s="297"/>
      <c r="BC63" s="297"/>
      <c r="BD63" s="297"/>
      <c r="BE63" s="297"/>
      <c r="BF63" s="297"/>
      <c r="BG63" s="297"/>
      <c r="BH63" s="297"/>
      <c r="BI63" s="297"/>
      <c r="BJ63" s="297"/>
      <c r="BK63" s="297"/>
      <c r="BL63" s="297"/>
      <c r="BM63" s="297"/>
      <c r="BN63" s="297"/>
      <c r="BO63" s="297"/>
      <c r="BP63" s="297"/>
      <c r="BQ63" s="297"/>
      <c r="BR63" s="297"/>
      <c r="BS63" s="297"/>
      <c r="BT63" s="297"/>
      <c r="BU63" s="297"/>
      <c r="BV63" s="297"/>
      <c r="BW63" s="297"/>
    </row>
    <row r="64" spans="1:75" outlineLevel="1" x14ac:dyDescent="0.2">
      <c r="A64" s="298" t="s">
        <v>307</v>
      </c>
      <c r="B64" s="746">
        <f>RevBuild!C160</f>
        <v>1281.713</v>
      </c>
      <c r="C64" s="332">
        <f>RevBuild!D160</f>
        <v>1355.1419999999998</v>
      </c>
      <c r="D64" s="332">
        <f>RevBuild!E160</f>
        <v>1473.7339999999999</v>
      </c>
      <c r="E64" s="332">
        <f>RevBuild!F160</f>
        <v>1661.9340000000004</v>
      </c>
      <c r="F64" s="333">
        <f>RevBuild!I160</f>
        <v>1482.982</v>
      </c>
      <c r="G64" s="332">
        <f>RevBuild!J160</f>
        <v>1599.7329999999999</v>
      </c>
      <c r="H64" s="332">
        <f>RevBuild!K160</f>
        <v>1603.1950000000002</v>
      </c>
      <c r="I64" s="332">
        <f>RevBuild!L160</f>
        <v>1531.2140000000004</v>
      </c>
      <c r="J64" s="333">
        <f>RevBuild!O160</f>
        <v>1445.0630000000001</v>
      </c>
      <c r="K64" s="332">
        <f>RevBuild!P160</f>
        <v>1564.8830000000003</v>
      </c>
      <c r="L64" s="332">
        <f>RevBuild!Q160</f>
        <v>1616.222</v>
      </c>
      <c r="M64" s="332">
        <f>RevBuild!R160</f>
        <v>1738.9599999999998</v>
      </c>
      <c r="N64" s="333">
        <f>RevBuild!U160</f>
        <v>1715.337</v>
      </c>
      <c r="O64" s="332">
        <f>RevBuild!V160</f>
        <v>1801.02</v>
      </c>
      <c r="P64" s="332">
        <f>RevBuild!W160</f>
        <v>1844.366</v>
      </c>
      <c r="Q64" s="332">
        <f>RevBuild!X160</f>
        <v>1966.115</v>
      </c>
      <c r="R64" s="333">
        <f>RevBuild!AA160</f>
        <v>1892.115</v>
      </c>
      <c r="S64" s="332">
        <f>RevBuild!AB160</f>
        <v>2068.5829999999996</v>
      </c>
      <c r="T64" s="332">
        <f>RevBuild!AC160</f>
        <v>2049.5010000000002</v>
      </c>
      <c r="U64" s="332">
        <f>RevBuild!AD160</f>
        <v>2269.4229999999998</v>
      </c>
      <c r="V64" s="333">
        <f>RevBuild!AG160</f>
        <v>2036.0819999999999</v>
      </c>
      <c r="W64" s="332">
        <f>RevBuild!AH160</f>
        <v>2133.299</v>
      </c>
      <c r="X64" s="332">
        <f>RevBuild!AI160</f>
        <v>2160.0920000000001</v>
      </c>
      <c r="Y64" s="332">
        <f>RevBuild!AJ160</f>
        <v>2327.0810000000001</v>
      </c>
      <c r="Z64" s="333">
        <f>RevBuild!AM160</f>
        <v>2218.799</v>
      </c>
      <c r="AA64" s="332">
        <f>RevBuild!AN160</f>
        <v>2313.7649999999999</v>
      </c>
      <c r="AB64" s="332">
        <f>RevBuild!AO160</f>
        <v>2270.0230000000001</v>
      </c>
      <c r="AC64" s="332">
        <f>RevBuild!AP160</f>
        <v>2438.0129999999999</v>
      </c>
      <c r="AD64" s="333">
        <f>RevBuild!AS160</f>
        <v>2348.83</v>
      </c>
      <c r="AE64" s="332">
        <f>RevBuild!AT160</f>
        <v>2526.2869999999998</v>
      </c>
      <c r="AF64" s="332">
        <f>RevBuild!AU160</f>
        <v>2536.6060000000002</v>
      </c>
      <c r="AG64" s="332">
        <f>RevBuild!AV160</f>
        <v>2610.7890000000002</v>
      </c>
      <c r="AH64" s="333">
        <f>RevBuild!AY160</f>
        <v>2377.9299999999998</v>
      </c>
      <c r="AI64" s="332">
        <f>RevBuild!AZ160</f>
        <v>2539.8199999999997</v>
      </c>
      <c r="AJ64" s="332">
        <f>RevBuild!BA160</f>
        <v>2596.0969999999998</v>
      </c>
      <c r="AK64" s="332">
        <f>RevBuild!BB160</f>
        <v>2757.0990000000002</v>
      </c>
      <c r="AL64" s="333">
        <f>RevBuild!BE160</f>
        <v>2611.2850000000003</v>
      </c>
      <c r="AM64" s="332">
        <f>RevBuild!BF160</f>
        <v>2765.6109999999999</v>
      </c>
      <c r="AN64" s="332">
        <f>RevBuild!BG160</f>
        <v>2760.4520000000002</v>
      </c>
      <c r="AO64" s="332">
        <f>RevBuild!BH160</f>
        <v>3008.7069999999999</v>
      </c>
      <c r="AP64" s="333">
        <f>RevBuild!BK160</f>
        <v>2816.9829999999997</v>
      </c>
      <c r="AQ64" s="332">
        <f>RevBuild!BL160</f>
        <v>2950.9250000000002</v>
      </c>
      <c r="AR64" s="332">
        <f>RevBuild!BM160</f>
        <v>3052.0709999999999</v>
      </c>
      <c r="AS64" s="332">
        <f>RevBuild!BN160</f>
        <v>3203.5029999999997</v>
      </c>
      <c r="AT64" s="333">
        <f>RevBuild!BQ160</f>
        <v>2958.0516480000001</v>
      </c>
      <c r="AU64" s="332">
        <f>RevBuild!BR160</f>
        <v>3127.1858850000003</v>
      </c>
      <c r="AV64" s="332">
        <f>RevBuild!BS160</f>
        <v>3198.6391299999996</v>
      </c>
      <c r="AW64" s="332">
        <f>RevBuild!BT160</f>
        <v>3316.1172799999999</v>
      </c>
      <c r="AX64" s="290"/>
      <c r="AY64" s="290"/>
      <c r="AZ64" s="290"/>
      <c r="BA64" s="290"/>
      <c r="BB64" s="290"/>
      <c r="BC64" s="290"/>
      <c r="BD64" s="290"/>
      <c r="BE64" s="290"/>
      <c r="BF64" s="290"/>
      <c r="BG64" s="290"/>
      <c r="BH64" s="290"/>
      <c r="BI64" s="290"/>
      <c r="BJ64" s="290"/>
      <c r="BK64" s="290"/>
      <c r="BL64" s="290"/>
      <c r="BM64" s="290"/>
      <c r="BN64" s="290"/>
      <c r="BO64" s="290"/>
      <c r="BP64" s="290"/>
      <c r="BQ64" s="290"/>
      <c r="BR64" s="290"/>
      <c r="BS64" s="290"/>
      <c r="BT64" s="290"/>
      <c r="BU64" s="290"/>
      <c r="BV64" s="290"/>
      <c r="BW64" s="290"/>
    </row>
    <row r="65" spans="1:75" outlineLevel="1" x14ac:dyDescent="0.2">
      <c r="A65" s="349" t="s">
        <v>304</v>
      </c>
      <c r="B65" s="747" t="s">
        <v>151</v>
      </c>
      <c r="C65" s="323" t="s">
        <v>151</v>
      </c>
      <c r="D65" s="323" t="s">
        <v>151</v>
      </c>
      <c r="E65" s="323" t="s">
        <v>151</v>
      </c>
      <c r="F65" s="322" t="s">
        <v>151</v>
      </c>
      <c r="G65" s="323" t="s">
        <v>151</v>
      </c>
      <c r="H65" s="323" t="s">
        <v>151</v>
      </c>
      <c r="I65" s="323" t="s">
        <v>151</v>
      </c>
      <c r="J65" s="322" t="s">
        <v>151</v>
      </c>
      <c r="K65" s="323" t="s">
        <v>151</v>
      </c>
      <c r="L65" s="323" t="s">
        <v>151</v>
      </c>
      <c r="M65" s="323" t="s">
        <v>151</v>
      </c>
      <c r="N65" s="322" t="s">
        <v>151</v>
      </c>
      <c r="O65" s="323" t="s">
        <v>151</v>
      </c>
      <c r="P65" s="323" t="s">
        <v>151</v>
      </c>
      <c r="Q65" s="323" t="s">
        <v>151</v>
      </c>
      <c r="R65" s="358">
        <f>RevBuild!AA126</f>
        <v>1095.364</v>
      </c>
      <c r="S65" s="359">
        <f>RevBuild!AB126</f>
        <v>1201.2239999999999</v>
      </c>
      <c r="T65" s="359">
        <f>RevBuild!AC126</f>
        <v>1123.021</v>
      </c>
      <c r="U65" s="359">
        <f>RevBuild!AD126</f>
        <v>1345.289</v>
      </c>
      <c r="V65" s="358">
        <f>RevBuild!AG126</f>
        <v>1155.6659999999999</v>
      </c>
      <c r="W65" s="359">
        <f>RevBuild!AH126</f>
        <v>1185.9190000000001</v>
      </c>
      <c r="X65" s="359">
        <f>RevBuild!AI126</f>
        <v>1119.43</v>
      </c>
      <c r="Y65" s="359">
        <f>RevBuild!AJ126</f>
        <v>1313.4670000000001</v>
      </c>
      <c r="Z65" s="358">
        <f>RevBuild!AM126</f>
        <v>1190.7950000000001</v>
      </c>
      <c r="AA65" s="359">
        <f>RevBuild!AN126</f>
        <v>1259.5809999999999</v>
      </c>
      <c r="AB65" s="359">
        <f>RevBuild!AO126</f>
        <v>1183.201</v>
      </c>
      <c r="AC65" s="359">
        <f>RevBuild!AP126</f>
        <v>1364.395</v>
      </c>
      <c r="AD65" s="358">
        <f>RevBuild!AS126</f>
        <v>1296.9279999999999</v>
      </c>
      <c r="AE65" s="359">
        <f>RevBuild!AT126</f>
        <v>1368.481</v>
      </c>
      <c r="AF65" s="359">
        <f>RevBuild!AU126</f>
        <v>1298.3520000000001</v>
      </c>
      <c r="AG65" s="359">
        <f>RevBuild!AV126</f>
        <v>1417.454</v>
      </c>
      <c r="AH65" s="358">
        <f>RevBuild!AY126</f>
        <v>1250.0729999999999</v>
      </c>
      <c r="AI65" s="359">
        <f>RevBuild!AZ126</f>
        <v>1320.7429999999999</v>
      </c>
      <c r="AJ65" s="359">
        <f>RevBuild!BA126</f>
        <v>1266.3209999999999</v>
      </c>
      <c r="AK65" s="359">
        <f>RevBuild!BB126</f>
        <v>1439.27</v>
      </c>
      <c r="AL65" s="358">
        <f>RevBuild!BE126</f>
        <v>1301.7550000000001</v>
      </c>
      <c r="AM65" s="359">
        <f>RevBuild!BF126</f>
        <v>1373.1880000000001</v>
      </c>
      <c r="AN65" s="359">
        <f>RevBuild!BG126</f>
        <v>1330.5250000000001</v>
      </c>
      <c r="AO65" s="359">
        <f>RevBuild!BH126</f>
        <v>1549.8309999999999</v>
      </c>
      <c r="AP65" s="358">
        <f>RevBuild!BK126</f>
        <v>1405.1579999999999</v>
      </c>
      <c r="AQ65" s="359">
        <f>RevBuild!BL126</f>
        <v>1488.1669999999999</v>
      </c>
      <c r="AR65" s="359">
        <f>RevBuild!BM126</f>
        <v>1478.73</v>
      </c>
      <c r="AS65" s="359">
        <f>RevBuild!BN126</f>
        <v>1676.7979999999998</v>
      </c>
      <c r="AT65" s="358">
        <f>RevBuild!BQ126</f>
        <v>1456.3312780000001</v>
      </c>
      <c r="AU65" s="359">
        <f>RevBuild!BR126</f>
        <v>1524.1765700000001</v>
      </c>
      <c r="AV65" s="359">
        <f>RevBuild!BS126</f>
        <v>1513.8209899999999</v>
      </c>
      <c r="AW65" s="359">
        <f>RevBuild!BT126</f>
        <v>1689.7219799999998</v>
      </c>
      <c r="AX65" s="290"/>
      <c r="AY65" s="290"/>
      <c r="AZ65" s="290"/>
      <c r="BA65" s="290"/>
      <c r="BB65" s="290"/>
      <c r="BC65" s="290"/>
      <c r="BD65" s="290"/>
      <c r="BE65" s="290"/>
      <c r="BF65" s="290"/>
      <c r="BG65" s="290"/>
      <c r="BH65" s="290"/>
      <c r="BI65" s="290"/>
      <c r="BJ65" s="290"/>
      <c r="BK65" s="290"/>
      <c r="BL65" s="290"/>
      <c r="BM65" s="290"/>
      <c r="BN65" s="290"/>
      <c r="BO65" s="290"/>
      <c r="BP65" s="290"/>
      <c r="BQ65" s="290"/>
      <c r="BR65" s="290"/>
      <c r="BS65" s="290"/>
      <c r="BT65" s="290"/>
      <c r="BU65" s="290"/>
      <c r="BV65" s="290"/>
      <c r="BW65" s="290"/>
    </row>
    <row r="66" spans="1:75" outlineLevel="1" x14ac:dyDescent="0.2">
      <c r="A66" s="360" t="s">
        <v>305</v>
      </c>
      <c r="B66" s="748" t="s">
        <v>151</v>
      </c>
      <c r="C66" s="327" t="s">
        <v>151</v>
      </c>
      <c r="D66" s="327" t="s">
        <v>151</v>
      </c>
      <c r="E66" s="327" t="s">
        <v>151</v>
      </c>
      <c r="F66" s="326" t="s">
        <v>151</v>
      </c>
      <c r="G66" s="327" t="s">
        <v>151</v>
      </c>
      <c r="H66" s="327" t="s">
        <v>151</v>
      </c>
      <c r="I66" s="327" t="s">
        <v>151</v>
      </c>
      <c r="J66" s="326" t="s">
        <v>151</v>
      </c>
      <c r="K66" s="327" t="s">
        <v>151</v>
      </c>
      <c r="L66" s="327" t="s">
        <v>151</v>
      </c>
      <c r="M66" s="327" t="s">
        <v>151</v>
      </c>
      <c r="N66" s="326" t="s">
        <v>151</v>
      </c>
      <c r="O66" s="327" t="s">
        <v>151</v>
      </c>
      <c r="P66" s="327" t="s">
        <v>151</v>
      </c>
      <c r="Q66" s="327" t="s">
        <v>151</v>
      </c>
      <c r="R66" s="356">
        <f>RevBuild!AA146</f>
        <v>455.68200000000002</v>
      </c>
      <c r="S66" s="357">
        <f>RevBuild!AB146</f>
        <v>526.48699999999997</v>
      </c>
      <c r="T66" s="357">
        <f>RevBuild!AC146</f>
        <v>501.88400000000001</v>
      </c>
      <c r="U66" s="357">
        <f>RevBuild!AD146</f>
        <v>526.21699999999998</v>
      </c>
      <c r="V66" s="356">
        <f>RevBuild!AG146</f>
        <v>525.58999999999992</v>
      </c>
      <c r="W66" s="357">
        <f>RevBuild!AH146</f>
        <v>586.25800000000004</v>
      </c>
      <c r="X66" s="357">
        <f>RevBuild!AI146</f>
        <v>598.12400000000002</v>
      </c>
      <c r="Y66" s="357">
        <f>RevBuild!AJ146</f>
        <v>611.17899999999997</v>
      </c>
      <c r="Z66" s="356">
        <f>RevBuild!AM146</f>
        <v>639.14200000000005</v>
      </c>
      <c r="AA66" s="357">
        <f>RevBuild!AN146</f>
        <v>666.29700000000003</v>
      </c>
      <c r="AB66" s="357">
        <f>RevBuild!AO146</f>
        <v>642.28899999999999</v>
      </c>
      <c r="AC66" s="357">
        <f>RevBuild!AP146</f>
        <v>651.73299999999995</v>
      </c>
      <c r="AD66" s="356">
        <f>RevBuild!AS146</f>
        <v>654.48800000000006</v>
      </c>
      <c r="AE66" s="357">
        <f>RevBuild!AT146</f>
        <v>754.54899999999998</v>
      </c>
      <c r="AF66" s="357">
        <f>RevBuild!AU146</f>
        <v>757.952</v>
      </c>
      <c r="AG66" s="357">
        <f>RevBuild!AV146</f>
        <v>731.62300000000005</v>
      </c>
      <c r="AH66" s="356">
        <f>RevBuild!AY146</f>
        <v>684.32400000000007</v>
      </c>
      <c r="AI66" s="357">
        <f>RevBuild!AZ146</f>
        <v>748.55799999999999</v>
      </c>
      <c r="AJ66" s="357">
        <f>RevBuild!BA146</f>
        <v>732.53300000000002</v>
      </c>
      <c r="AK66" s="357">
        <f>RevBuild!BB146</f>
        <v>756.20900000000006</v>
      </c>
      <c r="AL66" s="356">
        <f>RevBuild!BE146</f>
        <v>771.41300000000001</v>
      </c>
      <c r="AM66" s="357">
        <f>RevBuild!BF146</f>
        <v>853.59799999999996</v>
      </c>
      <c r="AN66" s="357">
        <f>RevBuild!BG146</f>
        <v>790.279</v>
      </c>
      <c r="AO66" s="357">
        <f>RevBuild!BH146</f>
        <v>837.80500000000006</v>
      </c>
      <c r="AP66" s="356">
        <f>RevBuild!BK146</f>
        <v>812.93900000000008</v>
      </c>
      <c r="AQ66" s="357">
        <f>RevBuild!BL146</f>
        <v>891.33100000000002</v>
      </c>
      <c r="AR66" s="357">
        <f>RevBuild!BM146</f>
        <v>882.57999999999993</v>
      </c>
      <c r="AS66" s="357">
        <f>RevBuild!BN146</f>
        <v>889.78500000000008</v>
      </c>
      <c r="AT66" s="356">
        <f>RevBuild!BQ146</f>
        <v>886.09297500000002</v>
      </c>
      <c r="AU66" s="357">
        <f>RevBuild!BR146</f>
        <v>981.12699999999995</v>
      </c>
      <c r="AV66" s="357">
        <f>RevBuild!BS146</f>
        <v>953.89499999999998</v>
      </c>
      <c r="AW66" s="357">
        <f>RevBuild!BT146</f>
        <v>952.22125000000005</v>
      </c>
      <c r="AX66" s="290"/>
      <c r="AY66" s="290"/>
      <c r="AZ66" s="290"/>
      <c r="BA66" s="290"/>
      <c r="BB66" s="290"/>
      <c r="BC66" s="290"/>
      <c r="BD66" s="290"/>
      <c r="BE66" s="290"/>
      <c r="BF66" s="290"/>
      <c r="BG66" s="290"/>
      <c r="BH66" s="290"/>
      <c r="BI66" s="290"/>
      <c r="BJ66" s="290"/>
      <c r="BK66" s="290"/>
      <c r="BL66" s="290"/>
      <c r="BM66" s="290"/>
      <c r="BN66" s="290"/>
      <c r="BO66" s="290"/>
      <c r="BP66" s="290"/>
      <c r="BQ66" s="290"/>
      <c r="BR66" s="290"/>
      <c r="BS66" s="290"/>
      <c r="BT66" s="290"/>
      <c r="BU66" s="290"/>
      <c r="BV66" s="290"/>
      <c r="BW66" s="290"/>
    </row>
    <row r="67" spans="1:75" outlineLevel="1" x14ac:dyDescent="0.2">
      <c r="A67" s="349" t="s">
        <v>306</v>
      </c>
      <c r="B67" s="747" t="s">
        <v>151</v>
      </c>
      <c r="C67" s="323" t="s">
        <v>151</v>
      </c>
      <c r="D67" s="323" t="s">
        <v>151</v>
      </c>
      <c r="E67" s="323" t="s">
        <v>151</v>
      </c>
      <c r="F67" s="322" t="s">
        <v>151</v>
      </c>
      <c r="G67" s="323" t="s">
        <v>151</v>
      </c>
      <c r="H67" s="323" t="s">
        <v>151</v>
      </c>
      <c r="I67" s="323" t="s">
        <v>151</v>
      </c>
      <c r="J67" s="322" t="s">
        <v>151</v>
      </c>
      <c r="K67" s="323" t="s">
        <v>151</v>
      </c>
      <c r="L67" s="323" t="s">
        <v>151</v>
      </c>
      <c r="M67" s="323" t="s">
        <v>151</v>
      </c>
      <c r="N67" s="322" t="s">
        <v>151</v>
      </c>
      <c r="O67" s="323" t="s">
        <v>151</v>
      </c>
      <c r="P67" s="323" t="s">
        <v>151</v>
      </c>
      <c r="Q67" s="323" t="s">
        <v>151</v>
      </c>
      <c r="R67" s="358">
        <f>RevBuild!AA153</f>
        <v>341.06900000000002</v>
      </c>
      <c r="S67" s="359">
        <f>RevBuild!AB153</f>
        <v>340.87200000000001</v>
      </c>
      <c r="T67" s="359">
        <f>RevBuild!AC153</f>
        <v>424.596</v>
      </c>
      <c r="U67" s="359">
        <f>RevBuild!AD153</f>
        <v>397.91700000000003</v>
      </c>
      <c r="V67" s="358">
        <f>RevBuild!AG153</f>
        <v>354.82599999999996</v>
      </c>
      <c r="W67" s="359">
        <f>RevBuild!AH153</f>
        <v>361.12200000000001</v>
      </c>
      <c r="X67" s="359">
        <f>RevBuild!AI153</f>
        <v>442.53800000000001</v>
      </c>
      <c r="Y67" s="359">
        <f>RevBuild!AJ153</f>
        <v>402.435</v>
      </c>
      <c r="Z67" s="358">
        <f>RevBuild!AM153</f>
        <v>388.86200000000002</v>
      </c>
      <c r="AA67" s="359">
        <f>RevBuild!AN153</f>
        <v>387.887</v>
      </c>
      <c r="AB67" s="359">
        <f>RevBuild!AO153</f>
        <v>444.53299999999996</v>
      </c>
      <c r="AC67" s="359">
        <f>RevBuild!AP153</f>
        <v>421.88499999999999</v>
      </c>
      <c r="AD67" s="358">
        <f>RevBuild!AS153</f>
        <v>397.41399999999999</v>
      </c>
      <c r="AE67" s="359">
        <f>RevBuild!AT153</f>
        <v>403.25700000000001</v>
      </c>
      <c r="AF67" s="359">
        <f>RevBuild!AU153</f>
        <v>480.30199999999996</v>
      </c>
      <c r="AG67" s="359">
        <f>RevBuild!AV153</f>
        <v>461.71199999999999</v>
      </c>
      <c r="AH67" s="358">
        <f>RevBuild!AY153</f>
        <v>443.53300000000002</v>
      </c>
      <c r="AI67" s="359">
        <f>RevBuild!AZ153</f>
        <v>470.51900000000001</v>
      </c>
      <c r="AJ67" s="359">
        <f>RevBuild!BA153</f>
        <v>597.24300000000005</v>
      </c>
      <c r="AK67" s="359">
        <f>RevBuild!BB153</f>
        <v>561.62</v>
      </c>
      <c r="AL67" s="358">
        <f>RevBuild!BE153</f>
        <v>538.11700000000008</v>
      </c>
      <c r="AM67" s="359">
        <f>RevBuild!BF153</f>
        <v>538.82500000000005</v>
      </c>
      <c r="AN67" s="359">
        <f>RevBuild!BG153</f>
        <v>639.64800000000002</v>
      </c>
      <c r="AO67" s="359">
        <f>RevBuild!BH153</f>
        <v>621.07099999999991</v>
      </c>
      <c r="AP67" s="358">
        <f>RevBuild!BK153</f>
        <v>598.88600000000008</v>
      </c>
      <c r="AQ67" s="359">
        <f>RevBuild!BL153</f>
        <v>571.42700000000002</v>
      </c>
      <c r="AR67" s="359">
        <f>RevBuild!BM153</f>
        <v>690.76099999999997</v>
      </c>
      <c r="AS67" s="359">
        <f>RevBuild!BN153</f>
        <v>636.91999999999996</v>
      </c>
      <c r="AT67" s="358">
        <f>RevBuild!BQ153</f>
        <v>615.62739500000009</v>
      </c>
      <c r="AU67" s="359">
        <f>RevBuild!BR153</f>
        <v>621.88231500000018</v>
      </c>
      <c r="AV67" s="359">
        <f>RevBuild!BS153</f>
        <v>730.92313999999999</v>
      </c>
      <c r="AW67" s="359">
        <f>RevBuild!BT153</f>
        <v>674.17404999999997</v>
      </c>
      <c r="AX67" s="290"/>
      <c r="AY67" s="290"/>
      <c r="AZ67" s="290"/>
      <c r="BA67" s="290"/>
      <c r="BB67" s="290"/>
      <c r="BC67" s="290"/>
      <c r="BD67" s="290"/>
      <c r="BE67" s="290"/>
      <c r="BF67" s="290"/>
      <c r="BG67" s="290"/>
      <c r="BH67" s="290"/>
      <c r="BI67" s="290"/>
      <c r="BJ67" s="290"/>
      <c r="BK67" s="290"/>
      <c r="BL67" s="290"/>
      <c r="BM67" s="290"/>
      <c r="BN67" s="290"/>
      <c r="BO67" s="290"/>
      <c r="BP67" s="290"/>
      <c r="BQ67" s="290"/>
      <c r="BR67" s="290"/>
      <c r="BS67" s="290"/>
      <c r="BT67" s="290"/>
      <c r="BU67" s="290"/>
      <c r="BV67" s="290"/>
      <c r="BW67" s="290"/>
    </row>
    <row r="68" spans="1:75" outlineLevel="1" x14ac:dyDescent="0.2">
      <c r="A68" s="298" t="s">
        <v>308</v>
      </c>
      <c r="B68" s="746">
        <f>RevBuild!C167</f>
        <v>28.414999999999999</v>
      </c>
      <c r="C68" s="332">
        <f>RevBuild!D167</f>
        <v>31.875</v>
      </c>
      <c r="D68" s="332">
        <f>RevBuild!E167</f>
        <v>31.841000000000001</v>
      </c>
      <c r="E68" s="332">
        <f>RevBuild!F167</f>
        <v>39.761999999999993</v>
      </c>
      <c r="F68" s="333">
        <f>RevBuild!I167</f>
        <v>38.795000000000002</v>
      </c>
      <c r="G68" s="332">
        <f>RevBuild!J167</f>
        <v>41.118000000000002</v>
      </c>
      <c r="H68" s="332">
        <f>RevBuild!K167</f>
        <v>41.014000000000003</v>
      </c>
      <c r="I68" s="332">
        <f>RevBuild!L167</f>
        <v>42.361999999999981</v>
      </c>
      <c r="J68" s="333">
        <f>RevBuild!O167</f>
        <v>40.325000000000003</v>
      </c>
      <c r="K68" s="332">
        <f>RevBuild!P167</f>
        <v>42.551000000000002</v>
      </c>
      <c r="L68" s="332">
        <f>RevBuild!Q167</f>
        <v>43.210999999999999</v>
      </c>
      <c r="M68" s="332">
        <f>RevBuild!R167</f>
        <v>47.121000000000009</v>
      </c>
      <c r="N68" s="333">
        <f>RevBuild!U167</f>
        <v>44.972999999999999</v>
      </c>
      <c r="O68" s="332">
        <f>RevBuild!V167</f>
        <v>48.381</v>
      </c>
      <c r="P68" s="332">
        <f>RevBuild!W167</f>
        <v>49.145000000000003</v>
      </c>
      <c r="Q68" s="332">
        <f>RevBuild!X167</f>
        <v>57.452999999999989</v>
      </c>
      <c r="R68" s="333">
        <f>RevBuild!AA167</f>
        <v>55.646000000000001</v>
      </c>
      <c r="S68" s="332">
        <f>RevBuild!AB167</f>
        <v>62.057000000000002</v>
      </c>
      <c r="T68" s="332">
        <f>RevBuild!AC167</f>
        <v>62.192</v>
      </c>
      <c r="U68" s="332">
        <f>RevBuild!AD167</f>
        <v>70.724999999999994</v>
      </c>
      <c r="V68" s="333">
        <f>RevBuild!AG167</f>
        <v>62.936999999999998</v>
      </c>
      <c r="W68" s="332">
        <f>RevBuild!AH167</f>
        <v>68.153000000000006</v>
      </c>
      <c r="X68" s="332">
        <f>RevBuild!AI167</f>
        <v>70.965999999999994</v>
      </c>
      <c r="Y68" s="332">
        <f>RevBuild!AJ167</f>
        <v>81.356999999999999</v>
      </c>
      <c r="Z68" s="333">
        <f>RevBuild!AM167</f>
        <v>74.712000000000003</v>
      </c>
      <c r="AA68" s="332">
        <f>RevBuild!AN167</f>
        <v>78.045000000000002</v>
      </c>
      <c r="AB68" s="332">
        <f>RevBuild!AO167</f>
        <v>78.933000000000007</v>
      </c>
      <c r="AC68" s="332">
        <f>RevBuild!AP167</f>
        <v>88.356999999999999</v>
      </c>
      <c r="AD68" s="333">
        <f>RevBuild!AS167</f>
        <v>81.329000000000008</v>
      </c>
      <c r="AE68" s="332">
        <f>RevBuild!AT167</f>
        <v>89.119</v>
      </c>
      <c r="AF68" s="332">
        <f>RevBuild!AU167</f>
        <v>87.123000000000005</v>
      </c>
      <c r="AG68" s="332">
        <f>RevBuild!AV167</f>
        <v>91.307000000000002</v>
      </c>
      <c r="AH68" s="333">
        <f>RevBuild!AY167</f>
        <v>85.716000000000008</v>
      </c>
      <c r="AI68" s="332">
        <f>RevBuild!AZ167</f>
        <v>89.5</v>
      </c>
      <c r="AJ68" s="332">
        <f>RevBuild!BA167</f>
        <v>89.738</v>
      </c>
      <c r="AK68" s="332">
        <f>RevBuild!BB167</f>
        <v>93.819000000000003</v>
      </c>
      <c r="AL68" s="333">
        <f>RevBuild!BE167</f>
        <v>101.654</v>
      </c>
      <c r="AM68" s="332">
        <f>RevBuild!BF167</f>
        <v>107.01900000000001</v>
      </c>
      <c r="AN68" s="332">
        <f>RevBuild!BG167</f>
        <v>104.696</v>
      </c>
      <c r="AO68" s="332">
        <f>RevBuild!BH167</f>
        <v>112.227</v>
      </c>
      <c r="AP68" s="333">
        <f>RevBuild!BK167</f>
        <v>105.965</v>
      </c>
      <c r="AQ68" s="332">
        <f>RevBuild!BL167</f>
        <v>108.533</v>
      </c>
      <c r="AR68" s="332">
        <f>RevBuild!BM167</f>
        <v>109.012</v>
      </c>
      <c r="AS68" s="332">
        <f>RevBuild!BN167</f>
        <v>114.59100000000001</v>
      </c>
      <c r="AT68" s="333">
        <f>RevBuild!BQ167</f>
        <v>114.10976599999999</v>
      </c>
      <c r="AU68" s="332">
        <f>RevBuild!BR167</f>
        <v>142.634255</v>
      </c>
      <c r="AV68" s="332">
        <f>RevBuild!BS167</f>
        <v>141.58203</v>
      </c>
      <c r="AW68" s="332">
        <f>RevBuild!BT167</f>
        <v>147.28926000000001</v>
      </c>
      <c r="AX68" s="290"/>
      <c r="AY68" s="290"/>
      <c r="AZ68" s="290"/>
      <c r="BA68" s="290"/>
      <c r="BB68" s="290"/>
      <c r="BC68" s="290"/>
      <c r="BD68" s="290"/>
      <c r="BE68" s="290"/>
      <c r="BF68" s="290"/>
      <c r="BG68" s="290"/>
      <c r="BH68" s="290"/>
      <c r="BI68" s="290"/>
      <c r="BJ68" s="290"/>
      <c r="BK68" s="290"/>
      <c r="BL68" s="290"/>
      <c r="BM68" s="290"/>
      <c r="BN68" s="290"/>
      <c r="BO68" s="290"/>
      <c r="BP68" s="290"/>
      <c r="BQ68" s="290"/>
      <c r="BR68" s="290"/>
      <c r="BS68" s="290"/>
      <c r="BT68" s="290"/>
      <c r="BU68" s="290"/>
      <c r="BV68" s="290"/>
      <c r="BW68" s="290"/>
    </row>
    <row r="69" spans="1:75" outlineLevel="1" x14ac:dyDescent="0.2">
      <c r="A69" s="335" t="s">
        <v>414</v>
      </c>
      <c r="B69" s="749">
        <f>RevBuild!C174</f>
        <v>1310.1279999999999</v>
      </c>
      <c r="C69" s="336">
        <f>RevBuild!D174</f>
        <v>1387.0169999999998</v>
      </c>
      <c r="D69" s="336">
        <f>RevBuild!E174</f>
        <v>1505.5749999999998</v>
      </c>
      <c r="E69" s="336">
        <f>RevBuild!F174</f>
        <v>1701.6960000000004</v>
      </c>
      <c r="F69" s="337">
        <f>RevBuild!I174</f>
        <v>1521.777</v>
      </c>
      <c r="G69" s="336">
        <f>RevBuild!J174</f>
        <v>1640.8509999999999</v>
      </c>
      <c r="H69" s="336">
        <f>RevBuild!K174</f>
        <v>1644.2090000000001</v>
      </c>
      <c r="I69" s="336">
        <f>RevBuild!L174</f>
        <v>1573.5760000000005</v>
      </c>
      <c r="J69" s="337">
        <f>RevBuild!O174</f>
        <v>1485.3880000000001</v>
      </c>
      <c r="K69" s="336">
        <f>RevBuild!P174</f>
        <v>1607.4340000000002</v>
      </c>
      <c r="L69" s="336">
        <f>RevBuild!Q174</f>
        <v>1659.433</v>
      </c>
      <c r="M69" s="336">
        <f>RevBuild!R174</f>
        <v>1786.0809999999999</v>
      </c>
      <c r="N69" s="337">
        <f>RevBuild!U174</f>
        <v>1760.31</v>
      </c>
      <c r="O69" s="336">
        <f>RevBuild!V174</f>
        <v>1849.4010000000001</v>
      </c>
      <c r="P69" s="336">
        <f>RevBuild!W174</f>
        <v>1893.511</v>
      </c>
      <c r="Q69" s="336">
        <f>RevBuild!X174</f>
        <v>2023.568</v>
      </c>
      <c r="R69" s="337">
        <f>RevBuild!AA174</f>
        <v>1947.761</v>
      </c>
      <c r="S69" s="336">
        <f>RevBuild!AB174</f>
        <v>2130.6399999999994</v>
      </c>
      <c r="T69" s="336">
        <f>RevBuild!AC174</f>
        <v>2111.6930000000002</v>
      </c>
      <c r="U69" s="336">
        <f>RevBuild!AD174</f>
        <v>2340.1479999999997</v>
      </c>
      <c r="V69" s="337">
        <f>RevBuild!AG174</f>
        <v>2099.0189999999998</v>
      </c>
      <c r="W69" s="336">
        <f>RevBuild!AH174</f>
        <v>2201.4519999999998</v>
      </c>
      <c r="X69" s="336">
        <f>RevBuild!AI174</f>
        <v>2231.058</v>
      </c>
      <c r="Y69" s="336">
        <f>RevBuild!AJ174</f>
        <v>2408.4380000000001</v>
      </c>
      <c r="Z69" s="337">
        <f>RevBuild!AM174</f>
        <v>2293.511</v>
      </c>
      <c r="AA69" s="336">
        <f>RevBuild!AN174</f>
        <v>2391.81</v>
      </c>
      <c r="AB69" s="336">
        <f>RevBuild!AO174</f>
        <v>2348.9560000000001</v>
      </c>
      <c r="AC69" s="336">
        <f>RevBuild!AP174</f>
        <v>2526.37</v>
      </c>
      <c r="AD69" s="337">
        <f>RevBuild!AS174</f>
        <v>2430.1590000000001</v>
      </c>
      <c r="AE69" s="336">
        <f>RevBuild!AT174</f>
        <v>2615.4059999999999</v>
      </c>
      <c r="AF69" s="336">
        <f>RevBuild!AU174</f>
        <v>2623.7290000000003</v>
      </c>
      <c r="AG69" s="336">
        <f>RevBuild!AV174</f>
        <v>2702.096</v>
      </c>
      <c r="AH69" s="337">
        <f>RevBuild!AY174</f>
        <v>2463.6459999999997</v>
      </c>
      <c r="AI69" s="336">
        <f>RevBuild!AZ174</f>
        <v>2629.3199999999997</v>
      </c>
      <c r="AJ69" s="336">
        <f>RevBuild!BA174</f>
        <v>2685.8349999999996</v>
      </c>
      <c r="AK69" s="336">
        <f>RevBuild!BB174</f>
        <v>2850.9180000000001</v>
      </c>
      <c r="AL69" s="337">
        <f>RevBuild!BE174</f>
        <v>2712.9390000000003</v>
      </c>
      <c r="AM69" s="336">
        <f>RevBuild!BF174</f>
        <v>2872.63</v>
      </c>
      <c r="AN69" s="336">
        <f>RevBuild!BG174</f>
        <v>2865.1480000000001</v>
      </c>
      <c r="AO69" s="336">
        <f>RevBuild!BH174</f>
        <v>3120.9339999999997</v>
      </c>
      <c r="AP69" s="337">
        <f>RevBuild!BK174</f>
        <v>2922.9479999999999</v>
      </c>
      <c r="AQ69" s="336">
        <f>RevBuild!BL174</f>
        <v>3059.4580000000001</v>
      </c>
      <c r="AR69" s="336">
        <f>RevBuild!BM174</f>
        <v>3161.0830000000001</v>
      </c>
      <c r="AS69" s="336">
        <f>RevBuild!BN174</f>
        <v>3318.0939999999996</v>
      </c>
      <c r="AT69" s="337">
        <f>RevBuild!BQ174</f>
        <v>3072.1614140000001</v>
      </c>
      <c r="AU69" s="336">
        <f>RevBuild!BR174</f>
        <v>3269.8201400000003</v>
      </c>
      <c r="AV69" s="336">
        <f>RevBuild!BS174</f>
        <v>3340.2211599999996</v>
      </c>
      <c r="AW69" s="336">
        <f>RevBuild!BT174</f>
        <v>3463.4065399999999</v>
      </c>
      <c r="AX69" s="290"/>
      <c r="AY69" s="290"/>
      <c r="AZ69" s="290"/>
      <c r="BA69" s="290"/>
      <c r="BB69" s="290"/>
      <c r="BC69" s="290"/>
      <c r="BD69" s="290"/>
      <c r="BE69" s="290"/>
      <c r="BF69" s="290"/>
      <c r="BG69" s="290"/>
      <c r="BH69" s="290"/>
      <c r="BI69" s="290"/>
      <c r="BJ69" s="290"/>
      <c r="BK69" s="290"/>
      <c r="BL69" s="290"/>
      <c r="BM69" s="290"/>
      <c r="BN69" s="290"/>
      <c r="BO69" s="290"/>
      <c r="BP69" s="290"/>
      <c r="BQ69" s="290"/>
      <c r="BR69" s="290"/>
      <c r="BS69" s="290"/>
      <c r="BT69" s="290"/>
      <c r="BU69" s="290"/>
      <c r="BV69" s="290"/>
      <c r="BW69" s="290"/>
    </row>
    <row r="70" spans="1:75" s="297" customFormat="1" outlineLevel="1" x14ac:dyDescent="0.2">
      <c r="A70" s="338"/>
      <c r="B70" s="317"/>
      <c r="C70" s="317"/>
      <c r="D70" s="317"/>
      <c r="E70" s="317"/>
      <c r="F70" s="317"/>
      <c r="G70" s="317"/>
      <c r="H70" s="317"/>
      <c r="I70" s="317"/>
      <c r="J70" s="317"/>
      <c r="K70" s="317"/>
      <c r="L70" s="317"/>
      <c r="M70" s="317"/>
      <c r="N70" s="317"/>
      <c r="O70" s="317"/>
      <c r="P70" s="317"/>
      <c r="Q70" s="317"/>
      <c r="R70" s="317"/>
      <c r="S70" s="317"/>
      <c r="T70" s="317"/>
      <c r="U70" s="317"/>
      <c r="V70" s="317"/>
      <c r="W70" s="317"/>
      <c r="X70" s="317"/>
      <c r="Y70" s="317"/>
      <c r="Z70" s="317"/>
      <c r="AA70" s="317"/>
      <c r="AB70" s="317"/>
      <c r="AC70" s="317"/>
      <c r="AD70" s="317"/>
      <c r="AE70" s="317"/>
      <c r="AF70" s="317"/>
      <c r="AG70" s="317"/>
      <c r="AH70" s="317"/>
      <c r="AI70" s="317"/>
      <c r="AJ70" s="317"/>
      <c r="AK70" s="317"/>
      <c r="AL70" s="317"/>
      <c r="AM70" s="317"/>
      <c r="AN70" s="317"/>
      <c r="AO70" s="317"/>
      <c r="AP70" s="317"/>
      <c r="AQ70" s="317"/>
      <c r="AR70" s="317"/>
      <c r="AS70" s="317"/>
      <c r="AT70" s="317"/>
      <c r="AU70" s="317"/>
      <c r="AV70" s="317"/>
      <c r="AW70" s="317"/>
      <c r="AX70" s="316"/>
      <c r="AY70" s="316"/>
      <c r="AZ70" s="316"/>
      <c r="BA70" s="316"/>
      <c r="BB70" s="316"/>
      <c r="BC70" s="316"/>
      <c r="BD70" s="316"/>
      <c r="BE70" s="316"/>
      <c r="BF70" s="316"/>
      <c r="BG70" s="316"/>
      <c r="BH70" s="316"/>
      <c r="BI70" s="316"/>
      <c r="BJ70" s="316"/>
      <c r="BK70" s="316"/>
      <c r="BL70" s="316"/>
      <c r="BM70" s="316"/>
      <c r="BN70" s="316"/>
      <c r="BO70" s="316"/>
      <c r="BP70" s="316"/>
      <c r="BQ70" s="316"/>
      <c r="BR70" s="316"/>
      <c r="BS70" s="316"/>
      <c r="BT70" s="316"/>
      <c r="BU70" s="316"/>
      <c r="BV70" s="316"/>
      <c r="BW70" s="316"/>
    </row>
    <row r="71" spans="1:75" s="297" customFormat="1" outlineLevel="1" x14ac:dyDescent="0.2">
      <c r="A71" s="311" t="s">
        <v>599</v>
      </c>
      <c r="B71" s="317"/>
      <c r="C71" s="317"/>
      <c r="D71" s="317"/>
      <c r="E71" s="317"/>
      <c r="F71" s="317"/>
      <c r="G71" s="317"/>
      <c r="H71" s="317"/>
      <c r="I71" s="317"/>
      <c r="J71" s="317"/>
      <c r="K71" s="317"/>
      <c r="L71" s="317"/>
      <c r="M71" s="317"/>
      <c r="N71" s="317"/>
      <c r="O71" s="317"/>
      <c r="P71" s="317"/>
      <c r="Q71" s="317"/>
      <c r="R71" s="317"/>
      <c r="S71" s="317"/>
      <c r="T71" s="317"/>
      <c r="U71" s="317"/>
      <c r="V71" s="317"/>
      <c r="W71" s="317"/>
      <c r="X71" s="317"/>
      <c r="Y71" s="317"/>
      <c r="Z71" s="317"/>
      <c r="AA71" s="317"/>
      <c r="AB71" s="317"/>
      <c r="AC71" s="317"/>
      <c r="AD71" s="317"/>
      <c r="AE71" s="317"/>
      <c r="AF71" s="314"/>
      <c r="AG71" s="314"/>
      <c r="AH71" s="314"/>
      <c r="AI71" s="314"/>
      <c r="AJ71" s="314"/>
      <c r="AK71" s="314"/>
      <c r="AL71" s="314"/>
      <c r="AM71" s="314"/>
      <c r="AN71" s="314"/>
      <c r="AO71" s="314"/>
      <c r="AP71" s="314"/>
      <c r="AQ71" s="314"/>
      <c r="AR71" s="314"/>
      <c r="AS71" s="314"/>
      <c r="AT71" s="314"/>
      <c r="AU71" s="314"/>
      <c r="AV71" s="314"/>
      <c r="AW71" s="314"/>
      <c r="AX71" s="316"/>
      <c r="AY71" s="316"/>
      <c r="AZ71" s="316"/>
      <c r="BA71" s="316"/>
      <c r="BB71" s="316"/>
      <c r="BC71" s="316"/>
      <c r="BD71" s="316"/>
      <c r="BE71" s="316"/>
      <c r="BF71" s="316"/>
      <c r="BG71" s="316"/>
      <c r="BH71" s="316"/>
      <c r="BI71" s="316"/>
      <c r="BJ71" s="316"/>
      <c r="BK71" s="316"/>
      <c r="BL71" s="316"/>
      <c r="BM71" s="316"/>
      <c r="BN71" s="316"/>
      <c r="BO71" s="316"/>
      <c r="BP71" s="316"/>
      <c r="BQ71" s="316"/>
      <c r="BR71" s="316"/>
      <c r="BS71" s="316"/>
      <c r="BT71" s="316"/>
      <c r="BU71" s="316"/>
      <c r="BV71" s="316"/>
      <c r="BW71" s="316"/>
    </row>
    <row r="72" spans="1:75" s="297" customFormat="1" outlineLevel="1" x14ac:dyDescent="0.2">
      <c r="A72" s="295"/>
      <c r="B72" s="741" t="str">
        <f t="shared" ref="B72:B78" si="57">+B63</f>
        <v>1Q07</v>
      </c>
      <c r="C72" s="295" t="str">
        <f t="shared" ref="C72:AW72" si="58">+C63</f>
        <v>2Q07</v>
      </c>
      <c r="D72" s="295" t="str">
        <f t="shared" si="58"/>
        <v>3Q07</v>
      </c>
      <c r="E72" s="295" t="str">
        <f t="shared" si="58"/>
        <v>4Q07</v>
      </c>
      <c r="F72" s="296" t="str">
        <f t="shared" si="58"/>
        <v>1Q08</v>
      </c>
      <c r="G72" s="295" t="str">
        <f t="shared" si="58"/>
        <v>2Q08</v>
      </c>
      <c r="H72" s="295" t="str">
        <f t="shared" si="58"/>
        <v>3Q08</v>
      </c>
      <c r="I72" s="295" t="str">
        <f t="shared" si="58"/>
        <v>4Q08</v>
      </c>
      <c r="J72" s="296" t="str">
        <f t="shared" si="58"/>
        <v>1Q09</v>
      </c>
      <c r="K72" s="295" t="str">
        <f t="shared" si="58"/>
        <v>2Q09</v>
      </c>
      <c r="L72" s="295" t="str">
        <f t="shared" si="58"/>
        <v>3Q09</v>
      </c>
      <c r="M72" s="295" t="str">
        <f t="shared" si="58"/>
        <v>4Q09</v>
      </c>
      <c r="N72" s="296" t="str">
        <f t="shared" si="58"/>
        <v>1Q10</v>
      </c>
      <c r="O72" s="295" t="str">
        <f t="shared" si="58"/>
        <v>2Q10</v>
      </c>
      <c r="P72" s="295" t="str">
        <f t="shared" si="58"/>
        <v>3Q10</v>
      </c>
      <c r="Q72" s="295" t="str">
        <f t="shared" si="58"/>
        <v>4Q10</v>
      </c>
      <c r="R72" s="296" t="str">
        <f t="shared" si="58"/>
        <v>1Q11</v>
      </c>
      <c r="S72" s="295" t="str">
        <f t="shared" si="58"/>
        <v>2Q11</v>
      </c>
      <c r="T72" s="295" t="str">
        <f t="shared" si="58"/>
        <v>3Q11</v>
      </c>
      <c r="U72" s="295" t="str">
        <f t="shared" si="58"/>
        <v>4Q11</v>
      </c>
      <c r="V72" s="296" t="str">
        <f t="shared" si="58"/>
        <v>1Q12</v>
      </c>
      <c r="W72" s="295" t="str">
        <f t="shared" si="58"/>
        <v>2Q12</v>
      </c>
      <c r="X72" s="295" t="str">
        <f t="shared" si="58"/>
        <v>3Q12</v>
      </c>
      <c r="Y72" s="295" t="str">
        <f t="shared" si="58"/>
        <v>4Q12</v>
      </c>
      <c r="Z72" s="296" t="str">
        <f t="shared" si="58"/>
        <v>1Q13</v>
      </c>
      <c r="AA72" s="295" t="str">
        <f t="shared" si="58"/>
        <v>2Q13</v>
      </c>
      <c r="AB72" s="295" t="str">
        <f t="shared" si="58"/>
        <v>3Q13</v>
      </c>
      <c r="AC72" s="295" t="str">
        <f t="shared" si="58"/>
        <v>4Q13</v>
      </c>
      <c r="AD72" s="296" t="str">
        <f t="shared" si="58"/>
        <v>1Q14</v>
      </c>
      <c r="AE72" s="295" t="str">
        <f t="shared" si="58"/>
        <v>2Q14</v>
      </c>
      <c r="AF72" s="295" t="str">
        <f t="shared" si="58"/>
        <v>3Q14</v>
      </c>
      <c r="AG72" s="295" t="str">
        <f t="shared" si="58"/>
        <v>4Q14</v>
      </c>
      <c r="AH72" s="296" t="str">
        <f t="shared" si="58"/>
        <v>1Q15</v>
      </c>
      <c r="AI72" s="295" t="str">
        <f t="shared" si="58"/>
        <v>2Q15</v>
      </c>
      <c r="AJ72" s="295" t="str">
        <f t="shared" si="58"/>
        <v>3Q15</v>
      </c>
      <c r="AK72" s="295" t="str">
        <f t="shared" si="58"/>
        <v>4Q15</v>
      </c>
      <c r="AL72" s="296" t="str">
        <f t="shared" si="58"/>
        <v>1Q16</v>
      </c>
      <c r="AM72" s="295" t="str">
        <f t="shared" si="58"/>
        <v>2Q16</v>
      </c>
      <c r="AN72" s="295" t="str">
        <f t="shared" si="58"/>
        <v>3Q16</v>
      </c>
      <c r="AO72" s="295" t="str">
        <f t="shared" si="58"/>
        <v>4Q16</v>
      </c>
      <c r="AP72" s="296" t="str">
        <f t="shared" si="58"/>
        <v>1Q17</v>
      </c>
      <c r="AQ72" s="295" t="str">
        <f t="shared" si="58"/>
        <v>2Q17</v>
      </c>
      <c r="AR72" s="295" t="str">
        <f t="shared" si="58"/>
        <v>3Q17</v>
      </c>
      <c r="AS72" s="295" t="str">
        <f t="shared" si="58"/>
        <v>4Q17</v>
      </c>
      <c r="AT72" s="296" t="str">
        <f t="shared" si="58"/>
        <v>1Q18E</v>
      </c>
      <c r="AU72" s="295" t="str">
        <f t="shared" si="58"/>
        <v>2Q18E</v>
      </c>
      <c r="AV72" s="295" t="str">
        <f t="shared" si="58"/>
        <v>3Q18E</v>
      </c>
      <c r="AW72" s="295" t="str">
        <f t="shared" si="58"/>
        <v>4Q18E</v>
      </c>
      <c r="AX72" s="316"/>
      <c r="AY72" s="316"/>
      <c r="AZ72" s="316"/>
      <c r="BA72" s="316"/>
      <c r="BB72" s="316"/>
      <c r="BC72" s="316"/>
      <c r="BD72" s="316"/>
      <c r="BE72" s="316"/>
      <c r="BF72" s="316"/>
      <c r="BG72" s="316"/>
      <c r="BH72" s="316"/>
      <c r="BI72" s="316"/>
      <c r="BJ72" s="316"/>
      <c r="BK72" s="316"/>
      <c r="BL72" s="316"/>
      <c r="BM72" s="316"/>
      <c r="BN72" s="316"/>
      <c r="BO72" s="316"/>
      <c r="BP72" s="316"/>
      <c r="BQ72" s="316"/>
      <c r="BR72" s="316"/>
      <c r="BS72" s="316"/>
      <c r="BT72" s="316"/>
      <c r="BU72" s="316"/>
      <c r="BV72" s="316"/>
      <c r="BW72" s="316"/>
    </row>
    <row r="73" spans="1:75" s="297" customFormat="1" outlineLevel="1" x14ac:dyDescent="0.2">
      <c r="A73" s="298" t="s">
        <v>307</v>
      </c>
      <c r="B73" s="746">
        <f t="shared" si="57"/>
        <v>1281.713</v>
      </c>
      <c r="C73" s="332">
        <f t="shared" ref="C73:E78" si="59">+C64</f>
        <v>1355.1419999999998</v>
      </c>
      <c r="D73" s="332">
        <f t="shared" si="59"/>
        <v>1473.7339999999999</v>
      </c>
      <c r="E73" s="332">
        <f t="shared" si="59"/>
        <v>1661.9340000000004</v>
      </c>
      <c r="F73" s="746">
        <f t="shared" ref="F73:O74" si="60">+B64*(1+F5)</f>
        <v>1335.1555770000002</v>
      </c>
      <c r="G73" s="332">
        <f t="shared" si="60"/>
        <v>1409.5690089999996</v>
      </c>
      <c r="H73" s="332">
        <f t="shared" si="60"/>
        <v>1503.6033320000001</v>
      </c>
      <c r="I73" s="332">
        <f t="shared" si="60"/>
        <v>1608.0727700000004</v>
      </c>
      <c r="J73" s="746">
        <f t="shared" si="60"/>
        <v>1487.9774299999999</v>
      </c>
      <c r="K73" s="332">
        <f t="shared" si="60"/>
        <v>1607.1570019999999</v>
      </c>
      <c r="L73" s="332">
        <f t="shared" si="60"/>
        <v>1591.6300969999998</v>
      </c>
      <c r="M73" s="332">
        <f t="shared" si="60"/>
        <v>1575.8021620000002</v>
      </c>
      <c r="N73" s="746">
        <f t="shared" si="60"/>
        <v>1491.386076</v>
      </c>
      <c r="O73" s="332">
        <f t="shared" si="60"/>
        <v>1594.4986420000002</v>
      </c>
      <c r="P73" s="332">
        <f t="shared" ref="P73:Y74" si="61">+L64*(1+P5)</f>
        <v>1673.4402479999999</v>
      </c>
      <c r="Q73" s="332">
        <f t="shared" si="61"/>
        <v>1789.5521819999997</v>
      </c>
      <c r="R73" s="746">
        <f t="shared" si="61"/>
        <v>1776.2251290000004</v>
      </c>
      <c r="S73" s="332">
        <f t="shared" si="61"/>
        <v>1883.4146339999991</v>
      </c>
      <c r="T73" s="332">
        <f t="shared" si="61"/>
        <v>1901.9781370000005</v>
      </c>
      <c r="U73" s="332">
        <f t="shared" si="61"/>
        <v>2071.3133160000007</v>
      </c>
      <c r="V73" s="746">
        <f t="shared" si="61"/>
        <v>2039.7469879999999</v>
      </c>
      <c r="W73" s="332">
        <f t="shared" si="61"/>
        <v>2162.1106249999998</v>
      </c>
      <c r="X73" s="332">
        <f t="shared" si="61"/>
        <v>2135.862787</v>
      </c>
      <c r="Y73" s="332">
        <f t="shared" si="61"/>
        <v>2401.0886789999995</v>
      </c>
      <c r="Z73" s="746">
        <f t="shared" ref="Z73:AI74" si="62">+V64*(1+Z5)</f>
        <v>2097.8056799999999</v>
      </c>
      <c r="AA73" s="332">
        <f t="shared" si="62"/>
        <v>2215.88897</v>
      </c>
      <c r="AB73" s="332">
        <f t="shared" si="62"/>
        <v>2230.2918300000001</v>
      </c>
      <c r="AC73" s="332">
        <f t="shared" si="62"/>
        <v>2409.0797439999992</v>
      </c>
      <c r="AD73" s="746">
        <f t="shared" si="62"/>
        <v>2280.9253720000002</v>
      </c>
      <c r="AE73" s="332">
        <f t="shared" si="62"/>
        <v>2410.9431300000001</v>
      </c>
      <c r="AF73" s="332">
        <f t="shared" si="62"/>
        <v>2415.3044720000003</v>
      </c>
      <c r="AG73" s="332">
        <f t="shared" si="62"/>
        <v>2559.91365</v>
      </c>
      <c r="AH73" s="746">
        <f t="shared" si="62"/>
        <v>2459.2250099999997</v>
      </c>
      <c r="AI73" s="332">
        <f t="shared" si="62"/>
        <v>2627.3384799999999</v>
      </c>
      <c r="AJ73" s="332">
        <f t="shared" ref="AJ73:AS74" si="63">+AF64*(1+AJ5)</f>
        <v>2658.3630880000005</v>
      </c>
      <c r="AK73" s="332">
        <f t="shared" si="63"/>
        <v>2783.1010740000006</v>
      </c>
      <c r="AL73" s="746">
        <f t="shared" si="63"/>
        <v>2601.4554200000002</v>
      </c>
      <c r="AM73" s="332">
        <f t="shared" si="63"/>
        <v>2732.8463199999997</v>
      </c>
      <c r="AN73" s="332">
        <f t="shared" si="63"/>
        <v>2751.8628199999998</v>
      </c>
      <c r="AO73" s="332">
        <f t="shared" si="63"/>
        <v>2866.4296560000003</v>
      </c>
      <c r="AP73" s="746">
        <f t="shared" si="63"/>
        <v>2765.3508150000002</v>
      </c>
      <c r="AQ73" s="332">
        <f t="shared" si="63"/>
        <v>2900.4152009999998</v>
      </c>
      <c r="AR73" s="332">
        <f t="shared" si="63"/>
        <v>2895.714148</v>
      </c>
      <c r="AS73" s="332">
        <f t="shared" si="63"/>
        <v>3164.571586</v>
      </c>
      <c r="AT73" s="746">
        <f t="shared" ref="AT73:AW74" si="64">+AP64*(1+AT5)</f>
        <v>2925.1099229999995</v>
      </c>
      <c r="AU73" s="332">
        <f t="shared" si="64"/>
        <v>3112.3586700000001</v>
      </c>
      <c r="AV73" s="332">
        <f t="shared" si="64"/>
        <v>3199.3708899999997</v>
      </c>
      <c r="AW73" s="332">
        <f t="shared" si="64"/>
        <v>3349.31324</v>
      </c>
      <c r="AX73" s="316"/>
      <c r="AY73" s="316"/>
      <c r="AZ73" s="316"/>
      <c r="BA73" s="316"/>
      <c r="BB73" s="316"/>
      <c r="BC73" s="316"/>
      <c r="BD73" s="316"/>
      <c r="BE73" s="316"/>
      <c r="BF73" s="316"/>
      <c r="BG73" s="316"/>
      <c r="BH73" s="316"/>
      <c r="BI73" s="316"/>
      <c r="BJ73" s="316"/>
      <c r="BK73" s="316"/>
      <c r="BL73" s="316"/>
      <c r="BM73" s="316"/>
      <c r="BN73" s="316"/>
      <c r="BO73" s="316"/>
      <c r="BP73" s="316"/>
      <c r="BQ73" s="316"/>
      <c r="BR73" s="316"/>
      <c r="BS73" s="316"/>
      <c r="BT73" s="316"/>
      <c r="BU73" s="316"/>
      <c r="BV73" s="316"/>
      <c r="BW73" s="316"/>
    </row>
    <row r="74" spans="1:75" s="297" customFormat="1" outlineLevel="1" x14ac:dyDescent="0.2">
      <c r="A74" s="349" t="s">
        <v>304</v>
      </c>
      <c r="B74" s="747" t="str">
        <f t="shared" si="57"/>
        <v>NA</v>
      </c>
      <c r="C74" s="323" t="str">
        <f t="shared" si="59"/>
        <v>NA</v>
      </c>
      <c r="D74" s="323" t="str">
        <f t="shared" si="59"/>
        <v>NA</v>
      </c>
      <c r="E74" s="323" t="str">
        <f t="shared" si="59"/>
        <v>NA</v>
      </c>
      <c r="F74" s="747" t="e">
        <f t="shared" si="60"/>
        <v>#VALUE!</v>
      </c>
      <c r="G74" s="323" t="e">
        <f t="shared" si="60"/>
        <v>#VALUE!</v>
      </c>
      <c r="H74" s="323" t="e">
        <f t="shared" si="60"/>
        <v>#VALUE!</v>
      </c>
      <c r="I74" s="323" t="e">
        <f t="shared" si="60"/>
        <v>#VALUE!</v>
      </c>
      <c r="J74" s="747" t="e">
        <f t="shared" si="60"/>
        <v>#VALUE!</v>
      </c>
      <c r="K74" s="323" t="e">
        <f t="shared" si="60"/>
        <v>#VALUE!</v>
      </c>
      <c r="L74" s="323" t="e">
        <f t="shared" si="60"/>
        <v>#VALUE!</v>
      </c>
      <c r="M74" s="323" t="e">
        <f t="shared" si="60"/>
        <v>#VALUE!</v>
      </c>
      <c r="N74" s="747" t="e">
        <f t="shared" si="60"/>
        <v>#VALUE!</v>
      </c>
      <c r="O74" s="323" t="e">
        <f t="shared" si="60"/>
        <v>#VALUE!</v>
      </c>
      <c r="P74" s="323" t="e">
        <f t="shared" si="61"/>
        <v>#VALUE!</v>
      </c>
      <c r="Q74" s="323" t="e">
        <f t="shared" si="61"/>
        <v>#VALUE!</v>
      </c>
      <c r="R74" s="747" t="e">
        <f t="shared" si="61"/>
        <v>#VALUE!</v>
      </c>
      <c r="S74" s="323" t="e">
        <f t="shared" si="61"/>
        <v>#VALUE!</v>
      </c>
      <c r="T74" s="323" t="e">
        <f t="shared" si="61"/>
        <v>#VALUE!</v>
      </c>
      <c r="U74" s="323" t="e">
        <f t="shared" si="61"/>
        <v>#VALUE!</v>
      </c>
      <c r="V74" s="1157">
        <f t="shared" si="61"/>
        <v>1163.276568</v>
      </c>
      <c r="W74" s="359">
        <f t="shared" si="61"/>
        <v>1226.4497039999999</v>
      </c>
      <c r="X74" s="359">
        <f t="shared" si="61"/>
        <v>1148.8504829999999</v>
      </c>
      <c r="Y74" s="359">
        <f t="shared" si="61"/>
        <v>1393.7194039999999</v>
      </c>
      <c r="Z74" s="1157">
        <f t="shared" si="62"/>
        <v>1152.1990019999998</v>
      </c>
      <c r="AA74" s="359">
        <f t="shared" si="62"/>
        <v>1221.49657</v>
      </c>
      <c r="AB74" s="359">
        <f t="shared" si="62"/>
        <v>1153.0129000000002</v>
      </c>
      <c r="AC74" s="359">
        <f t="shared" si="62"/>
        <v>1347.6171420000001</v>
      </c>
      <c r="AD74" s="1157">
        <f t="shared" si="62"/>
        <v>1232.4728250000001</v>
      </c>
      <c r="AE74" s="359">
        <f t="shared" si="62"/>
        <v>1292.3301059999999</v>
      </c>
      <c r="AF74" s="359">
        <f t="shared" si="62"/>
        <v>1239.9946480000001</v>
      </c>
      <c r="AG74" s="359">
        <f t="shared" si="62"/>
        <v>1395.776085</v>
      </c>
      <c r="AH74" s="1157">
        <f t="shared" si="62"/>
        <v>1331.9450559999998</v>
      </c>
      <c r="AI74" s="359">
        <f t="shared" si="62"/>
        <v>1424.5887209999999</v>
      </c>
      <c r="AJ74" s="359">
        <f t="shared" si="63"/>
        <v>1351.5844320000001</v>
      </c>
      <c r="AK74" s="359">
        <f t="shared" si="63"/>
        <v>1511.0059639999999</v>
      </c>
      <c r="AL74" s="1157">
        <f t="shared" si="63"/>
        <v>1311.3265769999998</v>
      </c>
      <c r="AM74" s="359">
        <f t="shared" si="63"/>
        <v>1357.723804</v>
      </c>
      <c r="AN74" s="359">
        <f t="shared" si="63"/>
        <v>1315.7075189999998</v>
      </c>
      <c r="AO74" s="359">
        <f t="shared" si="63"/>
        <v>1462.0355300000001</v>
      </c>
      <c r="AP74" s="1157">
        <f t="shared" si="63"/>
        <v>1339.505895</v>
      </c>
      <c r="AQ74" s="359">
        <f t="shared" si="63"/>
        <v>1425.7568280000003</v>
      </c>
      <c r="AR74" s="359">
        <f t="shared" si="63"/>
        <v>1364.8134</v>
      </c>
      <c r="AS74" s="359">
        <f t="shared" si="63"/>
        <v>1616.355716</v>
      </c>
      <c r="AT74" s="1157">
        <f t="shared" si="64"/>
        <v>1447.6426879999999</v>
      </c>
      <c r="AU74" s="359">
        <f t="shared" si="64"/>
        <v>1532.8120099999999</v>
      </c>
      <c r="AV74" s="359">
        <f t="shared" si="64"/>
        <v>1530.9765499999999</v>
      </c>
      <c r="AW74" s="359">
        <f t="shared" si="64"/>
        <v>1709.1079500000001</v>
      </c>
      <c r="AX74" s="316"/>
      <c r="AY74" s="316"/>
      <c r="AZ74" s="316"/>
      <c r="BA74" s="316"/>
      <c r="BB74" s="316"/>
      <c r="BC74" s="316"/>
      <c r="BD74" s="316"/>
      <c r="BE74" s="316"/>
      <c r="BF74" s="316"/>
      <c r="BG74" s="316"/>
      <c r="BH74" s="316"/>
      <c r="BI74" s="316"/>
      <c r="BJ74" s="316"/>
      <c r="BK74" s="316"/>
      <c r="BL74" s="316"/>
      <c r="BM74" s="316"/>
      <c r="BN74" s="316"/>
      <c r="BO74" s="316"/>
      <c r="BP74" s="316"/>
      <c r="BQ74" s="316"/>
      <c r="BR74" s="316"/>
      <c r="BS74" s="316"/>
      <c r="BT74" s="316"/>
      <c r="BU74" s="316"/>
      <c r="BV74" s="316"/>
      <c r="BW74" s="316"/>
    </row>
    <row r="75" spans="1:75" s="297" customFormat="1" outlineLevel="1" x14ac:dyDescent="0.2">
      <c r="A75" s="360" t="s">
        <v>305</v>
      </c>
      <c r="B75" s="748" t="str">
        <f t="shared" si="57"/>
        <v>NA</v>
      </c>
      <c r="C75" s="327" t="str">
        <f t="shared" si="59"/>
        <v>NA</v>
      </c>
      <c r="D75" s="327" t="str">
        <f t="shared" si="59"/>
        <v>NA</v>
      </c>
      <c r="E75" s="327" t="str">
        <f t="shared" si="59"/>
        <v>NA</v>
      </c>
      <c r="F75" s="748" t="e">
        <f t="shared" ref="F75:AW75" si="65">+B66*(1+F15)</f>
        <v>#VALUE!</v>
      </c>
      <c r="G75" s="327" t="e">
        <f t="shared" si="65"/>
        <v>#VALUE!</v>
      </c>
      <c r="H75" s="327" t="e">
        <f t="shared" si="65"/>
        <v>#VALUE!</v>
      </c>
      <c r="I75" s="327" t="e">
        <f t="shared" si="65"/>
        <v>#VALUE!</v>
      </c>
      <c r="J75" s="748" t="e">
        <f t="shared" si="65"/>
        <v>#VALUE!</v>
      </c>
      <c r="K75" s="327" t="e">
        <f t="shared" si="65"/>
        <v>#VALUE!</v>
      </c>
      <c r="L75" s="327" t="e">
        <f t="shared" si="65"/>
        <v>#VALUE!</v>
      </c>
      <c r="M75" s="327" t="e">
        <f t="shared" si="65"/>
        <v>#VALUE!</v>
      </c>
      <c r="N75" s="748" t="e">
        <f t="shared" si="65"/>
        <v>#VALUE!</v>
      </c>
      <c r="O75" s="327" t="e">
        <f t="shared" si="65"/>
        <v>#VALUE!</v>
      </c>
      <c r="P75" s="327" t="e">
        <f t="shared" si="65"/>
        <v>#VALUE!</v>
      </c>
      <c r="Q75" s="327" t="e">
        <f t="shared" si="65"/>
        <v>#VALUE!</v>
      </c>
      <c r="R75" s="748" t="e">
        <f t="shared" si="65"/>
        <v>#VALUE!</v>
      </c>
      <c r="S75" s="327" t="e">
        <f t="shared" si="65"/>
        <v>#VALUE!</v>
      </c>
      <c r="T75" s="327" t="e">
        <f t="shared" si="65"/>
        <v>#VALUE!</v>
      </c>
      <c r="U75" s="327" t="e">
        <f t="shared" si="65"/>
        <v>#VALUE!</v>
      </c>
      <c r="V75" s="1158">
        <f t="shared" si="65"/>
        <v>523.12293599999998</v>
      </c>
      <c r="W75" s="357">
        <f t="shared" si="65"/>
        <v>572.29136899999992</v>
      </c>
      <c r="X75" s="357">
        <f t="shared" si="65"/>
        <v>547.55544399999997</v>
      </c>
      <c r="Y75" s="357">
        <f t="shared" si="65"/>
        <v>581.99600199999998</v>
      </c>
      <c r="Z75" s="1158">
        <f t="shared" si="65"/>
        <v>561.33011999999997</v>
      </c>
      <c r="AA75" s="357">
        <f t="shared" si="65"/>
        <v>610.88083600000004</v>
      </c>
      <c r="AB75" s="357">
        <f t="shared" si="65"/>
        <v>633.41331600000001</v>
      </c>
      <c r="AC75" s="357">
        <f t="shared" si="65"/>
        <v>640.51559199999997</v>
      </c>
      <c r="AD75" s="1158">
        <f t="shared" si="65"/>
        <v>651.92484000000002</v>
      </c>
      <c r="AE75" s="357">
        <f t="shared" si="65"/>
        <v>714.93668100000002</v>
      </c>
      <c r="AF75" s="357">
        <f t="shared" si="65"/>
        <v>694.31440899999996</v>
      </c>
      <c r="AG75" s="357">
        <f t="shared" si="65"/>
        <v>702.568174</v>
      </c>
      <c r="AH75" s="1158">
        <f t="shared" si="65"/>
        <v>683.93996000000004</v>
      </c>
      <c r="AI75" s="357">
        <f t="shared" si="65"/>
        <v>759.07629399999996</v>
      </c>
      <c r="AJ75" s="357">
        <f t="shared" si="65"/>
        <v>761.74175999999989</v>
      </c>
      <c r="AK75" s="357">
        <f t="shared" si="65"/>
        <v>748.45032900000001</v>
      </c>
      <c r="AL75" s="1158">
        <f t="shared" si="65"/>
        <v>751.38775200000009</v>
      </c>
      <c r="AM75" s="357">
        <f t="shared" si="65"/>
        <v>836.88784399999986</v>
      </c>
      <c r="AN75" s="357">
        <f t="shared" si="65"/>
        <v>795.53083800000002</v>
      </c>
      <c r="AO75" s="357">
        <f t="shared" si="65"/>
        <v>818.14356599999996</v>
      </c>
      <c r="AP75" s="1158">
        <f t="shared" si="65"/>
        <v>825.92886599999997</v>
      </c>
      <c r="AQ75" s="357">
        <f t="shared" si="65"/>
        <v>903.14492200000007</v>
      </c>
      <c r="AR75" s="357">
        <f t="shared" si="65"/>
        <v>853.69407300000012</v>
      </c>
      <c r="AS75" s="357">
        <f t="shared" si="65"/>
        <v>875.32706099999996</v>
      </c>
      <c r="AT75" s="1158">
        <f t="shared" si="65"/>
        <v>861.55710500000021</v>
      </c>
      <c r="AU75" s="357">
        <f t="shared" si="65"/>
        <v>957.39895000000001</v>
      </c>
      <c r="AV75" s="357">
        <f t="shared" si="65"/>
        <v>936.92111999999997</v>
      </c>
      <c r="AW75" s="357">
        <f t="shared" si="65"/>
        <v>965.45455000000015</v>
      </c>
      <c r="AX75" s="316"/>
      <c r="AY75" s="316"/>
      <c r="AZ75" s="316"/>
      <c r="BA75" s="316"/>
      <c r="BB75" s="316"/>
      <c r="BC75" s="316"/>
      <c r="BD75" s="316"/>
      <c r="BE75" s="316"/>
      <c r="BF75" s="316"/>
      <c r="BG75" s="316"/>
      <c r="BH75" s="316"/>
      <c r="BI75" s="316"/>
      <c r="BJ75" s="316"/>
      <c r="BK75" s="316"/>
      <c r="BL75" s="316"/>
      <c r="BM75" s="316"/>
      <c r="BN75" s="316"/>
      <c r="BO75" s="316"/>
      <c r="BP75" s="316"/>
      <c r="BQ75" s="316"/>
      <c r="BR75" s="316"/>
      <c r="BS75" s="316"/>
      <c r="BT75" s="316"/>
      <c r="BU75" s="316"/>
      <c r="BV75" s="316"/>
      <c r="BW75" s="316"/>
    </row>
    <row r="76" spans="1:75" s="297" customFormat="1" outlineLevel="1" x14ac:dyDescent="0.2">
      <c r="A76" s="349" t="s">
        <v>306</v>
      </c>
      <c r="B76" s="747" t="str">
        <f t="shared" si="57"/>
        <v>NA</v>
      </c>
      <c r="C76" s="323" t="str">
        <f t="shared" si="59"/>
        <v>NA</v>
      </c>
      <c r="D76" s="323" t="str">
        <f t="shared" si="59"/>
        <v>NA</v>
      </c>
      <c r="E76" s="323" t="str">
        <f t="shared" si="59"/>
        <v>NA</v>
      </c>
      <c r="F76" s="747" t="e">
        <f t="shared" ref="F76:AW76" si="66">+B67*(1+F18)</f>
        <v>#VALUE!</v>
      </c>
      <c r="G76" s="323" t="e">
        <f t="shared" si="66"/>
        <v>#VALUE!</v>
      </c>
      <c r="H76" s="323" t="e">
        <f t="shared" si="66"/>
        <v>#VALUE!</v>
      </c>
      <c r="I76" s="323" t="e">
        <f t="shared" si="66"/>
        <v>#VALUE!</v>
      </c>
      <c r="J76" s="747" t="e">
        <f t="shared" si="66"/>
        <v>#VALUE!</v>
      </c>
      <c r="K76" s="323" t="e">
        <f t="shared" si="66"/>
        <v>#VALUE!</v>
      </c>
      <c r="L76" s="323" t="e">
        <f t="shared" si="66"/>
        <v>#VALUE!</v>
      </c>
      <c r="M76" s="323" t="e">
        <f t="shared" si="66"/>
        <v>#VALUE!</v>
      </c>
      <c r="N76" s="747" t="e">
        <f t="shared" si="66"/>
        <v>#VALUE!</v>
      </c>
      <c r="O76" s="323" t="e">
        <f t="shared" si="66"/>
        <v>#VALUE!</v>
      </c>
      <c r="P76" s="323" t="e">
        <f t="shared" si="66"/>
        <v>#VALUE!</v>
      </c>
      <c r="Q76" s="323" t="e">
        <f t="shared" si="66"/>
        <v>#VALUE!</v>
      </c>
      <c r="R76" s="747" t="e">
        <f t="shared" si="66"/>
        <v>#VALUE!</v>
      </c>
      <c r="S76" s="323" t="e">
        <f t="shared" si="66"/>
        <v>#VALUE!</v>
      </c>
      <c r="T76" s="323" t="e">
        <f t="shared" si="66"/>
        <v>#VALUE!</v>
      </c>
      <c r="U76" s="323" t="e">
        <f t="shared" si="66"/>
        <v>#VALUE!</v>
      </c>
      <c r="V76" s="1157">
        <f t="shared" si="66"/>
        <v>353.34748400000001</v>
      </c>
      <c r="W76" s="359">
        <f t="shared" si="66"/>
        <v>363.36955200000006</v>
      </c>
      <c r="X76" s="359">
        <f t="shared" si="66"/>
        <v>439.45685999999995</v>
      </c>
      <c r="Y76" s="359">
        <f t="shared" si="66"/>
        <v>425.37327300000004</v>
      </c>
      <c r="Z76" s="1157">
        <f t="shared" si="66"/>
        <v>384.27655799999997</v>
      </c>
      <c r="AA76" s="359">
        <f t="shared" si="66"/>
        <v>383.51156400000002</v>
      </c>
      <c r="AB76" s="359">
        <f t="shared" si="66"/>
        <v>443.86561399999994</v>
      </c>
      <c r="AC76" s="359">
        <f t="shared" si="66"/>
        <v>420.94701000000003</v>
      </c>
      <c r="AD76" s="1157">
        <f t="shared" si="66"/>
        <v>396.63924000000003</v>
      </c>
      <c r="AE76" s="359">
        <f t="shared" si="66"/>
        <v>402.23881899999998</v>
      </c>
      <c r="AF76" s="359">
        <f t="shared" si="66"/>
        <v>480.09564</v>
      </c>
      <c r="AG76" s="359">
        <f t="shared" si="66"/>
        <v>461.54219000000001</v>
      </c>
      <c r="AH76" s="1157">
        <f t="shared" si="66"/>
        <v>443.51402400000001</v>
      </c>
      <c r="AI76" s="359">
        <f t="shared" si="66"/>
        <v>443.17944299999999</v>
      </c>
      <c r="AJ76" s="359">
        <f t="shared" si="66"/>
        <v>545.62307199999998</v>
      </c>
      <c r="AK76" s="359">
        <f t="shared" si="66"/>
        <v>523.5814079999999</v>
      </c>
      <c r="AL76" s="1157">
        <f t="shared" si="66"/>
        <v>538.89259500000003</v>
      </c>
      <c r="AM76" s="359">
        <f t="shared" si="66"/>
        <v>538.74425500000007</v>
      </c>
      <c r="AN76" s="359">
        <f t="shared" si="66"/>
        <v>639.64725299999998</v>
      </c>
      <c r="AO76" s="359">
        <f t="shared" si="66"/>
        <v>586.25055999999984</v>
      </c>
      <c r="AP76" s="1157">
        <f t="shared" si="66"/>
        <v>599.91877699999998</v>
      </c>
      <c r="AQ76" s="359">
        <f t="shared" si="66"/>
        <v>571.51345100000003</v>
      </c>
      <c r="AR76" s="359">
        <f t="shared" si="66"/>
        <v>691.16811949999999</v>
      </c>
      <c r="AS76" s="359">
        <f t="shared" si="66"/>
        <v>672.88880899999992</v>
      </c>
      <c r="AT76" s="1157">
        <f t="shared" si="66"/>
        <v>615.91012999999998</v>
      </c>
      <c r="AU76" s="359">
        <f t="shared" si="66"/>
        <v>622.14771000000007</v>
      </c>
      <c r="AV76" s="359">
        <f t="shared" si="66"/>
        <v>731.47321999999997</v>
      </c>
      <c r="AW76" s="359">
        <f t="shared" si="66"/>
        <v>674.75074000000006</v>
      </c>
      <c r="AX76" s="316"/>
      <c r="AY76" s="316"/>
      <c r="AZ76" s="316"/>
      <c r="BA76" s="316"/>
      <c r="BB76" s="316"/>
      <c r="BC76" s="316"/>
      <c r="BD76" s="316"/>
      <c r="BE76" s="316"/>
      <c r="BF76" s="316"/>
      <c r="BG76" s="316"/>
      <c r="BH76" s="316"/>
      <c r="BI76" s="316"/>
      <c r="BJ76" s="316"/>
      <c r="BK76" s="316"/>
      <c r="BL76" s="316"/>
      <c r="BM76" s="316"/>
      <c r="BN76" s="316"/>
      <c r="BO76" s="316"/>
      <c r="BP76" s="316"/>
      <c r="BQ76" s="316"/>
      <c r="BR76" s="316"/>
      <c r="BS76" s="316"/>
      <c r="BT76" s="316"/>
      <c r="BU76" s="316"/>
      <c r="BV76" s="316"/>
      <c r="BW76" s="316"/>
    </row>
    <row r="77" spans="1:75" s="297" customFormat="1" outlineLevel="1" x14ac:dyDescent="0.2">
      <c r="A77" s="298" t="s">
        <v>308</v>
      </c>
      <c r="B77" s="746">
        <f t="shared" si="57"/>
        <v>28.414999999999999</v>
      </c>
      <c r="C77" s="332">
        <f t="shared" si="59"/>
        <v>31.875</v>
      </c>
      <c r="D77" s="332">
        <f t="shared" si="59"/>
        <v>31.841000000000001</v>
      </c>
      <c r="E77" s="332">
        <f t="shared" si="59"/>
        <v>39.761999999999993</v>
      </c>
      <c r="F77" s="746">
        <f t="shared" ref="F77:AW77" si="67">+B68*(1+F21)</f>
        <v>31.313329999999997</v>
      </c>
      <c r="G77" s="332">
        <f t="shared" si="67"/>
        <v>32.448750000000004</v>
      </c>
      <c r="H77" s="332">
        <f t="shared" si="67"/>
        <v>35.439033000000002</v>
      </c>
      <c r="I77" s="332">
        <f t="shared" si="67"/>
        <v>44.096057999999992</v>
      </c>
      <c r="J77" s="746">
        <f t="shared" si="67"/>
        <v>42.208960000000005</v>
      </c>
      <c r="K77" s="332">
        <f t="shared" si="67"/>
        <v>44.119613999999999</v>
      </c>
      <c r="L77" s="332">
        <f t="shared" si="67"/>
        <v>42.900644000000007</v>
      </c>
      <c r="M77" s="332">
        <f t="shared" si="67"/>
        <v>45.073167999999981</v>
      </c>
      <c r="N77" s="746">
        <f t="shared" si="67"/>
        <v>42.179950000000005</v>
      </c>
      <c r="O77" s="332">
        <f t="shared" si="67"/>
        <v>45.955080000000002</v>
      </c>
      <c r="P77" s="332">
        <f t="shared" si="67"/>
        <v>47.834576999999996</v>
      </c>
      <c r="Q77" s="332">
        <f t="shared" si="67"/>
        <v>55.36717500000001</v>
      </c>
      <c r="R77" s="746">
        <f t="shared" si="67"/>
        <v>51.179273999999992</v>
      </c>
      <c r="S77" s="332">
        <f t="shared" si="67"/>
        <v>54.477005999999996</v>
      </c>
      <c r="T77" s="332">
        <f t="shared" si="67"/>
        <v>54.698385000000002</v>
      </c>
      <c r="U77" s="332">
        <f t="shared" si="67"/>
        <v>58.83187199999999</v>
      </c>
      <c r="V77" s="746">
        <f t="shared" si="67"/>
        <v>60.654140000000005</v>
      </c>
      <c r="W77" s="332">
        <f t="shared" si="67"/>
        <v>67.393902000000011</v>
      </c>
      <c r="X77" s="332">
        <f t="shared" si="67"/>
        <v>69.157504000000003</v>
      </c>
      <c r="Y77" s="332">
        <f t="shared" si="67"/>
        <v>80.272874999999999</v>
      </c>
      <c r="Z77" s="746">
        <f t="shared" si="67"/>
        <v>70.300629000000001</v>
      </c>
      <c r="AA77" s="332">
        <f t="shared" si="67"/>
        <v>74.695688000000018</v>
      </c>
      <c r="AB77" s="332">
        <f t="shared" si="67"/>
        <v>76.998109999999997</v>
      </c>
      <c r="AC77" s="332">
        <f t="shared" si="67"/>
        <v>88.353701999999998</v>
      </c>
      <c r="AD77" s="746">
        <f t="shared" si="67"/>
        <v>79.344144000000014</v>
      </c>
      <c r="AE77" s="332">
        <f t="shared" si="67"/>
        <v>85.303184999999999</v>
      </c>
      <c r="AF77" s="332">
        <f t="shared" si="67"/>
        <v>84.063645000000008</v>
      </c>
      <c r="AG77" s="332">
        <f t="shared" si="67"/>
        <v>89.682354999999987</v>
      </c>
      <c r="AH77" s="746">
        <f t="shared" si="67"/>
        <v>87.753990999999999</v>
      </c>
      <c r="AI77" s="332">
        <f t="shared" si="67"/>
        <v>91.703450999999987</v>
      </c>
      <c r="AJ77" s="332">
        <f t="shared" si="67"/>
        <v>91.653396000000015</v>
      </c>
      <c r="AK77" s="332">
        <f t="shared" si="67"/>
        <v>94.959280000000007</v>
      </c>
      <c r="AL77" s="746">
        <f t="shared" si="67"/>
        <v>92.1447</v>
      </c>
      <c r="AM77" s="332">
        <f t="shared" si="67"/>
        <v>96.749499999999998</v>
      </c>
      <c r="AN77" s="332">
        <f t="shared" si="67"/>
        <v>96.558088000000012</v>
      </c>
      <c r="AO77" s="332">
        <f t="shared" si="67"/>
        <v>101.793762</v>
      </c>
      <c r="AP77" s="746">
        <f t="shared" si="67"/>
        <v>107.26800399999999</v>
      </c>
      <c r="AQ77" s="332">
        <f t="shared" si="67"/>
        <v>109.373418</v>
      </c>
      <c r="AR77" s="332">
        <f t="shared" si="67"/>
        <v>107.83687999999999</v>
      </c>
      <c r="AS77" s="332">
        <f t="shared" si="67"/>
        <v>115.867306</v>
      </c>
      <c r="AT77" s="746">
        <f t="shared" si="67"/>
        <v>112.43696600000001</v>
      </c>
      <c r="AU77" s="332">
        <f t="shared" si="67"/>
        <v>118.65786999999997</v>
      </c>
      <c r="AV77" s="332">
        <f t="shared" si="67"/>
        <v>117.90596000000001</v>
      </c>
      <c r="AW77" s="332">
        <f t="shared" si="67"/>
        <v>123.65204000000001</v>
      </c>
      <c r="AX77" s="316"/>
      <c r="AY77" s="316"/>
      <c r="AZ77" s="316"/>
      <c r="BA77" s="316"/>
      <c r="BB77" s="316"/>
      <c r="BC77" s="316"/>
      <c r="BD77" s="316"/>
      <c r="BE77" s="316"/>
      <c r="BF77" s="316"/>
      <c r="BG77" s="316"/>
      <c r="BH77" s="316"/>
      <c r="BI77" s="316"/>
      <c r="BJ77" s="316"/>
      <c r="BK77" s="316"/>
      <c r="BL77" s="316"/>
      <c r="BM77" s="316"/>
      <c r="BN77" s="316"/>
      <c r="BO77" s="316"/>
      <c r="BP77" s="316"/>
      <c r="BQ77" s="316"/>
      <c r="BR77" s="316"/>
      <c r="BS77" s="316"/>
      <c r="BT77" s="316"/>
      <c r="BU77" s="316"/>
      <c r="BV77" s="316"/>
      <c r="BW77" s="316"/>
    </row>
    <row r="78" spans="1:75" s="297" customFormat="1" outlineLevel="1" x14ac:dyDescent="0.2">
      <c r="A78" s="335" t="s">
        <v>414</v>
      </c>
      <c r="B78" s="749">
        <f t="shared" si="57"/>
        <v>1310.1279999999999</v>
      </c>
      <c r="C78" s="336">
        <f t="shared" si="59"/>
        <v>1387.0169999999998</v>
      </c>
      <c r="D78" s="336">
        <f t="shared" si="59"/>
        <v>1505.5749999999998</v>
      </c>
      <c r="E78" s="336">
        <f t="shared" si="59"/>
        <v>1701.6960000000004</v>
      </c>
      <c r="F78" s="749">
        <f t="shared" ref="F78:AW78" si="68">+B69*(1+F24)</f>
        <v>1349.43184</v>
      </c>
      <c r="G78" s="336">
        <f t="shared" si="68"/>
        <v>1442.4976799999999</v>
      </c>
      <c r="H78" s="336">
        <f t="shared" si="68"/>
        <v>1538.6976499999998</v>
      </c>
      <c r="I78" s="336">
        <f t="shared" si="68"/>
        <v>1650.6451200000004</v>
      </c>
      <c r="J78" s="749">
        <f t="shared" si="68"/>
        <v>1529.3858849999999</v>
      </c>
      <c r="K78" s="336">
        <f t="shared" si="68"/>
        <v>1652.3369569999998</v>
      </c>
      <c r="L78" s="336">
        <f t="shared" si="68"/>
        <v>1634.343746</v>
      </c>
      <c r="M78" s="336">
        <f t="shared" si="68"/>
        <v>1620.7832800000006</v>
      </c>
      <c r="N78" s="749">
        <f t="shared" si="68"/>
        <v>1532.9204160000002</v>
      </c>
      <c r="O78" s="336">
        <f t="shared" si="68"/>
        <v>1641.190114</v>
      </c>
      <c r="P78" s="336">
        <f t="shared" si="68"/>
        <v>1720.8320209999999</v>
      </c>
      <c r="Q78" s="336">
        <f t="shared" si="68"/>
        <v>1845.0216729999997</v>
      </c>
      <c r="R78" s="749">
        <f t="shared" si="68"/>
        <v>1827.2017800000001</v>
      </c>
      <c r="S78" s="336">
        <f t="shared" si="68"/>
        <v>1952.9674560000001</v>
      </c>
      <c r="T78" s="336">
        <f t="shared" si="68"/>
        <v>1955.9968629999998</v>
      </c>
      <c r="U78" s="336">
        <f t="shared" si="68"/>
        <v>2130.8171039999997</v>
      </c>
      <c r="V78" s="749">
        <f t="shared" si="68"/>
        <v>2099.6863579999999</v>
      </c>
      <c r="W78" s="336">
        <f t="shared" si="68"/>
        <v>2228.6494399999997</v>
      </c>
      <c r="X78" s="336">
        <f t="shared" si="68"/>
        <v>2204.6074920000001</v>
      </c>
      <c r="Y78" s="336">
        <f t="shared" si="68"/>
        <v>2480.5568799999996</v>
      </c>
      <c r="Z78" s="749">
        <f t="shared" si="68"/>
        <v>2168.2866269999995</v>
      </c>
      <c r="AA78" s="336">
        <f t="shared" si="68"/>
        <v>2289.51008</v>
      </c>
      <c r="AB78" s="336">
        <f t="shared" si="68"/>
        <v>2306.9139720000003</v>
      </c>
      <c r="AC78" s="336">
        <f t="shared" si="68"/>
        <v>2497.5502059999999</v>
      </c>
      <c r="AD78" s="749">
        <f t="shared" si="68"/>
        <v>2360.0228189999998</v>
      </c>
      <c r="AE78" s="336">
        <f t="shared" si="68"/>
        <v>2494.6578299999996</v>
      </c>
      <c r="AF78" s="336">
        <f t="shared" si="68"/>
        <v>2499.2891840000002</v>
      </c>
      <c r="AG78" s="336">
        <f t="shared" si="68"/>
        <v>2650.1621299999997</v>
      </c>
      <c r="AH78" s="749">
        <f t="shared" si="68"/>
        <v>2546.8066320000003</v>
      </c>
      <c r="AI78" s="336">
        <f t="shared" si="68"/>
        <v>2717.4068339999999</v>
      </c>
      <c r="AJ78" s="336">
        <f t="shared" si="68"/>
        <v>2749.6679920000006</v>
      </c>
      <c r="AK78" s="336">
        <f t="shared" si="68"/>
        <v>2877.7322399999998</v>
      </c>
      <c r="AL78" s="749">
        <f t="shared" si="68"/>
        <v>2692.7650779999994</v>
      </c>
      <c r="AM78" s="336">
        <f t="shared" si="68"/>
        <v>2829.1483199999998</v>
      </c>
      <c r="AN78" s="336">
        <f t="shared" si="68"/>
        <v>2846.9850999999999</v>
      </c>
      <c r="AO78" s="336">
        <f t="shared" si="68"/>
        <v>2970.6565560000004</v>
      </c>
      <c r="AP78" s="749">
        <f t="shared" si="68"/>
        <v>2873.2374280000004</v>
      </c>
      <c r="AQ78" s="336">
        <f t="shared" si="68"/>
        <v>3008.3268240000002</v>
      </c>
      <c r="AR78" s="336">
        <f t="shared" si="68"/>
        <v>3019.8659920000005</v>
      </c>
      <c r="AS78" s="336">
        <f t="shared" si="68"/>
        <v>3280.4388919999997</v>
      </c>
      <c r="AT78" s="749">
        <f t="shared" si="68"/>
        <v>3037.5468889999997</v>
      </c>
      <c r="AU78" s="336">
        <f t="shared" si="68"/>
        <v>3231.0165400000001</v>
      </c>
      <c r="AV78" s="336">
        <f t="shared" si="68"/>
        <v>3317.2768499999997</v>
      </c>
      <c r="AW78" s="336">
        <f t="shared" si="68"/>
        <v>3472.9652799999999</v>
      </c>
      <c r="AX78" s="316"/>
      <c r="AY78" s="316"/>
      <c r="AZ78" s="316"/>
      <c r="BA78" s="316"/>
      <c r="BB78" s="316"/>
      <c r="BC78" s="316"/>
      <c r="BD78" s="316"/>
      <c r="BE78" s="316"/>
      <c r="BF78" s="316"/>
      <c r="BG78" s="316"/>
      <c r="BH78" s="316"/>
      <c r="BI78" s="316"/>
      <c r="BJ78" s="316"/>
      <c r="BK78" s="316"/>
      <c r="BL78" s="316"/>
      <c r="BM78" s="316"/>
      <c r="BN78" s="316"/>
      <c r="BO78" s="316"/>
      <c r="BP78" s="316"/>
      <c r="BQ78" s="316"/>
      <c r="BR78" s="316"/>
      <c r="BS78" s="316"/>
      <c r="BT78" s="316"/>
      <c r="BU78" s="316"/>
      <c r="BV78" s="316"/>
      <c r="BW78" s="316"/>
    </row>
    <row r="79" spans="1:75" s="297" customFormat="1" outlineLevel="1" x14ac:dyDescent="0.2">
      <c r="A79" s="338"/>
      <c r="B79" s="317"/>
      <c r="C79" s="317"/>
      <c r="D79" s="317"/>
      <c r="E79" s="317"/>
      <c r="F79" s="317"/>
      <c r="G79" s="317"/>
      <c r="H79" s="317"/>
      <c r="I79" s="317"/>
      <c r="J79" s="317"/>
      <c r="K79" s="317"/>
      <c r="L79" s="317"/>
      <c r="M79" s="317"/>
      <c r="N79" s="317"/>
      <c r="O79" s="317"/>
      <c r="P79" s="317"/>
      <c r="Q79" s="317"/>
      <c r="R79" s="317"/>
      <c r="S79" s="317"/>
      <c r="T79" s="317"/>
      <c r="U79" s="317"/>
      <c r="V79" s="317"/>
      <c r="W79" s="317"/>
      <c r="X79" s="317"/>
      <c r="Y79" s="317"/>
      <c r="Z79" s="317"/>
      <c r="AA79" s="317"/>
      <c r="AB79" s="317"/>
      <c r="AC79" s="317"/>
      <c r="AD79" s="317"/>
      <c r="AE79" s="317"/>
      <c r="AF79" s="317"/>
      <c r="AG79" s="317"/>
      <c r="AH79" s="317"/>
      <c r="AI79" s="317"/>
      <c r="AJ79" s="317"/>
      <c r="AK79" s="317"/>
      <c r="AL79" s="317"/>
      <c r="AM79" s="317"/>
      <c r="AN79" s="317"/>
      <c r="AO79" s="317"/>
      <c r="AP79" s="317"/>
      <c r="AQ79" s="317"/>
      <c r="AR79" s="317"/>
      <c r="AS79" s="317"/>
      <c r="AT79" s="317"/>
      <c r="AU79" s="317"/>
      <c r="AV79" s="317"/>
      <c r="AW79" s="317"/>
      <c r="AX79" s="316"/>
      <c r="AY79" s="316"/>
      <c r="AZ79" s="316"/>
      <c r="BA79" s="316"/>
      <c r="BB79" s="316"/>
      <c r="BC79" s="316"/>
      <c r="BD79" s="316"/>
      <c r="BE79" s="316"/>
      <c r="BF79" s="316"/>
      <c r="BG79" s="316"/>
      <c r="BH79" s="316"/>
      <c r="BI79" s="316"/>
      <c r="BJ79" s="316"/>
      <c r="BK79" s="316"/>
      <c r="BL79" s="316"/>
      <c r="BM79" s="316"/>
      <c r="BN79" s="316"/>
      <c r="BO79" s="316"/>
      <c r="BP79" s="316"/>
      <c r="BQ79" s="316"/>
      <c r="BR79" s="316"/>
      <c r="BS79" s="316"/>
      <c r="BT79" s="316"/>
      <c r="BU79" s="316"/>
      <c r="BV79" s="316"/>
      <c r="BW79" s="316"/>
    </row>
    <row r="80" spans="1:75" s="297" customFormat="1" x14ac:dyDescent="0.2">
      <c r="A80" s="311" t="s">
        <v>431</v>
      </c>
      <c r="B80" s="316"/>
      <c r="C80" s="316"/>
      <c r="D80" s="316"/>
      <c r="E80" s="316"/>
      <c r="F80" s="316"/>
      <c r="G80" s="314"/>
      <c r="H80" s="314"/>
      <c r="I80" s="314"/>
      <c r="J80" s="314"/>
      <c r="K80" s="314"/>
      <c r="L80" s="314"/>
      <c r="M80" s="314"/>
      <c r="N80" s="314"/>
      <c r="O80" s="314"/>
      <c r="P80" s="314"/>
      <c r="Q80" s="314"/>
      <c r="R80" s="314"/>
      <c r="S80" s="314"/>
      <c r="T80" s="314"/>
      <c r="U80" s="314"/>
      <c r="V80" s="314"/>
      <c r="W80" s="314"/>
      <c r="X80" s="314"/>
      <c r="Y80" s="314"/>
      <c r="Z80" s="314"/>
      <c r="AA80" s="314"/>
      <c r="AB80" s="314"/>
      <c r="AC80" s="314"/>
      <c r="AD80" s="314"/>
      <c r="AE80" s="314"/>
      <c r="AF80" s="314"/>
      <c r="AG80" s="314"/>
      <c r="AH80" s="314"/>
      <c r="AI80" s="314"/>
      <c r="AJ80" s="314"/>
      <c r="AK80" s="314"/>
      <c r="AL80" s="314"/>
      <c r="AM80" s="314"/>
      <c r="AN80" s="314"/>
      <c r="AO80" s="314"/>
      <c r="AP80" s="314"/>
      <c r="AQ80" s="314"/>
      <c r="AR80" s="314"/>
      <c r="AS80" s="314"/>
      <c r="AT80" s="314"/>
      <c r="AU80" s="314"/>
      <c r="AV80" s="314"/>
      <c r="AW80" s="314"/>
      <c r="AX80" s="316"/>
      <c r="AY80" s="316"/>
      <c r="AZ80" s="316"/>
      <c r="BA80" s="316"/>
      <c r="BB80" s="316"/>
      <c r="BC80" s="316"/>
      <c r="BD80" s="316"/>
      <c r="BE80" s="316"/>
      <c r="BF80" s="316"/>
      <c r="BG80" s="316"/>
      <c r="BH80" s="316"/>
      <c r="BI80" s="316"/>
      <c r="BJ80" s="316"/>
      <c r="BK80" s="316"/>
      <c r="BL80" s="316"/>
      <c r="BM80" s="316"/>
      <c r="BN80" s="316"/>
      <c r="BO80" s="316"/>
      <c r="BP80" s="316"/>
      <c r="BQ80" s="316"/>
      <c r="BR80" s="316"/>
      <c r="BS80" s="316"/>
      <c r="BT80" s="316"/>
      <c r="BU80" s="316"/>
      <c r="BV80" s="316"/>
      <c r="BW80" s="316"/>
    </row>
    <row r="81" spans="1:75" x14ac:dyDescent="0.2">
      <c r="A81" s="295"/>
      <c r="B81" s="741" t="str">
        <f>B$4</f>
        <v>1Q07</v>
      </c>
      <c r="C81" s="295" t="str">
        <f t="shared" ref="C81:AW81" si="69">C$4</f>
        <v>2Q07</v>
      </c>
      <c r="D81" s="295" t="str">
        <f t="shared" si="69"/>
        <v>3Q07</v>
      </c>
      <c r="E81" s="295" t="str">
        <f t="shared" si="69"/>
        <v>4Q07</v>
      </c>
      <c r="F81" s="296" t="str">
        <f t="shared" si="69"/>
        <v>1Q08</v>
      </c>
      <c r="G81" s="295" t="str">
        <f t="shared" si="69"/>
        <v>2Q08</v>
      </c>
      <c r="H81" s="295" t="str">
        <f t="shared" si="69"/>
        <v>3Q08</v>
      </c>
      <c r="I81" s="295" t="str">
        <f t="shared" si="69"/>
        <v>4Q08</v>
      </c>
      <c r="J81" s="296" t="str">
        <f t="shared" si="69"/>
        <v>1Q09</v>
      </c>
      <c r="K81" s="295" t="str">
        <f t="shared" si="69"/>
        <v>2Q09</v>
      </c>
      <c r="L81" s="295" t="str">
        <f t="shared" si="69"/>
        <v>3Q09</v>
      </c>
      <c r="M81" s="295" t="str">
        <f t="shared" si="69"/>
        <v>4Q09</v>
      </c>
      <c r="N81" s="296" t="str">
        <f t="shared" si="69"/>
        <v>1Q10</v>
      </c>
      <c r="O81" s="295" t="str">
        <f t="shared" si="69"/>
        <v>2Q10</v>
      </c>
      <c r="P81" s="295" t="str">
        <f t="shared" si="69"/>
        <v>3Q10</v>
      </c>
      <c r="Q81" s="295" t="str">
        <f t="shared" si="69"/>
        <v>4Q10</v>
      </c>
      <c r="R81" s="296" t="str">
        <f t="shared" si="69"/>
        <v>1Q11</v>
      </c>
      <c r="S81" s="295" t="str">
        <f t="shared" si="69"/>
        <v>2Q11</v>
      </c>
      <c r="T81" s="295" t="str">
        <f t="shared" si="69"/>
        <v>3Q11</v>
      </c>
      <c r="U81" s="295" t="str">
        <f t="shared" si="69"/>
        <v>4Q11</v>
      </c>
      <c r="V81" s="296" t="str">
        <f t="shared" si="69"/>
        <v>1Q12</v>
      </c>
      <c r="W81" s="295" t="str">
        <f t="shared" si="69"/>
        <v>2Q12</v>
      </c>
      <c r="X81" s="295" t="str">
        <f t="shared" si="69"/>
        <v>3Q12</v>
      </c>
      <c r="Y81" s="295" t="str">
        <f t="shared" si="69"/>
        <v>4Q12</v>
      </c>
      <c r="Z81" s="296" t="str">
        <f t="shared" si="69"/>
        <v>1Q13</v>
      </c>
      <c r="AA81" s="295" t="str">
        <f t="shared" si="69"/>
        <v>2Q13</v>
      </c>
      <c r="AB81" s="295" t="str">
        <f t="shared" si="69"/>
        <v>3Q13</v>
      </c>
      <c r="AC81" s="295" t="str">
        <f t="shared" si="69"/>
        <v>4Q13</v>
      </c>
      <c r="AD81" s="296" t="str">
        <f t="shared" si="69"/>
        <v>1Q14</v>
      </c>
      <c r="AE81" s="295" t="str">
        <f t="shared" si="69"/>
        <v>2Q14</v>
      </c>
      <c r="AF81" s="295" t="str">
        <f t="shared" si="69"/>
        <v>3Q14</v>
      </c>
      <c r="AG81" s="295" t="str">
        <f t="shared" si="69"/>
        <v>4Q14</v>
      </c>
      <c r="AH81" s="296" t="str">
        <f t="shared" si="69"/>
        <v>1Q15</v>
      </c>
      <c r="AI81" s="295" t="str">
        <f t="shared" si="69"/>
        <v>2Q15</v>
      </c>
      <c r="AJ81" s="295" t="str">
        <f t="shared" si="69"/>
        <v>3Q15</v>
      </c>
      <c r="AK81" s="295" t="str">
        <f t="shared" si="69"/>
        <v>4Q15</v>
      </c>
      <c r="AL81" s="296" t="str">
        <f t="shared" si="69"/>
        <v>1Q16</v>
      </c>
      <c r="AM81" s="295" t="str">
        <f t="shared" si="69"/>
        <v>2Q16</v>
      </c>
      <c r="AN81" s="295" t="str">
        <f t="shared" si="69"/>
        <v>3Q16</v>
      </c>
      <c r="AO81" s="295" t="str">
        <f t="shared" si="69"/>
        <v>4Q16</v>
      </c>
      <c r="AP81" s="296" t="str">
        <f t="shared" si="69"/>
        <v>1Q17</v>
      </c>
      <c r="AQ81" s="295" t="str">
        <f t="shared" si="69"/>
        <v>2Q17</v>
      </c>
      <c r="AR81" s="295" t="str">
        <f t="shared" si="69"/>
        <v>3Q17</v>
      </c>
      <c r="AS81" s="295" t="str">
        <f t="shared" si="69"/>
        <v>4Q17</v>
      </c>
      <c r="AT81" s="296" t="str">
        <f t="shared" si="69"/>
        <v>1Q18E</v>
      </c>
      <c r="AU81" s="295" t="str">
        <f t="shared" si="69"/>
        <v>2Q18E</v>
      </c>
      <c r="AV81" s="295" t="str">
        <f t="shared" si="69"/>
        <v>3Q18E</v>
      </c>
      <c r="AW81" s="295" t="str">
        <f t="shared" si="69"/>
        <v>4Q18E</v>
      </c>
      <c r="AX81" s="297"/>
      <c r="AY81" s="297"/>
      <c r="AZ81" s="297"/>
      <c r="BA81" s="297"/>
      <c r="BB81" s="297"/>
      <c r="BC81" s="297"/>
      <c r="BD81" s="297"/>
      <c r="BE81" s="297"/>
      <c r="BF81" s="297"/>
      <c r="BG81" s="297"/>
      <c r="BH81" s="297"/>
      <c r="BI81" s="297"/>
      <c r="BJ81" s="297"/>
      <c r="BK81" s="297"/>
      <c r="BL81" s="297"/>
      <c r="BM81" s="297"/>
      <c r="BN81" s="297"/>
      <c r="BO81" s="297"/>
      <c r="BP81" s="297"/>
      <c r="BQ81" s="297"/>
      <c r="BR81" s="297"/>
      <c r="BS81" s="297"/>
      <c r="BT81" s="297"/>
      <c r="BU81" s="297"/>
      <c r="BV81" s="297"/>
      <c r="BW81" s="297"/>
    </row>
    <row r="82" spans="1:75" x14ac:dyDescent="0.2">
      <c r="A82" s="298" t="s">
        <v>307</v>
      </c>
      <c r="B82" s="746"/>
      <c r="C82" s="332"/>
      <c r="D82" s="332"/>
      <c r="E82" s="332"/>
      <c r="F82" s="333">
        <f>RevBuild!C160*RevBuild!I165</f>
        <v>53.442577000000178</v>
      </c>
      <c r="G82" s="332">
        <f>RevBuild!D160*RevBuild!J165</f>
        <v>54.427008999999849</v>
      </c>
      <c r="H82" s="332">
        <f>RevBuild!E160*RevBuild!K165</f>
        <v>29.869332000000188</v>
      </c>
      <c r="I82" s="332">
        <f>RevBuild!F160*RevBuild!L165</f>
        <v>-53.861229999999885</v>
      </c>
      <c r="J82" s="333">
        <f>RevBuild!I160*RevBuild!O165</f>
        <v>4.9954299999998568</v>
      </c>
      <c r="K82" s="332">
        <f>RevBuild!J160*RevBuild!P165</f>
        <v>7.4240020000000602</v>
      </c>
      <c r="L82" s="332">
        <f>RevBuild!K160*RevBuild!Q165</f>
        <v>-11.564903000000406</v>
      </c>
      <c r="M82" s="332">
        <f>RevBuild!L160*RevBuild!R165</f>
        <v>44.588161999999862</v>
      </c>
      <c r="N82" s="333">
        <f>RevBuild!O160*RevBuild!U165</f>
        <v>46.323075999999865</v>
      </c>
      <c r="O82" s="332">
        <f>RevBuild!P160*RevBuild!V165</f>
        <v>29.615641999999937</v>
      </c>
      <c r="P82" s="332">
        <f>RevBuild!Q160*RevBuild!W165</f>
        <v>57.218247999999988</v>
      </c>
      <c r="Q82" s="332">
        <f>RevBuild!R160*RevBuild!X165</f>
        <v>50.592181999999809</v>
      </c>
      <c r="R82" s="333">
        <f>RevBuild!U160*RevBuild!AA165</f>
        <v>60.888129000000319</v>
      </c>
      <c r="S82" s="332">
        <f>RevBuild!V160*RevBuild!AB165</f>
        <v>82.394633999999044</v>
      </c>
      <c r="T82" s="332">
        <f>RevBuild!W160*RevBuild!AC165</f>
        <v>57.612137000000445</v>
      </c>
      <c r="U82" s="332">
        <f>RevBuild!X160*RevBuild!AD165</f>
        <v>105.19831600000043</v>
      </c>
      <c r="V82" s="333">
        <f>RevBuild!AA160*RevBuild!AG165</f>
        <v>147.63198799999989</v>
      </c>
      <c r="W82" s="332">
        <f>RevBuild!AB160*RevBuild!AH165</f>
        <v>93.527625000000228</v>
      </c>
      <c r="X82" s="332">
        <f>RevBuild!AC160*RevBuild!AI165</f>
        <v>86.361786999999765</v>
      </c>
      <c r="Y82" s="332">
        <f>RevBuild!AD160*RevBuild!AJ165</f>
        <v>131.66567900000001</v>
      </c>
      <c r="Z82" s="333">
        <f>RevBuild!AG160*RevBuild!AM165</f>
        <v>61.72368000000025</v>
      </c>
      <c r="AA82" s="332">
        <f>RevBuild!AH160*RevBuild!AN165</f>
        <v>82.589970000000179</v>
      </c>
      <c r="AB82" s="332">
        <f>RevBuild!AI160*RevBuild!AO165</f>
        <v>70.199830000000077</v>
      </c>
      <c r="AC82" s="332">
        <f>RevBuild!AJ160*RevBuild!AP165</f>
        <v>81.998743999999078</v>
      </c>
      <c r="AD82" s="333">
        <f>RevBuild!AM160*RevBuild!AS165</f>
        <v>62.126372000000003</v>
      </c>
      <c r="AE82" s="332">
        <f>RevBuild!AN160*RevBuild!AT165</f>
        <v>97.178129999999996</v>
      </c>
      <c r="AF82" s="332">
        <f>RevBuild!AO160*RevBuild!AU165</f>
        <v>145.28147200000001</v>
      </c>
      <c r="AG82" s="332">
        <f>RevBuild!AP160*RevBuild!AV165</f>
        <v>121.90065000000001</v>
      </c>
      <c r="AH82" s="333">
        <f>RevBuild!AS160*RevBuild!AY165</f>
        <v>110.39501</v>
      </c>
      <c r="AI82" s="332">
        <f>RevBuild!AT160*RevBuild!AZ165</f>
        <v>101.05148</v>
      </c>
      <c r="AJ82" s="332">
        <f>RevBuild!AU160*RevBuild!BA165</f>
        <v>121.75708800000002</v>
      </c>
      <c r="AK82" s="332">
        <f>RevBuild!AV160*RevBuild!BB165</f>
        <v>172.31207400000002</v>
      </c>
      <c r="AL82" s="333">
        <f>RevBuild!AY160*RevBuild!BE165</f>
        <v>223.52542</v>
      </c>
      <c r="AM82" s="332">
        <f>RevBuild!AZ160*RevBuild!BF165</f>
        <v>193.02631999999997</v>
      </c>
      <c r="AN82" s="332">
        <f>RevBuild!BA160*RevBuild!BG165</f>
        <v>155.76581999999999</v>
      </c>
      <c r="AO82" s="332">
        <f>RevBuild!BB160*RevBuild!BH165</f>
        <v>109.330656</v>
      </c>
      <c r="AP82" s="333">
        <f>RevBuild!BE160*RevBuild!BK165</f>
        <v>154.06581500000001</v>
      </c>
      <c r="AQ82" s="332">
        <f>RevBuild!BF160*RevBuild!BL165</f>
        <v>134.80420099999975</v>
      </c>
      <c r="AR82" s="332">
        <f>RevBuild!BG160*RevBuild!BM165</f>
        <v>135.262148</v>
      </c>
      <c r="AS82" s="332">
        <f>RevBuild!BH160*RevBuild!BN165</f>
        <v>155.86458599999978</v>
      </c>
      <c r="AT82" s="333">
        <f>RevBuild!BK160*RevBuild!BQ165</f>
        <v>108.12692299999959</v>
      </c>
      <c r="AU82" s="332">
        <f>RevBuild!BL160*RevBuild!BR165</f>
        <v>161.43366999999989</v>
      </c>
      <c r="AV82" s="332">
        <f>RevBuild!BM160*RevBuild!BS165</f>
        <v>147.29988999999986</v>
      </c>
      <c r="AW82" s="332">
        <f>RevBuild!BN160*RevBuild!BT165</f>
        <v>145.81024000000033</v>
      </c>
      <c r="AX82" s="290"/>
      <c r="AY82" s="290"/>
      <c r="AZ82" s="290"/>
      <c r="BA82" s="290"/>
      <c r="BB82" s="290"/>
      <c r="BC82" s="290"/>
      <c r="BD82" s="290"/>
      <c r="BE82" s="290"/>
      <c r="BF82" s="290"/>
      <c r="BG82" s="290"/>
      <c r="BH82" s="290"/>
      <c r="BI82" s="290"/>
      <c r="BJ82" s="290"/>
      <c r="BK82" s="290"/>
      <c r="BL82" s="290"/>
      <c r="BM82" s="290"/>
      <c r="BN82" s="290"/>
      <c r="BO82" s="290"/>
      <c r="BP82" s="290"/>
      <c r="BQ82" s="290"/>
      <c r="BR82" s="290"/>
      <c r="BS82" s="290"/>
      <c r="BT82" s="290"/>
      <c r="BU82" s="290"/>
      <c r="BV82" s="290"/>
      <c r="BW82" s="290"/>
    </row>
    <row r="83" spans="1:75" x14ac:dyDescent="0.2">
      <c r="A83" s="349" t="s">
        <v>304</v>
      </c>
      <c r="B83" s="750"/>
      <c r="C83" s="334"/>
      <c r="D83" s="334"/>
      <c r="E83" s="334"/>
      <c r="F83" s="322" t="s">
        <v>425</v>
      </c>
      <c r="G83" s="323" t="s">
        <v>425</v>
      </c>
      <c r="H83" s="323" t="s">
        <v>425</v>
      </c>
      <c r="I83" s="323" t="s">
        <v>425</v>
      </c>
      <c r="J83" s="322" t="s">
        <v>425</v>
      </c>
      <c r="K83" s="323" t="s">
        <v>425</v>
      </c>
      <c r="L83" s="323" t="s">
        <v>425</v>
      </c>
      <c r="M83" s="323" t="s">
        <v>425</v>
      </c>
      <c r="N83" s="322" t="s">
        <v>425</v>
      </c>
      <c r="O83" s="323" t="s">
        <v>425</v>
      </c>
      <c r="P83" s="323" t="s">
        <v>425</v>
      </c>
      <c r="Q83" s="323" t="s">
        <v>425</v>
      </c>
      <c r="R83" s="322" t="s">
        <v>425</v>
      </c>
      <c r="S83" s="323" t="s">
        <v>425</v>
      </c>
      <c r="T83" s="323" t="s">
        <v>425</v>
      </c>
      <c r="U83" s="323" t="s">
        <v>425</v>
      </c>
      <c r="V83" s="358">
        <f>RevBuild!AA126*RevBuild!AG131</f>
        <v>67.912568000000007</v>
      </c>
      <c r="W83" s="359">
        <f>RevBuild!AB126*RevBuild!AH131</f>
        <v>25.225703999999997</v>
      </c>
      <c r="X83" s="359">
        <f>RevBuild!AC126*RevBuild!AI131</f>
        <v>25.829483000000003</v>
      </c>
      <c r="Y83" s="359">
        <f>RevBuild!AD126*RevBuild!AJ131</f>
        <v>48.430403999999996</v>
      </c>
      <c r="Z83" s="358">
        <f>RevBuild!AG126*RevBuild!AM131</f>
        <v>-3.4669979999999989</v>
      </c>
      <c r="AA83" s="359">
        <f>RevBuild!AH126*RevBuild!AN131</f>
        <v>35.577570000000001</v>
      </c>
      <c r="AB83" s="359">
        <f>RevBuild!AI126*RevBuild!AO131</f>
        <v>33.582900000000002</v>
      </c>
      <c r="AC83" s="359">
        <f>RevBuild!AJ126*RevBuild!AP131</f>
        <v>34.150142000000002</v>
      </c>
      <c r="AD83" s="358">
        <f>RevBuild!AM126*RevBuild!AS131</f>
        <v>41.677824999999999</v>
      </c>
      <c r="AE83" s="359">
        <f>RevBuild!AN126*RevBuild!AT131</f>
        <v>32.749105999999991</v>
      </c>
      <c r="AF83" s="359">
        <f>RevBuild!AO126*RevBuild!AU131</f>
        <v>56.793648000000005</v>
      </c>
      <c r="AG83" s="359">
        <f>RevBuild!AP126*RevBuild!AV131</f>
        <v>31.381084999999999</v>
      </c>
      <c r="AH83" s="358">
        <f>RevBuild!AS126*RevBuild!AY131</f>
        <v>35.017056000000004</v>
      </c>
      <c r="AI83" s="359">
        <f>RevBuild!AT126*RevBuild!AZ131</f>
        <v>56.107720999999991</v>
      </c>
      <c r="AJ83" s="359">
        <f>RevBuild!AU126*RevBuild!BA131</f>
        <v>53.232432000000003</v>
      </c>
      <c r="AK83" s="359">
        <f>RevBuild!AV126*RevBuild!BB131</f>
        <v>93.551963999999984</v>
      </c>
      <c r="AL83" s="358">
        <f>RevBuild!AY126*RevBuild!BE131</f>
        <v>61.253576999999993</v>
      </c>
      <c r="AM83" s="359">
        <f>RevBuild!AZ126*RevBuild!BF131</f>
        <v>36.980804000000006</v>
      </c>
      <c r="AN83" s="359">
        <f>RevBuild!BA126*RevBuild!BG131</f>
        <v>49.386519</v>
      </c>
      <c r="AO83" s="359">
        <f>RevBuild!BB126*RevBuild!BH131</f>
        <v>22.765529999999981</v>
      </c>
      <c r="AP83" s="358">
        <f>RevBuild!BE126*RevBuild!BK131</f>
        <v>37.750895000000007</v>
      </c>
      <c r="AQ83" s="359">
        <f>RevBuild!BF126*RevBuild!BL131</f>
        <v>52.568827999999996</v>
      </c>
      <c r="AR83" s="359">
        <f>RevBuild!BG126*RevBuild!BM131</f>
        <v>34.288399999999996</v>
      </c>
      <c r="AS83" s="359">
        <f>RevBuild!BH126*RevBuild!BN131</f>
        <v>66.524715999999913</v>
      </c>
      <c r="AT83" s="358">
        <f>RevBuild!BK126*RevBuild!BQ131</f>
        <v>42.48468799999992</v>
      </c>
      <c r="AU83" s="359">
        <f>RevBuild!BL126*RevBuild!BR131</f>
        <v>44.645010000000035</v>
      </c>
      <c r="AV83" s="359">
        <f>RevBuild!BM126*RevBuild!BS131</f>
        <v>52.246549999999843</v>
      </c>
      <c r="AW83" s="359">
        <f>RevBuild!BN126*RevBuild!BT131</f>
        <v>32.309950000000228</v>
      </c>
      <c r="AX83" s="290"/>
      <c r="AY83" s="290"/>
      <c r="AZ83" s="290"/>
      <c r="BA83" s="290"/>
      <c r="BB83" s="290"/>
      <c r="BC83" s="290"/>
      <c r="BD83" s="290"/>
      <c r="BE83" s="290"/>
      <c r="BF83" s="290"/>
      <c r="BG83" s="290"/>
      <c r="BH83" s="290"/>
      <c r="BI83" s="290"/>
      <c r="BJ83" s="290"/>
      <c r="BK83" s="290"/>
      <c r="BL83" s="290"/>
      <c r="BM83" s="290"/>
      <c r="BN83" s="290"/>
      <c r="BO83" s="290"/>
      <c r="BP83" s="290"/>
      <c r="BQ83" s="290"/>
      <c r="BR83" s="290"/>
      <c r="BS83" s="290"/>
      <c r="BT83" s="290"/>
      <c r="BU83" s="290"/>
      <c r="BV83" s="290"/>
      <c r="BW83" s="290"/>
    </row>
    <row r="84" spans="1:75" x14ac:dyDescent="0.2">
      <c r="A84" s="360" t="s">
        <v>305</v>
      </c>
      <c r="B84" s="746"/>
      <c r="C84" s="332"/>
      <c r="D84" s="332"/>
      <c r="E84" s="332"/>
      <c r="F84" s="326" t="s">
        <v>425</v>
      </c>
      <c r="G84" s="327" t="s">
        <v>425</v>
      </c>
      <c r="H84" s="327" t="s">
        <v>425</v>
      </c>
      <c r="I84" s="327" t="s">
        <v>425</v>
      </c>
      <c r="J84" s="326" t="s">
        <v>425</v>
      </c>
      <c r="K84" s="327" t="s">
        <v>425</v>
      </c>
      <c r="L84" s="327" t="s">
        <v>425</v>
      </c>
      <c r="M84" s="327" t="s">
        <v>425</v>
      </c>
      <c r="N84" s="326" t="s">
        <v>425</v>
      </c>
      <c r="O84" s="327" t="s">
        <v>425</v>
      </c>
      <c r="P84" s="327" t="s">
        <v>425</v>
      </c>
      <c r="Q84" s="327" t="s">
        <v>425</v>
      </c>
      <c r="R84" s="326" t="s">
        <v>425</v>
      </c>
      <c r="S84" s="327" t="s">
        <v>425</v>
      </c>
      <c r="T84" s="327" t="s">
        <v>425</v>
      </c>
      <c r="U84" s="327" t="s">
        <v>425</v>
      </c>
      <c r="V84" s="356">
        <f>RevBuild!AA146*RevBuild!AG151</f>
        <v>67.440935999999994</v>
      </c>
      <c r="W84" s="357">
        <f>RevBuild!AB146*RevBuild!AH151</f>
        <v>45.804368999999994</v>
      </c>
      <c r="X84" s="357">
        <f>RevBuild!AC146*RevBuild!AI151</f>
        <v>45.671444000000001</v>
      </c>
      <c r="Y84" s="357">
        <f>RevBuild!AD146*RevBuild!AJ151</f>
        <v>55.779002000000013</v>
      </c>
      <c r="Z84" s="356">
        <f>RevBuild!AG146*RevBuild!AM151</f>
        <v>35.740119999999997</v>
      </c>
      <c r="AA84" s="357">
        <f>RevBuild!AH146*RevBuild!AN151</f>
        <v>24.622835999999992</v>
      </c>
      <c r="AB84" s="357">
        <f>RevBuild!AI146*RevBuild!AO151</f>
        <v>35.289315999999999</v>
      </c>
      <c r="AC84" s="357">
        <f>RevBuild!AJ146*RevBuild!AP151</f>
        <v>29.336592</v>
      </c>
      <c r="AD84" s="356">
        <f>RevBuild!AM146*RevBuild!AS151</f>
        <v>12.782840000000002</v>
      </c>
      <c r="AE84" s="357">
        <f>RevBuild!AN146*RevBuild!AT151</f>
        <v>48.639680999999996</v>
      </c>
      <c r="AF84" s="357">
        <f>RevBuild!AO146*RevBuild!AU151</f>
        <v>52.025409000000003</v>
      </c>
      <c r="AG84" s="357">
        <f>RevBuild!AP146*RevBuild!AV151</f>
        <v>50.835173999999995</v>
      </c>
      <c r="AH84" s="356">
        <f>RevBuild!AS146*RevBuild!AY151</f>
        <v>29.45196</v>
      </c>
      <c r="AI84" s="357">
        <f>RevBuild!AT146*RevBuild!AZ151</f>
        <v>4.5272940000000039</v>
      </c>
      <c r="AJ84" s="357">
        <f>RevBuild!AU146*RevBuild!BA151</f>
        <v>3.789759999999998</v>
      </c>
      <c r="AK84" s="357">
        <f>RevBuild!AV146*RevBuild!BB151</f>
        <v>16.827329000000006</v>
      </c>
      <c r="AL84" s="356">
        <f>RevBuild!AY146*RevBuild!BE151</f>
        <v>67.063752000000008</v>
      </c>
      <c r="AM84" s="357">
        <f>RevBuild!AZ146*RevBuild!BF151</f>
        <v>88.329843999999994</v>
      </c>
      <c r="AN84" s="357">
        <f>RevBuild!BA146*RevBuild!BG151</f>
        <v>62.997837999999994</v>
      </c>
      <c r="AO84" s="357">
        <f>RevBuild!BB146*RevBuild!BH151</f>
        <v>61.934565999999954</v>
      </c>
      <c r="AP84" s="356">
        <f>RevBuild!BE146*RevBuild!BK151</f>
        <v>54.515865999999967</v>
      </c>
      <c r="AQ84" s="357">
        <f>RevBuild!BF146*RevBuild!BL151</f>
        <v>49.546922000000073</v>
      </c>
      <c r="AR84" s="357">
        <f>RevBuild!BG146*RevBuild!BM151</f>
        <v>63.415073000000035</v>
      </c>
      <c r="AS84" s="357">
        <f>RevBuild!BH146*RevBuild!BN151</f>
        <v>37.522060999999837</v>
      </c>
      <c r="AT84" s="356">
        <f>RevBuild!BK146*RevBuild!BQ151</f>
        <v>48.618105000000106</v>
      </c>
      <c r="AU84" s="357">
        <f>RevBuild!BL146*RevBuild!BR151</f>
        <v>66.067950000000053</v>
      </c>
      <c r="AV84" s="357">
        <f>RevBuild!BM146*RevBuild!BS151</f>
        <v>54.341120000000068</v>
      </c>
      <c r="AW84" s="357">
        <f>RevBuild!BN146*RevBuild!BT151</f>
        <v>75.669550000000115</v>
      </c>
      <c r="AX84" s="290"/>
      <c r="AY84" s="290"/>
      <c r="AZ84" s="290"/>
      <c r="BA84" s="290"/>
      <c r="BB84" s="290"/>
      <c r="BC84" s="290"/>
      <c r="BD84" s="290"/>
      <c r="BE84" s="290"/>
      <c r="BF84" s="290"/>
      <c r="BG84" s="290"/>
      <c r="BH84" s="290"/>
      <c r="BI84" s="290"/>
      <c r="BJ84" s="290"/>
      <c r="BK84" s="290"/>
      <c r="BL84" s="290"/>
      <c r="BM84" s="290"/>
      <c r="BN84" s="290"/>
      <c r="BO84" s="290"/>
      <c r="BP84" s="290"/>
      <c r="BQ84" s="290"/>
      <c r="BR84" s="290"/>
      <c r="BS84" s="290"/>
      <c r="BT84" s="290"/>
      <c r="BU84" s="290"/>
      <c r="BV84" s="290"/>
      <c r="BW84" s="290"/>
    </row>
    <row r="85" spans="1:75" x14ac:dyDescent="0.2">
      <c r="A85" s="349" t="s">
        <v>306</v>
      </c>
      <c r="B85" s="750"/>
      <c r="C85" s="334"/>
      <c r="D85" s="334"/>
      <c r="E85" s="334"/>
      <c r="F85" s="322" t="s">
        <v>425</v>
      </c>
      <c r="G85" s="323" t="s">
        <v>425</v>
      </c>
      <c r="H85" s="323" t="s">
        <v>425</v>
      </c>
      <c r="I85" s="323" t="s">
        <v>425</v>
      </c>
      <c r="J85" s="322" t="s">
        <v>425</v>
      </c>
      <c r="K85" s="323" t="s">
        <v>425</v>
      </c>
      <c r="L85" s="323" t="s">
        <v>425</v>
      </c>
      <c r="M85" s="323" t="s">
        <v>425</v>
      </c>
      <c r="N85" s="322" t="s">
        <v>425</v>
      </c>
      <c r="O85" s="323" t="s">
        <v>425</v>
      </c>
      <c r="P85" s="323" t="s">
        <v>425</v>
      </c>
      <c r="Q85" s="323" t="s">
        <v>425</v>
      </c>
      <c r="R85" s="322" t="s">
        <v>425</v>
      </c>
      <c r="S85" s="323" t="s">
        <v>425</v>
      </c>
      <c r="T85" s="323" t="s">
        <v>425</v>
      </c>
      <c r="U85" s="323" t="s">
        <v>425</v>
      </c>
      <c r="V85" s="358">
        <f>RevBuild!AA153*RevBuild!AG158</f>
        <v>12.278484000000002</v>
      </c>
      <c r="W85" s="359">
        <f>RevBuild!AB153*RevBuild!AH158</f>
        <v>22.497552000000002</v>
      </c>
      <c r="X85" s="359">
        <f>RevBuild!AC153*RevBuild!AI158</f>
        <v>14.860860000000002</v>
      </c>
      <c r="Y85" s="359">
        <f>RevBuild!AD153*RevBuild!AJ158</f>
        <v>27.456273000000003</v>
      </c>
      <c r="Z85" s="358">
        <f>RevBuild!AG153*RevBuild!AM158</f>
        <v>29.450557999999997</v>
      </c>
      <c r="AA85" s="359">
        <f>RevBuild!AH153*RevBuild!AN158</f>
        <v>22.389564</v>
      </c>
      <c r="AB85" s="359">
        <f>RevBuild!AI153*RevBuild!AO158</f>
        <v>1.3276140000000001</v>
      </c>
      <c r="AC85" s="359">
        <f>RevBuild!AJ153*RevBuild!AP158</f>
        <v>18.51201</v>
      </c>
      <c r="AD85" s="358">
        <f>RevBuild!AM153*RevBuild!AS158</f>
        <v>7.7772400000000008</v>
      </c>
      <c r="AE85" s="359">
        <f>RevBuild!AN153*RevBuild!AT158</f>
        <v>14.351818999999999</v>
      </c>
      <c r="AF85" s="359">
        <f>RevBuild!AO153*RevBuild!AU158</f>
        <v>35.562639999999995</v>
      </c>
      <c r="AG85" s="359">
        <f>RevBuild!AP153*RevBuild!AV158</f>
        <v>39.65719</v>
      </c>
      <c r="AH85" s="358">
        <f>RevBuild!AS153*RevBuild!AY158</f>
        <v>46.100023999999998</v>
      </c>
      <c r="AI85" s="359">
        <f>RevBuild!AT153*RevBuild!AZ158</f>
        <v>39.922442999999994</v>
      </c>
      <c r="AJ85" s="359">
        <f>RevBuild!AU153*RevBuild!BA158</f>
        <v>65.321072000000001</v>
      </c>
      <c r="AK85" s="359">
        <f>RevBuild!AV153*RevBuild!BB158</f>
        <v>61.869408</v>
      </c>
      <c r="AL85" s="358">
        <f>RevBuild!AY153*RevBuild!BE158</f>
        <v>95.359594999999999</v>
      </c>
      <c r="AM85" s="359">
        <f>RevBuild!AZ153*RevBuild!BF158</f>
        <v>68.22525499999999</v>
      </c>
      <c r="AN85" s="359">
        <f>RevBuild!BA153*RevBuild!BG158</f>
        <v>42.404252999999997</v>
      </c>
      <c r="AO85" s="359">
        <f>RevBuild!BB153*RevBuild!BH158</f>
        <v>24.630559999999889</v>
      </c>
      <c r="AP85" s="358">
        <f>RevBuild!BE153*RevBuild!BK158</f>
        <v>61.80177699999993</v>
      </c>
      <c r="AQ85" s="359">
        <f>RevBuild!BF153*RevBuild!BL158</f>
        <v>32.688450999999944</v>
      </c>
      <c r="AR85" s="359">
        <f>RevBuild!BG153*RevBuild!BM158</f>
        <v>51.520119500000014</v>
      </c>
      <c r="AS85" s="359">
        <f>RevBuild!BH153*RevBuild!BN158</f>
        <v>51.817809000000061</v>
      </c>
      <c r="AT85" s="358">
        <f>RevBuild!BK153*RevBuild!BQ158</f>
        <v>17.024129999999957</v>
      </c>
      <c r="AU85" s="359">
        <f>RevBuild!BL153*RevBuild!BR158</f>
        <v>50.720710000000054</v>
      </c>
      <c r="AV85" s="359">
        <f>RevBuild!BM153*RevBuild!BS158</f>
        <v>40.712219999999967</v>
      </c>
      <c r="AW85" s="359">
        <f>RevBuild!BN153*RevBuild!BT158</f>
        <v>37.830740000000084</v>
      </c>
      <c r="AX85" s="343"/>
      <c r="AY85" s="343"/>
      <c r="AZ85" s="343"/>
      <c r="BA85" s="343"/>
      <c r="BB85" s="343"/>
      <c r="BC85" s="343"/>
      <c r="BD85" s="343"/>
      <c r="BE85" s="343"/>
      <c r="BF85" s="343"/>
      <c r="BG85" s="343"/>
      <c r="BH85" s="343"/>
      <c r="BI85" s="343"/>
      <c r="BJ85" s="343"/>
      <c r="BK85" s="343"/>
      <c r="BL85" s="343"/>
      <c r="BM85" s="343"/>
      <c r="BN85" s="343"/>
      <c r="BO85" s="343"/>
      <c r="BP85" s="343"/>
      <c r="BQ85" s="343"/>
      <c r="BR85" s="343"/>
      <c r="BS85" s="343"/>
      <c r="BT85" s="343"/>
      <c r="BU85" s="343"/>
      <c r="BV85" s="343"/>
      <c r="BW85" s="343"/>
    </row>
    <row r="86" spans="1:75" x14ac:dyDescent="0.2">
      <c r="A86" s="298" t="s">
        <v>308</v>
      </c>
      <c r="B86" s="746"/>
      <c r="C86" s="332"/>
      <c r="D86" s="332"/>
      <c r="E86" s="332"/>
      <c r="F86" s="333">
        <f>RevBuild!C167*RevBuild!I172</f>
        <v>2.8983299999999992</v>
      </c>
      <c r="G86" s="332">
        <f>RevBuild!D167*RevBuild!J172</f>
        <v>0.57374999999999876</v>
      </c>
      <c r="H86" s="332">
        <f>RevBuild!E167*RevBuild!K172</f>
        <v>3.5980329999999996</v>
      </c>
      <c r="I86" s="332">
        <f>RevBuild!F167*RevBuild!L172</f>
        <v>4.3340579999999989</v>
      </c>
      <c r="J86" s="333">
        <f>RevBuild!I167*RevBuild!O172</f>
        <v>3.4139599999999999</v>
      </c>
      <c r="K86" s="332">
        <f>RevBuild!J167*RevBuild!P172</f>
        <v>3.001614</v>
      </c>
      <c r="L86" s="332">
        <f>RevBuild!K167*RevBuild!Q172</f>
        <v>1.8866440000000002</v>
      </c>
      <c r="M86" s="332">
        <f>RevBuild!L167*RevBuild!R172</f>
        <v>2.7111679999999989</v>
      </c>
      <c r="N86" s="333">
        <f>RevBuild!O167*RevBuild!U172</f>
        <v>1.8549500000000001</v>
      </c>
      <c r="O86" s="332">
        <f>RevBuild!P167*RevBuild!V172</f>
        <v>3.4040800000000009</v>
      </c>
      <c r="P86" s="332">
        <f>RevBuild!Q167*RevBuild!W172</f>
        <v>4.6235769999999992</v>
      </c>
      <c r="Q86" s="332">
        <f>RevBuild!R167*RevBuild!X172</f>
        <v>8.2461750000000009</v>
      </c>
      <c r="R86" s="333">
        <f>RevBuild!U167*RevBuild!AA172</f>
        <v>6.2062740000000005</v>
      </c>
      <c r="S86" s="332">
        <f>RevBuild!V167*RevBuild!AB172</f>
        <v>6.096006</v>
      </c>
      <c r="T86" s="332">
        <f>RevBuild!W167*RevBuild!AC172</f>
        <v>5.5533849999999996</v>
      </c>
      <c r="U86" s="332">
        <f>RevBuild!X167*RevBuild!AD172</f>
        <v>1.378872000000001</v>
      </c>
      <c r="V86" s="333">
        <f>RevBuild!AA167*RevBuild!AG172</f>
        <v>5.00814</v>
      </c>
      <c r="W86" s="332">
        <f>RevBuild!AB167*RevBuild!AH172</f>
        <v>5.3369019999999994</v>
      </c>
      <c r="X86" s="332">
        <f>RevBuild!AC167*RevBuild!AI172</f>
        <v>6.9655039999999993</v>
      </c>
      <c r="Y86" s="332">
        <f>RevBuild!AD167*RevBuild!AJ172</f>
        <v>9.5478749999999994</v>
      </c>
      <c r="Z86" s="333">
        <f>RevBuild!AG167*RevBuild!AM172</f>
        <v>7.3636290000000004</v>
      </c>
      <c r="AA86" s="332">
        <f>RevBuild!AH167*RevBuild!AN172</f>
        <v>6.5426880000000009</v>
      </c>
      <c r="AB86" s="332">
        <f>RevBuild!AI167*RevBuild!AO172</f>
        <v>6.0321099999999985</v>
      </c>
      <c r="AC86" s="332">
        <f>RevBuild!AJ167*RevBuild!AP172</f>
        <v>6.9967019999999991</v>
      </c>
      <c r="AD86" s="333">
        <f>RevBuild!AM167*RevBuild!AS172</f>
        <v>4.6321439999999994</v>
      </c>
      <c r="AE86" s="332">
        <f>RevBuild!AN167*RevBuild!AT172</f>
        <v>7.2581850000000001</v>
      </c>
      <c r="AF86" s="332">
        <f>RevBuild!AO167*RevBuild!AU172</f>
        <v>5.1306450000000003</v>
      </c>
      <c r="AG86" s="332">
        <f>RevBuild!AP167*RevBuild!AV172</f>
        <v>1.3253549999999996</v>
      </c>
      <c r="AH86" s="333">
        <f>RevBuild!AS167*RevBuild!AY172</f>
        <v>6.4249910000000003</v>
      </c>
      <c r="AI86" s="332">
        <f>RevBuild!AT167*RevBuild!AZ172</f>
        <v>2.5844510000000001</v>
      </c>
      <c r="AJ86" s="332">
        <f>RevBuild!AU167*RevBuild!BA172</f>
        <v>4.5303960000000005</v>
      </c>
      <c r="AK86" s="332">
        <f>RevBuild!AV167*RevBuild!BB172</f>
        <v>3.6522800000000002</v>
      </c>
      <c r="AL86" s="333">
        <f>RevBuild!AY167*RevBuild!BE172</f>
        <v>6.4287000000000019</v>
      </c>
      <c r="AM86" s="332">
        <f>RevBuild!AZ167*RevBuild!BF172</f>
        <v>7.2494999999999994</v>
      </c>
      <c r="AN86" s="332">
        <f>RevBuild!BA167*RevBuild!BG172</f>
        <v>6.8200880000000002</v>
      </c>
      <c r="AO86" s="332">
        <f>RevBuild!BB167*RevBuild!BH172</f>
        <v>7.9747620000000046</v>
      </c>
      <c r="AP86" s="333">
        <f>RevBuild!BE167*RevBuild!BK172</f>
        <v>5.6140039999999942</v>
      </c>
      <c r="AQ86" s="332">
        <f>RevBuild!BF167*RevBuild!BL172</f>
        <v>2.3544179999999999</v>
      </c>
      <c r="AR86" s="332">
        <f>RevBuild!BG167*RevBuild!BM172</f>
        <v>3.1408799999999997</v>
      </c>
      <c r="AS86" s="332">
        <f>RevBuild!BH167*RevBuild!BN172</f>
        <v>3.6403059999999896</v>
      </c>
      <c r="AT86" s="333">
        <f>RevBuild!BK167*RevBuild!BQ172</f>
        <v>6.4719660000000054</v>
      </c>
      <c r="AU86" s="332">
        <f>RevBuild!BL167*RevBuild!BR172</f>
        <v>10.124869999999971</v>
      </c>
      <c r="AV86" s="332">
        <f>RevBuild!BM167*RevBuild!BS172</f>
        <v>8.8939600000000052</v>
      </c>
      <c r="AW86" s="332">
        <f>RevBuild!BN167*RevBuild!BT172</f>
        <v>9.0610400000000038</v>
      </c>
      <c r="AX86" s="343"/>
      <c r="AY86" s="343"/>
      <c r="AZ86" s="343"/>
      <c r="BA86" s="343"/>
      <c r="BB86" s="343"/>
      <c r="BC86" s="343"/>
      <c r="BD86" s="343"/>
      <c r="BE86" s="343"/>
      <c r="BF86" s="343"/>
      <c r="BG86" s="343"/>
      <c r="BH86" s="343"/>
      <c r="BI86" s="343"/>
      <c r="BJ86" s="343"/>
      <c r="BK86" s="343"/>
      <c r="BL86" s="343"/>
      <c r="BM86" s="343"/>
      <c r="BN86" s="343"/>
      <c r="BO86" s="343"/>
      <c r="BP86" s="343"/>
      <c r="BQ86" s="343"/>
      <c r="BR86" s="343"/>
      <c r="BS86" s="343"/>
      <c r="BT86" s="343"/>
      <c r="BU86" s="343"/>
      <c r="BV86" s="343"/>
      <c r="BW86" s="343"/>
    </row>
    <row r="87" spans="1:75" x14ac:dyDescent="0.2">
      <c r="A87" s="335" t="s">
        <v>414</v>
      </c>
      <c r="B87" s="749"/>
      <c r="C87" s="336"/>
      <c r="D87" s="336"/>
      <c r="E87" s="336"/>
      <c r="F87" s="337">
        <f>RevBuild!C174*RevBuild!I179</f>
        <v>39.303839999999994</v>
      </c>
      <c r="G87" s="336">
        <f>RevBuild!D174*RevBuild!J179</f>
        <v>55.480680000000007</v>
      </c>
      <c r="H87" s="336">
        <f>RevBuild!E174*RevBuild!K179</f>
        <v>33.122649999999993</v>
      </c>
      <c r="I87" s="336">
        <f>RevBuild!F174*RevBuild!L179</f>
        <v>-51.050880000000006</v>
      </c>
      <c r="J87" s="337">
        <f>RevBuild!I174*RevBuild!O179</f>
        <v>7.6088849999999963</v>
      </c>
      <c r="K87" s="336">
        <f>RevBuild!J174*RevBuild!P179</f>
        <v>11.485956999999997</v>
      </c>
      <c r="L87" s="336">
        <f>RevBuild!K174*RevBuild!Q179</f>
        <v>-9.8652539999999984</v>
      </c>
      <c r="M87" s="336">
        <f>RevBuild!L174*RevBuild!R179</f>
        <v>47.207280000000011</v>
      </c>
      <c r="N87" s="337">
        <f>RevBuild!O174*RevBuild!U179</f>
        <v>47.532415999999984</v>
      </c>
      <c r="O87" s="336">
        <f>RevBuild!P174*RevBuild!V179</f>
        <v>33.75611399999999</v>
      </c>
      <c r="P87" s="336">
        <f>RevBuild!Q174*RevBuild!W179</f>
        <v>61.399021000000005</v>
      </c>
      <c r="Q87" s="336">
        <f>RevBuild!R174*RevBuild!X179</f>
        <v>58.940672999999975</v>
      </c>
      <c r="R87" s="337">
        <f>RevBuild!U174*RevBuild!AA179</f>
        <v>66.891780000000011</v>
      </c>
      <c r="S87" s="336">
        <f>RevBuild!V174*RevBuild!AB179</f>
        <v>103.56645600000002</v>
      </c>
      <c r="T87" s="336">
        <f>RevBuild!W174*RevBuild!AC179</f>
        <v>62.485862999999988</v>
      </c>
      <c r="U87" s="336">
        <f>RevBuild!X174*RevBuild!AD179</f>
        <v>107.24910399999999</v>
      </c>
      <c r="V87" s="337">
        <f>RevBuild!AA174*RevBuild!AG179</f>
        <v>151.92535799999999</v>
      </c>
      <c r="W87" s="336">
        <f>RevBuild!AB174*RevBuild!AH179</f>
        <v>98.009439999999969</v>
      </c>
      <c r="X87" s="336">
        <f>RevBuild!AC174*RevBuild!AI179</f>
        <v>92.91449200000001</v>
      </c>
      <c r="Y87" s="336">
        <f>RevBuild!AD174*RevBuild!AJ179</f>
        <v>140.40887999999998</v>
      </c>
      <c r="Z87" s="337">
        <f>RevBuild!AG174*RevBuild!AM179</f>
        <v>69.26762699999999</v>
      </c>
      <c r="AA87" s="336">
        <f>RevBuild!AH174*RevBuild!AN179</f>
        <v>88.058079999999975</v>
      </c>
      <c r="AB87" s="336">
        <f>RevBuild!AI174*RevBuild!AO179</f>
        <v>75.855972000000008</v>
      </c>
      <c r="AC87" s="336">
        <f>RevBuild!AJ174*RevBuild!AP179</f>
        <v>89.112206</v>
      </c>
      <c r="AD87" s="337">
        <f>RevBuild!AM174*RevBuild!AS179</f>
        <v>66.511819000000003</v>
      </c>
      <c r="AE87" s="336">
        <f>RevBuild!AN174*RevBuild!AT179</f>
        <v>102.84783</v>
      </c>
      <c r="AF87" s="336">
        <f>RevBuild!AO174*RevBuild!AU179</f>
        <v>150.33318400000002</v>
      </c>
      <c r="AG87" s="336">
        <f>RevBuild!AP174*RevBuild!AV179</f>
        <v>123.79213</v>
      </c>
      <c r="AH87" s="337">
        <f>RevBuild!AS174*RevBuild!AY179</f>
        <v>116.647632</v>
      </c>
      <c r="AI87" s="336">
        <f>RevBuild!AT174*RevBuild!AZ179</f>
        <v>102.000834</v>
      </c>
      <c r="AJ87" s="336">
        <f>RevBuild!AU174*RevBuild!BA179</f>
        <v>125.93899200000001</v>
      </c>
      <c r="AK87" s="336">
        <f>RevBuild!AV174*RevBuild!BB179</f>
        <v>175.63624000000002</v>
      </c>
      <c r="AL87" s="337">
        <f>RevBuild!AY174*RevBuild!BE179</f>
        <v>229.11907799999997</v>
      </c>
      <c r="AM87" s="336">
        <f>RevBuild!AZ174*RevBuild!BF179</f>
        <v>199.82831999999996</v>
      </c>
      <c r="AN87" s="336">
        <f>RevBuild!BA174*RevBuild!BG179</f>
        <v>161.15009999999998</v>
      </c>
      <c r="AO87" s="336">
        <f>RevBuild!BB174*RevBuild!BH179</f>
        <v>119.73855599999999</v>
      </c>
      <c r="AP87" s="337">
        <f>RevBuild!BE174*RevBuild!BK179</f>
        <v>160.298428</v>
      </c>
      <c r="AQ87" s="336">
        <f>RevBuild!BF174*RevBuild!BL179</f>
        <v>135.6968240000003</v>
      </c>
      <c r="AR87" s="336">
        <f>RevBuild!BG174*RevBuild!BM179</f>
        <v>154.71799200000001</v>
      </c>
      <c r="AS87" s="336">
        <f>RevBuild!BH174*RevBuild!BN179</f>
        <v>159.50489199999976</v>
      </c>
      <c r="AT87" s="337">
        <f>RevBuild!BK174*RevBuild!BQ179</f>
        <v>114.59888899999969</v>
      </c>
      <c r="AU87" s="336">
        <f>RevBuild!BL174*RevBuild!BR179</f>
        <v>171.55854000000008</v>
      </c>
      <c r="AV87" s="336">
        <f>RevBuild!BM174*RevBuild!BS179</f>
        <v>156.19384999999988</v>
      </c>
      <c r="AW87" s="336">
        <f>RevBuild!BN174*RevBuild!BT179</f>
        <v>154.87128000000038</v>
      </c>
      <c r="AX87" s="343"/>
      <c r="AY87" s="343"/>
      <c r="AZ87" s="343"/>
      <c r="BA87" s="343"/>
      <c r="BB87" s="343"/>
      <c r="BC87" s="343"/>
      <c r="BD87" s="343"/>
      <c r="BE87" s="343"/>
      <c r="BF87" s="343"/>
      <c r="BG87" s="343"/>
      <c r="BH87" s="343"/>
      <c r="BI87" s="343"/>
      <c r="BJ87" s="343"/>
      <c r="BK87" s="343"/>
      <c r="BL87" s="343"/>
      <c r="BM87" s="343"/>
      <c r="BN87" s="343"/>
      <c r="BO87" s="343"/>
      <c r="BP87" s="343"/>
      <c r="BQ87" s="343"/>
      <c r="BR87" s="343"/>
      <c r="BS87" s="343"/>
      <c r="BT87" s="343"/>
      <c r="BU87" s="343"/>
      <c r="BV87" s="343"/>
      <c r="BW87" s="343"/>
    </row>
    <row r="88" spans="1:75" s="297" customFormat="1" x14ac:dyDescent="0.2">
      <c r="A88" s="316"/>
      <c r="B88" s="317"/>
      <c r="C88" s="317"/>
      <c r="D88" s="317"/>
      <c r="E88" s="317"/>
      <c r="F88" s="317"/>
      <c r="G88" s="317"/>
      <c r="H88" s="317"/>
      <c r="I88" s="317"/>
      <c r="J88" s="344"/>
      <c r="K88" s="344"/>
      <c r="L88" s="344"/>
      <c r="M88" s="344"/>
      <c r="N88" s="344"/>
      <c r="O88" s="344"/>
      <c r="P88" s="344"/>
      <c r="Q88" s="344"/>
      <c r="R88" s="344"/>
      <c r="S88" s="344"/>
      <c r="T88" s="344"/>
      <c r="U88" s="344"/>
      <c r="V88" s="344"/>
      <c r="W88" s="344"/>
      <c r="X88" s="344"/>
      <c r="Y88" s="344"/>
      <c r="Z88" s="344"/>
      <c r="AA88" s="344"/>
      <c r="AB88" s="344"/>
      <c r="AC88" s="344"/>
      <c r="AD88" s="344"/>
      <c r="AE88" s="344"/>
      <c r="AF88" s="344"/>
      <c r="AG88" s="344"/>
      <c r="AH88" s="344"/>
      <c r="AI88" s="344"/>
      <c r="AJ88" s="344"/>
      <c r="AK88" s="344"/>
      <c r="AL88" s="344"/>
      <c r="AM88" s="344"/>
      <c r="AN88" s="344"/>
      <c r="AO88" s="344"/>
      <c r="AP88" s="344"/>
      <c r="AQ88" s="344"/>
      <c r="AR88" s="344"/>
      <c r="AS88" s="344"/>
      <c r="AT88" s="344"/>
      <c r="AU88" s="344"/>
      <c r="AV88" s="344"/>
      <c r="AW88" s="344"/>
      <c r="AX88" s="316"/>
      <c r="AY88" s="316"/>
      <c r="AZ88" s="316"/>
      <c r="BA88" s="316"/>
      <c r="BB88" s="316"/>
      <c r="BC88" s="316"/>
      <c r="BD88" s="316"/>
      <c r="BE88" s="316"/>
      <c r="BF88" s="316"/>
      <c r="BG88" s="316"/>
      <c r="BH88" s="316"/>
      <c r="BI88" s="316"/>
      <c r="BJ88" s="316"/>
      <c r="BK88" s="316"/>
      <c r="BL88" s="316"/>
      <c r="BM88" s="316"/>
      <c r="BN88" s="316"/>
      <c r="BO88" s="316"/>
      <c r="BP88" s="316"/>
      <c r="BQ88" s="316"/>
      <c r="BR88" s="316"/>
      <c r="BS88" s="316"/>
      <c r="BT88" s="316"/>
      <c r="BU88" s="316"/>
      <c r="BV88" s="316"/>
      <c r="BW88" s="316"/>
    </row>
    <row r="89" spans="1:75" s="297" customFormat="1" x14ac:dyDescent="0.2">
      <c r="A89" s="311" t="s">
        <v>426</v>
      </c>
      <c r="B89" s="316"/>
      <c r="C89" s="316"/>
      <c r="D89" s="316"/>
      <c r="E89" s="316"/>
      <c r="F89" s="316"/>
      <c r="G89" s="316"/>
      <c r="H89" s="316"/>
      <c r="I89" s="316"/>
      <c r="J89" s="316"/>
      <c r="K89" s="316"/>
      <c r="L89" s="316"/>
      <c r="M89" s="316"/>
      <c r="N89" s="316"/>
      <c r="O89" s="316"/>
      <c r="P89" s="316"/>
      <c r="Q89" s="316"/>
      <c r="R89" s="316"/>
      <c r="S89" s="316"/>
      <c r="T89" s="316"/>
      <c r="U89" s="316"/>
      <c r="V89" s="316"/>
      <c r="W89" s="316"/>
      <c r="X89" s="316"/>
      <c r="Y89" s="316"/>
      <c r="Z89" s="344"/>
      <c r="AA89" s="344"/>
      <c r="AB89" s="344"/>
      <c r="AC89" s="344"/>
      <c r="AD89" s="344"/>
      <c r="AE89" s="344"/>
      <c r="AF89" s="344"/>
      <c r="AG89" s="344"/>
      <c r="AH89" s="344"/>
      <c r="AI89" s="344"/>
      <c r="AJ89" s="344"/>
      <c r="AK89" s="344"/>
      <c r="AL89" s="344"/>
      <c r="AM89" s="344"/>
      <c r="AN89" s="344"/>
      <c r="AO89" s="344"/>
      <c r="AP89" s="344"/>
      <c r="AQ89" s="344"/>
      <c r="AR89" s="344"/>
      <c r="AS89" s="344"/>
      <c r="AT89" s="344"/>
      <c r="AU89" s="344"/>
      <c r="AV89" s="344"/>
      <c r="AW89" s="344"/>
      <c r="AX89" s="316"/>
      <c r="AY89" s="316"/>
      <c r="AZ89" s="316"/>
      <c r="BA89" s="316"/>
      <c r="BB89" s="316"/>
      <c r="BC89" s="316"/>
      <c r="BD89" s="316"/>
      <c r="BE89" s="316"/>
      <c r="BF89" s="316"/>
      <c r="BG89" s="316"/>
      <c r="BH89" s="316"/>
      <c r="BI89" s="316"/>
      <c r="BJ89" s="316"/>
      <c r="BK89" s="316"/>
      <c r="BL89" s="316"/>
      <c r="BM89" s="316"/>
      <c r="BN89" s="316"/>
      <c r="BO89" s="316"/>
      <c r="BP89" s="316"/>
      <c r="BQ89" s="316"/>
      <c r="BR89" s="316"/>
      <c r="BS89" s="316"/>
      <c r="BT89" s="316"/>
      <c r="BU89" s="316"/>
      <c r="BV89" s="316"/>
      <c r="BW89" s="316"/>
    </row>
    <row r="90" spans="1:75" x14ac:dyDescent="0.2">
      <c r="A90" s="295"/>
      <c r="B90" s="741" t="str">
        <f>B$4</f>
        <v>1Q07</v>
      </c>
      <c r="C90" s="295" t="str">
        <f t="shared" ref="C90:AW90" si="70">C$4</f>
        <v>2Q07</v>
      </c>
      <c r="D90" s="295" t="str">
        <f t="shared" si="70"/>
        <v>3Q07</v>
      </c>
      <c r="E90" s="295" t="str">
        <f t="shared" si="70"/>
        <v>4Q07</v>
      </c>
      <c r="F90" s="296" t="str">
        <f t="shared" si="70"/>
        <v>1Q08</v>
      </c>
      <c r="G90" s="295" t="str">
        <f t="shared" si="70"/>
        <v>2Q08</v>
      </c>
      <c r="H90" s="295" t="str">
        <f t="shared" si="70"/>
        <v>3Q08</v>
      </c>
      <c r="I90" s="295" t="str">
        <f t="shared" si="70"/>
        <v>4Q08</v>
      </c>
      <c r="J90" s="296" t="str">
        <f t="shared" si="70"/>
        <v>1Q09</v>
      </c>
      <c r="K90" s="295" t="str">
        <f t="shared" si="70"/>
        <v>2Q09</v>
      </c>
      <c r="L90" s="295" t="str">
        <f t="shared" si="70"/>
        <v>3Q09</v>
      </c>
      <c r="M90" s="295" t="str">
        <f t="shared" si="70"/>
        <v>4Q09</v>
      </c>
      <c r="N90" s="296" t="str">
        <f t="shared" si="70"/>
        <v>1Q10</v>
      </c>
      <c r="O90" s="295" t="str">
        <f t="shared" si="70"/>
        <v>2Q10</v>
      </c>
      <c r="P90" s="295" t="str">
        <f t="shared" si="70"/>
        <v>3Q10</v>
      </c>
      <c r="Q90" s="295" t="str">
        <f t="shared" si="70"/>
        <v>4Q10</v>
      </c>
      <c r="R90" s="296" t="str">
        <f t="shared" si="70"/>
        <v>1Q11</v>
      </c>
      <c r="S90" s="295" t="str">
        <f t="shared" si="70"/>
        <v>2Q11</v>
      </c>
      <c r="T90" s="295" t="str">
        <f t="shared" si="70"/>
        <v>3Q11</v>
      </c>
      <c r="U90" s="295" t="str">
        <f t="shared" si="70"/>
        <v>4Q11</v>
      </c>
      <c r="V90" s="296" t="str">
        <f t="shared" si="70"/>
        <v>1Q12</v>
      </c>
      <c r="W90" s="295" t="str">
        <f t="shared" si="70"/>
        <v>2Q12</v>
      </c>
      <c r="X90" s="295" t="str">
        <f t="shared" si="70"/>
        <v>3Q12</v>
      </c>
      <c r="Y90" s="295" t="str">
        <f t="shared" si="70"/>
        <v>4Q12</v>
      </c>
      <c r="Z90" s="296" t="str">
        <f t="shared" si="70"/>
        <v>1Q13</v>
      </c>
      <c r="AA90" s="295" t="str">
        <f t="shared" si="70"/>
        <v>2Q13</v>
      </c>
      <c r="AB90" s="295" t="str">
        <f t="shared" si="70"/>
        <v>3Q13</v>
      </c>
      <c r="AC90" s="295" t="str">
        <f t="shared" si="70"/>
        <v>4Q13</v>
      </c>
      <c r="AD90" s="296" t="str">
        <f t="shared" si="70"/>
        <v>1Q14</v>
      </c>
      <c r="AE90" s="295" t="str">
        <f t="shared" si="70"/>
        <v>2Q14</v>
      </c>
      <c r="AF90" s="295" t="str">
        <f t="shared" si="70"/>
        <v>3Q14</v>
      </c>
      <c r="AG90" s="295" t="str">
        <f t="shared" si="70"/>
        <v>4Q14</v>
      </c>
      <c r="AH90" s="296" t="str">
        <f t="shared" si="70"/>
        <v>1Q15</v>
      </c>
      <c r="AI90" s="295" t="str">
        <f t="shared" si="70"/>
        <v>2Q15</v>
      </c>
      <c r="AJ90" s="295" t="str">
        <f t="shared" si="70"/>
        <v>3Q15</v>
      </c>
      <c r="AK90" s="295" t="str">
        <f t="shared" si="70"/>
        <v>4Q15</v>
      </c>
      <c r="AL90" s="296" t="str">
        <f t="shared" si="70"/>
        <v>1Q16</v>
      </c>
      <c r="AM90" s="295" t="str">
        <f t="shared" si="70"/>
        <v>2Q16</v>
      </c>
      <c r="AN90" s="295" t="str">
        <f t="shared" si="70"/>
        <v>3Q16</v>
      </c>
      <c r="AO90" s="295" t="str">
        <f t="shared" si="70"/>
        <v>4Q16</v>
      </c>
      <c r="AP90" s="296" t="str">
        <f t="shared" si="70"/>
        <v>1Q17</v>
      </c>
      <c r="AQ90" s="295" t="str">
        <f t="shared" si="70"/>
        <v>2Q17</v>
      </c>
      <c r="AR90" s="295" t="str">
        <f t="shared" si="70"/>
        <v>3Q17</v>
      </c>
      <c r="AS90" s="295" t="str">
        <f t="shared" si="70"/>
        <v>4Q17</v>
      </c>
      <c r="AT90" s="296" t="str">
        <f t="shared" si="70"/>
        <v>1Q18E</v>
      </c>
      <c r="AU90" s="295" t="str">
        <f t="shared" si="70"/>
        <v>2Q18E</v>
      </c>
      <c r="AV90" s="295" t="str">
        <f t="shared" si="70"/>
        <v>3Q18E</v>
      </c>
      <c r="AW90" s="295" t="str">
        <f t="shared" si="70"/>
        <v>4Q18E</v>
      </c>
      <c r="AX90" s="297"/>
      <c r="AY90" s="297"/>
      <c r="AZ90" s="297"/>
      <c r="BA90" s="297"/>
      <c r="BB90" s="297"/>
      <c r="BC90" s="297"/>
      <c r="BD90" s="297"/>
      <c r="BE90" s="297"/>
      <c r="BF90" s="297"/>
      <c r="BG90" s="297"/>
      <c r="BH90" s="297"/>
      <c r="BI90" s="297"/>
      <c r="BJ90" s="297"/>
      <c r="BK90" s="297"/>
      <c r="BL90" s="297"/>
      <c r="BM90" s="297"/>
      <c r="BN90" s="297"/>
      <c r="BO90" s="297"/>
      <c r="BP90" s="297"/>
      <c r="BQ90" s="297"/>
      <c r="BR90" s="297"/>
      <c r="BS90" s="297"/>
      <c r="BT90" s="297"/>
      <c r="BU90" s="297"/>
      <c r="BV90" s="297"/>
      <c r="BW90" s="297"/>
    </row>
    <row r="91" spans="1:75" x14ac:dyDescent="0.2">
      <c r="A91" s="298" t="str">
        <f>A82</f>
        <v>Total Health Care Distribution revenues</v>
      </c>
      <c r="B91" s="751"/>
      <c r="C91" s="314"/>
      <c r="D91" s="314"/>
      <c r="E91" s="314"/>
      <c r="F91" s="340"/>
      <c r="G91" s="339"/>
      <c r="H91" s="339"/>
      <c r="I91" s="339"/>
      <c r="J91" s="340"/>
      <c r="K91" s="339"/>
      <c r="L91" s="339"/>
      <c r="M91" s="339"/>
      <c r="N91" s="340">
        <f t="shared" ref="N91:Y91" si="71">N82+J82</f>
        <v>51.318505999999722</v>
      </c>
      <c r="O91" s="339">
        <f t="shared" si="71"/>
        <v>37.039643999999996</v>
      </c>
      <c r="P91" s="339">
        <f t="shared" si="71"/>
        <v>45.653344999999582</v>
      </c>
      <c r="Q91" s="339">
        <f t="shared" si="71"/>
        <v>95.180343999999678</v>
      </c>
      <c r="R91" s="340">
        <f t="shared" si="71"/>
        <v>107.21120500000018</v>
      </c>
      <c r="S91" s="339">
        <f t="shared" si="71"/>
        <v>112.01027599999898</v>
      </c>
      <c r="T91" s="339">
        <f t="shared" si="71"/>
        <v>114.83038500000043</v>
      </c>
      <c r="U91" s="339">
        <f t="shared" si="71"/>
        <v>155.79049800000024</v>
      </c>
      <c r="V91" s="340">
        <f t="shared" si="71"/>
        <v>208.5201170000002</v>
      </c>
      <c r="W91" s="339">
        <f t="shared" si="71"/>
        <v>175.92225899999926</v>
      </c>
      <c r="X91" s="339">
        <f t="shared" si="71"/>
        <v>143.97392400000021</v>
      </c>
      <c r="Y91" s="339">
        <f t="shared" si="71"/>
        <v>236.86399500000044</v>
      </c>
      <c r="Z91" s="340">
        <f t="shared" ref="Z91:AW91" si="72">Z82+V82</f>
        <v>209.35566800000015</v>
      </c>
      <c r="AA91" s="339">
        <f t="shared" si="72"/>
        <v>176.11759500000039</v>
      </c>
      <c r="AB91" s="339">
        <f t="shared" si="72"/>
        <v>156.56161699999984</v>
      </c>
      <c r="AC91" s="339">
        <f t="shared" si="72"/>
        <v>213.66442299999909</v>
      </c>
      <c r="AD91" s="340">
        <f t="shared" si="72"/>
        <v>123.85005200000026</v>
      </c>
      <c r="AE91" s="339">
        <f t="shared" si="72"/>
        <v>179.76810000000017</v>
      </c>
      <c r="AF91" s="339">
        <f t="shared" si="72"/>
        <v>215.48130200000008</v>
      </c>
      <c r="AG91" s="339">
        <f t="shared" si="72"/>
        <v>203.89939399999909</v>
      </c>
      <c r="AH91" s="340">
        <f t="shared" si="72"/>
        <v>172.52138200000002</v>
      </c>
      <c r="AI91" s="339">
        <f t="shared" si="72"/>
        <v>198.22960999999998</v>
      </c>
      <c r="AJ91" s="339">
        <f t="shared" si="72"/>
        <v>267.03856000000002</v>
      </c>
      <c r="AK91" s="339">
        <f t="shared" si="72"/>
        <v>294.21272400000004</v>
      </c>
      <c r="AL91" s="340">
        <f t="shared" si="72"/>
        <v>333.92043000000001</v>
      </c>
      <c r="AM91" s="339">
        <f t="shared" si="72"/>
        <v>294.07779999999997</v>
      </c>
      <c r="AN91" s="339">
        <f t="shared" si="72"/>
        <v>277.52290800000003</v>
      </c>
      <c r="AO91" s="339">
        <f t="shared" si="72"/>
        <v>281.64273000000003</v>
      </c>
      <c r="AP91" s="340">
        <f t="shared" si="72"/>
        <v>377.59123499999998</v>
      </c>
      <c r="AQ91" s="339">
        <f t="shared" si="72"/>
        <v>327.83052099999975</v>
      </c>
      <c r="AR91" s="339">
        <f t="shared" si="72"/>
        <v>291.02796799999999</v>
      </c>
      <c r="AS91" s="339">
        <f t="shared" si="72"/>
        <v>265.19524199999978</v>
      </c>
      <c r="AT91" s="340">
        <f t="shared" si="72"/>
        <v>262.19273799999962</v>
      </c>
      <c r="AU91" s="339">
        <f t="shared" si="72"/>
        <v>296.23787099999964</v>
      </c>
      <c r="AV91" s="339">
        <f t="shared" si="72"/>
        <v>282.56203799999986</v>
      </c>
      <c r="AW91" s="339">
        <f t="shared" si="72"/>
        <v>301.67482600000011</v>
      </c>
      <c r="AZ91" s="290"/>
      <c r="BA91" s="290"/>
      <c r="BB91" s="290"/>
      <c r="BC91" s="290"/>
      <c r="BD91" s="290"/>
      <c r="BE91" s="290"/>
      <c r="BF91" s="290"/>
      <c r="BG91" s="290"/>
      <c r="BH91" s="290"/>
      <c r="BI91" s="290"/>
      <c r="BJ91" s="290"/>
      <c r="BK91" s="290"/>
      <c r="BL91" s="290"/>
      <c r="BM91" s="290"/>
      <c r="BN91" s="290"/>
      <c r="BO91" s="290"/>
      <c r="BP91" s="290"/>
      <c r="BQ91" s="290"/>
      <c r="BR91" s="290"/>
      <c r="BS91" s="290"/>
      <c r="BT91" s="290"/>
      <c r="BU91" s="290"/>
      <c r="BV91" s="290"/>
      <c r="BW91" s="290"/>
    </row>
    <row r="92" spans="1:75" x14ac:dyDescent="0.2">
      <c r="A92" s="299" t="s">
        <v>427</v>
      </c>
      <c r="B92" s="752"/>
      <c r="C92" s="345"/>
      <c r="D92" s="345"/>
      <c r="E92" s="345"/>
      <c r="F92" s="346"/>
      <c r="G92" s="345"/>
      <c r="H92" s="345"/>
      <c r="I92" s="345"/>
      <c r="J92" s="346"/>
      <c r="K92" s="345"/>
      <c r="L92" s="341"/>
      <c r="M92" s="341"/>
      <c r="N92" s="342">
        <f>AVERAGE(M91:N91)</f>
        <v>51.318505999999722</v>
      </c>
      <c r="O92" s="341">
        <f t="shared" ref="O92:AK92" si="73">AVERAGE(N91:O91)</f>
        <v>44.179074999999855</v>
      </c>
      <c r="P92" s="341">
        <f t="shared" si="73"/>
        <v>41.346494499999793</v>
      </c>
      <c r="Q92" s="341">
        <f t="shared" si="73"/>
        <v>70.416844499999627</v>
      </c>
      <c r="R92" s="342">
        <f>AVERAGE(Q91:R91)</f>
        <v>101.19577449999993</v>
      </c>
      <c r="S92" s="341">
        <f t="shared" si="73"/>
        <v>109.61074049999958</v>
      </c>
      <c r="T92" s="341">
        <f t="shared" si="73"/>
        <v>113.42033049999971</v>
      </c>
      <c r="U92" s="341">
        <f t="shared" si="73"/>
        <v>135.31044150000034</v>
      </c>
      <c r="V92" s="342">
        <f>AVERAGE(U91:V91)</f>
        <v>182.15530750000022</v>
      </c>
      <c r="W92" s="341">
        <f t="shared" si="73"/>
        <v>192.22118799999973</v>
      </c>
      <c r="X92" s="341">
        <f t="shared" si="73"/>
        <v>159.94809149999975</v>
      </c>
      <c r="Y92" s="341">
        <f t="shared" si="73"/>
        <v>190.41895950000031</v>
      </c>
      <c r="Z92" s="342">
        <f>AVERAGE(Y91:Z91)</f>
        <v>223.1098315000003</v>
      </c>
      <c r="AA92" s="341">
        <f t="shared" si="73"/>
        <v>192.73663150000027</v>
      </c>
      <c r="AB92" s="341">
        <f t="shared" si="73"/>
        <v>166.33960600000012</v>
      </c>
      <c r="AC92" s="341">
        <f t="shared" si="73"/>
        <v>185.11301999999947</v>
      </c>
      <c r="AD92" s="342">
        <f>AVERAGE(AC91:AD91)</f>
        <v>168.75723749999969</v>
      </c>
      <c r="AE92" s="341">
        <f>AVERAGE(AD91:AE91)</f>
        <v>151.80907600000023</v>
      </c>
      <c r="AF92" s="341">
        <f>AVERAGE(AE91:AF91)</f>
        <v>197.62470100000013</v>
      </c>
      <c r="AG92" s="341">
        <f>AVERAGE(AF91:AG91)</f>
        <v>209.69034799999957</v>
      </c>
      <c r="AH92" s="342">
        <f>AVERAGE(AG91:AH91)</f>
        <v>188.21038799999957</v>
      </c>
      <c r="AI92" s="341">
        <f t="shared" si="73"/>
        <v>185.375496</v>
      </c>
      <c r="AJ92" s="341">
        <f t="shared" si="73"/>
        <v>232.634085</v>
      </c>
      <c r="AK92" s="341">
        <f t="shared" si="73"/>
        <v>280.62564200000003</v>
      </c>
      <c r="AL92" s="342">
        <f>AVERAGE(AK91:AL91)</f>
        <v>314.06657700000005</v>
      </c>
      <c r="AM92" s="341">
        <f>AVERAGE(AL91:AM91)</f>
        <v>313.99911499999996</v>
      </c>
      <c r="AN92" s="341">
        <f>AVERAGE(AM91:AN91)</f>
        <v>285.80035399999997</v>
      </c>
      <c r="AO92" s="341">
        <f>AVERAGE(AN91:AO91)</f>
        <v>279.58281900000003</v>
      </c>
      <c r="AP92" s="342">
        <f>AVERAGE(AO91:AP91)</f>
        <v>329.61698250000001</v>
      </c>
      <c r="AQ92" s="341">
        <f t="shared" ref="AQ92:AW92" si="74">AVERAGE(AP91:AQ91)</f>
        <v>352.71087799999987</v>
      </c>
      <c r="AR92" s="341">
        <f t="shared" si="74"/>
        <v>309.42924449999987</v>
      </c>
      <c r="AS92" s="341">
        <f t="shared" si="74"/>
        <v>278.11160499999988</v>
      </c>
      <c r="AT92" s="342">
        <f>AVERAGE(AS91:AT91)</f>
        <v>263.6939899999997</v>
      </c>
      <c r="AU92" s="341">
        <f t="shared" si="74"/>
        <v>279.21530449999966</v>
      </c>
      <c r="AV92" s="341">
        <f t="shared" si="74"/>
        <v>289.39995449999975</v>
      </c>
      <c r="AW92" s="341">
        <f t="shared" si="74"/>
        <v>292.11843199999998</v>
      </c>
      <c r="AX92" s="347"/>
      <c r="AY92" s="347"/>
      <c r="AZ92" s="347"/>
      <c r="BA92" s="347"/>
      <c r="BB92" s="347"/>
      <c r="BC92" s="347"/>
      <c r="BD92" s="347"/>
      <c r="BE92" s="347"/>
      <c r="BF92" s="347"/>
      <c r="BG92" s="347"/>
      <c r="BH92" s="347"/>
      <c r="BI92" s="347"/>
      <c r="BJ92" s="347"/>
      <c r="BK92" s="347"/>
      <c r="BL92" s="347"/>
      <c r="BM92" s="347"/>
      <c r="BN92" s="347"/>
      <c r="BO92" s="347"/>
      <c r="BP92" s="347"/>
      <c r="BQ92" s="347"/>
      <c r="BR92" s="347"/>
      <c r="BS92" s="347"/>
      <c r="BT92" s="347"/>
      <c r="BU92" s="347"/>
      <c r="BV92" s="347"/>
      <c r="BW92" s="347"/>
    </row>
    <row r="93" spans="1:75" x14ac:dyDescent="0.2">
      <c r="A93" s="313" t="str">
        <f>A83</f>
        <v>Dental revenues</v>
      </c>
      <c r="B93" s="753"/>
      <c r="C93" s="316"/>
      <c r="D93" s="316"/>
      <c r="E93" s="316"/>
      <c r="F93" s="340"/>
      <c r="G93" s="339"/>
      <c r="H93" s="339"/>
      <c r="I93" s="339"/>
      <c r="J93" s="340"/>
      <c r="K93" s="339"/>
      <c r="L93" s="339"/>
      <c r="M93" s="339"/>
      <c r="N93" s="326" t="s">
        <v>425</v>
      </c>
      <c r="O93" s="327" t="s">
        <v>425</v>
      </c>
      <c r="P93" s="327" t="s">
        <v>425</v>
      </c>
      <c r="Q93" s="327" t="s">
        <v>425</v>
      </c>
      <c r="R93" s="326" t="s">
        <v>425</v>
      </c>
      <c r="S93" s="327" t="s">
        <v>425</v>
      </c>
      <c r="T93" s="327" t="s">
        <v>425</v>
      </c>
      <c r="U93" s="327" t="s">
        <v>425</v>
      </c>
      <c r="V93" s="326" t="s">
        <v>425</v>
      </c>
      <c r="W93" s="327" t="s">
        <v>425</v>
      </c>
      <c r="X93" s="327" t="s">
        <v>425</v>
      </c>
      <c r="Y93" s="327" t="s">
        <v>425</v>
      </c>
      <c r="Z93" s="326" t="s">
        <v>425</v>
      </c>
      <c r="AA93" s="327" t="s">
        <v>425</v>
      </c>
      <c r="AB93" s="327" t="s">
        <v>425</v>
      </c>
      <c r="AC93" s="327" t="s">
        <v>425</v>
      </c>
      <c r="AD93" s="340">
        <f t="shared" ref="AD93:AW93" si="75">AD83+Z83</f>
        <v>38.210827000000002</v>
      </c>
      <c r="AE93" s="339">
        <f t="shared" si="75"/>
        <v>68.326675999999992</v>
      </c>
      <c r="AF93" s="339">
        <f t="shared" si="75"/>
        <v>90.376548000000014</v>
      </c>
      <c r="AG93" s="339">
        <f t="shared" si="75"/>
        <v>65.531227000000001</v>
      </c>
      <c r="AH93" s="340">
        <f t="shared" si="75"/>
        <v>76.694881000000009</v>
      </c>
      <c r="AI93" s="339">
        <f t="shared" si="75"/>
        <v>88.856826999999981</v>
      </c>
      <c r="AJ93" s="339">
        <f t="shared" si="75"/>
        <v>110.02608000000001</v>
      </c>
      <c r="AK93" s="339">
        <f t="shared" si="75"/>
        <v>124.93304899999998</v>
      </c>
      <c r="AL93" s="340">
        <f t="shared" si="75"/>
        <v>96.270633000000004</v>
      </c>
      <c r="AM93" s="339">
        <f t="shared" si="75"/>
        <v>93.088525000000004</v>
      </c>
      <c r="AN93" s="339">
        <f t="shared" si="75"/>
        <v>102.61895100000001</v>
      </c>
      <c r="AO93" s="339">
        <f t="shared" si="75"/>
        <v>116.31749399999997</v>
      </c>
      <c r="AP93" s="340">
        <f t="shared" si="75"/>
        <v>99.004471999999993</v>
      </c>
      <c r="AQ93" s="339">
        <f t="shared" si="75"/>
        <v>89.549632000000003</v>
      </c>
      <c r="AR93" s="339">
        <f t="shared" si="75"/>
        <v>83.674918999999989</v>
      </c>
      <c r="AS93" s="339">
        <f t="shared" si="75"/>
        <v>89.290245999999897</v>
      </c>
      <c r="AT93" s="340">
        <f t="shared" si="75"/>
        <v>80.235582999999934</v>
      </c>
      <c r="AU93" s="339">
        <f t="shared" si="75"/>
        <v>97.213838000000038</v>
      </c>
      <c r="AV93" s="339">
        <f t="shared" si="75"/>
        <v>86.534949999999839</v>
      </c>
      <c r="AW93" s="339">
        <f t="shared" si="75"/>
        <v>98.834666000000141</v>
      </c>
      <c r="AX93" s="348"/>
      <c r="AY93" s="348"/>
      <c r="AZ93" s="348"/>
      <c r="BA93" s="348"/>
      <c r="BB93" s="348"/>
      <c r="BC93" s="348"/>
      <c r="BD93" s="348"/>
      <c r="BE93" s="348"/>
      <c r="BF93" s="348"/>
      <c r="BG93" s="348"/>
      <c r="BH93" s="348"/>
      <c r="BI93" s="348"/>
      <c r="BJ93" s="348"/>
      <c r="BK93" s="348"/>
      <c r="BL93" s="348"/>
      <c r="BM93" s="348"/>
      <c r="BN93" s="348"/>
      <c r="BO93" s="348"/>
      <c r="BP93" s="348"/>
      <c r="BQ93" s="348"/>
      <c r="BR93" s="348"/>
      <c r="BS93" s="348"/>
      <c r="BT93" s="348"/>
      <c r="BU93" s="348"/>
      <c r="BV93" s="348"/>
      <c r="BW93" s="348"/>
    </row>
    <row r="94" spans="1:75" x14ac:dyDescent="0.2">
      <c r="A94" s="349" t="s">
        <v>427</v>
      </c>
      <c r="B94" s="752"/>
      <c r="C94" s="345"/>
      <c r="D94" s="345"/>
      <c r="E94" s="345"/>
      <c r="F94" s="346"/>
      <c r="G94" s="345"/>
      <c r="H94" s="345"/>
      <c r="I94" s="345"/>
      <c r="J94" s="346"/>
      <c r="K94" s="345"/>
      <c r="L94" s="341"/>
      <c r="M94" s="341"/>
      <c r="N94" s="322" t="s">
        <v>425</v>
      </c>
      <c r="O94" s="323" t="s">
        <v>425</v>
      </c>
      <c r="P94" s="323" t="s">
        <v>425</v>
      </c>
      <c r="Q94" s="323" t="s">
        <v>425</v>
      </c>
      <c r="R94" s="322" t="s">
        <v>425</v>
      </c>
      <c r="S94" s="323" t="s">
        <v>425</v>
      </c>
      <c r="T94" s="323" t="s">
        <v>425</v>
      </c>
      <c r="U94" s="323" t="s">
        <v>425</v>
      </c>
      <c r="V94" s="322" t="s">
        <v>425</v>
      </c>
      <c r="W94" s="323" t="s">
        <v>425</v>
      </c>
      <c r="X94" s="323" t="s">
        <v>425</v>
      </c>
      <c r="Y94" s="323" t="s">
        <v>425</v>
      </c>
      <c r="Z94" s="322" t="s">
        <v>425</v>
      </c>
      <c r="AA94" s="323" t="s">
        <v>425</v>
      </c>
      <c r="AB94" s="323" t="s">
        <v>425</v>
      </c>
      <c r="AC94" s="323" t="s">
        <v>425</v>
      </c>
      <c r="AD94" s="342">
        <f t="shared" ref="AD94:AP94" si="76">AVERAGE(AC93:AD93)</f>
        <v>38.210827000000002</v>
      </c>
      <c r="AE94" s="341">
        <f t="shared" si="76"/>
        <v>53.268751499999993</v>
      </c>
      <c r="AF94" s="341">
        <f t="shared" si="76"/>
        <v>79.351612000000003</v>
      </c>
      <c r="AG94" s="341">
        <f t="shared" si="76"/>
        <v>77.953887500000008</v>
      </c>
      <c r="AH94" s="342">
        <f t="shared" si="76"/>
        <v>71.113054000000005</v>
      </c>
      <c r="AI94" s="341">
        <f t="shared" si="76"/>
        <v>82.775853999999995</v>
      </c>
      <c r="AJ94" s="341">
        <f t="shared" si="76"/>
        <v>99.441453499999994</v>
      </c>
      <c r="AK94" s="341">
        <f t="shared" si="76"/>
        <v>117.4795645</v>
      </c>
      <c r="AL94" s="342">
        <f t="shared" si="76"/>
        <v>110.60184099999999</v>
      </c>
      <c r="AM94" s="341">
        <f t="shared" si="76"/>
        <v>94.679579000000004</v>
      </c>
      <c r="AN94" s="341">
        <f t="shared" si="76"/>
        <v>97.853738000000007</v>
      </c>
      <c r="AO94" s="341">
        <f t="shared" si="76"/>
        <v>109.4682225</v>
      </c>
      <c r="AP94" s="342">
        <f t="shared" si="76"/>
        <v>107.66098299999999</v>
      </c>
      <c r="AQ94" s="341">
        <f t="shared" ref="AQ94:AW94" si="77">AVERAGE(AP93:AQ93)</f>
        <v>94.277051999999998</v>
      </c>
      <c r="AR94" s="341">
        <f t="shared" si="77"/>
        <v>86.612275499999996</v>
      </c>
      <c r="AS94" s="341">
        <f t="shared" si="77"/>
        <v>86.48258249999995</v>
      </c>
      <c r="AT94" s="342">
        <f>AVERAGE(AS93:AT93)</f>
        <v>84.762914499999908</v>
      </c>
      <c r="AU94" s="341">
        <f t="shared" si="77"/>
        <v>88.724710499999986</v>
      </c>
      <c r="AV94" s="341">
        <f t="shared" si="77"/>
        <v>91.874393999999938</v>
      </c>
      <c r="AW94" s="341">
        <f t="shared" si="77"/>
        <v>92.68480799999999</v>
      </c>
      <c r="AX94" s="290"/>
      <c r="AY94" s="290"/>
      <c r="AZ94" s="290"/>
      <c r="BA94" s="290"/>
      <c r="BB94" s="290"/>
      <c r="BC94" s="290"/>
      <c r="BD94" s="290"/>
      <c r="BE94" s="290"/>
      <c r="BF94" s="290"/>
      <c r="BG94" s="290"/>
      <c r="BH94" s="290"/>
      <c r="BI94" s="290"/>
      <c r="BJ94" s="290"/>
      <c r="BK94" s="290"/>
      <c r="BL94" s="290"/>
      <c r="BM94" s="290"/>
      <c r="BN94" s="290"/>
      <c r="BO94" s="290"/>
      <c r="BP94" s="290"/>
      <c r="BQ94" s="290"/>
      <c r="BR94" s="290"/>
      <c r="BS94" s="290"/>
      <c r="BT94" s="290"/>
      <c r="BU94" s="290"/>
      <c r="BV94" s="290"/>
      <c r="BW94" s="290"/>
    </row>
    <row r="95" spans="1:75" x14ac:dyDescent="0.2">
      <c r="A95" s="313" t="str">
        <f>A84</f>
        <v>Animal Health revenues</v>
      </c>
      <c r="B95" s="751"/>
      <c r="C95" s="314"/>
      <c r="D95" s="314"/>
      <c r="E95" s="314"/>
      <c r="F95" s="340"/>
      <c r="G95" s="339"/>
      <c r="H95" s="339"/>
      <c r="I95" s="339"/>
      <c r="J95" s="340"/>
      <c r="K95" s="339"/>
      <c r="L95" s="339"/>
      <c r="M95" s="339"/>
      <c r="N95" s="326" t="s">
        <v>425</v>
      </c>
      <c r="O95" s="327" t="s">
        <v>425</v>
      </c>
      <c r="P95" s="327" t="s">
        <v>425</v>
      </c>
      <c r="Q95" s="327" t="s">
        <v>425</v>
      </c>
      <c r="R95" s="326" t="s">
        <v>425</v>
      </c>
      <c r="S95" s="327" t="s">
        <v>425</v>
      </c>
      <c r="T95" s="327" t="s">
        <v>425</v>
      </c>
      <c r="U95" s="327" t="s">
        <v>425</v>
      </c>
      <c r="V95" s="326" t="s">
        <v>425</v>
      </c>
      <c r="W95" s="327" t="s">
        <v>425</v>
      </c>
      <c r="X95" s="327" t="s">
        <v>425</v>
      </c>
      <c r="Y95" s="327" t="s">
        <v>425</v>
      </c>
      <c r="Z95" s="326" t="s">
        <v>425</v>
      </c>
      <c r="AA95" s="327" t="s">
        <v>425</v>
      </c>
      <c r="AB95" s="327" t="s">
        <v>425</v>
      </c>
      <c r="AC95" s="327" t="s">
        <v>425</v>
      </c>
      <c r="AD95" s="340">
        <f t="shared" ref="AD95:AW95" si="78">AD84+Z84</f>
        <v>48.522959999999998</v>
      </c>
      <c r="AE95" s="339">
        <f t="shared" si="78"/>
        <v>73.262516999999988</v>
      </c>
      <c r="AF95" s="339">
        <f t="shared" si="78"/>
        <v>87.31472500000001</v>
      </c>
      <c r="AG95" s="339">
        <f t="shared" si="78"/>
        <v>80.171765999999991</v>
      </c>
      <c r="AH95" s="340">
        <f t="shared" si="78"/>
        <v>42.2348</v>
      </c>
      <c r="AI95" s="339">
        <f t="shared" si="78"/>
        <v>53.166975000000001</v>
      </c>
      <c r="AJ95" s="339">
        <f t="shared" si="78"/>
        <v>55.815169000000004</v>
      </c>
      <c r="AK95" s="339">
        <f t="shared" si="78"/>
        <v>67.662503000000001</v>
      </c>
      <c r="AL95" s="340">
        <f t="shared" si="78"/>
        <v>96.515712000000008</v>
      </c>
      <c r="AM95" s="339">
        <f t="shared" si="78"/>
        <v>92.857137999999992</v>
      </c>
      <c r="AN95" s="339">
        <f t="shared" si="78"/>
        <v>66.787597999999988</v>
      </c>
      <c r="AO95" s="339">
        <f t="shared" si="78"/>
        <v>78.761894999999953</v>
      </c>
      <c r="AP95" s="340">
        <f t="shared" si="78"/>
        <v>121.57961799999998</v>
      </c>
      <c r="AQ95" s="339">
        <f t="shared" si="78"/>
        <v>137.87676600000006</v>
      </c>
      <c r="AR95" s="339">
        <f t="shared" si="78"/>
        <v>126.41291100000004</v>
      </c>
      <c r="AS95" s="339">
        <f t="shared" si="78"/>
        <v>99.456626999999798</v>
      </c>
      <c r="AT95" s="340">
        <f t="shared" si="78"/>
        <v>103.13397100000007</v>
      </c>
      <c r="AU95" s="339">
        <f t="shared" si="78"/>
        <v>115.61487200000013</v>
      </c>
      <c r="AV95" s="339">
        <f t="shared" si="78"/>
        <v>117.75619300000011</v>
      </c>
      <c r="AW95" s="339">
        <f t="shared" si="78"/>
        <v>113.19161099999995</v>
      </c>
      <c r="AX95" s="350"/>
      <c r="AY95" s="290"/>
      <c r="AZ95" s="290"/>
      <c r="BA95" s="290"/>
      <c r="BB95" s="290"/>
      <c r="BC95" s="290"/>
      <c r="BD95" s="290"/>
      <c r="BE95" s="290"/>
      <c r="BF95" s="290"/>
      <c r="BG95" s="290"/>
      <c r="BH95" s="290"/>
      <c r="BI95" s="290"/>
      <c r="BJ95" s="290"/>
      <c r="BK95" s="290"/>
      <c r="BL95" s="290"/>
      <c r="BM95" s="290"/>
      <c r="BN95" s="290"/>
      <c r="BO95" s="290"/>
      <c r="BP95" s="290"/>
      <c r="BQ95" s="290"/>
      <c r="BR95" s="290"/>
      <c r="BS95" s="290"/>
      <c r="BT95" s="290"/>
      <c r="BU95" s="290"/>
      <c r="BV95" s="290"/>
      <c r="BW95" s="290"/>
    </row>
    <row r="96" spans="1:75" x14ac:dyDescent="0.2">
      <c r="A96" s="349" t="s">
        <v>427</v>
      </c>
      <c r="B96" s="752"/>
      <c r="C96" s="345"/>
      <c r="D96" s="345"/>
      <c r="E96" s="345"/>
      <c r="F96" s="346"/>
      <c r="G96" s="345"/>
      <c r="H96" s="345"/>
      <c r="I96" s="345"/>
      <c r="J96" s="346"/>
      <c r="K96" s="345"/>
      <c r="L96" s="341"/>
      <c r="M96" s="341"/>
      <c r="N96" s="322" t="s">
        <v>425</v>
      </c>
      <c r="O96" s="323" t="s">
        <v>425</v>
      </c>
      <c r="P96" s="323" t="s">
        <v>425</v>
      </c>
      <c r="Q96" s="323" t="s">
        <v>425</v>
      </c>
      <c r="R96" s="322" t="s">
        <v>425</v>
      </c>
      <c r="S96" s="323" t="s">
        <v>425</v>
      </c>
      <c r="T96" s="323" t="s">
        <v>425</v>
      </c>
      <c r="U96" s="323" t="s">
        <v>425</v>
      </c>
      <c r="V96" s="322" t="s">
        <v>425</v>
      </c>
      <c r="W96" s="323" t="s">
        <v>425</v>
      </c>
      <c r="X96" s="323" t="s">
        <v>425</v>
      </c>
      <c r="Y96" s="323" t="s">
        <v>425</v>
      </c>
      <c r="Z96" s="322" t="s">
        <v>425</v>
      </c>
      <c r="AA96" s="323" t="s">
        <v>425</v>
      </c>
      <c r="AB96" s="323" t="s">
        <v>425</v>
      </c>
      <c r="AC96" s="323" t="s">
        <v>425</v>
      </c>
      <c r="AD96" s="342">
        <f t="shared" ref="AD96:AP96" si="79">AVERAGE(AC95:AD95)</f>
        <v>48.522959999999998</v>
      </c>
      <c r="AE96" s="341">
        <f t="shared" si="79"/>
        <v>60.892738499999993</v>
      </c>
      <c r="AF96" s="341">
        <f t="shared" si="79"/>
        <v>80.288621000000006</v>
      </c>
      <c r="AG96" s="341">
        <f t="shared" si="79"/>
        <v>83.7432455</v>
      </c>
      <c r="AH96" s="342">
        <f t="shared" si="79"/>
        <v>61.203282999999999</v>
      </c>
      <c r="AI96" s="341">
        <f t="shared" si="79"/>
        <v>47.7008875</v>
      </c>
      <c r="AJ96" s="341">
        <f t="shared" si="79"/>
        <v>54.491072000000003</v>
      </c>
      <c r="AK96" s="341">
        <f t="shared" si="79"/>
        <v>61.738836000000006</v>
      </c>
      <c r="AL96" s="342">
        <f t="shared" si="79"/>
        <v>82.089107500000011</v>
      </c>
      <c r="AM96" s="341">
        <f t="shared" si="79"/>
        <v>94.686425</v>
      </c>
      <c r="AN96" s="341">
        <f t="shared" si="79"/>
        <v>79.822367999999983</v>
      </c>
      <c r="AO96" s="341">
        <f t="shared" si="79"/>
        <v>72.774746499999964</v>
      </c>
      <c r="AP96" s="342">
        <f t="shared" si="79"/>
        <v>100.17075649999997</v>
      </c>
      <c r="AQ96" s="341">
        <f t="shared" ref="AQ96:AW96" si="80">AVERAGE(AP95:AQ95)</f>
        <v>129.72819200000004</v>
      </c>
      <c r="AR96" s="341">
        <f t="shared" si="80"/>
        <v>132.14483850000005</v>
      </c>
      <c r="AS96" s="341">
        <f t="shared" si="80"/>
        <v>112.93476899999992</v>
      </c>
      <c r="AT96" s="342">
        <f>AVERAGE(AS95:AT95)</f>
        <v>101.29529899999994</v>
      </c>
      <c r="AU96" s="341">
        <f t="shared" si="80"/>
        <v>109.3744215000001</v>
      </c>
      <c r="AV96" s="341">
        <f t="shared" si="80"/>
        <v>116.68553250000012</v>
      </c>
      <c r="AW96" s="341">
        <f t="shared" si="80"/>
        <v>115.47390200000004</v>
      </c>
      <c r="AX96" s="290"/>
      <c r="AY96" s="290"/>
      <c r="AZ96" s="290"/>
      <c r="BA96" s="290"/>
      <c r="BB96" s="290"/>
      <c r="BC96" s="290"/>
      <c r="BD96" s="290"/>
      <c r="BE96" s="290"/>
      <c r="BF96" s="290"/>
      <c r="BG96" s="290"/>
      <c r="BH96" s="290"/>
      <c r="BI96" s="290"/>
      <c r="BJ96" s="290"/>
      <c r="BK96" s="290"/>
      <c r="BL96" s="290"/>
      <c r="BM96" s="290"/>
      <c r="BN96" s="290"/>
      <c r="BO96" s="290"/>
      <c r="BP96" s="290"/>
      <c r="BQ96" s="290"/>
      <c r="BR96" s="290"/>
      <c r="BS96" s="290"/>
      <c r="BT96" s="290"/>
      <c r="BU96" s="290"/>
      <c r="BV96" s="290"/>
      <c r="BW96" s="290"/>
    </row>
    <row r="97" spans="1:75" x14ac:dyDescent="0.2">
      <c r="A97" s="313" t="str">
        <f>A85</f>
        <v>Medical revenues</v>
      </c>
      <c r="B97" s="753"/>
      <c r="C97" s="316"/>
      <c r="D97" s="316"/>
      <c r="E97" s="316"/>
      <c r="F97" s="340"/>
      <c r="G97" s="339"/>
      <c r="H97" s="339"/>
      <c r="I97" s="339"/>
      <c r="J97" s="340"/>
      <c r="K97" s="339"/>
      <c r="L97" s="339"/>
      <c r="M97" s="339"/>
      <c r="N97" s="326" t="s">
        <v>425</v>
      </c>
      <c r="O97" s="327" t="s">
        <v>425</v>
      </c>
      <c r="P97" s="327" t="s">
        <v>425</v>
      </c>
      <c r="Q97" s="327" t="s">
        <v>425</v>
      </c>
      <c r="R97" s="326" t="s">
        <v>425</v>
      </c>
      <c r="S97" s="327" t="s">
        <v>425</v>
      </c>
      <c r="T97" s="327" t="s">
        <v>425</v>
      </c>
      <c r="U97" s="327" t="s">
        <v>425</v>
      </c>
      <c r="V97" s="326" t="s">
        <v>425</v>
      </c>
      <c r="W97" s="327" t="s">
        <v>425</v>
      </c>
      <c r="X97" s="327" t="s">
        <v>425</v>
      </c>
      <c r="Y97" s="327" t="s">
        <v>425</v>
      </c>
      <c r="Z97" s="326" t="s">
        <v>425</v>
      </c>
      <c r="AA97" s="327" t="s">
        <v>425</v>
      </c>
      <c r="AB97" s="327" t="s">
        <v>425</v>
      </c>
      <c r="AC97" s="327" t="s">
        <v>425</v>
      </c>
      <c r="AD97" s="340">
        <f t="shared" ref="AD97:AW97" si="81">AD85+Z85</f>
        <v>37.227798</v>
      </c>
      <c r="AE97" s="339">
        <f t="shared" si="81"/>
        <v>36.741382999999999</v>
      </c>
      <c r="AF97" s="339">
        <f t="shared" si="81"/>
        <v>36.890253999999992</v>
      </c>
      <c r="AG97" s="339">
        <f t="shared" si="81"/>
        <v>58.169200000000004</v>
      </c>
      <c r="AH97" s="340">
        <f t="shared" si="81"/>
        <v>53.877263999999997</v>
      </c>
      <c r="AI97" s="339">
        <f t="shared" si="81"/>
        <v>54.274261999999993</v>
      </c>
      <c r="AJ97" s="339">
        <f t="shared" si="81"/>
        <v>100.883712</v>
      </c>
      <c r="AK97" s="339">
        <f t="shared" si="81"/>
        <v>101.52659800000001</v>
      </c>
      <c r="AL97" s="340">
        <f t="shared" si="81"/>
        <v>141.459619</v>
      </c>
      <c r="AM97" s="339">
        <f t="shared" si="81"/>
        <v>108.14769799999999</v>
      </c>
      <c r="AN97" s="339">
        <f t="shared" si="81"/>
        <v>107.725325</v>
      </c>
      <c r="AO97" s="339">
        <f t="shared" si="81"/>
        <v>86.499967999999882</v>
      </c>
      <c r="AP97" s="340">
        <f t="shared" si="81"/>
        <v>157.16137199999991</v>
      </c>
      <c r="AQ97" s="339">
        <f t="shared" si="81"/>
        <v>100.91370599999993</v>
      </c>
      <c r="AR97" s="339">
        <f t="shared" si="81"/>
        <v>93.924372500000004</v>
      </c>
      <c r="AS97" s="339">
        <f t="shared" si="81"/>
        <v>76.448368999999957</v>
      </c>
      <c r="AT97" s="340">
        <f t="shared" si="81"/>
        <v>78.825906999999887</v>
      </c>
      <c r="AU97" s="339">
        <f t="shared" si="81"/>
        <v>83.409160999999997</v>
      </c>
      <c r="AV97" s="339">
        <f t="shared" si="81"/>
        <v>92.232339499999981</v>
      </c>
      <c r="AW97" s="339">
        <f t="shared" si="81"/>
        <v>89.648549000000145</v>
      </c>
      <c r="AX97" s="290"/>
      <c r="AY97" s="290"/>
      <c r="AZ97" s="290"/>
      <c r="BA97" s="290"/>
      <c r="BB97" s="290"/>
      <c r="BC97" s="290"/>
      <c r="BD97" s="290"/>
      <c r="BE97" s="290"/>
      <c r="BF97" s="290"/>
      <c r="BG97" s="290"/>
      <c r="BH97" s="290"/>
      <c r="BI97" s="290"/>
      <c r="BJ97" s="290"/>
      <c r="BK97" s="290"/>
      <c r="BL97" s="290"/>
      <c r="BM97" s="290"/>
      <c r="BN97" s="290"/>
      <c r="BO97" s="290"/>
      <c r="BP97" s="290"/>
      <c r="BQ97" s="290"/>
      <c r="BR97" s="290"/>
      <c r="BS97" s="290"/>
      <c r="BT97" s="290"/>
      <c r="BU97" s="290"/>
      <c r="BV97" s="290"/>
      <c r="BW97" s="290"/>
    </row>
    <row r="98" spans="1:75" x14ac:dyDescent="0.2">
      <c r="A98" s="349" t="s">
        <v>427</v>
      </c>
      <c r="B98" s="752"/>
      <c r="C98" s="345"/>
      <c r="D98" s="345"/>
      <c r="E98" s="345"/>
      <c r="F98" s="346"/>
      <c r="G98" s="345"/>
      <c r="H98" s="345"/>
      <c r="I98" s="345"/>
      <c r="J98" s="346"/>
      <c r="K98" s="345"/>
      <c r="L98" s="341"/>
      <c r="M98" s="341"/>
      <c r="N98" s="322" t="s">
        <v>425</v>
      </c>
      <c r="O98" s="323" t="s">
        <v>425</v>
      </c>
      <c r="P98" s="323" t="s">
        <v>425</v>
      </c>
      <c r="Q98" s="323" t="s">
        <v>425</v>
      </c>
      <c r="R98" s="322" t="s">
        <v>425</v>
      </c>
      <c r="S98" s="323" t="s">
        <v>425</v>
      </c>
      <c r="T98" s="323" t="s">
        <v>425</v>
      </c>
      <c r="U98" s="323" t="s">
        <v>425</v>
      </c>
      <c r="V98" s="322" t="s">
        <v>425</v>
      </c>
      <c r="W98" s="323" t="s">
        <v>425</v>
      </c>
      <c r="X98" s="323" t="s">
        <v>425</v>
      </c>
      <c r="Y98" s="323" t="s">
        <v>425</v>
      </c>
      <c r="Z98" s="322" t="s">
        <v>425</v>
      </c>
      <c r="AA98" s="323" t="s">
        <v>425</v>
      </c>
      <c r="AB98" s="323" t="s">
        <v>425</v>
      </c>
      <c r="AC98" s="323" t="s">
        <v>425</v>
      </c>
      <c r="AD98" s="342">
        <f t="shared" ref="AD98:AP98" si="82">AVERAGE(AC97:AD97)</f>
        <v>37.227798</v>
      </c>
      <c r="AE98" s="341">
        <f t="shared" si="82"/>
        <v>36.984590499999996</v>
      </c>
      <c r="AF98" s="341">
        <f t="shared" si="82"/>
        <v>36.815818499999992</v>
      </c>
      <c r="AG98" s="341">
        <f t="shared" si="82"/>
        <v>47.529726999999994</v>
      </c>
      <c r="AH98" s="342">
        <f t="shared" si="82"/>
        <v>56.023232</v>
      </c>
      <c r="AI98" s="341">
        <f t="shared" si="82"/>
        <v>54.075762999999995</v>
      </c>
      <c r="AJ98" s="341">
        <f t="shared" si="82"/>
        <v>77.578986999999998</v>
      </c>
      <c r="AK98" s="341">
        <f t="shared" si="82"/>
        <v>101.205155</v>
      </c>
      <c r="AL98" s="342">
        <f t="shared" si="82"/>
        <v>121.49310850000001</v>
      </c>
      <c r="AM98" s="341">
        <f t="shared" si="82"/>
        <v>124.8036585</v>
      </c>
      <c r="AN98" s="341">
        <f t="shared" si="82"/>
        <v>107.93651149999999</v>
      </c>
      <c r="AO98" s="341">
        <f t="shared" si="82"/>
        <v>97.11264649999994</v>
      </c>
      <c r="AP98" s="342">
        <f t="shared" si="82"/>
        <v>121.8306699999999</v>
      </c>
      <c r="AQ98" s="341">
        <f t="shared" ref="AQ98:AW98" si="83">AVERAGE(AP97:AQ97)</f>
        <v>129.03753899999992</v>
      </c>
      <c r="AR98" s="341">
        <f t="shared" si="83"/>
        <v>97.419039249999969</v>
      </c>
      <c r="AS98" s="341">
        <f t="shared" si="83"/>
        <v>85.18637074999998</v>
      </c>
      <c r="AT98" s="342">
        <f>AVERAGE(AS97:AT97)</f>
        <v>77.637137999999922</v>
      </c>
      <c r="AU98" s="341">
        <f t="shared" si="83"/>
        <v>81.117533999999949</v>
      </c>
      <c r="AV98" s="341">
        <f t="shared" si="83"/>
        <v>87.820750249999989</v>
      </c>
      <c r="AW98" s="341">
        <f t="shared" si="83"/>
        <v>90.94044425000007</v>
      </c>
      <c r="AX98" s="290"/>
      <c r="AY98" s="290"/>
      <c r="AZ98" s="290"/>
      <c r="BA98" s="290"/>
      <c r="BB98" s="290"/>
      <c r="BC98" s="290"/>
      <c r="BD98" s="290"/>
      <c r="BE98" s="290"/>
      <c r="BF98" s="290"/>
      <c r="BG98" s="290"/>
      <c r="BH98" s="290"/>
      <c r="BI98" s="290"/>
      <c r="BJ98" s="290"/>
      <c r="BK98" s="290"/>
      <c r="BL98" s="290"/>
      <c r="BM98" s="290"/>
      <c r="BN98" s="290"/>
      <c r="BO98" s="290"/>
      <c r="BP98" s="290"/>
      <c r="BQ98" s="290"/>
      <c r="BR98" s="290"/>
      <c r="BS98" s="290"/>
      <c r="BT98" s="290"/>
      <c r="BU98" s="290"/>
      <c r="BV98" s="290"/>
      <c r="BW98" s="290"/>
    </row>
    <row r="99" spans="1:75" x14ac:dyDescent="0.2">
      <c r="A99" s="298" t="s">
        <v>308</v>
      </c>
      <c r="B99" s="753"/>
      <c r="C99" s="316"/>
      <c r="D99" s="316"/>
      <c r="E99" s="316"/>
      <c r="F99" s="340"/>
      <c r="G99" s="339"/>
      <c r="H99" s="339"/>
      <c r="I99" s="339"/>
      <c r="J99" s="340"/>
      <c r="K99" s="339"/>
      <c r="L99" s="339"/>
      <c r="M99" s="339"/>
      <c r="N99" s="340">
        <f t="shared" ref="N99:Y99" si="84">N86+J86</f>
        <v>5.26891</v>
      </c>
      <c r="O99" s="339">
        <f t="shared" si="84"/>
        <v>6.4056940000000004</v>
      </c>
      <c r="P99" s="339">
        <f t="shared" si="84"/>
        <v>6.5102209999999996</v>
      </c>
      <c r="Q99" s="339">
        <f t="shared" si="84"/>
        <v>10.957343</v>
      </c>
      <c r="R99" s="340">
        <f t="shared" si="84"/>
        <v>8.0612240000000011</v>
      </c>
      <c r="S99" s="339">
        <f t="shared" si="84"/>
        <v>9.5000860000000014</v>
      </c>
      <c r="T99" s="339">
        <f t="shared" si="84"/>
        <v>10.176962</v>
      </c>
      <c r="U99" s="339">
        <f t="shared" si="84"/>
        <v>9.6250470000000021</v>
      </c>
      <c r="V99" s="340">
        <f t="shared" si="84"/>
        <v>11.214414000000001</v>
      </c>
      <c r="W99" s="339">
        <f t="shared" si="84"/>
        <v>11.432907999999999</v>
      </c>
      <c r="X99" s="339">
        <f t="shared" si="84"/>
        <v>12.518888999999998</v>
      </c>
      <c r="Y99" s="339">
        <f t="shared" si="84"/>
        <v>10.926747000000001</v>
      </c>
      <c r="Z99" s="340">
        <f t="shared" ref="Z99:AW99" si="85">Z86+V86</f>
        <v>12.371769</v>
      </c>
      <c r="AA99" s="339">
        <f t="shared" si="85"/>
        <v>11.87959</v>
      </c>
      <c r="AB99" s="339">
        <f t="shared" si="85"/>
        <v>12.997613999999999</v>
      </c>
      <c r="AC99" s="339">
        <f t="shared" si="85"/>
        <v>16.544576999999997</v>
      </c>
      <c r="AD99" s="340">
        <f t="shared" si="85"/>
        <v>11.995773</v>
      </c>
      <c r="AE99" s="339">
        <f t="shared" si="85"/>
        <v>13.800873000000001</v>
      </c>
      <c r="AF99" s="339">
        <f t="shared" si="85"/>
        <v>11.162754999999999</v>
      </c>
      <c r="AG99" s="339">
        <f t="shared" si="85"/>
        <v>8.3220569999999991</v>
      </c>
      <c r="AH99" s="340">
        <f t="shared" si="85"/>
        <v>11.057134999999999</v>
      </c>
      <c r="AI99" s="339">
        <f t="shared" si="85"/>
        <v>9.8426360000000006</v>
      </c>
      <c r="AJ99" s="339">
        <f t="shared" si="85"/>
        <v>9.6610410000000009</v>
      </c>
      <c r="AK99" s="339">
        <f t="shared" si="85"/>
        <v>4.9776349999999994</v>
      </c>
      <c r="AL99" s="340">
        <f t="shared" si="85"/>
        <v>12.853691000000001</v>
      </c>
      <c r="AM99" s="339">
        <f t="shared" si="85"/>
        <v>9.833950999999999</v>
      </c>
      <c r="AN99" s="339">
        <f t="shared" si="85"/>
        <v>11.350484000000002</v>
      </c>
      <c r="AO99" s="339">
        <f t="shared" si="85"/>
        <v>11.627042000000005</v>
      </c>
      <c r="AP99" s="340">
        <f t="shared" si="85"/>
        <v>12.042703999999997</v>
      </c>
      <c r="AQ99" s="339">
        <f t="shared" si="85"/>
        <v>9.6039180000000002</v>
      </c>
      <c r="AR99" s="339">
        <f t="shared" si="85"/>
        <v>9.9609679999999994</v>
      </c>
      <c r="AS99" s="339">
        <f t="shared" si="85"/>
        <v>11.615067999999994</v>
      </c>
      <c r="AT99" s="340">
        <f t="shared" si="85"/>
        <v>12.08597</v>
      </c>
      <c r="AU99" s="339">
        <f t="shared" si="85"/>
        <v>12.479287999999972</v>
      </c>
      <c r="AV99" s="339">
        <f t="shared" si="85"/>
        <v>12.034840000000004</v>
      </c>
      <c r="AW99" s="339">
        <f t="shared" si="85"/>
        <v>12.701345999999994</v>
      </c>
      <c r="AX99" s="290"/>
      <c r="AY99" s="290"/>
      <c r="AZ99" s="290"/>
      <c r="BA99" s="290"/>
      <c r="BB99" s="290"/>
      <c r="BC99" s="290"/>
      <c r="BD99" s="290"/>
      <c r="BE99" s="290"/>
      <c r="BF99" s="290"/>
      <c r="BG99" s="290"/>
      <c r="BH99" s="290"/>
      <c r="BI99" s="290"/>
      <c r="BJ99" s="290"/>
      <c r="BK99" s="290"/>
      <c r="BL99" s="290"/>
      <c r="BM99" s="290"/>
      <c r="BN99" s="290"/>
      <c r="BO99" s="290"/>
      <c r="BP99" s="290"/>
      <c r="BQ99" s="290"/>
      <c r="BR99" s="290"/>
      <c r="BS99" s="290"/>
      <c r="BT99" s="290"/>
      <c r="BU99" s="290"/>
      <c r="BV99" s="290"/>
      <c r="BW99" s="290"/>
    </row>
    <row r="100" spans="1:75" x14ac:dyDescent="0.2">
      <c r="A100" s="299" t="s">
        <v>427</v>
      </c>
      <c r="B100" s="752"/>
      <c r="C100" s="345"/>
      <c r="D100" s="345"/>
      <c r="E100" s="345"/>
      <c r="F100" s="346"/>
      <c r="G100" s="345"/>
      <c r="H100" s="345"/>
      <c r="I100" s="345"/>
      <c r="J100" s="346"/>
      <c r="K100" s="345"/>
      <c r="L100" s="341"/>
      <c r="M100" s="341"/>
      <c r="N100" s="342">
        <f t="shared" ref="N100:AP100" si="86">AVERAGE(M99:N99)</f>
        <v>5.26891</v>
      </c>
      <c r="O100" s="341">
        <f t="shared" si="86"/>
        <v>5.8373020000000002</v>
      </c>
      <c r="P100" s="341">
        <f t="shared" si="86"/>
        <v>6.4579575</v>
      </c>
      <c r="Q100" s="341">
        <f t="shared" si="86"/>
        <v>8.7337819999999997</v>
      </c>
      <c r="R100" s="342">
        <f t="shared" si="86"/>
        <v>9.5092835000000004</v>
      </c>
      <c r="S100" s="341">
        <f t="shared" si="86"/>
        <v>8.7806550000000012</v>
      </c>
      <c r="T100" s="341">
        <f t="shared" si="86"/>
        <v>9.8385239999999996</v>
      </c>
      <c r="U100" s="341">
        <f t="shared" si="86"/>
        <v>9.9010045000000009</v>
      </c>
      <c r="V100" s="342">
        <f t="shared" si="86"/>
        <v>10.419730500000002</v>
      </c>
      <c r="W100" s="341">
        <f t="shared" si="86"/>
        <v>11.323661000000001</v>
      </c>
      <c r="X100" s="341">
        <f t="shared" si="86"/>
        <v>11.9758985</v>
      </c>
      <c r="Y100" s="341">
        <f t="shared" si="86"/>
        <v>11.722818</v>
      </c>
      <c r="Z100" s="342">
        <f t="shared" si="86"/>
        <v>11.649258</v>
      </c>
      <c r="AA100" s="341">
        <f t="shared" si="86"/>
        <v>12.1256795</v>
      </c>
      <c r="AB100" s="341">
        <f t="shared" si="86"/>
        <v>12.438601999999999</v>
      </c>
      <c r="AC100" s="341">
        <f t="shared" si="86"/>
        <v>14.771095499999998</v>
      </c>
      <c r="AD100" s="342">
        <f t="shared" si="86"/>
        <v>14.270174999999998</v>
      </c>
      <c r="AE100" s="341">
        <f t="shared" si="86"/>
        <v>12.898323000000001</v>
      </c>
      <c r="AF100" s="341">
        <f t="shared" si="86"/>
        <v>12.481814</v>
      </c>
      <c r="AG100" s="341">
        <f t="shared" si="86"/>
        <v>9.742405999999999</v>
      </c>
      <c r="AH100" s="342">
        <f t="shared" si="86"/>
        <v>9.6895959999999981</v>
      </c>
      <c r="AI100" s="341">
        <f t="shared" si="86"/>
        <v>10.449885500000001</v>
      </c>
      <c r="AJ100" s="341">
        <f t="shared" si="86"/>
        <v>9.7518385000000016</v>
      </c>
      <c r="AK100" s="341">
        <f t="shared" si="86"/>
        <v>7.3193380000000001</v>
      </c>
      <c r="AL100" s="342">
        <f t="shared" si="86"/>
        <v>8.9156630000000003</v>
      </c>
      <c r="AM100" s="341">
        <f t="shared" si="86"/>
        <v>11.343821</v>
      </c>
      <c r="AN100" s="341">
        <f t="shared" si="86"/>
        <v>10.5922175</v>
      </c>
      <c r="AO100" s="341">
        <f t="shared" si="86"/>
        <v>11.488763000000002</v>
      </c>
      <c r="AP100" s="342">
        <f t="shared" si="86"/>
        <v>11.834873000000002</v>
      </c>
      <c r="AQ100" s="341">
        <f t="shared" ref="AQ100:AW100" si="87">AVERAGE(AP99:AQ99)</f>
        <v>10.823310999999999</v>
      </c>
      <c r="AR100" s="341">
        <f t="shared" si="87"/>
        <v>9.7824430000000007</v>
      </c>
      <c r="AS100" s="341">
        <f t="shared" si="87"/>
        <v>10.788017999999997</v>
      </c>
      <c r="AT100" s="342">
        <f>AVERAGE(AS99:AT99)</f>
        <v>11.850518999999997</v>
      </c>
      <c r="AU100" s="341">
        <f t="shared" si="87"/>
        <v>12.282628999999986</v>
      </c>
      <c r="AV100" s="341">
        <f t="shared" si="87"/>
        <v>12.257063999999989</v>
      </c>
      <c r="AW100" s="341">
        <f t="shared" si="87"/>
        <v>12.368092999999998</v>
      </c>
      <c r="AX100" s="290"/>
      <c r="AY100" s="290"/>
      <c r="AZ100" s="290"/>
      <c r="BA100" s="290"/>
      <c r="BB100" s="290"/>
      <c r="BC100" s="290"/>
      <c r="BD100" s="290"/>
      <c r="BE100" s="290"/>
      <c r="BF100" s="290"/>
      <c r="BG100" s="290"/>
      <c r="BH100" s="290"/>
      <c r="BI100" s="290"/>
      <c r="BJ100" s="290"/>
      <c r="BK100" s="290"/>
      <c r="BL100" s="290"/>
      <c r="BM100" s="290"/>
      <c r="BN100" s="290"/>
      <c r="BO100" s="290"/>
      <c r="BP100" s="290"/>
      <c r="BQ100" s="290"/>
      <c r="BR100" s="290"/>
      <c r="BS100" s="290"/>
      <c r="BT100" s="290"/>
      <c r="BU100" s="290"/>
      <c r="BV100" s="290"/>
      <c r="BW100" s="290"/>
    </row>
    <row r="101" spans="1:75" x14ac:dyDescent="0.2">
      <c r="A101" s="338" t="str">
        <f>A87</f>
        <v>Total Revenue</v>
      </c>
      <c r="B101" s="751"/>
      <c r="C101" s="314"/>
      <c r="D101" s="314"/>
      <c r="E101" s="314"/>
      <c r="F101" s="351"/>
      <c r="G101" s="317"/>
      <c r="H101" s="317"/>
      <c r="I101" s="317"/>
      <c r="J101" s="351">
        <f t="shared" ref="J101:Y101" si="88">J87+F87</f>
        <v>46.912724999999988</v>
      </c>
      <c r="K101" s="317">
        <f t="shared" si="88"/>
        <v>66.966637000000006</v>
      </c>
      <c r="L101" s="317">
        <f t="shared" si="88"/>
        <v>23.257395999999993</v>
      </c>
      <c r="M101" s="317">
        <f t="shared" si="88"/>
        <v>-3.843599999999995</v>
      </c>
      <c r="N101" s="351">
        <f t="shared" si="88"/>
        <v>55.141300999999977</v>
      </c>
      <c r="O101" s="317">
        <f t="shared" si="88"/>
        <v>45.242070999999989</v>
      </c>
      <c r="P101" s="317">
        <f t="shared" si="88"/>
        <v>51.533767000000005</v>
      </c>
      <c r="Q101" s="317">
        <f t="shared" si="88"/>
        <v>106.14795299999999</v>
      </c>
      <c r="R101" s="351">
        <f t="shared" si="88"/>
        <v>114.42419599999999</v>
      </c>
      <c r="S101" s="317">
        <f t="shared" si="88"/>
        <v>137.32257000000001</v>
      </c>
      <c r="T101" s="317">
        <f t="shared" si="88"/>
        <v>123.884884</v>
      </c>
      <c r="U101" s="317">
        <f t="shared" si="88"/>
        <v>166.18977699999996</v>
      </c>
      <c r="V101" s="351">
        <f t="shared" si="88"/>
        <v>218.817138</v>
      </c>
      <c r="W101" s="317">
        <f t="shared" si="88"/>
        <v>201.575896</v>
      </c>
      <c r="X101" s="317">
        <f t="shared" si="88"/>
        <v>155.40035499999999</v>
      </c>
      <c r="Y101" s="317">
        <f t="shared" si="88"/>
        <v>247.65798399999997</v>
      </c>
      <c r="Z101" s="351">
        <f t="shared" ref="Z101:AW101" si="89">Z87+V87</f>
        <v>221.19298499999996</v>
      </c>
      <c r="AA101" s="317">
        <f t="shared" si="89"/>
        <v>186.06751999999994</v>
      </c>
      <c r="AB101" s="317">
        <f t="shared" si="89"/>
        <v>168.770464</v>
      </c>
      <c r="AC101" s="317">
        <f t="shared" si="89"/>
        <v>229.52108599999997</v>
      </c>
      <c r="AD101" s="351">
        <f t="shared" si="89"/>
        <v>135.77944600000001</v>
      </c>
      <c r="AE101" s="317">
        <f t="shared" si="89"/>
        <v>190.90590999999998</v>
      </c>
      <c r="AF101" s="317">
        <f t="shared" si="89"/>
        <v>226.18915600000003</v>
      </c>
      <c r="AG101" s="317">
        <f t="shared" si="89"/>
        <v>212.904336</v>
      </c>
      <c r="AH101" s="351">
        <f t="shared" si="89"/>
        <v>183.15945099999999</v>
      </c>
      <c r="AI101" s="317">
        <f t="shared" si="89"/>
        <v>204.84866399999999</v>
      </c>
      <c r="AJ101" s="317">
        <f t="shared" si="89"/>
        <v>276.27217600000006</v>
      </c>
      <c r="AK101" s="317">
        <f t="shared" si="89"/>
        <v>299.42837000000003</v>
      </c>
      <c r="AL101" s="351">
        <f t="shared" si="89"/>
        <v>345.76670999999999</v>
      </c>
      <c r="AM101" s="317">
        <f t="shared" si="89"/>
        <v>301.82915399999996</v>
      </c>
      <c r="AN101" s="317">
        <f t="shared" si="89"/>
        <v>287.08909199999999</v>
      </c>
      <c r="AO101" s="317">
        <f t="shared" si="89"/>
        <v>295.374796</v>
      </c>
      <c r="AP101" s="351">
        <f t="shared" si="89"/>
        <v>389.417506</v>
      </c>
      <c r="AQ101" s="317">
        <f t="shared" si="89"/>
        <v>335.5251440000003</v>
      </c>
      <c r="AR101" s="317">
        <f t="shared" si="89"/>
        <v>315.86809199999999</v>
      </c>
      <c r="AS101" s="317">
        <f t="shared" si="89"/>
        <v>279.24344799999972</v>
      </c>
      <c r="AT101" s="351">
        <f t="shared" si="89"/>
        <v>274.8973169999997</v>
      </c>
      <c r="AU101" s="317">
        <f t="shared" si="89"/>
        <v>307.25536400000038</v>
      </c>
      <c r="AV101" s="317">
        <f t="shared" si="89"/>
        <v>310.91184199999987</v>
      </c>
      <c r="AW101" s="317">
        <f t="shared" si="89"/>
        <v>314.37617200000011</v>
      </c>
      <c r="AX101" s="290"/>
      <c r="AY101" s="290"/>
      <c r="AZ101" s="290"/>
      <c r="BA101" s="290"/>
      <c r="BB101" s="290"/>
      <c r="BC101" s="290"/>
      <c r="BD101" s="290"/>
      <c r="BE101" s="290"/>
      <c r="BF101" s="290"/>
      <c r="BG101" s="290"/>
      <c r="BH101" s="290"/>
      <c r="BI101" s="290"/>
      <c r="BJ101" s="290"/>
      <c r="BK101" s="290"/>
      <c r="BL101" s="290"/>
      <c r="BM101" s="290"/>
      <c r="BN101" s="290"/>
      <c r="BO101" s="290"/>
      <c r="BP101" s="290"/>
      <c r="BQ101" s="290"/>
      <c r="BR101" s="290"/>
      <c r="BS101" s="290"/>
      <c r="BT101" s="290"/>
      <c r="BU101" s="290"/>
      <c r="BV101" s="290"/>
      <c r="BW101" s="290"/>
    </row>
    <row r="102" spans="1:75" x14ac:dyDescent="0.2">
      <c r="A102" s="308" t="s">
        <v>427</v>
      </c>
      <c r="B102" s="752"/>
      <c r="C102" s="345"/>
      <c r="D102" s="345"/>
      <c r="E102" s="345"/>
      <c r="F102" s="346"/>
      <c r="G102" s="345"/>
      <c r="H102" s="345"/>
      <c r="I102" s="345"/>
      <c r="J102" s="346"/>
      <c r="K102" s="341">
        <f t="shared" ref="K102:AK102" si="90">AVERAGE(J101:K101)</f>
        <v>56.939680999999993</v>
      </c>
      <c r="L102" s="341">
        <f t="shared" si="90"/>
        <v>45.112016499999996</v>
      </c>
      <c r="M102" s="341">
        <f t="shared" si="90"/>
        <v>9.7068979999999989</v>
      </c>
      <c r="N102" s="342">
        <f>AVERAGE(M101:N101)</f>
        <v>25.648850499999991</v>
      </c>
      <c r="O102" s="341">
        <f t="shared" si="90"/>
        <v>50.191685999999983</v>
      </c>
      <c r="P102" s="341">
        <f t="shared" si="90"/>
        <v>48.387918999999997</v>
      </c>
      <c r="Q102" s="341">
        <f t="shared" si="90"/>
        <v>78.840859999999992</v>
      </c>
      <c r="R102" s="342">
        <f>AVERAGE(Q101:R101)</f>
        <v>110.28607449999998</v>
      </c>
      <c r="S102" s="341">
        <f t="shared" si="90"/>
        <v>125.873383</v>
      </c>
      <c r="T102" s="341">
        <f t="shared" si="90"/>
        <v>130.60372699999999</v>
      </c>
      <c r="U102" s="341">
        <f t="shared" si="90"/>
        <v>145.0373305</v>
      </c>
      <c r="V102" s="342">
        <f>AVERAGE(U101:V101)</f>
        <v>192.50345749999997</v>
      </c>
      <c r="W102" s="341">
        <f t="shared" si="90"/>
        <v>210.196517</v>
      </c>
      <c r="X102" s="341">
        <f t="shared" si="90"/>
        <v>178.4881255</v>
      </c>
      <c r="Y102" s="341">
        <f t="shared" si="90"/>
        <v>201.52916949999997</v>
      </c>
      <c r="Z102" s="342">
        <f>AVERAGE(Y101:Z101)</f>
        <v>234.42548449999998</v>
      </c>
      <c r="AA102" s="341">
        <f t="shared" si="90"/>
        <v>203.63025249999995</v>
      </c>
      <c r="AB102" s="341">
        <f t="shared" si="90"/>
        <v>177.41899199999997</v>
      </c>
      <c r="AC102" s="341">
        <f t="shared" si="90"/>
        <v>199.14577499999999</v>
      </c>
      <c r="AD102" s="342">
        <f>AVERAGE(AC101:AD101)</f>
        <v>182.65026599999999</v>
      </c>
      <c r="AE102" s="341">
        <f>AVERAGE(AD101:AE101)</f>
        <v>163.34267799999998</v>
      </c>
      <c r="AF102" s="341">
        <f>AVERAGE(AE101:AF101)</f>
        <v>208.54753299999999</v>
      </c>
      <c r="AG102" s="341">
        <f>AVERAGE(AF101:AG101)</f>
        <v>219.54674600000001</v>
      </c>
      <c r="AH102" s="342">
        <f>AVERAGE(AG101:AH101)</f>
        <v>198.0318935</v>
      </c>
      <c r="AI102" s="341">
        <f t="shared" si="90"/>
        <v>194.00405749999999</v>
      </c>
      <c r="AJ102" s="341">
        <f t="shared" si="90"/>
        <v>240.56042000000002</v>
      </c>
      <c r="AK102" s="341">
        <f t="shared" si="90"/>
        <v>287.85027300000002</v>
      </c>
      <c r="AL102" s="342">
        <f>AVERAGE(AK101:AL101)</f>
        <v>322.59753999999998</v>
      </c>
      <c r="AM102" s="341">
        <f>AVERAGE(AL101:AM101)</f>
        <v>323.79793199999995</v>
      </c>
      <c r="AN102" s="341">
        <f>AVERAGE(AM101:AN101)</f>
        <v>294.45912299999998</v>
      </c>
      <c r="AO102" s="341">
        <f>AVERAGE(AN101:AO101)</f>
        <v>291.231944</v>
      </c>
      <c r="AP102" s="342">
        <f>AVERAGE(AO101:AP101)</f>
        <v>342.39615100000003</v>
      </c>
      <c r="AQ102" s="341">
        <f t="shared" ref="AQ102:AW102" si="91">AVERAGE(AP101:AQ101)</f>
        <v>362.47132500000015</v>
      </c>
      <c r="AR102" s="341">
        <f t="shared" si="91"/>
        <v>325.69661800000017</v>
      </c>
      <c r="AS102" s="341">
        <f t="shared" si="91"/>
        <v>297.55576999999982</v>
      </c>
      <c r="AT102" s="342">
        <f>AVERAGE(AS101:AT101)</f>
        <v>277.07038249999971</v>
      </c>
      <c r="AU102" s="341">
        <f t="shared" si="91"/>
        <v>291.07634050000001</v>
      </c>
      <c r="AV102" s="341">
        <f t="shared" si="91"/>
        <v>309.08360300000015</v>
      </c>
      <c r="AW102" s="341">
        <f t="shared" si="91"/>
        <v>312.64400699999999</v>
      </c>
      <c r="AX102" s="290"/>
      <c r="AY102" s="290"/>
      <c r="AZ102" s="290"/>
      <c r="BA102" s="290"/>
      <c r="BB102" s="290"/>
      <c r="BC102" s="290"/>
      <c r="BD102" s="290"/>
      <c r="BE102" s="290"/>
      <c r="BF102" s="290"/>
      <c r="BG102" s="290"/>
      <c r="BH102" s="290"/>
      <c r="BI102" s="290"/>
      <c r="BJ102" s="290"/>
      <c r="BK102" s="290"/>
      <c r="BL102" s="290"/>
      <c r="BM102" s="290"/>
      <c r="BN102" s="290"/>
      <c r="BO102" s="290"/>
      <c r="BP102" s="290"/>
      <c r="BQ102" s="290"/>
      <c r="BR102" s="290"/>
      <c r="BS102" s="290"/>
      <c r="BT102" s="290"/>
      <c r="BU102" s="290"/>
      <c r="BV102" s="290"/>
      <c r="BW102" s="290"/>
    </row>
    <row r="103" spans="1:75" s="297" customFormat="1" x14ac:dyDescent="0.2">
      <c r="A103" s="352" t="s">
        <v>428</v>
      </c>
      <c r="B103" s="754"/>
      <c r="C103" s="353"/>
      <c r="D103" s="353"/>
      <c r="E103" s="353"/>
      <c r="F103" s="361"/>
      <c r="G103" s="353"/>
      <c r="H103" s="353"/>
      <c r="I103" s="353"/>
      <c r="J103" s="361"/>
      <c r="K103" s="353"/>
      <c r="L103" s="353"/>
      <c r="M103" s="353"/>
      <c r="N103" s="361"/>
      <c r="O103" s="353"/>
      <c r="P103" s="353"/>
      <c r="Q103" s="353"/>
      <c r="R103" s="361"/>
      <c r="S103" s="353"/>
      <c r="T103" s="353"/>
      <c r="U103" s="353"/>
      <c r="V103" s="361"/>
      <c r="W103" s="353"/>
      <c r="X103" s="353"/>
      <c r="Y103" s="353"/>
      <c r="Z103" s="361"/>
      <c r="AA103" s="353"/>
      <c r="AB103" s="353"/>
      <c r="AC103" s="353"/>
      <c r="AD103" s="354">
        <f t="shared" ref="AD103:AW103" si="92">+AD102/2/Z69</f>
        <v>3.9818920859764788E-2</v>
      </c>
      <c r="AE103" s="355">
        <f t="shared" si="92"/>
        <v>3.4146248656874913E-2</v>
      </c>
      <c r="AF103" s="355">
        <f t="shared" si="92"/>
        <v>4.4391536708222712E-2</v>
      </c>
      <c r="AG103" s="355">
        <f t="shared" si="92"/>
        <v>4.3451027759196008E-2</v>
      </c>
      <c r="AH103" s="354">
        <f t="shared" si="92"/>
        <v>4.0744637182176142E-2</v>
      </c>
      <c r="AI103" s="355">
        <f t="shared" si="92"/>
        <v>3.7088707737919085E-2</v>
      </c>
      <c r="AJ103" s="355">
        <f t="shared" si="92"/>
        <v>4.5843229235946241E-2</v>
      </c>
      <c r="AK103" s="355">
        <f t="shared" si="92"/>
        <v>5.3264257265470953E-2</v>
      </c>
      <c r="AL103" s="354">
        <f t="shared" si="92"/>
        <v>6.5471569373197286E-2</v>
      </c>
      <c r="AM103" s="355">
        <f t="shared" si="92"/>
        <v>6.1574462598694715E-2</v>
      </c>
      <c r="AN103" s="355">
        <f t="shared" si="92"/>
        <v>5.4817053728170202E-2</v>
      </c>
      <c r="AO103" s="355">
        <f t="shared" si="92"/>
        <v>5.1076871379674899E-2</v>
      </c>
      <c r="AP103" s="354">
        <f t="shared" si="92"/>
        <v>6.3104284873342159E-2</v>
      </c>
      <c r="AQ103" s="355">
        <f t="shared" si="92"/>
        <v>6.3090499820721804E-2</v>
      </c>
      <c r="AR103" s="355">
        <f t="shared" si="92"/>
        <v>5.6837660393110612E-2</v>
      </c>
      <c r="AS103" s="355">
        <f t="shared" si="92"/>
        <v>4.7670948824935076E-2</v>
      </c>
      <c r="AT103" s="354">
        <f t="shared" si="92"/>
        <v>4.7395708459404634E-2</v>
      </c>
      <c r="AU103" s="355">
        <f t="shared" si="92"/>
        <v>4.7569919328848444E-2</v>
      </c>
      <c r="AV103" s="355">
        <f t="shared" si="92"/>
        <v>4.8888878115506636E-2</v>
      </c>
      <c r="AW103" s="355">
        <f t="shared" si="92"/>
        <v>4.7111987635070018E-2</v>
      </c>
      <c r="AX103" s="316"/>
      <c r="AY103" s="316"/>
      <c r="AZ103" s="316"/>
      <c r="BA103" s="316"/>
      <c r="BB103" s="316"/>
      <c r="BC103" s="316"/>
      <c r="BD103" s="316"/>
      <c r="BE103" s="316"/>
      <c r="BF103" s="316"/>
      <c r="BG103" s="316"/>
      <c r="BH103" s="316"/>
      <c r="BI103" s="316"/>
      <c r="BJ103" s="316"/>
      <c r="BK103" s="316"/>
      <c r="BL103" s="316"/>
      <c r="BM103" s="316"/>
      <c r="BN103" s="316"/>
      <c r="BO103" s="316"/>
      <c r="BP103" s="316"/>
      <c r="BQ103" s="316"/>
      <c r="BR103" s="316"/>
      <c r="BS103" s="316"/>
      <c r="BT103" s="316"/>
      <c r="BU103" s="316"/>
      <c r="BV103" s="316"/>
      <c r="BW103" s="316"/>
    </row>
    <row r="104" spans="1:75" s="297" customFormat="1" x14ac:dyDescent="0.2">
      <c r="A104" s="338" t="s">
        <v>429</v>
      </c>
      <c r="B104" s="751"/>
      <c r="C104" s="314"/>
      <c r="D104" s="314"/>
      <c r="E104" s="314"/>
      <c r="F104" s="351"/>
      <c r="G104" s="317"/>
      <c r="H104" s="317"/>
      <c r="I104" s="317"/>
      <c r="J104" s="351"/>
      <c r="K104" s="317">
        <f t="shared" ref="K104:AW104" si="93">AVERAGE(H101:K101)</f>
        <v>56.939680999999993</v>
      </c>
      <c r="L104" s="317">
        <f t="shared" si="93"/>
        <v>45.712252666666664</v>
      </c>
      <c r="M104" s="317">
        <f t="shared" si="93"/>
        <v>33.323289500000001</v>
      </c>
      <c r="N104" s="351">
        <f t="shared" si="93"/>
        <v>35.380433499999995</v>
      </c>
      <c r="O104" s="317">
        <f t="shared" si="93"/>
        <v>29.949291999999993</v>
      </c>
      <c r="P104" s="317">
        <f t="shared" si="93"/>
        <v>37.018384749999996</v>
      </c>
      <c r="Q104" s="317">
        <f t="shared" si="93"/>
        <v>64.516272999999984</v>
      </c>
      <c r="R104" s="351">
        <f t="shared" si="93"/>
        <v>79.336996749999997</v>
      </c>
      <c r="S104" s="317">
        <f t="shared" si="93"/>
        <v>102.35712150000001</v>
      </c>
      <c r="T104" s="317">
        <f t="shared" si="93"/>
        <v>120.44490075</v>
      </c>
      <c r="U104" s="317">
        <f t="shared" si="93"/>
        <v>135.45535674999999</v>
      </c>
      <c r="V104" s="351">
        <f t="shared" si="93"/>
        <v>161.55359224999998</v>
      </c>
      <c r="W104" s="317">
        <f t="shared" si="93"/>
        <v>177.61692375000001</v>
      </c>
      <c r="X104" s="317">
        <f t="shared" si="93"/>
        <v>185.4957915</v>
      </c>
      <c r="Y104" s="317">
        <f t="shared" si="93"/>
        <v>205.86284324999997</v>
      </c>
      <c r="Z104" s="351">
        <f t="shared" si="93"/>
        <v>206.45680499999997</v>
      </c>
      <c r="AA104" s="317">
        <f t="shared" si="93"/>
        <v>202.57971099999995</v>
      </c>
      <c r="AB104" s="317">
        <f t="shared" si="93"/>
        <v>205.92223824999996</v>
      </c>
      <c r="AC104" s="317">
        <f t="shared" si="93"/>
        <v>201.38801374999997</v>
      </c>
      <c r="AD104" s="351">
        <f t="shared" si="93"/>
        <v>180.034629</v>
      </c>
      <c r="AE104" s="317">
        <f t="shared" si="93"/>
        <v>181.24422649999997</v>
      </c>
      <c r="AF104" s="317">
        <f t="shared" si="93"/>
        <v>195.59889949999999</v>
      </c>
      <c r="AG104" s="317">
        <f t="shared" si="93"/>
        <v>191.44471199999998</v>
      </c>
      <c r="AH104" s="351">
        <f t="shared" si="93"/>
        <v>203.28971324999998</v>
      </c>
      <c r="AI104" s="317">
        <f t="shared" si="93"/>
        <v>206.77540174999999</v>
      </c>
      <c r="AJ104" s="317">
        <f t="shared" si="93"/>
        <v>219.29615674999999</v>
      </c>
      <c r="AK104" s="317">
        <f t="shared" si="93"/>
        <v>240.92716525000003</v>
      </c>
      <c r="AL104" s="351">
        <f t="shared" si="93"/>
        <v>281.57898</v>
      </c>
      <c r="AM104" s="317">
        <f t="shared" si="93"/>
        <v>305.82410249999998</v>
      </c>
      <c r="AN104" s="317">
        <f t="shared" si="93"/>
        <v>308.52833149999998</v>
      </c>
      <c r="AO104" s="317">
        <f t="shared" si="93"/>
        <v>307.51493799999997</v>
      </c>
      <c r="AP104" s="351">
        <f t="shared" si="93"/>
        <v>318.427637</v>
      </c>
      <c r="AQ104" s="317">
        <f t="shared" si="93"/>
        <v>326.85163450000005</v>
      </c>
      <c r="AR104" s="317">
        <f t="shared" si="93"/>
        <v>334.0463845000001</v>
      </c>
      <c r="AS104" s="317">
        <f t="shared" si="93"/>
        <v>330.01354750000002</v>
      </c>
      <c r="AT104" s="351">
        <f t="shared" si="93"/>
        <v>301.38350024999994</v>
      </c>
      <c r="AU104" s="317">
        <f t="shared" si="93"/>
        <v>294.31605524999992</v>
      </c>
      <c r="AV104" s="317">
        <f t="shared" si="93"/>
        <v>293.07699274999993</v>
      </c>
      <c r="AW104" s="317">
        <f t="shared" si="93"/>
        <v>301.86017375</v>
      </c>
      <c r="AX104" s="316"/>
      <c r="AY104" s="316"/>
      <c r="AZ104" s="316"/>
      <c r="BA104" s="316"/>
      <c r="BB104" s="316"/>
      <c r="BC104" s="316"/>
      <c r="BD104" s="316"/>
      <c r="BE104" s="316"/>
      <c r="BF104" s="316"/>
      <c r="BG104" s="316"/>
      <c r="BH104" s="316"/>
      <c r="BI104" s="316"/>
      <c r="BJ104" s="316"/>
      <c r="BK104" s="316"/>
      <c r="BL104" s="316"/>
      <c r="BM104" s="316"/>
      <c r="BN104" s="316"/>
      <c r="BO104" s="316"/>
      <c r="BP104" s="316"/>
      <c r="BQ104" s="316"/>
      <c r="BR104" s="316"/>
      <c r="BS104" s="316"/>
      <c r="BT104" s="316"/>
      <c r="BU104" s="316"/>
      <c r="BV104" s="316"/>
      <c r="BW104" s="316"/>
    </row>
    <row r="105" spans="1:75" s="297" customFormat="1" x14ac:dyDescent="0.2">
      <c r="A105" s="352" t="s">
        <v>428</v>
      </c>
      <c r="B105" s="754"/>
      <c r="C105" s="353"/>
      <c r="D105" s="353"/>
      <c r="E105" s="353"/>
      <c r="F105" s="361"/>
      <c r="G105" s="353"/>
      <c r="H105" s="353"/>
      <c r="I105" s="353"/>
      <c r="J105" s="361"/>
      <c r="K105" s="353"/>
      <c r="L105" s="353"/>
      <c r="M105" s="353"/>
      <c r="N105" s="361"/>
      <c r="O105" s="353"/>
      <c r="P105" s="353"/>
      <c r="Q105" s="353"/>
      <c r="R105" s="361"/>
      <c r="S105" s="353"/>
      <c r="T105" s="353"/>
      <c r="U105" s="353"/>
      <c r="V105" s="361"/>
      <c r="W105" s="353"/>
      <c r="X105" s="353"/>
      <c r="Y105" s="353"/>
      <c r="Z105" s="361"/>
      <c r="AA105" s="353"/>
      <c r="AB105" s="353"/>
      <c r="AC105" s="353"/>
      <c r="AD105" s="354">
        <f t="shared" ref="AD105:AW105" si="94">+AD104/2/Z69</f>
        <v>3.9248695340898733E-2</v>
      </c>
      <c r="AE105" s="355">
        <f t="shared" si="94"/>
        <v>3.7888508389044277E-2</v>
      </c>
      <c r="AF105" s="355">
        <f t="shared" si="94"/>
        <v>4.1635283823962643E-2</v>
      </c>
      <c r="AG105" s="355">
        <f t="shared" si="94"/>
        <v>3.7889286209066765E-2</v>
      </c>
      <c r="AH105" s="354">
        <f t="shared" si="94"/>
        <v>4.1826422314342387E-2</v>
      </c>
      <c r="AI105" s="355">
        <f t="shared" si="94"/>
        <v>3.953026829295337E-2</v>
      </c>
      <c r="AJ105" s="355">
        <f t="shared" si="94"/>
        <v>4.179093129473356E-2</v>
      </c>
      <c r="AK105" s="355">
        <f t="shared" si="94"/>
        <v>4.4581533233830337E-2</v>
      </c>
      <c r="AL105" s="354">
        <f t="shared" si="94"/>
        <v>5.7146801935018268E-2</v>
      </c>
      <c r="AM105" s="355">
        <f t="shared" si="94"/>
        <v>5.8156501015471686E-2</v>
      </c>
      <c r="AN105" s="355">
        <f t="shared" si="94"/>
        <v>5.7436203545638512E-2</v>
      </c>
      <c r="AO105" s="355">
        <f t="shared" si="94"/>
        <v>5.3932617142969382E-2</v>
      </c>
      <c r="AP105" s="354">
        <f t="shared" si="94"/>
        <v>5.8686840544516478E-2</v>
      </c>
      <c r="AQ105" s="355">
        <f t="shared" si="94"/>
        <v>5.6890660213811041E-2</v>
      </c>
      <c r="AR105" s="355">
        <f t="shared" si="94"/>
        <v>5.8294786953413939E-2</v>
      </c>
      <c r="AS105" s="355">
        <f t="shared" si="94"/>
        <v>5.2870959062255085E-2</v>
      </c>
      <c r="AT105" s="354">
        <f t="shared" si="94"/>
        <v>5.1554714666494229E-2</v>
      </c>
      <c r="AU105" s="355">
        <f t="shared" si="94"/>
        <v>4.8099378264058523E-2</v>
      </c>
      <c r="AV105" s="355">
        <f t="shared" si="94"/>
        <v>4.6357054330746758E-2</v>
      </c>
      <c r="AW105" s="355">
        <f t="shared" si="94"/>
        <v>4.5486983453452499E-2</v>
      </c>
      <c r="AX105" s="316"/>
      <c r="AY105" s="316"/>
      <c r="AZ105" s="316"/>
      <c r="BA105" s="316"/>
      <c r="BB105" s="316"/>
      <c r="BC105" s="316"/>
      <c r="BD105" s="316"/>
      <c r="BE105" s="316"/>
      <c r="BF105" s="316"/>
      <c r="BG105" s="316"/>
      <c r="BH105" s="316"/>
      <c r="BI105" s="316"/>
      <c r="BJ105" s="316"/>
      <c r="BK105" s="316"/>
      <c r="BL105" s="316"/>
      <c r="BM105" s="316"/>
      <c r="BN105" s="316"/>
      <c r="BO105" s="316"/>
      <c r="BP105" s="316"/>
      <c r="BQ105" s="316"/>
      <c r="BR105" s="316"/>
      <c r="BS105" s="316"/>
      <c r="BT105" s="316"/>
      <c r="BU105" s="316"/>
      <c r="BV105" s="316"/>
      <c r="BW105" s="316"/>
    </row>
    <row r="106" spans="1:75" s="297" customFormat="1" x14ac:dyDescent="0.2">
      <c r="A106" s="314"/>
      <c r="B106" s="314"/>
      <c r="C106" s="314"/>
      <c r="D106" s="314"/>
      <c r="E106" s="314"/>
      <c r="F106" s="314"/>
      <c r="G106" s="314"/>
      <c r="H106" s="314"/>
      <c r="I106" s="314"/>
      <c r="J106" s="314"/>
      <c r="K106" s="314"/>
      <c r="L106" s="314"/>
      <c r="M106" s="314"/>
      <c r="N106" s="314"/>
      <c r="O106" s="314"/>
      <c r="P106" s="314"/>
      <c r="Q106" s="314"/>
      <c r="R106" s="314"/>
      <c r="S106" s="314"/>
      <c r="T106" s="314"/>
      <c r="U106" s="314"/>
      <c r="V106" s="314"/>
      <c r="W106" s="314"/>
      <c r="X106" s="314"/>
      <c r="Y106" s="314"/>
      <c r="Z106" s="314"/>
      <c r="AA106" s="314"/>
      <c r="AB106" s="314"/>
      <c r="AC106" s="314"/>
      <c r="AD106" s="314"/>
      <c r="AE106" s="314"/>
      <c r="AF106" s="314"/>
      <c r="AG106" s="314"/>
      <c r="AH106" s="314"/>
      <c r="AI106" s="314"/>
      <c r="AJ106" s="314"/>
      <c r="AK106" s="314"/>
      <c r="AL106" s="314"/>
      <c r="AM106" s="314"/>
      <c r="AN106" s="314"/>
      <c r="AO106" s="314"/>
      <c r="AP106" s="314"/>
      <c r="AQ106" s="314"/>
      <c r="AR106" s="314"/>
      <c r="AS106" s="314"/>
      <c r="AT106" s="314"/>
      <c r="AU106" s="314"/>
      <c r="AV106" s="314"/>
      <c r="AW106" s="314"/>
      <c r="AX106" s="316"/>
      <c r="AY106" s="316"/>
      <c r="AZ106" s="316"/>
      <c r="BA106" s="316"/>
      <c r="BB106" s="316"/>
      <c r="BC106" s="316"/>
      <c r="BD106" s="316"/>
      <c r="BE106" s="316"/>
      <c r="BF106" s="316"/>
      <c r="BG106" s="316"/>
      <c r="BH106" s="316"/>
      <c r="BI106" s="316"/>
      <c r="BJ106" s="316"/>
      <c r="BK106" s="316"/>
      <c r="BL106" s="316"/>
      <c r="BM106" s="316"/>
      <c r="BN106" s="316"/>
      <c r="BO106" s="316"/>
      <c r="BP106" s="316"/>
      <c r="BQ106" s="316"/>
      <c r="BR106" s="316"/>
      <c r="BS106" s="316"/>
      <c r="BT106" s="316"/>
      <c r="BU106" s="316"/>
      <c r="BV106" s="316"/>
      <c r="BW106" s="316"/>
    </row>
    <row r="107" spans="1:75" x14ac:dyDescent="0.2">
      <c r="A107" s="297"/>
      <c r="B107" s="297"/>
      <c r="C107" s="297"/>
      <c r="D107" s="297"/>
      <c r="E107" s="297"/>
      <c r="F107" s="297"/>
      <c r="G107" s="297"/>
      <c r="H107" s="297"/>
      <c r="I107" s="297"/>
      <c r="J107" s="297"/>
      <c r="K107" s="297"/>
      <c r="L107" s="297"/>
      <c r="M107" s="297"/>
      <c r="N107" s="297"/>
      <c r="O107" s="297"/>
      <c r="P107" s="297"/>
      <c r="Q107" s="297"/>
      <c r="R107" s="297"/>
      <c r="S107" s="297"/>
      <c r="T107" s="297"/>
      <c r="U107" s="297"/>
      <c r="V107" s="297"/>
      <c r="W107" s="297"/>
      <c r="X107" s="297"/>
      <c r="Y107" s="297"/>
      <c r="Z107" s="297"/>
      <c r="AA107" s="297"/>
      <c r="AB107" s="297"/>
      <c r="AC107" s="297"/>
      <c r="AD107" s="297"/>
      <c r="AE107" s="297"/>
      <c r="AF107" s="297"/>
      <c r="AG107" s="297"/>
      <c r="AH107" s="297"/>
      <c r="AI107" s="297"/>
      <c r="AJ107" s="297"/>
      <c r="AK107" s="297"/>
      <c r="AL107" s="297"/>
      <c r="AM107" s="297"/>
      <c r="AN107" s="297"/>
      <c r="AO107" s="297"/>
      <c r="AP107" s="297"/>
      <c r="AQ107" s="297"/>
      <c r="AR107" s="297"/>
      <c r="AS107" s="297"/>
      <c r="AT107" s="297"/>
      <c r="AU107" s="297"/>
      <c r="AV107" s="297"/>
      <c r="AW107" s="297"/>
    </row>
    <row r="109" spans="1:75" x14ac:dyDescent="0.2">
      <c r="A109" s="1134" t="str">
        <f>A3</f>
        <v>Organic Growth Trends</v>
      </c>
    </row>
    <row r="110" spans="1:75" x14ac:dyDescent="0.2">
      <c r="A110" s="295"/>
      <c r="B110" s="741" t="str">
        <f t="shared" ref="B110:AF110" si="95">B4</f>
        <v>1Q07</v>
      </c>
      <c r="C110" s="295" t="str">
        <f t="shared" si="95"/>
        <v>2Q07</v>
      </c>
      <c r="D110" s="295" t="str">
        <f t="shared" si="95"/>
        <v>3Q07</v>
      </c>
      <c r="E110" s="295" t="str">
        <f t="shared" si="95"/>
        <v>4Q07</v>
      </c>
      <c r="F110" s="296" t="str">
        <f t="shared" si="95"/>
        <v>1Q08</v>
      </c>
      <c r="G110" s="295" t="str">
        <f t="shared" si="95"/>
        <v>2Q08</v>
      </c>
      <c r="H110" s="295" t="str">
        <f t="shared" si="95"/>
        <v>3Q08</v>
      </c>
      <c r="I110" s="295" t="str">
        <f t="shared" si="95"/>
        <v>4Q08</v>
      </c>
      <c r="J110" s="296" t="str">
        <f t="shared" si="95"/>
        <v>1Q09</v>
      </c>
      <c r="K110" s="295" t="str">
        <f t="shared" si="95"/>
        <v>2Q09</v>
      </c>
      <c r="L110" s="295" t="str">
        <f t="shared" si="95"/>
        <v>3Q09</v>
      </c>
      <c r="M110" s="295" t="str">
        <f t="shared" si="95"/>
        <v>4Q09</v>
      </c>
      <c r="N110" s="296" t="str">
        <f t="shared" si="95"/>
        <v>1Q10</v>
      </c>
      <c r="O110" s="295" t="str">
        <f t="shared" si="95"/>
        <v>2Q10</v>
      </c>
      <c r="P110" s="295" t="str">
        <f t="shared" si="95"/>
        <v>3Q10</v>
      </c>
      <c r="Q110" s="295" t="str">
        <f t="shared" si="95"/>
        <v>4Q10</v>
      </c>
      <c r="R110" s="296" t="str">
        <f t="shared" si="95"/>
        <v>1Q11</v>
      </c>
      <c r="S110" s="295" t="str">
        <f t="shared" si="95"/>
        <v>2Q11</v>
      </c>
      <c r="T110" s="295" t="str">
        <f t="shared" si="95"/>
        <v>3Q11</v>
      </c>
      <c r="U110" s="295" t="str">
        <f t="shared" si="95"/>
        <v>4Q11</v>
      </c>
      <c r="V110" s="296" t="str">
        <f t="shared" si="95"/>
        <v>1Q12</v>
      </c>
      <c r="W110" s="295" t="str">
        <f t="shared" si="95"/>
        <v>2Q12</v>
      </c>
      <c r="X110" s="295" t="str">
        <f t="shared" si="95"/>
        <v>3Q12</v>
      </c>
      <c r="Y110" s="295" t="str">
        <f t="shared" si="95"/>
        <v>4Q12</v>
      </c>
      <c r="Z110" s="296" t="str">
        <f t="shared" si="95"/>
        <v>1Q13</v>
      </c>
      <c r="AA110" s="295" t="str">
        <f t="shared" si="95"/>
        <v>2Q13</v>
      </c>
      <c r="AB110" s="295" t="str">
        <f t="shared" si="95"/>
        <v>3Q13</v>
      </c>
      <c r="AC110" s="295" t="str">
        <f t="shared" si="95"/>
        <v>4Q13</v>
      </c>
      <c r="AD110" s="296" t="str">
        <f t="shared" si="95"/>
        <v>1Q14</v>
      </c>
      <c r="AE110" s="295" t="str">
        <f t="shared" si="95"/>
        <v>2Q14</v>
      </c>
      <c r="AF110" s="295" t="str">
        <f t="shared" si="95"/>
        <v>3Q14</v>
      </c>
      <c r="AG110" s="295" t="str">
        <f t="shared" ref="AG110:AW110" si="96">AG4</f>
        <v>4Q14</v>
      </c>
      <c r="AH110" s="296" t="str">
        <f t="shared" si="96"/>
        <v>1Q15</v>
      </c>
      <c r="AI110" s="295" t="str">
        <f t="shared" si="96"/>
        <v>2Q15</v>
      </c>
      <c r="AJ110" s="295" t="str">
        <f t="shared" si="96"/>
        <v>3Q15</v>
      </c>
      <c r="AK110" s="295" t="str">
        <f t="shared" si="96"/>
        <v>4Q15</v>
      </c>
      <c r="AL110" s="296" t="str">
        <f t="shared" si="96"/>
        <v>1Q16</v>
      </c>
      <c r="AM110" s="295" t="str">
        <f t="shared" si="96"/>
        <v>2Q16</v>
      </c>
      <c r="AN110" s="295" t="str">
        <f t="shared" si="96"/>
        <v>3Q16</v>
      </c>
      <c r="AO110" s="295" t="str">
        <f t="shared" si="96"/>
        <v>4Q16</v>
      </c>
      <c r="AP110" s="296" t="str">
        <f t="shared" si="96"/>
        <v>1Q17</v>
      </c>
      <c r="AQ110" s="295" t="str">
        <f t="shared" si="96"/>
        <v>2Q17</v>
      </c>
      <c r="AR110" s="295" t="str">
        <f t="shared" si="96"/>
        <v>3Q17</v>
      </c>
      <c r="AS110" s="295" t="str">
        <f t="shared" si="96"/>
        <v>4Q17</v>
      </c>
      <c r="AT110" s="296" t="str">
        <f t="shared" si="96"/>
        <v>1Q18E</v>
      </c>
      <c r="AU110" s="295" t="str">
        <f t="shared" si="96"/>
        <v>2Q18E</v>
      </c>
      <c r="AV110" s="295" t="str">
        <f t="shared" si="96"/>
        <v>3Q18E</v>
      </c>
      <c r="AW110" s="295" t="str">
        <f t="shared" si="96"/>
        <v>4Q18E</v>
      </c>
    </row>
    <row r="111" spans="1:75" x14ac:dyDescent="0.2">
      <c r="A111" s="1116" t="str">
        <f t="shared" ref="A111:AF111" si="97">A6</f>
        <v>Global Dental revenues</v>
      </c>
      <c r="B111" s="1131" t="str">
        <f t="shared" si="97"/>
        <v>NA</v>
      </c>
      <c r="C111" s="1132" t="str">
        <f t="shared" si="97"/>
        <v>NA</v>
      </c>
      <c r="D111" s="1132" t="str">
        <f t="shared" si="97"/>
        <v>NA</v>
      </c>
      <c r="E111" s="1132" t="str">
        <f t="shared" si="97"/>
        <v>NA</v>
      </c>
      <c r="F111" s="1133" t="str">
        <f t="shared" si="97"/>
        <v>NA</v>
      </c>
      <c r="G111" s="1132" t="str">
        <f t="shared" si="97"/>
        <v>NA</v>
      </c>
      <c r="H111" s="1132" t="str">
        <f t="shared" si="97"/>
        <v>NA</v>
      </c>
      <c r="I111" s="1132" t="str">
        <f t="shared" si="97"/>
        <v>NA</v>
      </c>
      <c r="J111" s="1133" t="str">
        <f t="shared" si="97"/>
        <v>NA</v>
      </c>
      <c r="K111" s="1132" t="str">
        <f t="shared" si="97"/>
        <v>NA</v>
      </c>
      <c r="L111" s="1132" t="str">
        <f t="shared" si="97"/>
        <v>NA</v>
      </c>
      <c r="M111" s="1132" t="str">
        <f t="shared" si="97"/>
        <v>NA</v>
      </c>
      <c r="N111" s="1133" t="str">
        <f t="shared" si="97"/>
        <v>NA</v>
      </c>
      <c r="O111" s="1132" t="str">
        <f t="shared" si="97"/>
        <v>NA</v>
      </c>
      <c r="P111" s="1132" t="str">
        <f t="shared" si="97"/>
        <v>NA</v>
      </c>
      <c r="Q111" s="1132" t="str">
        <f t="shared" si="97"/>
        <v>NA</v>
      </c>
      <c r="R111" s="1133" t="str">
        <f t="shared" si="97"/>
        <v>NA</v>
      </c>
      <c r="S111" s="1132" t="str">
        <f t="shared" si="97"/>
        <v>NA</v>
      </c>
      <c r="T111" s="1132" t="str">
        <f t="shared" si="97"/>
        <v>NA</v>
      </c>
      <c r="U111" s="1132" t="str">
        <f t="shared" si="97"/>
        <v>NA</v>
      </c>
      <c r="V111" s="1133">
        <f t="shared" si="97"/>
        <v>6.2E-2</v>
      </c>
      <c r="W111" s="1132">
        <f t="shared" si="97"/>
        <v>2.0999999999999998E-2</v>
      </c>
      <c r="X111" s="1132">
        <f t="shared" si="97"/>
        <v>2.3000000000000003E-2</v>
      </c>
      <c r="Y111" s="1132">
        <f t="shared" si="97"/>
        <v>3.5999999999999997E-2</v>
      </c>
      <c r="Z111" s="1133">
        <f t="shared" si="97"/>
        <v>-2.9999999999999992E-3</v>
      </c>
      <c r="AA111" s="1132">
        <f t="shared" si="97"/>
        <v>0.03</v>
      </c>
      <c r="AB111" s="1132">
        <f t="shared" si="97"/>
        <v>0.03</v>
      </c>
      <c r="AC111" s="1132">
        <f t="shared" si="97"/>
        <v>2.5999999999999999E-2</v>
      </c>
      <c r="AD111" s="1133">
        <f t="shared" si="97"/>
        <v>3.4999999999999996E-2</v>
      </c>
      <c r="AE111" s="1132">
        <f t="shared" si="97"/>
        <v>2.5999999999999995E-2</v>
      </c>
      <c r="AF111" s="1132">
        <f t="shared" si="97"/>
        <v>4.8000000000000001E-2</v>
      </c>
      <c r="AG111" s="1132">
        <f t="shared" ref="AG111:AW111" si="98">AG6</f>
        <v>2.3E-2</v>
      </c>
      <c r="AH111" s="1133">
        <f t="shared" si="98"/>
        <v>2.7000000000000003E-2</v>
      </c>
      <c r="AI111" s="1132">
        <f t="shared" si="98"/>
        <v>4.0999999999999995E-2</v>
      </c>
      <c r="AJ111" s="1132">
        <f t="shared" si="98"/>
        <v>4.1000000000000002E-2</v>
      </c>
      <c r="AK111" s="1132">
        <f t="shared" si="98"/>
        <v>6.5999999999999989E-2</v>
      </c>
      <c r="AL111" s="1133">
        <f t="shared" si="98"/>
        <v>4.9000000000000002E-2</v>
      </c>
      <c r="AM111" s="1132">
        <f t="shared" si="98"/>
        <v>2.8000000000000004E-2</v>
      </c>
      <c r="AN111" s="1132">
        <f t="shared" si="98"/>
        <v>3.9E-2</v>
      </c>
      <c r="AO111" s="1132">
        <f t="shared" si="98"/>
        <v>1.5817414383680603E-2</v>
      </c>
      <c r="AP111" s="1133">
        <f t="shared" si="98"/>
        <v>2.9000000000000005E-2</v>
      </c>
      <c r="AQ111" s="1132">
        <f t="shared" si="98"/>
        <v>3.8282324051768582E-2</v>
      </c>
      <c r="AR111" s="1132">
        <f t="shared" si="98"/>
        <v>2.5770579282614003E-2</v>
      </c>
      <c r="AS111" s="1132">
        <f t="shared" si="98"/>
        <v>4.2923851697378564E-2</v>
      </c>
      <c r="AT111" s="1133">
        <f t="shared" si="98"/>
        <v>3.0234812028255842E-2</v>
      </c>
      <c r="AU111" s="1132">
        <f t="shared" si="98"/>
        <v>3.0000000000000027E-2</v>
      </c>
      <c r="AV111" s="1132">
        <f t="shared" si="98"/>
        <v>3.5332041684418281E-2</v>
      </c>
      <c r="AW111" s="1132">
        <f t="shared" si="98"/>
        <v>1.9268838584015624E-2</v>
      </c>
    </row>
    <row r="112" spans="1:75" x14ac:dyDescent="0.2">
      <c r="A112" s="1090" t="str">
        <f t="shared" ref="A112:AF112" si="99">A7</f>
        <v>Core gr. - Dental Consumables</v>
      </c>
      <c r="B112" s="1124">
        <f t="shared" si="99"/>
        <v>6.2E-2</v>
      </c>
      <c r="C112" s="1123">
        <f t="shared" si="99"/>
        <v>6.8000000000000005E-2</v>
      </c>
      <c r="D112" s="1123">
        <f t="shared" si="99"/>
        <v>0.06</v>
      </c>
      <c r="E112" s="1123">
        <f t="shared" si="99"/>
        <v>4.7679694182513332E-2</v>
      </c>
      <c r="F112" s="1124">
        <f t="shared" si="99"/>
        <v>4.2999999999999997E-2</v>
      </c>
      <c r="G112" s="1123">
        <f t="shared" si="99"/>
        <v>6.3E-2</v>
      </c>
      <c r="H112" s="1123">
        <f t="shared" si="99"/>
        <v>4.8000000000000001E-2</v>
      </c>
      <c r="I112" s="1123">
        <f t="shared" si="99"/>
        <v>1.7219467034829294E-2</v>
      </c>
      <c r="J112" s="1124">
        <f t="shared" si="99"/>
        <v>-2.4E-2</v>
      </c>
      <c r="K112" s="1123">
        <f t="shared" si="99"/>
        <v>-1.7000000000000001E-2</v>
      </c>
      <c r="L112" s="1123">
        <f t="shared" si="99"/>
        <v>-1.7999999999999999E-2</v>
      </c>
      <c r="M112" s="1123">
        <f t="shared" si="99"/>
        <v>9.5357474219566196E-3</v>
      </c>
      <c r="N112" s="1124">
        <f t="shared" si="99"/>
        <v>1.2E-2</v>
      </c>
      <c r="O112" s="1123">
        <f t="shared" si="99"/>
        <v>1.2999999999999999E-2</v>
      </c>
      <c r="P112" s="1123">
        <f t="shared" si="99"/>
        <v>1.4999999999999999E-2</v>
      </c>
      <c r="Q112" s="1123">
        <f t="shared" si="99"/>
        <v>4.5016499796124661E-2</v>
      </c>
      <c r="R112" s="1124">
        <f t="shared" si="99"/>
        <v>3.3000000000000002E-2</v>
      </c>
      <c r="S112" s="1123">
        <f t="shared" si="99"/>
        <v>0.04</v>
      </c>
      <c r="T112" s="1123">
        <f t="shared" si="99"/>
        <v>2.8557555023459032E-2</v>
      </c>
      <c r="U112" s="1123">
        <f t="shared" si="99"/>
        <v>5.9519739901625152E-2</v>
      </c>
      <c r="V112" s="1124">
        <f t="shared" si="99"/>
        <v>8.2000000000000003E-2</v>
      </c>
      <c r="W112" s="1123">
        <f t="shared" si="99"/>
        <v>2.4E-2</v>
      </c>
      <c r="X112" s="1123">
        <f t="shared" si="99"/>
        <v>2.7E-2</v>
      </c>
      <c r="Y112" s="1123">
        <f t="shared" si="99"/>
        <v>1.4140042771478843E-2</v>
      </c>
      <c r="Z112" s="1124">
        <f t="shared" si="99"/>
        <v>2E-3</v>
      </c>
      <c r="AA112" s="1123">
        <f t="shared" si="99"/>
        <v>2.1999999999999999E-2</v>
      </c>
      <c r="AB112" s="1123">
        <f t="shared" si="99"/>
        <v>1.9E-2</v>
      </c>
      <c r="AC112" s="1123">
        <f t="shared" si="99"/>
        <v>3.2216051868832633E-2</v>
      </c>
      <c r="AD112" s="1124">
        <f t="shared" si="99"/>
        <v>1.9E-2</v>
      </c>
      <c r="AE112" s="1123">
        <f t="shared" si="99"/>
        <v>2.3E-2</v>
      </c>
      <c r="AF112" s="1123">
        <f t="shared" si="99"/>
        <v>4.7E-2</v>
      </c>
      <c r="AG112" s="1123">
        <f t="shared" ref="AG112:AW112" si="100">AG7</f>
        <v>4.1816451247622573E-2</v>
      </c>
      <c r="AH112" s="1124">
        <f t="shared" si="100"/>
        <v>0.02</v>
      </c>
      <c r="AI112" s="1123">
        <f t="shared" si="100"/>
        <v>4.1000000000000002E-2</v>
      </c>
      <c r="AJ112" s="1123">
        <f t="shared" si="100"/>
        <v>3.5000000000000003E-2</v>
      </c>
      <c r="AK112" s="1123">
        <f t="shared" si="100"/>
        <v>5.2760680769887415E-2</v>
      </c>
      <c r="AL112" s="1124">
        <f t="shared" si="100"/>
        <v>3.5000000000000003E-2</v>
      </c>
      <c r="AM112" s="1123">
        <f t="shared" si="100"/>
        <v>2.8000000000000001E-2</v>
      </c>
      <c r="AN112" s="1123">
        <f t="shared" si="100"/>
        <v>2.1000000000000001E-2</v>
      </c>
      <c r="AO112" s="1123">
        <f t="shared" si="100"/>
        <v>2.1180692990196419E-2</v>
      </c>
      <c r="AP112" s="1124">
        <f t="shared" si="100"/>
        <v>4.3999999999999997E-2</v>
      </c>
      <c r="AQ112" s="1123">
        <f t="shared" si="100"/>
        <v>0.01</v>
      </c>
      <c r="AR112" s="1123">
        <f t="shared" si="100"/>
        <v>0.02</v>
      </c>
      <c r="AS112" s="1123" t="str">
        <f t="shared" si="100"/>
        <v>NA</v>
      </c>
      <c r="AT112" s="1124" t="str">
        <f t="shared" si="100"/>
        <v>NA</v>
      </c>
      <c r="AU112" s="1123" t="str">
        <f t="shared" si="100"/>
        <v>NA</v>
      </c>
      <c r="AV112" s="1123" t="str">
        <f t="shared" si="100"/>
        <v>NA</v>
      </c>
      <c r="AW112" s="1123" t="str">
        <f t="shared" si="100"/>
        <v>NA</v>
      </c>
    </row>
    <row r="113" spans="1:49" x14ac:dyDescent="0.2">
      <c r="A113" s="1091" t="str">
        <f t="shared" ref="A113:AF113" si="101">A8</f>
        <v>Core gr. - Dental Equipment</v>
      </c>
      <c r="B113" s="1092">
        <f t="shared" si="101"/>
        <v>0.23499999999999999</v>
      </c>
      <c r="C113" s="1093">
        <f t="shared" si="101"/>
        <v>0.223</v>
      </c>
      <c r="D113" s="1093">
        <f t="shared" si="101"/>
        <v>0.24099999999999999</v>
      </c>
      <c r="E113" s="1093">
        <f t="shared" si="101"/>
        <v>0.1823502185353803</v>
      </c>
      <c r="F113" s="1092">
        <f t="shared" si="101"/>
        <v>9.8000000000000004E-2</v>
      </c>
      <c r="G113" s="1093">
        <f t="shared" si="101"/>
        <v>9.9000000000000005E-2</v>
      </c>
      <c r="H113" s="1093">
        <f t="shared" si="101"/>
        <v>3.4000000000000002E-2</v>
      </c>
      <c r="I113" s="1093">
        <f t="shared" si="101"/>
        <v>-6.8938047163734917E-2</v>
      </c>
      <c r="J113" s="1092">
        <f t="shared" si="101"/>
        <v>-5.0999999999999997E-2</v>
      </c>
      <c r="K113" s="1093">
        <f t="shared" si="101"/>
        <v>-0.18</v>
      </c>
      <c r="L113" s="1093">
        <f t="shared" si="101"/>
        <v>-0.13400000000000001</v>
      </c>
      <c r="M113" s="1093">
        <f t="shared" si="101"/>
        <v>-8.2521110911157991E-2</v>
      </c>
      <c r="N113" s="1092">
        <f t="shared" si="101"/>
        <v>5.0000000000000001E-3</v>
      </c>
      <c r="O113" s="1093">
        <f t="shared" si="101"/>
        <v>0.08</v>
      </c>
      <c r="P113" s="1093">
        <f t="shared" si="101"/>
        <v>1.2999999999999999E-2</v>
      </c>
      <c r="Q113" s="1093">
        <f t="shared" si="101"/>
        <v>-2.9837340249036781E-3</v>
      </c>
      <c r="R113" s="1092">
        <f t="shared" si="101"/>
        <v>1.2999999999999999E-2</v>
      </c>
      <c r="S113" s="1093">
        <f t="shared" si="101"/>
        <v>1.2999999999999999E-2</v>
      </c>
      <c r="T113" s="1093">
        <f t="shared" si="101"/>
        <v>-2.1000000000000001E-2</v>
      </c>
      <c r="U113" s="1093">
        <f t="shared" si="101"/>
        <v>-1.0080875681312218E-2</v>
      </c>
      <c r="V113" s="1092">
        <f t="shared" si="101"/>
        <v>-2E-3</v>
      </c>
      <c r="W113" s="1093">
        <f t="shared" si="101"/>
        <v>1.0999999999999999E-2</v>
      </c>
      <c r="X113" s="1093">
        <f t="shared" si="101"/>
        <v>8.0000000000000002E-3</v>
      </c>
      <c r="Y113" s="1093">
        <f t="shared" si="101"/>
        <v>9.6034361390006165E-2</v>
      </c>
      <c r="Z113" s="1092">
        <f t="shared" si="101"/>
        <v>-0.02</v>
      </c>
      <c r="AA113" s="1093">
        <f t="shared" si="101"/>
        <v>5.3999999999999999E-2</v>
      </c>
      <c r="AB113" s="1093">
        <f t="shared" si="101"/>
        <v>6.3E-2</v>
      </c>
      <c r="AC113" s="1093">
        <f t="shared" si="101"/>
        <v>1.8365510515300342E-2</v>
      </c>
      <c r="AD113" s="1092">
        <f t="shared" si="101"/>
        <v>9.4E-2</v>
      </c>
      <c r="AE113" s="1093">
        <f t="shared" si="101"/>
        <v>3.5999999999999997E-2</v>
      </c>
      <c r="AF113" s="1093">
        <f t="shared" si="101"/>
        <v>5.0999999999999997E-2</v>
      </c>
      <c r="AG113" s="1093">
        <f t="shared" ref="AG113:AW113" si="102">AG8</f>
        <v>-1.7866718948691546E-2</v>
      </c>
      <c r="AH113" s="1092">
        <f t="shared" si="102"/>
        <v>4.9000000000000002E-2</v>
      </c>
      <c r="AI113" s="1093">
        <f t="shared" si="102"/>
        <v>4.1000000000000002E-2</v>
      </c>
      <c r="AJ113" s="1093">
        <f t="shared" si="102"/>
        <v>5.8999999999999997E-2</v>
      </c>
      <c r="AK113" s="1093">
        <f t="shared" si="102"/>
        <v>9.7344315935473033E-2</v>
      </c>
      <c r="AL113" s="1092">
        <f t="shared" si="102"/>
        <v>9.7000000000000003E-2</v>
      </c>
      <c r="AM113" s="1093">
        <f t="shared" si="102"/>
        <v>2.9000000000000001E-2</v>
      </c>
      <c r="AN113" s="1093">
        <f t="shared" si="102"/>
        <v>9.9000000000000005E-2</v>
      </c>
      <c r="AO113" s="1093">
        <f t="shared" si="102"/>
        <v>3.0123771078393903E-3</v>
      </c>
      <c r="AP113" s="1092">
        <f t="shared" si="102"/>
        <v>-2.1000000000000001E-2</v>
      </c>
      <c r="AQ113" s="1093">
        <f t="shared" si="102"/>
        <v>0.10299999999999999</v>
      </c>
      <c r="AR113" s="1093">
        <f t="shared" si="102"/>
        <v>5.0000000000000001E-3</v>
      </c>
      <c r="AS113" s="1093" t="str">
        <f t="shared" si="102"/>
        <v>NA</v>
      </c>
      <c r="AT113" s="1092" t="str">
        <f t="shared" si="102"/>
        <v>NA</v>
      </c>
      <c r="AU113" s="1093" t="str">
        <f t="shared" si="102"/>
        <v>NA</v>
      </c>
      <c r="AV113" s="1093" t="str">
        <f t="shared" si="102"/>
        <v>NA</v>
      </c>
      <c r="AW113" s="1093" t="str">
        <f t="shared" si="102"/>
        <v>NA</v>
      </c>
    </row>
    <row r="114" spans="1:49" x14ac:dyDescent="0.2">
      <c r="A114" s="1129" t="str">
        <f t="shared" ref="A114:AF114" si="103">A9</f>
        <v>North America</v>
      </c>
      <c r="B114" s="1096">
        <f t="shared" si="103"/>
        <v>9.9000000000000005E-2</v>
      </c>
      <c r="C114" s="1078">
        <f t="shared" si="103"/>
        <v>0.10499999999999998</v>
      </c>
      <c r="D114" s="1078">
        <f t="shared" si="103"/>
        <v>0.10400000000000001</v>
      </c>
      <c r="E114" s="1078">
        <f t="shared" si="103"/>
        <v>9.4E-2</v>
      </c>
      <c r="F114" s="1077">
        <f t="shared" si="103"/>
        <v>5.4999999999999993E-2</v>
      </c>
      <c r="G114" s="1078">
        <f t="shared" si="103"/>
        <v>7.1999999999999995E-2</v>
      </c>
      <c r="H114" s="1078">
        <f t="shared" si="103"/>
        <v>4.3999999999999997E-2</v>
      </c>
      <c r="I114" s="1078">
        <f t="shared" si="103"/>
        <v>-3.0000000000000001E-3</v>
      </c>
      <c r="J114" s="1077">
        <f t="shared" si="103"/>
        <v>-0.03</v>
      </c>
      <c r="K114" s="1078">
        <f t="shared" si="103"/>
        <v>-0.06</v>
      </c>
      <c r="L114" s="1078">
        <f t="shared" si="103"/>
        <v>-4.9000000000000002E-2</v>
      </c>
      <c r="M114" s="1078">
        <f t="shared" si="103"/>
        <v>-2.5000000000000001E-2</v>
      </c>
      <c r="N114" s="1077">
        <f t="shared" si="103"/>
        <v>9.9999999999999985E-3</v>
      </c>
      <c r="O114" s="1078">
        <f t="shared" si="103"/>
        <v>2.7999999999999997E-2</v>
      </c>
      <c r="P114" s="1078">
        <f t="shared" si="103"/>
        <v>1.4999999999999999E-2</v>
      </c>
      <c r="Q114" s="1078">
        <f t="shared" si="103"/>
        <v>3.0000000000000006E-2</v>
      </c>
      <c r="R114" s="1077">
        <f t="shared" si="103"/>
        <v>2.8999999999999998E-2</v>
      </c>
      <c r="S114" s="1078">
        <f t="shared" si="103"/>
        <v>3.4000000000000002E-2</v>
      </c>
      <c r="T114" s="1078">
        <f t="shared" si="103"/>
        <v>1.7999999999999999E-2</v>
      </c>
      <c r="U114" s="1078">
        <f t="shared" si="103"/>
        <v>4.4999999999999998E-2</v>
      </c>
      <c r="V114" s="1077">
        <f t="shared" si="103"/>
        <v>4.4999999999999998E-2</v>
      </c>
      <c r="W114" s="1078">
        <f t="shared" si="103"/>
        <v>3.2000000000000001E-2</v>
      </c>
      <c r="X114" s="1078">
        <f t="shared" si="103"/>
        <v>3.1000000000000003E-2</v>
      </c>
      <c r="Y114" s="1078">
        <f t="shared" si="103"/>
        <v>7.0000000000000007E-2</v>
      </c>
      <c r="Z114" s="1077">
        <f t="shared" si="103"/>
        <v>1.1000000000000001E-2</v>
      </c>
      <c r="AA114" s="1078">
        <f t="shared" si="103"/>
        <v>3.5999999999999997E-2</v>
      </c>
      <c r="AB114" s="1078">
        <f t="shared" si="103"/>
        <v>4.8000000000000001E-2</v>
      </c>
      <c r="AC114" s="1078">
        <f t="shared" si="103"/>
        <v>2.1000000000000001E-2</v>
      </c>
      <c r="AD114" s="1077">
        <f t="shared" si="103"/>
        <v>3.5999999999999997E-2</v>
      </c>
      <c r="AE114" s="1078">
        <f t="shared" si="103"/>
        <v>4.2999999999999997E-2</v>
      </c>
      <c r="AF114" s="1078">
        <f t="shared" si="103"/>
        <v>5.5000000000000007E-2</v>
      </c>
      <c r="AG114" s="1078">
        <f t="shared" ref="AG114:AW114" si="104">AG9</f>
        <v>1.9000000000000003E-2</v>
      </c>
      <c r="AH114" s="1077">
        <f t="shared" si="104"/>
        <v>4.3999999999999997E-2</v>
      </c>
      <c r="AI114" s="1078">
        <f t="shared" si="104"/>
        <v>3.6999999999999998E-2</v>
      </c>
      <c r="AJ114" s="1078">
        <f t="shared" si="104"/>
        <v>4.3999999999999997E-2</v>
      </c>
      <c r="AK114" s="1078">
        <f t="shared" si="104"/>
        <v>7.5999999999999998E-2</v>
      </c>
      <c r="AL114" s="1077">
        <f t="shared" si="104"/>
        <v>6.4000000000000001E-2</v>
      </c>
      <c r="AM114" s="1078">
        <f t="shared" si="104"/>
        <v>1.9999999999999997E-2</v>
      </c>
      <c r="AN114" s="1078">
        <f t="shared" si="104"/>
        <v>4.3999999999999997E-2</v>
      </c>
      <c r="AO114" s="1078">
        <f t="shared" si="104"/>
        <v>2.1999999999999992E-2</v>
      </c>
      <c r="AP114" s="1077">
        <f t="shared" si="104"/>
        <v>8.0000000000000002E-3</v>
      </c>
      <c r="AQ114" s="1078">
        <f t="shared" si="104"/>
        <v>3.8000000000000006E-2</v>
      </c>
      <c r="AR114" s="1078">
        <f t="shared" si="104"/>
        <v>2.2779243575576504E-2</v>
      </c>
      <c r="AS114" s="1078">
        <f t="shared" si="104"/>
        <v>6.7000000000000004E-2</v>
      </c>
      <c r="AT114" s="1077">
        <f t="shared" si="104"/>
        <v>6.3E-2</v>
      </c>
      <c r="AU114" s="1078">
        <f t="shared" si="104"/>
        <v>0.03</v>
      </c>
      <c r="AV114" s="1078">
        <f t="shared" si="104"/>
        <v>4.4999999999999998E-2</v>
      </c>
      <c r="AW114" s="1078">
        <f t="shared" si="104"/>
        <v>0</v>
      </c>
    </row>
    <row r="115" spans="1:49" x14ac:dyDescent="0.2">
      <c r="A115" s="1114" t="str">
        <f t="shared" ref="A115:AF115" si="105">A10</f>
        <v>Core gr. - Dental Consumables</v>
      </c>
      <c r="B115" s="1094">
        <f t="shared" si="105"/>
        <v>0</v>
      </c>
      <c r="C115" s="1083">
        <f t="shared" si="105"/>
        <v>0</v>
      </c>
      <c r="D115" s="1083">
        <f t="shared" si="105"/>
        <v>0</v>
      </c>
      <c r="E115" s="1083">
        <f t="shared" si="105"/>
        <v>0</v>
      </c>
      <c r="F115" s="1082">
        <f t="shared" si="105"/>
        <v>0</v>
      </c>
      <c r="G115" s="1083">
        <f t="shared" si="105"/>
        <v>0</v>
      </c>
      <c r="H115" s="1083">
        <f t="shared" si="105"/>
        <v>0</v>
      </c>
      <c r="I115" s="1083">
        <f t="shared" si="105"/>
        <v>0</v>
      </c>
      <c r="J115" s="1082">
        <f t="shared" si="105"/>
        <v>0</v>
      </c>
      <c r="K115" s="1083">
        <f t="shared" si="105"/>
        <v>0</v>
      </c>
      <c r="L115" s="1083">
        <f t="shared" si="105"/>
        <v>0</v>
      </c>
      <c r="M115" s="1083">
        <f t="shared" si="105"/>
        <v>0</v>
      </c>
      <c r="N115" s="1082">
        <f t="shared" si="105"/>
        <v>0</v>
      </c>
      <c r="O115" s="1083">
        <f t="shared" si="105"/>
        <v>0</v>
      </c>
      <c r="P115" s="1083">
        <f t="shared" si="105"/>
        <v>0</v>
      </c>
      <c r="Q115" s="1083">
        <f t="shared" si="105"/>
        <v>0</v>
      </c>
      <c r="R115" s="1082">
        <f t="shared" si="105"/>
        <v>0</v>
      </c>
      <c r="S115" s="1083">
        <f t="shared" si="105"/>
        <v>0</v>
      </c>
      <c r="T115" s="1083">
        <f t="shared" si="105"/>
        <v>0</v>
      </c>
      <c r="U115" s="1083">
        <f t="shared" si="105"/>
        <v>0</v>
      </c>
      <c r="V115" s="1082">
        <f t="shared" si="105"/>
        <v>7.0999999999999994E-2</v>
      </c>
      <c r="W115" s="1083">
        <f t="shared" si="105"/>
        <v>1.9E-2</v>
      </c>
      <c r="X115" s="1083">
        <f t="shared" si="105"/>
        <v>2.3E-2</v>
      </c>
      <c r="Y115" s="1083">
        <f t="shared" si="105"/>
        <v>8.9999999999999993E-3</v>
      </c>
      <c r="Z115" s="1082">
        <f t="shared" si="105"/>
        <v>1.2999999999999999E-2</v>
      </c>
      <c r="AA115" s="1083">
        <f t="shared" si="105"/>
        <v>4.2000000000000003E-2</v>
      </c>
      <c r="AB115" s="1083">
        <f t="shared" si="105"/>
        <v>3.4000000000000002E-2</v>
      </c>
      <c r="AC115" s="1083">
        <f t="shared" si="105"/>
        <v>4.2999999999999997E-2</v>
      </c>
      <c r="AD115" s="1082">
        <f t="shared" si="105"/>
        <v>2.3E-2</v>
      </c>
      <c r="AE115" s="1083">
        <f t="shared" si="105"/>
        <v>2.5000000000000001E-2</v>
      </c>
      <c r="AF115" s="1083">
        <f t="shared" si="105"/>
        <v>5.6000000000000001E-2</v>
      </c>
      <c r="AG115" s="1083">
        <f t="shared" ref="AG115:AW115" si="106">AG10</f>
        <v>4.9000000000000002E-2</v>
      </c>
      <c r="AH115" s="1082">
        <f t="shared" si="106"/>
        <v>4.3999999999999997E-2</v>
      </c>
      <c r="AI115" s="1083">
        <f t="shared" si="106"/>
        <v>5.3999999999999999E-2</v>
      </c>
      <c r="AJ115" s="1083">
        <f t="shared" si="106"/>
        <v>3.7999999999999999E-2</v>
      </c>
      <c r="AK115" s="1083">
        <f t="shared" si="106"/>
        <v>6.0999999999999999E-2</v>
      </c>
      <c r="AL115" s="1082">
        <f t="shared" si="106"/>
        <v>4.5999999999999999E-2</v>
      </c>
      <c r="AM115" s="1083">
        <f t="shared" si="106"/>
        <v>2.3E-2</v>
      </c>
      <c r="AN115" s="1083">
        <f t="shared" si="106"/>
        <v>2.3E-2</v>
      </c>
      <c r="AO115" s="1083">
        <f t="shared" si="106"/>
        <v>1.9E-2</v>
      </c>
      <c r="AP115" s="1082">
        <f t="shared" si="106"/>
        <v>3.0000000000000002E-2</v>
      </c>
      <c r="AQ115" s="1083">
        <f t="shared" si="106"/>
        <v>1.8000000000000002E-2</v>
      </c>
      <c r="AR115" s="1083">
        <f t="shared" si="106"/>
        <v>2.7E-2</v>
      </c>
      <c r="AS115" s="1083">
        <f t="shared" si="106"/>
        <v>3.2000000000000001E-2</v>
      </c>
      <c r="AT115" s="1082">
        <f t="shared" si="106"/>
        <v>2.5000000000000001E-2</v>
      </c>
      <c r="AU115" s="1083">
        <f t="shared" si="106"/>
        <v>2.5000000000000001E-2</v>
      </c>
      <c r="AV115" s="1083">
        <f t="shared" si="106"/>
        <v>2.5000000000000001E-2</v>
      </c>
      <c r="AW115" s="1083">
        <f t="shared" si="106"/>
        <v>2.5000000000000001E-2</v>
      </c>
    </row>
    <row r="116" spans="1:49" x14ac:dyDescent="0.2">
      <c r="A116" s="1128" t="str">
        <f t="shared" ref="A116:AF116" si="107">A11</f>
        <v>Core gr. - Dental Equipment</v>
      </c>
      <c r="B116" s="1125">
        <f t="shared" si="107"/>
        <v>0</v>
      </c>
      <c r="C116" s="1126">
        <f t="shared" si="107"/>
        <v>0</v>
      </c>
      <c r="D116" s="1126">
        <f t="shared" si="107"/>
        <v>0</v>
      </c>
      <c r="E116" s="1126">
        <f t="shared" si="107"/>
        <v>0</v>
      </c>
      <c r="F116" s="1125">
        <f t="shared" si="107"/>
        <v>0</v>
      </c>
      <c r="G116" s="1126">
        <f t="shared" si="107"/>
        <v>0</v>
      </c>
      <c r="H116" s="1126">
        <f t="shared" si="107"/>
        <v>0</v>
      </c>
      <c r="I116" s="1126">
        <f t="shared" si="107"/>
        <v>0</v>
      </c>
      <c r="J116" s="1125">
        <f t="shared" si="107"/>
        <v>0</v>
      </c>
      <c r="K116" s="1126">
        <f t="shared" si="107"/>
        <v>0</v>
      </c>
      <c r="L116" s="1126">
        <f t="shared" si="107"/>
        <v>0</v>
      </c>
      <c r="M116" s="1126">
        <f t="shared" si="107"/>
        <v>0</v>
      </c>
      <c r="N116" s="1125">
        <f t="shared" si="107"/>
        <v>0</v>
      </c>
      <c r="O116" s="1126">
        <f t="shared" si="107"/>
        <v>0</v>
      </c>
      <c r="P116" s="1126">
        <f t="shared" si="107"/>
        <v>0</v>
      </c>
      <c r="Q116" s="1126">
        <f t="shared" si="107"/>
        <v>0</v>
      </c>
      <c r="R116" s="1125">
        <f t="shared" si="107"/>
        <v>0</v>
      </c>
      <c r="S116" s="1126">
        <f t="shared" si="107"/>
        <v>0</v>
      </c>
      <c r="T116" s="1126">
        <f t="shared" si="107"/>
        <v>0</v>
      </c>
      <c r="U116" s="1126">
        <f t="shared" si="107"/>
        <v>0</v>
      </c>
      <c r="V116" s="1125">
        <f t="shared" si="107"/>
        <v>-5.6000000000000001E-2</v>
      </c>
      <c r="W116" s="1126">
        <f t="shared" si="107"/>
        <v>7.9000000000000001E-2</v>
      </c>
      <c r="X116" s="1126">
        <f t="shared" si="107"/>
        <v>5.6000000000000001E-2</v>
      </c>
      <c r="Y116" s="1126">
        <f t="shared" si="107"/>
        <v>0.219</v>
      </c>
      <c r="Z116" s="1125">
        <f t="shared" si="107"/>
        <v>2E-3</v>
      </c>
      <c r="AA116" s="1126">
        <f t="shared" si="107"/>
        <v>1.4E-2</v>
      </c>
      <c r="AB116" s="1126">
        <f t="shared" si="107"/>
        <v>9.9000000000000005E-2</v>
      </c>
      <c r="AC116" s="1126">
        <f t="shared" si="107"/>
        <v>-2.4E-2</v>
      </c>
      <c r="AD116" s="1125">
        <f t="shared" si="107"/>
        <v>0.157</v>
      </c>
      <c r="AE116" s="1126">
        <f t="shared" si="107"/>
        <v>0.108</v>
      </c>
      <c r="AF116" s="1126">
        <f t="shared" si="107"/>
        <v>5.1999999999999998E-2</v>
      </c>
      <c r="AG116" s="1126">
        <f t="shared" ref="AG116:AW116" si="108">AG11</f>
        <v>-4.7E-2</v>
      </c>
      <c r="AH116" s="1125">
        <f t="shared" si="108"/>
        <v>4.4999999999999998E-2</v>
      </c>
      <c r="AI116" s="1126">
        <f t="shared" si="108"/>
        <v>-1.9E-2</v>
      </c>
      <c r="AJ116" s="1126">
        <f t="shared" si="108"/>
        <v>6.4000000000000001E-2</v>
      </c>
      <c r="AK116" s="1126">
        <f t="shared" si="108"/>
        <v>0.115</v>
      </c>
      <c r="AL116" s="1125">
        <f t="shared" si="108"/>
        <v>0.13500000000000001</v>
      </c>
      <c r="AM116" s="1126">
        <f t="shared" si="108"/>
        <v>2.7E-2</v>
      </c>
      <c r="AN116" s="1126">
        <f t="shared" si="108"/>
        <v>0.13300000000000001</v>
      </c>
      <c r="AO116" s="1126">
        <f t="shared" si="108"/>
        <v>2.7E-2</v>
      </c>
      <c r="AP116" s="1125">
        <f t="shared" si="108"/>
        <v>-5.5E-2</v>
      </c>
      <c r="AQ116" s="1126">
        <f t="shared" si="108"/>
        <v>0.14799999999999999</v>
      </c>
      <c r="AR116" s="1126">
        <f t="shared" si="108"/>
        <v>1.0000000000000002E-2</v>
      </c>
      <c r="AS116" s="1126">
        <f t="shared" si="108"/>
        <v>0.18099999999999999</v>
      </c>
      <c r="AT116" s="1125">
        <f t="shared" si="108"/>
        <v>0.20920926819971911</v>
      </c>
      <c r="AU116" s="1126">
        <f t="shared" si="108"/>
        <v>4.6853895032042514E-2</v>
      </c>
      <c r="AV116" s="1126">
        <f t="shared" si="108"/>
        <v>0.11785867195635347</v>
      </c>
      <c r="AW116" s="1126">
        <f t="shared" si="108"/>
        <v>-8.8602442665476788E-2</v>
      </c>
    </row>
    <row r="117" spans="1:49" x14ac:dyDescent="0.2">
      <c r="A117" s="1130" t="str">
        <f t="shared" ref="A117:AF117" si="109">A12</f>
        <v>International</v>
      </c>
      <c r="B117" s="1131" t="str">
        <f t="shared" si="109"/>
        <v>NA</v>
      </c>
      <c r="C117" s="1132" t="str">
        <f t="shared" si="109"/>
        <v>NA</v>
      </c>
      <c r="D117" s="1132" t="str">
        <f t="shared" si="109"/>
        <v>NA</v>
      </c>
      <c r="E117" s="1132" t="str">
        <f t="shared" si="109"/>
        <v>NA</v>
      </c>
      <c r="F117" s="1133" t="str">
        <f t="shared" si="109"/>
        <v>NA</v>
      </c>
      <c r="G117" s="1132" t="str">
        <f t="shared" si="109"/>
        <v>NA</v>
      </c>
      <c r="H117" s="1132" t="str">
        <f t="shared" si="109"/>
        <v>NA</v>
      </c>
      <c r="I117" s="1132" t="str">
        <f t="shared" si="109"/>
        <v>NA</v>
      </c>
      <c r="J117" s="1133" t="str">
        <f t="shared" si="109"/>
        <v>NA</v>
      </c>
      <c r="K117" s="1132" t="str">
        <f t="shared" si="109"/>
        <v>NA</v>
      </c>
      <c r="L117" s="1132" t="str">
        <f t="shared" si="109"/>
        <v>NA</v>
      </c>
      <c r="M117" s="1132" t="str">
        <f t="shared" si="109"/>
        <v>NA</v>
      </c>
      <c r="N117" s="1133" t="str">
        <f t="shared" si="109"/>
        <v>NA</v>
      </c>
      <c r="O117" s="1132" t="str">
        <f t="shared" si="109"/>
        <v>NA</v>
      </c>
      <c r="P117" s="1132" t="str">
        <f t="shared" si="109"/>
        <v>NA</v>
      </c>
      <c r="Q117" s="1132" t="str">
        <f t="shared" si="109"/>
        <v>NA</v>
      </c>
      <c r="R117" s="1133" t="str">
        <f t="shared" si="109"/>
        <v>NA</v>
      </c>
      <c r="S117" s="1132" t="str">
        <f t="shared" si="109"/>
        <v>NA</v>
      </c>
      <c r="T117" s="1132" t="str">
        <f t="shared" si="109"/>
        <v>NA</v>
      </c>
      <c r="U117" s="1132" t="str">
        <f t="shared" si="109"/>
        <v>NA</v>
      </c>
      <c r="V117" s="1133">
        <f t="shared" si="109"/>
        <v>8.8999999999999996E-2</v>
      </c>
      <c r="W117" s="1132">
        <f t="shared" si="109"/>
        <v>5.0000000000000001E-3</v>
      </c>
      <c r="X117" s="1132">
        <f t="shared" si="109"/>
        <v>0.01</v>
      </c>
      <c r="Y117" s="1132">
        <f t="shared" si="109"/>
        <v>-1.4999999999999999E-2</v>
      </c>
      <c r="Z117" s="1133">
        <f t="shared" si="109"/>
        <v>-2.4E-2</v>
      </c>
      <c r="AA117" s="1132">
        <f t="shared" si="109"/>
        <v>1.9000000000000003E-2</v>
      </c>
      <c r="AB117" s="1132">
        <f t="shared" si="109"/>
        <v>-1.0000000000000009E-3</v>
      </c>
      <c r="AC117" s="1132">
        <f t="shared" si="109"/>
        <v>3.5000000000000003E-2</v>
      </c>
      <c r="AD117" s="1133">
        <f t="shared" si="109"/>
        <v>3.3000000000000002E-2</v>
      </c>
      <c r="AE117" s="1132">
        <f t="shared" si="109"/>
        <v>0</v>
      </c>
      <c r="AF117" s="1132">
        <f t="shared" si="109"/>
        <v>3.7000000000000005E-2</v>
      </c>
      <c r="AG117" s="1132">
        <f t="shared" ref="AG117:AW117" si="110">AG12</f>
        <v>2.9000000000000005E-2</v>
      </c>
      <c r="AH117" s="1133">
        <f t="shared" si="110"/>
        <v>2.0000000000000018E-3</v>
      </c>
      <c r="AI117" s="1132">
        <f t="shared" si="110"/>
        <v>4.5999999999999999E-2</v>
      </c>
      <c r="AJ117" s="1132">
        <f t="shared" si="110"/>
        <v>3.5999999999999997E-2</v>
      </c>
      <c r="AK117" s="1132">
        <f t="shared" si="110"/>
        <v>4.9000000000000002E-2</v>
      </c>
      <c r="AL117" s="1133">
        <f t="shared" si="110"/>
        <v>2.3000000000000003E-2</v>
      </c>
      <c r="AM117" s="1132">
        <f t="shared" si="110"/>
        <v>4.200000000000001E-2</v>
      </c>
      <c r="AN117" s="1132">
        <f t="shared" si="110"/>
        <v>3.1E-2</v>
      </c>
      <c r="AO117" s="1132">
        <f t="shared" si="110"/>
        <v>6.596540629820874E-3</v>
      </c>
      <c r="AP117" s="1133">
        <f t="shared" si="110"/>
        <v>6.8000000000000005E-2</v>
      </c>
      <c r="AQ117" s="1132">
        <f t="shared" si="110"/>
        <v>1.999999999999999E-2</v>
      </c>
      <c r="AR117" s="1132">
        <f t="shared" si="110"/>
        <v>3.2000000000000001E-2</v>
      </c>
      <c r="AS117" s="1132">
        <f t="shared" si="110"/>
        <v>1.0000000000000009E-3</v>
      </c>
      <c r="AT117" s="1133">
        <f t="shared" si="110"/>
        <v>-0.02</v>
      </c>
      <c r="AU117" s="1132">
        <f t="shared" si="110"/>
        <v>0.03</v>
      </c>
      <c r="AV117" s="1132">
        <f t="shared" si="110"/>
        <v>0.02</v>
      </c>
      <c r="AW117" s="1132">
        <f t="shared" si="110"/>
        <v>0.05</v>
      </c>
    </row>
    <row r="118" spans="1:49" x14ac:dyDescent="0.2">
      <c r="A118" s="1127" t="str">
        <f t="shared" ref="A118:AF118" si="111">A13</f>
        <v>Core gr. - Dental Consumables</v>
      </c>
      <c r="B118" s="1122">
        <f t="shared" si="111"/>
        <v>0</v>
      </c>
      <c r="C118" s="1123">
        <f t="shared" si="111"/>
        <v>0</v>
      </c>
      <c r="D118" s="1123">
        <f t="shared" si="111"/>
        <v>0</v>
      </c>
      <c r="E118" s="1123">
        <f t="shared" si="111"/>
        <v>0</v>
      </c>
      <c r="F118" s="1124">
        <f t="shared" si="111"/>
        <v>0</v>
      </c>
      <c r="G118" s="1123">
        <f t="shared" si="111"/>
        <v>0</v>
      </c>
      <c r="H118" s="1123">
        <f t="shared" si="111"/>
        <v>0</v>
      </c>
      <c r="I118" s="1123">
        <f t="shared" si="111"/>
        <v>0</v>
      </c>
      <c r="J118" s="1124">
        <f t="shared" si="111"/>
        <v>0</v>
      </c>
      <c r="K118" s="1123">
        <f t="shared" si="111"/>
        <v>0</v>
      </c>
      <c r="L118" s="1123">
        <f t="shared" si="111"/>
        <v>0</v>
      </c>
      <c r="M118" s="1123">
        <f t="shared" si="111"/>
        <v>0</v>
      </c>
      <c r="N118" s="1124">
        <f t="shared" si="111"/>
        <v>0</v>
      </c>
      <c r="O118" s="1123">
        <f t="shared" si="111"/>
        <v>0</v>
      </c>
      <c r="P118" s="1123">
        <f t="shared" si="111"/>
        <v>0</v>
      </c>
      <c r="Q118" s="1123">
        <f t="shared" si="111"/>
        <v>0</v>
      </c>
      <c r="R118" s="1124">
        <f t="shared" si="111"/>
        <v>0</v>
      </c>
      <c r="S118" s="1123">
        <f t="shared" si="111"/>
        <v>0</v>
      </c>
      <c r="T118" s="1123">
        <f t="shared" si="111"/>
        <v>0</v>
      </c>
      <c r="U118" s="1123">
        <f t="shared" si="111"/>
        <v>0</v>
      </c>
      <c r="V118" s="1124">
        <f t="shared" si="111"/>
        <v>0.1</v>
      </c>
      <c r="W118" s="1123">
        <f t="shared" si="111"/>
        <v>3.4000000000000002E-2</v>
      </c>
      <c r="X118" s="1123">
        <f t="shared" si="111"/>
        <v>3.4000000000000002E-2</v>
      </c>
      <c r="Y118" s="1123">
        <f t="shared" si="111"/>
        <v>2.1999999999999999E-2</v>
      </c>
      <c r="Z118" s="1124">
        <f t="shared" si="111"/>
        <v>-1.7000000000000001E-2</v>
      </c>
      <c r="AA118" s="1123">
        <f t="shared" si="111"/>
        <v>-1.2999999999999999E-2</v>
      </c>
      <c r="AB118" s="1123">
        <f t="shared" si="111"/>
        <v>-8.0000000000000002E-3</v>
      </c>
      <c r="AC118" s="1123">
        <f t="shared" si="111"/>
        <v>1.4999999999999999E-2</v>
      </c>
      <c r="AD118" s="1124">
        <f t="shared" si="111"/>
        <v>3.3000000000000002E-2</v>
      </c>
      <c r="AE118" s="1123">
        <f t="shared" si="111"/>
        <v>2.1000000000000001E-2</v>
      </c>
      <c r="AF118" s="1123">
        <f t="shared" si="111"/>
        <v>3.2000000000000001E-2</v>
      </c>
      <c r="AG118" s="1123">
        <f t="shared" ref="AG118:AW118" si="112">AG13</f>
        <v>3.1E-2</v>
      </c>
      <c r="AH118" s="1124">
        <f t="shared" si="112"/>
        <v>1.6E-2</v>
      </c>
      <c r="AI118" s="1123">
        <f t="shared" si="112"/>
        <v>0.02</v>
      </c>
      <c r="AJ118" s="1123">
        <f t="shared" si="112"/>
        <v>2.9000000000000001E-2</v>
      </c>
      <c r="AK118" s="1123">
        <f t="shared" si="112"/>
        <v>0.04</v>
      </c>
      <c r="AL118" s="1124">
        <f t="shared" si="112"/>
        <v>1.6E-2</v>
      </c>
      <c r="AM118" s="1123">
        <f t="shared" si="112"/>
        <v>4.4999999999999998E-2</v>
      </c>
      <c r="AN118" s="1123">
        <f t="shared" si="112"/>
        <v>2.7E-2</v>
      </c>
      <c r="AO118" s="1123">
        <f t="shared" si="112"/>
        <v>2.5000000000000001E-2</v>
      </c>
      <c r="AP118" s="1124">
        <f t="shared" si="112"/>
        <v>0.08</v>
      </c>
      <c r="AQ118" s="1123">
        <f t="shared" si="112"/>
        <v>1.4E-2</v>
      </c>
      <c r="AR118" s="1123">
        <f t="shared" si="112"/>
        <v>3.4000000000000002E-2</v>
      </c>
      <c r="AS118" s="1123">
        <f t="shared" si="112"/>
        <v>-2.5999999999999999E-2</v>
      </c>
      <c r="AT118" s="1124">
        <f t="shared" si="112"/>
        <v>-0.02</v>
      </c>
      <c r="AU118" s="1123">
        <f t="shared" si="112"/>
        <v>0.05</v>
      </c>
      <c r="AV118" s="1123">
        <f t="shared" si="112"/>
        <v>0.03</v>
      </c>
      <c r="AW118" s="1123">
        <f t="shared" si="112"/>
        <v>0.02</v>
      </c>
    </row>
    <row r="119" spans="1:49" x14ac:dyDescent="0.2">
      <c r="A119" s="1137" t="str">
        <f t="shared" ref="A119:AF119" si="113">A14</f>
        <v>Core gr. - Dental Equipment</v>
      </c>
      <c r="B119" s="1138">
        <f t="shared" si="113"/>
        <v>0</v>
      </c>
      <c r="C119" s="1139">
        <f t="shared" si="113"/>
        <v>0</v>
      </c>
      <c r="D119" s="1139">
        <f t="shared" si="113"/>
        <v>0</v>
      </c>
      <c r="E119" s="1139">
        <f t="shared" si="113"/>
        <v>0</v>
      </c>
      <c r="F119" s="1140">
        <f t="shared" si="113"/>
        <v>0</v>
      </c>
      <c r="G119" s="1139">
        <f t="shared" si="113"/>
        <v>0</v>
      </c>
      <c r="H119" s="1139">
        <f t="shared" si="113"/>
        <v>0</v>
      </c>
      <c r="I119" s="1139">
        <f t="shared" si="113"/>
        <v>0</v>
      </c>
      <c r="J119" s="1140">
        <f t="shared" si="113"/>
        <v>0</v>
      </c>
      <c r="K119" s="1139">
        <f t="shared" si="113"/>
        <v>0</v>
      </c>
      <c r="L119" s="1139">
        <f t="shared" si="113"/>
        <v>0</v>
      </c>
      <c r="M119" s="1139">
        <f t="shared" si="113"/>
        <v>0</v>
      </c>
      <c r="N119" s="1140">
        <f t="shared" si="113"/>
        <v>0</v>
      </c>
      <c r="O119" s="1139">
        <f t="shared" si="113"/>
        <v>0</v>
      </c>
      <c r="P119" s="1139">
        <f t="shared" si="113"/>
        <v>0</v>
      </c>
      <c r="Q119" s="1139">
        <f t="shared" si="113"/>
        <v>0</v>
      </c>
      <c r="R119" s="1140">
        <f t="shared" si="113"/>
        <v>0</v>
      </c>
      <c r="S119" s="1139">
        <f t="shared" si="113"/>
        <v>0</v>
      </c>
      <c r="T119" s="1139">
        <f t="shared" si="113"/>
        <v>0</v>
      </c>
      <c r="U119" s="1139">
        <f t="shared" si="113"/>
        <v>0</v>
      </c>
      <c r="V119" s="1140">
        <f t="shared" si="113"/>
        <v>0.06</v>
      </c>
      <c r="W119" s="1139">
        <f t="shared" si="113"/>
        <v>-6.5000000000000002E-2</v>
      </c>
      <c r="X119" s="1139">
        <f t="shared" si="113"/>
        <v>4.4999999999999998E-2</v>
      </c>
      <c r="Y119" s="1139">
        <f t="shared" si="113"/>
        <v>-9.1999999999999998E-2</v>
      </c>
      <c r="Z119" s="1140">
        <f t="shared" si="113"/>
        <v>-4.2999999999999997E-2</v>
      </c>
      <c r="AA119" s="1139">
        <f t="shared" si="113"/>
        <v>0.111</v>
      </c>
      <c r="AB119" s="1139">
        <f t="shared" si="113"/>
        <v>1.4E-2</v>
      </c>
      <c r="AC119" s="1139">
        <f t="shared" si="113"/>
        <v>8.5999999999999993E-2</v>
      </c>
      <c r="AD119" s="1140">
        <f t="shared" si="113"/>
        <v>2.4E-2</v>
      </c>
      <c r="AE119" s="1139">
        <f t="shared" si="113"/>
        <v>-5.5E-2</v>
      </c>
      <c r="AF119" s="1139">
        <f t="shared" si="113"/>
        <v>4.9000000000000002E-2</v>
      </c>
      <c r="AG119" s="1139">
        <f t="shared" ref="AG119:AW119" si="114">AG14</f>
        <v>2.5999999999999999E-2</v>
      </c>
      <c r="AH119" s="1140">
        <f t="shared" si="114"/>
        <v>5.3999999999999999E-2</v>
      </c>
      <c r="AI119" s="1139">
        <f t="shared" si="114"/>
        <v>0.11799999999999999</v>
      </c>
      <c r="AJ119" s="1139">
        <f t="shared" si="114"/>
        <v>5.2999999999999999E-2</v>
      </c>
      <c r="AK119" s="1139">
        <f t="shared" si="114"/>
        <v>7.0000000000000007E-2</v>
      </c>
      <c r="AL119" s="1140">
        <f t="shared" si="114"/>
        <v>4.2999999999999997E-2</v>
      </c>
      <c r="AM119" s="1139">
        <f t="shared" si="114"/>
        <v>3.1E-2</v>
      </c>
      <c r="AN119" s="1139">
        <f t="shared" si="114"/>
        <v>4.2000000000000003E-2</v>
      </c>
      <c r="AO119" s="1139">
        <f t="shared" si="114"/>
        <v>-3.9E-2</v>
      </c>
      <c r="AP119" s="1140">
        <f t="shared" si="114"/>
        <v>3.1E-2</v>
      </c>
      <c r="AQ119" s="1139">
        <f t="shared" si="114"/>
        <v>3.5999999999999997E-2</v>
      </c>
      <c r="AR119" s="1139">
        <f t="shared" si="114"/>
        <v>2.5999999999999999E-2</v>
      </c>
      <c r="AS119" s="1139">
        <f t="shared" si="114"/>
        <v>7.6999999999999999E-2</v>
      </c>
      <c r="AT119" s="1140">
        <f t="shared" si="114"/>
        <v>-2.0000000000000254E-2</v>
      </c>
      <c r="AU119" s="1139">
        <f t="shared" si="114"/>
        <v>-3.7415580128166162E-2</v>
      </c>
      <c r="AV119" s="1139">
        <f t="shared" si="114"/>
        <v>-1.6429335978176668E-2</v>
      </c>
      <c r="AW119" s="1139">
        <f t="shared" si="114"/>
        <v>0.15632293119857207</v>
      </c>
    </row>
    <row r="121" spans="1:49" x14ac:dyDescent="0.2">
      <c r="A121" s="311" t="s">
        <v>423</v>
      </c>
    </row>
    <row r="122" spans="1:49" x14ac:dyDescent="0.2">
      <c r="A122" s="295"/>
      <c r="B122" s="741">
        <f t="shared" ref="B122:AF122" si="115">B29</f>
        <v>0</v>
      </c>
      <c r="C122" s="295">
        <f t="shared" si="115"/>
        <v>0</v>
      </c>
      <c r="D122" s="295">
        <f t="shared" si="115"/>
        <v>0</v>
      </c>
      <c r="E122" s="295">
        <f t="shared" si="115"/>
        <v>0</v>
      </c>
      <c r="F122" s="296" t="str">
        <f t="shared" si="115"/>
        <v>1Q08</v>
      </c>
      <c r="G122" s="295" t="str">
        <f t="shared" si="115"/>
        <v>2Q08</v>
      </c>
      <c r="H122" s="295" t="str">
        <f t="shared" si="115"/>
        <v>3Q08</v>
      </c>
      <c r="I122" s="295" t="str">
        <f t="shared" si="115"/>
        <v>4Q08</v>
      </c>
      <c r="J122" s="296" t="str">
        <f t="shared" si="115"/>
        <v>1Q09</v>
      </c>
      <c r="K122" s="295" t="str">
        <f t="shared" si="115"/>
        <v>2Q09</v>
      </c>
      <c r="L122" s="295" t="str">
        <f t="shared" si="115"/>
        <v>3Q09</v>
      </c>
      <c r="M122" s="295" t="str">
        <f t="shared" si="115"/>
        <v>4Q09</v>
      </c>
      <c r="N122" s="296" t="str">
        <f t="shared" si="115"/>
        <v>1Q10</v>
      </c>
      <c r="O122" s="295" t="str">
        <f t="shared" si="115"/>
        <v>2Q10</v>
      </c>
      <c r="P122" s="295" t="str">
        <f t="shared" si="115"/>
        <v>3Q10</v>
      </c>
      <c r="Q122" s="295" t="str">
        <f t="shared" si="115"/>
        <v>4Q10</v>
      </c>
      <c r="R122" s="296" t="str">
        <f t="shared" si="115"/>
        <v>1Q11</v>
      </c>
      <c r="S122" s="295" t="str">
        <f t="shared" si="115"/>
        <v>2Q11</v>
      </c>
      <c r="T122" s="295" t="str">
        <f t="shared" si="115"/>
        <v>3Q11</v>
      </c>
      <c r="U122" s="295" t="str">
        <f t="shared" si="115"/>
        <v>4Q11</v>
      </c>
      <c r="V122" s="296" t="str">
        <f t="shared" si="115"/>
        <v>1Q12</v>
      </c>
      <c r="W122" s="295" t="str">
        <f t="shared" si="115"/>
        <v>2Q12</v>
      </c>
      <c r="X122" s="295" t="str">
        <f t="shared" si="115"/>
        <v>3Q12</v>
      </c>
      <c r="Y122" s="295" t="str">
        <f t="shared" si="115"/>
        <v>4Q12</v>
      </c>
      <c r="Z122" s="296" t="str">
        <f t="shared" si="115"/>
        <v>1Q13</v>
      </c>
      <c r="AA122" s="295" t="str">
        <f t="shared" si="115"/>
        <v>2Q13</v>
      </c>
      <c r="AB122" s="295" t="str">
        <f t="shared" si="115"/>
        <v>3Q13</v>
      </c>
      <c r="AC122" s="295" t="str">
        <f t="shared" si="115"/>
        <v>4Q13</v>
      </c>
      <c r="AD122" s="296" t="str">
        <f t="shared" si="115"/>
        <v>1Q14</v>
      </c>
      <c r="AE122" s="295" t="str">
        <f t="shared" si="115"/>
        <v>2Q14</v>
      </c>
      <c r="AF122" s="295" t="str">
        <f t="shared" si="115"/>
        <v>3Q14</v>
      </c>
      <c r="AG122" s="295" t="str">
        <f t="shared" ref="AG122:AW122" si="116">AG29</f>
        <v>4Q14</v>
      </c>
      <c r="AH122" s="296" t="str">
        <f t="shared" si="116"/>
        <v>1Q15</v>
      </c>
      <c r="AI122" s="295" t="str">
        <f t="shared" si="116"/>
        <v>2Q15</v>
      </c>
      <c r="AJ122" s="295" t="str">
        <f t="shared" si="116"/>
        <v>3Q15</v>
      </c>
      <c r="AK122" s="295" t="str">
        <f t="shared" si="116"/>
        <v>4Q15</v>
      </c>
      <c r="AL122" s="296" t="str">
        <f t="shared" si="116"/>
        <v>1Q16</v>
      </c>
      <c r="AM122" s="295" t="str">
        <f t="shared" si="116"/>
        <v>2Q16</v>
      </c>
      <c r="AN122" s="295" t="str">
        <f t="shared" si="116"/>
        <v>3Q16</v>
      </c>
      <c r="AO122" s="295" t="str">
        <f t="shared" si="116"/>
        <v>4Q16</v>
      </c>
      <c r="AP122" s="296" t="str">
        <f t="shared" si="116"/>
        <v>1Q17</v>
      </c>
      <c r="AQ122" s="295" t="str">
        <f t="shared" si="116"/>
        <v>2Q17</v>
      </c>
      <c r="AR122" s="295" t="str">
        <f t="shared" si="116"/>
        <v>3Q17</v>
      </c>
      <c r="AS122" s="295" t="str">
        <f t="shared" si="116"/>
        <v>4Q17</v>
      </c>
      <c r="AT122" s="296" t="str">
        <f t="shared" si="116"/>
        <v>1Q18E</v>
      </c>
      <c r="AU122" s="295" t="str">
        <f t="shared" si="116"/>
        <v>2Q18E</v>
      </c>
      <c r="AV122" s="295" t="str">
        <f t="shared" si="116"/>
        <v>3Q18E</v>
      </c>
      <c r="AW122" s="295" t="str">
        <f t="shared" si="116"/>
        <v>4Q18E</v>
      </c>
    </row>
    <row r="123" spans="1:49" x14ac:dyDescent="0.2">
      <c r="A123" s="1116" t="str">
        <f t="shared" ref="A123:AF123" si="117">A31</f>
        <v>Global Dental revenues</v>
      </c>
      <c r="B123" s="1131">
        <f t="shared" si="117"/>
        <v>0</v>
      </c>
      <c r="C123" s="1132">
        <f t="shared" si="117"/>
        <v>0</v>
      </c>
      <c r="D123" s="1132">
        <f t="shared" si="117"/>
        <v>0</v>
      </c>
      <c r="E123" s="1132">
        <f t="shared" si="117"/>
        <v>0</v>
      </c>
      <c r="F123" s="1133" t="str">
        <f t="shared" si="117"/>
        <v>NM</v>
      </c>
      <c r="G123" s="1132" t="str">
        <f t="shared" si="117"/>
        <v>NM</v>
      </c>
      <c r="H123" s="1132" t="str">
        <f t="shared" si="117"/>
        <v>NM</v>
      </c>
      <c r="I123" s="1132" t="str">
        <f t="shared" si="117"/>
        <v>NM</v>
      </c>
      <c r="J123" s="1133" t="str">
        <f t="shared" si="117"/>
        <v>NM</v>
      </c>
      <c r="K123" s="1132" t="str">
        <f t="shared" si="117"/>
        <v>NM</v>
      </c>
      <c r="L123" s="1132" t="str">
        <f t="shared" si="117"/>
        <v>NM</v>
      </c>
      <c r="M123" s="1132" t="str">
        <f t="shared" si="117"/>
        <v>NM</v>
      </c>
      <c r="N123" s="1133" t="str">
        <f t="shared" si="117"/>
        <v>NM</v>
      </c>
      <c r="O123" s="1132" t="str">
        <f t="shared" si="117"/>
        <v>NM</v>
      </c>
      <c r="P123" s="1132" t="str">
        <f t="shared" si="117"/>
        <v>NM</v>
      </c>
      <c r="Q123" s="1132" t="str">
        <f t="shared" si="117"/>
        <v>NM</v>
      </c>
      <c r="R123" s="1133" t="str">
        <f t="shared" si="117"/>
        <v>NM</v>
      </c>
      <c r="S123" s="1132" t="str">
        <f t="shared" si="117"/>
        <v>NM</v>
      </c>
      <c r="T123" s="1132" t="str">
        <f t="shared" si="117"/>
        <v>NM</v>
      </c>
      <c r="U123" s="1132" t="str">
        <f t="shared" si="117"/>
        <v>NM</v>
      </c>
      <c r="V123" s="1133" t="str">
        <f t="shared" si="117"/>
        <v>NM</v>
      </c>
      <c r="W123" s="1132" t="str">
        <f t="shared" si="117"/>
        <v>NM</v>
      </c>
      <c r="X123" s="1132" t="str">
        <f t="shared" si="117"/>
        <v>NM</v>
      </c>
      <c r="Y123" s="1132" t="str">
        <f t="shared" si="117"/>
        <v>NM</v>
      </c>
      <c r="Z123" s="1133">
        <f t="shared" si="117"/>
        <v>5.8999999999999997E-2</v>
      </c>
      <c r="AA123" s="1132">
        <f t="shared" si="117"/>
        <v>5.0999999999999997E-2</v>
      </c>
      <c r="AB123" s="1132">
        <f t="shared" si="117"/>
        <v>5.3000000000000005E-2</v>
      </c>
      <c r="AC123" s="1132">
        <f t="shared" si="117"/>
        <v>6.2E-2</v>
      </c>
      <c r="AD123" s="1133">
        <f t="shared" si="117"/>
        <v>3.2000000000000001E-2</v>
      </c>
      <c r="AE123" s="1132">
        <f t="shared" si="117"/>
        <v>5.5999999999999994E-2</v>
      </c>
      <c r="AF123" s="1132">
        <f t="shared" si="117"/>
        <v>7.8E-2</v>
      </c>
      <c r="AG123" s="1132">
        <f t="shared" ref="AG123:AW123" si="118">AG31</f>
        <v>4.9000000000000002E-2</v>
      </c>
      <c r="AH123" s="1133">
        <f t="shared" si="118"/>
        <v>6.2E-2</v>
      </c>
      <c r="AI123" s="1132">
        <f t="shared" si="118"/>
        <v>6.699999999999999E-2</v>
      </c>
      <c r="AJ123" s="1132">
        <f t="shared" si="118"/>
        <v>8.8999999999999996E-2</v>
      </c>
      <c r="AK123" s="1132">
        <f t="shared" si="118"/>
        <v>8.8999999999999996E-2</v>
      </c>
      <c r="AL123" s="1133">
        <f t="shared" si="118"/>
        <v>7.6000000000000012E-2</v>
      </c>
      <c r="AM123" s="1132">
        <f t="shared" si="118"/>
        <v>6.9000000000000006E-2</v>
      </c>
      <c r="AN123" s="1132">
        <f t="shared" si="118"/>
        <v>0.08</v>
      </c>
      <c r="AO123" s="1132">
        <f t="shared" si="118"/>
        <v>8.1817414383680592E-2</v>
      </c>
      <c r="AP123" s="1133">
        <f t="shared" si="118"/>
        <v>7.8000000000000014E-2</v>
      </c>
      <c r="AQ123" s="1132">
        <f t="shared" si="118"/>
        <v>6.6282324051768593E-2</v>
      </c>
      <c r="AR123" s="1132">
        <f t="shared" si="118"/>
        <v>6.477057928261401E-2</v>
      </c>
      <c r="AS123" s="1132">
        <f t="shared" si="118"/>
        <v>5.8741266081059167E-2</v>
      </c>
      <c r="AT123" s="1133">
        <f t="shared" si="118"/>
        <v>5.9234812028255847E-2</v>
      </c>
      <c r="AU123" s="1132">
        <f t="shared" si="118"/>
        <v>6.8282324051768609E-2</v>
      </c>
      <c r="AV123" s="1132">
        <f t="shared" si="118"/>
        <v>6.1102620967032284E-2</v>
      </c>
      <c r="AW123" s="1132">
        <f t="shared" si="118"/>
        <v>6.2192690281394188E-2</v>
      </c>
    </row>
    <row r="124" spans="1:49" x14ac:dyDescent="0.2">
      <c r="A124" s="1090" t="str">
        <f t="shared" ref="A124:AF124" si="119">A32</f>
        <v>Core gr. - Dental Consumables</v>
      </c>
      <c r="B124" s="1124">
        <f t="shared" si="119"/>
        <v>0</v>
      </c>
      <c r="C124" s="1123">
        <f t="shared" si="119"/>
        <v>0</v>
      </c>
      <c r="D124" s="1123">
        <f t="shared" si="119"/>
        <v>0</v>
      </c>
      <c r="E124" s="1123">
        <f t="shared" si="119"/>
        <v>0</v>
      </c>
      <c r="F124" s="1124">
        <f t="shared" si="119"/>
        <v>0.105</v>
      </c>
      <c r="G124" s="1123">
        <f t="shared" si="119"/>
        <v>0.13100000000000001</v>
      </c>
      <c r="H124" s="1123">
        <f t="shared" si="119"/>
        <v>0.108</v>
      </c>
      <c r="I124" s="1123">
        <f t="shared" si="119"/>
        <v>6.4899161217342627E-2</v>
      </c>
      <c r="J124" s="1124">
        <f t="shared" si="119"/>
        <v>1.8999999999999996E-2</v>
      </c>
      <c r="K124" s="1123">
        <f t="shared" si="119"/>
        <v>4.5999999999999999E-2</v>
      </c>
      <c r="L124" s="1123">
        <f t="shared" si="119"/>
        <v>3.0000000000000002E-2</v>
      </c>
      <c r="M124" s="1123">
        <f t="shared" si="119"/>
        <v>2.6755214456785914E-2</v>
      </c>
      <c r="N124" s="1124">
        <f t="shared" si="119"/>
        <v>-1.2E-2</v>
      </c>
      <c r="O124" s="1123">
        <f t="shared" si="119"/>
        <v>-4.0000000000000018E-3</v>
      </c>
      <c r="P124" s="1123">
        <f t="shared" si="119"/>
        <v>-2.9999999999999992E-3</v>
      </c>
      <c r="Q124" s="1123">
        <f t="shared" si="119"/>
        <v>5.455224721808128E-2</v>
      </c>
      <c r="R124" s="1124">
        <f t="shared" si="119"/>
        <v>4.4999999999999998E-2</v>
      </c>
      <c r="S124" s="1123">
        <f t="shared" si="119"/>
        <v>5.2999999999999999E-2</v>
      </c>
      <c r="T124" s="1123">
        <f t="shared" si="119"/>
        <v>4.3557555023459031E-2</v>
      </c>
      <c r="U124" s="1123">
        <f t="shared" si="119"/>
        <v>0.10453623969774981</v>
      </c>
      <c r="V124" s="1124">
        <f t="shared" si="119"/>
        <v>0.115</v>
      </c>
      <c r="W124" s="1123">
        <f t="shared" si="119"/>
        <v>6.4000000000000001E-2</v>
      </c>
      <c r="X124" s="1123">
        <f t="shared" si="119"/>
        <v>5.5557555023459035E-2</v>
      </c>
      <c r="Y124" s="1123">
        <f t="shared" si="119"/>
        <v>7.3659782673103996E-2</v>
      </c>
      <c r="Z124" s="1124">
        <f t="shared" si="119"/>
        <v>8.4000000000000005E-2</v>
      </c>
      <c r="AA124" s="1123">
        <f t="shared" si="119"/>
        <v>4.5999999999999999E-2</v>
      </c>
      <c r="AB124" s="1123">
        <f t="shared" si="119"/>
        <v>4.5999999999999999E-2</v>
      </c>
      <c r="AC124" s="1123">
        <f t="shared" si="119"/>
        <v>4.6356094640311478E-2</v>
      </c>
      <c r="AD124" s="1124">
        <f t="shared" si="119"/>
        <v>2.0999999999999998E-2</v>
      </c>
      <c r="AE124" s="1123">
        <f t="shared" si="119"/>
        <v>4.4999999999999998E-2</v>
      </c>
      <c r="AF124" s="1123">
        <f t="shared" si="119"/>
        <v>6.6000000000000003E-2</v>
      </c>
      <c r="AG124" s="1123">
        <f t="shared" ref="AG124:AW124" si="120">AG32</f>
        <v>7.4032503116455206E-2</v>
      </c>
      <c r="AH124" s="1124">
        <f t="shared" si="120"/>
        <v>3.9E-2</v>
      </c>
      <c r="AI124" s="1123">
        <f t="shared" si="120"/>
        <v>6.4000000000000001E-2</v>
      </c>
      <c r="AJ124" s="1123">
        <f t="shared" si="120"/>
        <v>8.2000000000000003E-2</v>
      </c>
      <c r="AK124" s="1123">
        <f t="shared" si="120"/>
        <v>9.4577132017509988E-2</v>
      </c>
      <c r="AL124" s="1124">
        <f t="shared" si="120"/>
        <v>5.5000000000000007E-2</v>
      </c>
      <c r="AM124" s="1123">
        <f t="shared" si="120"/>
        <v>6.9000000000000006E-2</v>
      </c>
      <c r="AN124" s="1123">
        <f t="shared" si="120"/>
        <v>5.6000000000000008E-2</v>
      </c>
      <c r="AO124" s="1123">
        <f t="shared" si="120"/>
        <v>7.3941373760083834E-2</v>
      </c>
      <c r="AP124" s="1124">
        <f t="shared" si="120"/>
        <v>7.9000000000000001E-2</v>
      </c>
      <c r="AQ124" s="1123">
        <f t="shared" si="120"/>
        <v>3.7999999999999999E-2</v>
      </c>
      <c r="AR124" s="1123">
        <f t="shared" si="120"/>
        <v>4.1000000000000002E-2</v>
      </c>
      <c r="AS124" s="1123" t="str">
        <f t="shared" si="120"/>
        <v>NM</v>
      </c>
      <c r="AT124" s="1124" t="str">
        <f t="shared" si="120"/>
        <v>NM</v>
      </c>
      <c r="AU124" s="1123" t="str">
        <f t="shared" si="120"/>
        <v>NM</v>
      </c>
      <c r="AV124" s="1123" t="str">
        <f t="shared" si="120"/>
        <v>NM</v>
      </c>
      <c r="AW124" s="1123" t="str">
        <f t="shared" si="120"/>
        <v>NM</v>
      </c>
    </row>
    <row r="125" spans="1:49" x14ac:dyDescent="0.2">
      <c r="A125" s="1091" t="str">
        <f t="shared" ref="A125:AF125" si="121">A33</f>
        <v>Core gr. - Dental Equipment</v>
      </c>
      <c r="B125" s="1092">
        <f t="shared" si="121"/>
        <v>0</v>
      </c>
      <c r="C125" s="1093">
        <f t="shared" si="121"/>
        <v>0</v>
      </c>
      <c r="D125" s="1093">
        <f t="shared" si="121"/>
        <v>0</v>
      </c>
      <c r="E125" s="1093">
        <f t="shared" si="121"/>
        <v>0</v>
      </c>
      <c r="F125" s="1092">
        <f t="shared" si="121"/>
        <v>0.33299999999999996</v>
      </c>
      <c r="G125" s="1093">
        <f t="shared" si="121"/>
        <v>0.32200000000000001</v>
      </c>
      <c r="H125" s="1093">
        <f t="shared" si="121"/>
        <v>0.27500000000000002</v>
      </c>
      <c r="I125" s="1093">
        <f t="shared" si="121"/>
        <v>0.11341217137164539</v>
      </c>
      <c r="J125" s="1092">
        <f t="shared" si="121"/>
        <v>4.7000000000000007E-2</v>
      </c>
      <c r="K125" s="1093">
        <f t="shared" si="121"/>
        <v>-8.0999999999999989E-2</v>
      </c>
      <c r="L125" s="1093">
        <f t="shared" si="121"/>
        <v>-0.1</v>
      </c>
      <c r="M125" s="1093">
        <f t="shared" si="121"/>
        <v>-0.15145915807489291</v>
      </c>
      <c r="N125" s="1092">
        <f t="shared" si="121"/>
        <v>-4.5999999999999999E-2</v>
      </c>
      <c r="O125" s="1093">
        <f t="shared" si="121"/>
        <v>-9.9999999999999992E-2</v>
      </c>
      <c r="P125" s="1093">
        <f t="shared" si="121"/>
        <v>-0.12100000000000001</v>
      </c>
      <c r="Q125" s="1093">
        <f t="shared" si="121"/>
        <v>-8.5504844936061669E-2</v>
      </c>
      <c r="R125" s="1092">
        <f t="shared" si="121"/>
        <v>1.7999999999999999E-2</v>
      </c>
      <c r="S125" s="1093">
        <f t="shared" si="121"/>
        <v>9.2999999999999999E-2</v>
      </c>
      <c r="T125" s="1093">
        <f t="shared" si="121"/>
        <v>-8.0000000000000019E-3</v>
      </c>
      <c r="U125" s="1093">
        <f t="shared" si="121"/>
        <v>-1.3064609706215896E-2</v>
      </c>
      <c r="V125" s="1092">
        <f t="shared" si="121"/>
        <v>1.0999999999999999E-2</v>
      </c>
      <c r="W125" s="1093">
        <f t="shared" si="121"/>
        <v>2.4E-2</v>
      </c>
      <c r="X125" s="1093">
        <f t="shared" si="121"/>
        <v>-1.3000000000000001E-2</v>
      </c>
      <c r="Y125" s="1093">
        <f t="shared" si="121"/>
        <v>8.5953485708693947E-2</v>
      </c>
      <c r="Z125" s="1092">
        <f t="shared" si="121"/>
        <v>-2.1999999999999999E-2</v>
      </c>
      <c r="AA125" s="1093">
        <f t="shared" si="121"/>
        <v>6.5000000000000002E-2</v>
      </c>
      <c r="AB125" s="1093">
        <f t="shared" si="121"/>
        <v>7.1000000000000008E-2</v>
      </c>
      <c r="AC125" s="1093">
        <f t="shared" si="121"/>
        <v>0.11439987190530651</v>
      </c>
      <c r="AD125" s="1092">
        <f t="shared" si="121"/>
        <v>7.3999999999999996E-2</v>
      </c>
      <c r="AE125" s="1093">
        <f t="shared" si="121"/>
        <v>0.09</v>
      </c>
      <c r="AF125" s="1093">
        <f t="shared" si="121"/>
        <v>0.11399999999999999</v>
      </c>
      <c r="AG125" s="1093">
        <f t="shared" ref="AG125:AW125" si="122">AG33</f>
        <v>4.987915666087965E-4</v>
      </c>
      <c r="AH125" s="1092">
        <f t="shared" si="122"/>
        <v>0.14300000000000002</v>
      </c>
      <c r="AI125" s="1093">
        <f t="shared" si="122"/>
        <v>7.6999999999999999E-2</v>
      </c>
      <c r="AJ125" s="1093">
        <f t="shared" si="122"/>
        <v>0.10999999999999999</v>
      </c>
      <c r="AK125" s="1093">
        <f t="shared" si="122"/>
        <v>7.9477596986781487E-2</v>
      </c>
      <c r="AL125" s="1092">
        <f t="shared" si="122"/>
        <v>0.14600000000000002</v>
      </c>
      <c r="AM125" s="1093">
        <f t="shared" si="122"/>
        <v>7.0000000000000007E-2</v>
      </c>
      <c r="AN125" s="1093">
        <f t="shared" si="122"/>
        <v>0.158</v>
      </c>
      <c r="AO125" s="1093">
        <f t="shared" si="122"/>
        <v>0.10035669304331242</v>
      </c>
      <c r="AP125" s="1092">
        <f t="shared" si="122"/>
        <v>7.5999999999999998E-2</v>
      </c>
      <c r="AQ125" s="1093">
        <f t="shared" si="122"/>
        <v>0.13200000000000001</v>
      </c>
      <c r="AR125" s="1093">
        <f t="shared" si="122"/>
        <v>0.10400000000000001</v>
      </c>
      <c r="AS125" s="1093" t="str">
        <f t="shared" si="122"/>
        <v>NM</v>
      </c>
      <c r="AT125" s="1092" t="str">
        <f t="shared" si="122"/>
        <v>NM</v>
      </c>
      <c r="AU125" s="1093" t="str">
        <f t="shared" si="122"/>
        <v>NM</v>
      </c>
      <c r="AV125" s="1093" t="str">
        <f t="shared" si="122"/>
        <v>NM</v>
      </c>
      <c r="AW125" s="1093" t="str">
        <f t="shared" si="122"/>
        <v>NM</v>
      </c>
    </row>
    <row r="126" spans="1:49" x14ac:dyDescent="0.2">
      <c r="A126" s="1129" t="str">
        <f t="shared" ref="A126:AF126" si="123">A34</f>
        <v>North America</v>
      </c>
      <c r="B126" s="1096">
        <f t="shared" si="123"/>
        <v>0</v>
      </c>
      <c r="C126" s="1078">
        <f t="shared" si="123"/>
        <v>0</v>
      </c>
      <c r="D126" s="1078">
        <f t="shared" si="123"/>
        <v>0</v>
      </c>
      <c r="E126" s="1078">
        <f t="shared" si="123"/>
        <v>0</v>
      </c>
      <c r="F126" s="1077">
        <f t="shared" si="123"/>
        <v>0.154</v>
      </c>
      <c r="G126" s="1078">
        <f t="shared" si="123"/>
        <v>0.17699999999999999</v>
      </c>
      <c r="H126" s="1078">
        <f t="shared" si="123"/>
        <v>0.14800000000000002</v>
      </c>
      <c r="I126" s="1078">
        <f t="shared" si="123"/>
        <v>9.0999999999999998E-2</v>
      </c>
      <c r="J126" s="1077">
        <f t="shared" si="123"/>
        <v>2.4999999999999994E-2</v>
      </c>
      <c r="K126" s="1078">
        <f t="shared" si="123"/>
        <v>1.1999999999999997E-2</v>
      </c>
      <c r="L126" s="1078">
        <f t="shared" si="123"/>
        <v>-5.0000000000000044E-3</v>
      </c>
      <c r="M126" s="1078">
        <f t="shared" si="123"/>
        <v>-2.8000000000000001E-2</v>
      </c>
      <c r="N126" s="1077">
        <f t="shared" si="123"/>
        <v>-0.02</v>
      </c>
      <c r="O126" s="1078">
        <f t="shared" si="123"/>
        <v>-3.2000000000000001E-2</v>
      </c>
      <c r="P126" s="1078">
        <f t="shared" si="123"/>
        <v>-3.4000000000000002E-2</v>
      </c>
      <c r="Q126" s="1078">
        <f t="shared" si="123"/>
        <v>5.0000000000000044E-3</v>
      </c>
      <c r="R126" s="1077">
        <f t="shared" si="123"/>
        <v>3.8999999999999993E-2</v>
      </c>
      <c r="S126" s="1078">
        <f t="shared" si="123"/>
        <v>6.2E-2</v>
      </c>
      <c r="T126" s="1078">
        <f t="shared" si="123"/>
        <v>3.3000000000000002E-2</v>
      </c>
      <c r="U126" s="1078">
        <f t="shared" si="123"/>
        <v>7.5000000000000011E-2</v>
      </c>
      <c r="V126" s="1077">
        <f t="shared" si="123"/>
        <v>7.3999999999999996E-2</v>
      </c>
      <c r="W126" s="1078">
        <f t="shared" si="123"/>
        <v>6.6000000000000003E-2</v>
      </c>
      <c r="X126" s="1078">
        <f t="shared" si="123"/>
        <v>4.9000000000000002E-2</v>
      </c>
      <c r="Y126" s="1078">
        <f t="shared" si="123"/>
        <v>0.115</v>
      </c>
      <c r="Z126" s="1077">
        <f t="shared" si="123"/>
        <v>5.6000000000000001E-2</v>
      </c>
      <c r="AA126" s="1078">
        <f t="shared" si="123"/>
        <v>6.8000000000000005E-2</v>
      </c>
      <c r="AB126" s="1078">
        <f t="shared" si="123"/>
        <v>7.9000000000000001E-2</v>
      </c>
      <c r="AC126" s="1078">
        <f t="shared" si="123"/>
        <v>9.1000000000000011E-2</v>
      </c>
      <c r="AD126" s="1077">
        <f t="shared" si="123"/>
        <v>4.7E-2</v>
      </c>
      <c r="AE126" s="1078">
        <f t="shared" si="123"/>
        <v>7.8999999999999987E-2</v>
      </c>
      <c r="AF126" s="1078">
        <f t="shared" si="123"/>
        <v>0.10300000000000001</v>
      </c>
      <c r="AG126" s="1078">
        <f t="shared" ref="AG126:AW126" si="124">AG34</f>
        <v>4.0000000000000008E-2</v>
      </c>
      <c r="AH126" s="1077">
        <f t="shared" si="124"/>
        <v>7.9999999999999988E-2</v>
      </c>
      <c r="AI126" s="1078">
        <f t="shared" si="124"/>
        <v>7.9999999999999988E-2</v>
      </c>
      <c r="AJ126" s="1078">
        <f t="shared" si="124"/>
        <v>9.9000000000000005E-2</v>
      </c>
      <c r="AK126" s="1078">
        <f t="shared" si="124"/>
        <v>9.5000000000000001E-2</v>
      </c>
      <c r="AL126" s="1077">
        <f t="shared" si="124"/>
        <v>0.108</v>
      </c>
      <c r="AM126" s="1078">
        <f t="shared" si="124"/>
        <v>5.6999999999999995E-2</v>
      </c>
      <c r="AN126" s="1078">
        <f t="shared" si="124"/>
        <v>8.7999999999999995E-2</v>
      </c>
      <c r="AO126" s="1078">
        <f t="shared" si="124"/>
        <v>9.799999999999999E-2</v>
      </c>
      <c r="AP126" s="1077">
        <f t="shared" si="124"/>
        <v>7.2000000000000008E-2</v>
      </c>
      <c r="AQ126" s="1078">
        <f t="shared" si="124"/>
        <v>5.8000000000000003E-2</v>
      </c>
      <c r="AR126" s="1078">
        <f t="shared" si="124"/>
        <v>6.6779243575576505E-2</v>
      </c>
      <c r="AS126" s="1078">
        <f t="shared" si="124"/>
        <v>8.8999999999999996E-2</v>
      </c>
      <c r="AT126" s="1077">
        <f t="shared" si="124"/>
        <v>7.1000000000000008E-2</v>
      </c>
      <c r="AU126" s="1078">
        <f t="shared" si="124"/>
        <v>6.8000000000000005E-2</v>
      </c>
      <c r="AV126" s="1078">
        <f t="shared" si="124"/>
        <v>6.7779243575576506E-2</v>
      </c>
      <c r="AW126" s="1078">
        <f t="shared" si="124"/>
        <v>6.7000000000000004E-2</v>
      </c>
    </row>
    <row r="127" spans="1:49" x14ac:dyDescent="0.2">
      <c r="A127" s="1114" t="str">
        <f t="shared" ref="A127:AF127" si="125">A35</f>
        <v>Core gr. - Dental Consumables</v>
      </c>
      <c r="B127" s="1094">
        <f t="shared" si="125"/>
        <v>0</v>
      </c>
      <c r="C127" s="1083">
        <f t="shared" si="125"/>
        <v>0</v>
      </c>
      <c r="D127" s="1083">
        <f t="shared" si="125"/>
        <v>0</v>
      </c>
      <c r="E127" s="1083">
        <f t="shared" si="125"/>
        <v>0</v>
      </c>
      <c r="F127" s="1082">
        <f t="shared" si="125"/>
        <v>0</v>
      </c>
      <c r="G127" s="1083">
        <f t="shared" si="125"/>
        <v>0</v>
      </c>
      <c r="H127" s="1083">
        <f t="shared" si="125"/>
        <v>0</v>
      </c>
      <c r="I127" s="1083">
        <f t="shared" si="125"/>
        <v>0</v>
      </c>
      <c r="J127" s="1082">
        <f t="shared" si="125"/>
        <v>0</v>
      </c>
      <c r="K127" s="1083">
        <f t="shared" si="125"/>
        <v>0</v>
      </c>
      <c r="L127" s="1083">
        <f t="shared" si="125"/>
        <v>0</v>
      </c>
      <c r="M127" s="1083">
        <f t="shared" si="125"/>
        <v>0</v>
      </c>
      <c r="N127" s="1082">
        <f t="shared" si="125"/>
        <v>0</v>
      </c>
      <c r="O127" s="1083">
        <f t="shared" si="125"/>
        <v>0</v>
      </c>
      <c r="P127" s="1083">
        <f t="shared" si="125"/>
        <v>0</v>
      </c>
      <c r="Q127" s="1083">
        <f t="shared" si="125"/>
        <v>0</v>
      </c>
      <c r="R127" s="1082">
        <f t="shared" si="125"/>
        <v>0</v>
      </c>
      <c r="S127" s="1083">
        <f t="shared" si="125"/>
        <v>0</v>
      </c>
      <c r="T127" s="1083">
        <f t="shared" si="125"/>
        <v>0</v>
      </c>
      <c r="U127" s="1083">
        <f t="shared" si="125"/>
        <v>0</v>
      </c>
      <c r="V127" s="1082">
        <f t="shared" si="125"/>
        <v>0</v>
      </c>
      <c r="W127" s="1083">
        <f t="shared" si="125"/>
        <v>0</v>
      </c>
      <c r="X127" s="1083">
        <f t="shared" si="125"/>
        <v>0</v>
      </c>
      <c r="Y127" s="1083">
        <f t="shared" si="125"/>
        <v>0</v>
      </c>
      <c r="Z127" s="1082">
        <f t="shared" si="125"/>
        <v>8.3999999999999991E-2</v>
      </c>
      <c r="AA127" s="1083">
        <f t="shared" si="125"/>
        <v>6.0999999999999999E-2</v>
      </c>
      <c r="AB127" s="1083">
        <f t="shared" si="125"/>
        <v>5.7000000000000002E-2</v>
      </c>
      <c r="AC127" s="1083">
        <f t="shared" si="125"/>
        <v>5.1999999999999998E-2</v>
      </c>
      <c r="AD127" s="1082">
        <f t="shared" si="125"/>
        <v>3.5999999999999997E-2</v>
      </c>
      <c r="AE127" s="1083">
        <f t="shared" si="125"/>
        <v>6.7000000000000004E-2</v>
      </c>
      <c r="AF127" s="1083">
        <f t="shared" si="125"/>
        <v>0.09</v>
      </c>
      <c r="AG127" s="1083">
        <f t="shared" ref="AG127:AW127" si="126">AG35</f>
        <v>9.1999999999999998E-2</v>
      </c>
      <c r="AH127" s="1082">
        <f t="shared" si="126"/>
        <v>6.7000000000000004E-2</v>
      </c>
      <c r="AI127" s="1083">
        <f t="shared" si="126"/>
        <v>7.9000000000000001E-2</v>
      </c>
      <c r="AJ127" s="1083">
        <f t="shared" si="126"/>
        <v>9.4E-2</v>
      </c>
      <c r="AK127" s="1083">
        <f t="shared" si="126"/>
        <v>0.11</v>
      </c>
      <c r="AL127" s="1082">
        <f t="shared" si="126"/>
        <v>0.09</v>
      </c>
      <c r="AM127" s="1083">
        <f t="shared" si="126"/>
        <v>7.6999999999999999E-2</v>
      </c>
      <c r="AN127" s="1083">
        <f t="shared" si="126"/>
        <v>6.0999999999999999E-2</v>
      </c>
      <c r="AO127" s="1083">
        <f t="shared" si="126"/>
        <v>0.08</v>
      </c>
      <c r="AP127" s="1082">
        <f t="shared" si="126"/>
        <v>7.5999999999999998E-2</v>
      </c>
      <c r="AQ127" s="1083">
        <f t="shared" si="126"/>
        <v>4.1000000000000002E-2</v>
      </c>
      <c r="AR127" s="1083">
        <f t="shared" si="126"/>
        <v>0.05</v>
      </c>
      <c r="AS127" s="1083">
        <f t="shared" si="126"/>
        <v>5.1000000000000004E-2</v>
      </c>
      <c r="AT127" s="1082">
        <f t="shared" si="126"/>
        <v>5.5000000000000007E-2</v>
      </c>
      <c r="AU127" s="1083">
        <f t="shared" si="126"/>
        <v>4.3000000000000003E-2</v>
      </c>
      <c r="AV127" s="1083">
        <f t="shared" si="126"/>
        <v>5.2000000000000005E-2</v>
      </c>
      <c r="AW127" s="1083">
        <f t="shared" si="126"/>
        <v>5.7000000000000002E-2</v>
      </c>
    </row>
    <row r="128" spans="1:49" x14ac:dyDescent="0.2">
      <c r="A128" s="1128" t="str">
        <f t="shared" ref="A128:AF128" si="127">A36</f>
        <v>Core gr. - Dental Equipment</v>
      </c>
      <c r="B128" s="1125">
        <f t="shared" si="127"/>
        <v>0</v>
      </c>
      <c r="C128" s="1126">
        <f t="shared" si="127"/>
        <v>0</v>
      </c>
      <c r="D128" s="1126">
        <f t="shared" si="127"/>
        <v>0</v>
      </c>
      <c r="E128" s="1126">
        <f t="shared" si="127"/>
        <v>0</v>
      </c>
      <c r="F128" s="1125">
        <f t="shared" si="127"/>
        <v>0</v>
      </c>
      <c r="G128" s="1126">
        <f t="shared" si="127"/>
        <v>0</v>
      </c>
      <c r="H128" s="1126">
        <f t="shared" si="127"/>
        <v>0</v>
      </c>
      <c r="I128" s="1126">
        <f t="shared" si="127"/>
        <v>0</v>
      </c>
      <c r="J128" s="1125">
        <f t="shared" si="127"/>
        <v>0</v>
      </c>
      <c r="K128" s="1126">
        <f t="shared" si="127"/>
        <v>0</v>
      </c>
      <c r="L128" s="1126">
        <f t="shared" si="127"/>
        <v>0</v>
      </c>
      <c r="M128" s="1126">
        <f t="shared" si="127"/>
        <v>0</v>
      </c>
      <c r="N128" s="1125">
        <f t="shared" si="127"/>
        <v>0</v>
      </c>
      <c r="O128" s="1126">
        <f t="shared" si="127"/>
        <v>0</v>
      </c>
      <c r="P128" s="1126">
        <f t="shared" si="127"/>
        <v>0</v>
      </c>
      <c r="Q128" s="1126">
        <f t="shared" si="127"/>
        <v>0</v>
      </c>
      <c r="R128" s="1125">
        <f t="shared" si="127"/>
        <v>0</v>
      </c>
      <c r="S128" s="1126">
        <f t="shared" si="127"/>
        <v>0</v>
      </c>
      <c r="T128" s="1126">
        <f t="shared" si="127"/>
        <v>0</v>
      </c>
      <c r="U128" s="1126">
        <f t="shared" si="127"/>
        <v>0</v>
      </c>
      <c r="V128" s="1125">
        <f t="shared" si="127"/>
        <v>0</v>
      </c>
      <c r="W128" s="1126">
        <f t="shared" si="127"/>
        <v>0</v>
      </c>
      <c r="X128" s="1126">
        <f t="shared" si="127"/>
        <v>0</v>
      </c>
      <c r="Y128" s="1126">
        <f t="shared" si="127"/>
        <v>0</v>
      </c>
      <c r="Z128" s="1125">
        <f t="shared" si="127"/>
        <v>-5.3999999999999999E-2</v>
      </c>
      <c r="AA128" s="1126">
        <f t="shared" si="127"/>
        <v>9.2999999999999999E-2</v>
      </c>
      <c r="AB128" s="1126">
        <f t="shared" si="127"/>
        <v>0.155</v>
      </c>
      <c r="AC128" s="1126">
        <f t="shared" si="127"/>
        <v>0.19500000000000001</v>
      </c>
      <c r="AD128" s="1125">
        <f t="shared" si="127"/>
        <v>0.159</v>
      </c>
      <c r="AE128" s="1126">
        <f t="shared" si="127"/>
        <v>0.122</v>
      </c>
      <c r="AF128" s="1126">
        <f t="shared" si="127"/>
        <v>0.151</v>
      </c>
      <c r="AG128" s="1126">
        <f t="shared" ref="AG128:AW128" si="128">AG36</f>
        <v>-7.1000000000000008E-2</v>
      </c>
      <c r="AH128" s="1125">
        <f t="shared" si="128"/>
        <v>0.20200000000000001</v>
      </c>
      <c r="AI128" s="1126">
        <f t="shared" si="128"/>
        <v>8.8999999999999996E-2</v>
      </c>
      <c r="AJ128" s="1126">
        <f t="shared" si="128"/>
        <v>0.11599999999999999</v>
      </c>
      <c r="AK128" s="1126">
        <f t="shared" si="128"/>
        <v>6.8000000000000005E-2</v>
      </c>
      <c r="AL128" s="1125">
        <f t="shared" si="128"/>
        <v>0.18</v>
      </c>
      <c r="AM128" s="1126">
        <f t="shared" si="128"/>
        <v>8.0000000000000002E-3</v>
      </c>
      <c r="AN128" s="1126">
        <f t="shared" si="128"/>
        <v>0.19700000000000001</v>
      </c>
      <c r="AO128" s="1126">
        <f t="shared" si="128"/>
        <v>0.14200000000000002</v>
      </c>
      <c r="AP128" s="1125">
        <f t="shared" si="128"/>
        <v>8.0000000000000016E-2</v>
      </c>
      <c r="AQ128" s="1126">
        <f t="shared" si="128"/>
        <v>0.17499999999999999</v>
      </c>
      <c r="AR128" s="1126">
        <f t="shared" si="128"/>
        <v>0.14300000000000002</v>
      </c>
      <c r="AS128" s="1126">
        <f t="shared" si="128"/>
        <v>0.20799999999999999</v>
      </c>
      <c r="AT128" s="1125">
        <f t="shared" si="128"/>
        <v>0.15420926819971911</v>
      </c>
      <c r="AU128" s="1126">
        <f t="shared" si="128"/>
        <v>0.19485389503204251</v>
      </c>
      <c r="AV128" s="1126">
        <f t="shared" si="128"/>
        <v>0.12785867195635348</v>
      </c>
      <c r="AW128" s="1126">
        <f t="shared" si="128"/>
        <v>9.2397557334523206E-2</v>
      </c>
    </row>
    <row r="129" spans="1:50" x14ac:dyDescent="0.2">
      <c r="A129" s="1130" t="str">
        <f t="shared" ref="A129:AF129" si="129">A37</f>
        <v>International</v>
      </c>
      <c r="B129" s="1131">
        <f t="shared" si="129"/>
        <v>0</v>
      </c>
      <c r="C129" s="1132">
        <f t="shared" si="129"/>
        <v>0</v>
      </c>
      <c r="D129" s="1132">
        <f t="shared" si="129"/>
        <v>0</v>
      </c>
      <c r="E129" s="1132">
        <f t="shared" si="129"/>
        <v>0</v>
      </c>
      <c r="F129" s="1133" t="str">
        <f t="shared" si="129"/>
        <v>NM</v>
      </c>
      <c r="G129" s="1132" t="str">
        <f t="shared" si="129"/>
        <v>NM</v>
      </c>
      <c r="H129" s="1132" t="str">
        <f t="shared" si="129"/>
        <v>NM</v>
      </c>
      <c r="I129" s="1132" t="str">
        <f t="shared" si="129"/>
        <v>NM</v>
      </c>
      <c r="J129" s="1133" t="str">
        <f t="shared" si="129"/>
        <v>NM</v>
      </c>
      <c r="K129" s="1132" t="str">
        <f t="shared" si="129"/>
        <v>NM</v>
      </c>
      <c r="L129" s="1132" t="str">
        <f t="shared" si="129"/>
        <v>NM</v>
      </c>
      <c r="M129" s="1132" t="str">
        <f t="shared" si="129"/>
        <v>NM</v>
      </c>
      <c r="N129" s="1133" t="str">
        <f t="shared" si="129"/>
        <v>NM</v>
      </c>
      <c r="O129" s="1132" t="str">
        <f t="shared" si="129"/>
        <v>NM</v>
      </c>
      <c r="P129" s="1132" t="str">
        <f t="shared" si="129"/>
        <v>NM</v>
      </c>
      <c r="Q129" s="1132" t="str">
        <f t="shared" si="129"/>
        <v>NM</v>
      </c>
      <c r="R129" s="1133" t="str">
        <f t="shared" si="129"/>
        <v>NM</v>
      </c>
      <c r="S129" s="1132" t="str">
        <f t="shared" si="129"/>
        <v>NM</v>
      </c>
      <c r="T129" s="1132" t="str">
        <f t="shared" si="129"/>
        <v>NM</v>
      </c>
      <c r="U129" s="1132" t="str">
        <f t="shared" si="129"/>
        <v>NM</v>
      </c>
      <c r="V129" s="1133" t="str">
        <f t="shared" si="129"/>
        <v>NM</v>
      </c>
      <c r="W129" s="1132" t="str">
        <f t="shared" si="129"/>
        <v>NM</v>
      </c>
      <c r="X129" s="1132" t="str">
        <f t="shared" si="129"/>
        <v>NM</v>
      </c>
      <c r="Y129" s="1132" t="str">
        <f t="shared" si="129"/>
        <v>NM</v>
      </c>
      <c r="Z129" s="1133">
        <f t="shared" si="129"/>
        <v>6.5000000000000002E-2</v>
      </c>
      <c r="AA129" s="1132">
        <f t="shared" si="129"/>
        <v>2.4000000000000004E-2</v>
      </c>
      <c r="AB129" s="1132">
        <f t="shared" si="129"/>
        <v>8.9999999999999993E-3</v>
      </c>
      <c r="AC129" s="1132">
        <f t="shared" si="129"/>
        <v>2.0000000000000004E-2</v>
      </c>
      <c r="AD129" s="1133">
        <f t="shared" si="129"/>
        <v>9.0000000000000011E-3</v>
      </c>
      <c r="AE129" s="1132">
        <f t="shared" si="129"/>
        <v>1.9000000000000003E-2</v>
      </c>
      <c r="AF129" s="1132">
        <f t="shared" si="129"/>
        <v>3.6000000000000004E-2</v>
      </c>
      <c r="AG129" s="1132">
        <f t="shared" ref="AG129:AW129" si="130">AG37</f>
        <v>6.4000000000000001E-2</v>
      </c>
      <c r="AH129" s="1133">
        <f t="shared" si="130"/>
        <v>3.5000000000000003E-2</v>
      </c>
      <c r="AI129" s="1132">
        <f t="shared" si="130"/>
        <v>4.5999999999999999E-2</v>
      </c>
      <c r="AJ129" s="1132">
        <f t="shared" si="130"/>
        <v>7.3000000000000009E-2</v>
      </c>
      <c r="AK129" s="1132">
        <f t="shared" si="130"/>
        <v>7.8000000000000014E-2</v>
      </c>
      <c r="AL129" s="1133">
        <f t="shared" si="130"/>
        <v>2.5000000000000005E-2</v>
      </c>
      <c r="AM129" s="1132">
        <f t="shared" si="130"/>
        <v>8.8000000000000009E-2</v>
      </c>
      <c r="AN129" s="1132">
        <f t="shared" si="130"/>
        <v>6.7000000000000004E-2</v>
      </c>
      <c r="AO129" s="1132">
        <f t="shared" si="130"/>
        <v>5.5596540629820876E-2</v>
      </c>
      <c r="AP129" s="1133">
        <f t="shared" si="130"/>
        <v>9.1000000000000011E-2</v>
      </c>
      <c r="AQ129" s="1132">
        <f t="shared" si="130"/>
        <v>6.2E-2</v>
      </c>
      <c r="AR129" s="1132">
        <f t="shared" si="130"/>
        <v>6.3E-2</v>
      </c>
      <c r="AS129" s="1132">
        <f t="shared" si="130"/>
        <v>7.5965406298208749E-3</v>
      </c>
      <c r="AT129" s="1133">
        <f t="shared" si="130"/>
        <v>4.8000000000000001E-2</v>
      </c>
      <c r="AU129" s="1132">
        <f t="shared" si="130"/>
        <v>4.9999999999999989E-2</v>
      </c>
      <c r="AV129" s="1132">
        <f t="shared" si="130"/>
        <v>5.2000000000000005E-2</v>
      </c>
      <c r="AW129" s="1132">
        <f t="shared" si="130"/>
        <v>5.1000000000000004E-2</v>
      </c>
    </row>
    <row r="130" spans="1:50" x14ac:dyDescent="0.2">
      <c r="A130" s="1127" t="str">
        <f t="shared" ref="A130:AF130" si="131">A38</f>
        <v>Core gr. - Dental Consumables</v>
      </c>
      <c r="B130" s="1122">
        <f t="shared" si="131"/>
        <v>0</v>
      </c>
      <c r="C130" s="1123">
        <f t="shared" si="131"/>
        <v>0</v>
      </c>
      <c r="D130" s="1123">
        <f t="shared" si="131"/>
        <v>0</v>
      </c>
      <c r="E130" s="1123">
        <f t="shared" si="131"/>
        <v>0</v>
      </c>
      <c r="F130" s="1124">
        <f t="shared" si="131"/>
        <v>0</v>
      </c>
      <c r="G130" s="1123">
        <f t="shared" si="131"/>
        <v>0</v>
      </c>
      <c r="H130" s="1123">
        <f t="shared" si="131"/>
        <v>0</v>
      </c>
      <c r="I130" s="1123">
        <f t="shared" si="131"/>
        <v>0</v>
      </c>
      <c r="J130" s="1124">
        <f t="shared" si="131"/>
        <v>0</v>
      </c>
      <c r="K130" s="1123">
        <f t="shared" si="131"/>
        <v>0</v>
      </c>
      <c r="L130" s="1123">
        <f t="shared" si="131"/>
        <v>0</v>
      </c>
      <c r="M130" s="1123">
        <f t="shared" si="131"/>
        <v>0</v>
      </c>
      <c r="N130" s="1124">
        <f t="shared" si="131"/>
        <v>0</v>
      </c>
      <c r="O130" s="1123">
        <f t="shared" si="131"/>
        <v>0</v>
      </c>
      <c r="P130" s="1123">
        <f t="shared" si="131"/>
        <v>0</v>
      </c>
      <c r="Q130" s="1123">
        <f t="shared" si="131"/>
        <v>0</v>
      </c>
      <c r="R130" s="1124">
        <f t="shared" si="131"/>
        <v>0</v>
      </c>
      <c r="S130" s="1123">
        <f t="shared" si="131"/>
        <v>0</v>
      </c>
      <c r="T130" s="1123">
        <f t="shared" si="131"/>
        <v>0</v>
      </c>
      <c r="U130" s="1123">
        <f t="shared" si="131"/>
        <v>0</v>
      </c>
      <c r="V130" s="1124">
        <f t="shared" si="131"/>
        <v>0</v>
      </c>
      <c r="W130" s="1123">
        <f t="shared" si="131"/>
        <v>0</v>
      </c>
      <c r="X130" s="1123">
        <f t="shared" si="131"/>
        <v>0</v>
      </c>
      <c r="Y130" s="1123">
        <f t="shared" si="131"/>
        <v>0</v>
      </c>
      <c r="Z130" s="1124">
        <f t="shared" si="131"/>
        <v>8.3000000000000004E-2</v>
      </c>
      <c r="AA130" s="1123">
        <f t="shared" si="131"/>
        <v>2.1000000000000005E-2</v>
      </c>
      <c r="AB130" s="1123">
        <f t="shared" si="131"/>
        <v>2.6000000000000002E-2</v>
      </c>
      <c r="AC130" s="1123">
        <f t="shared" si="131"/>
        <v>3.6999999999999998E-2</v>
      </c>
      <c r="AD130" s="1124">
        <f t="shared" si="131"/>
        <v>1.6E-2</v>
      </c>
      <c r="AE130" s="1123">
        <f t="shared" si="131"/>
        <v>8.0000000000000019E-3</v>
      </c>
      <c r="AF130" s="1123">
        <f t="shared" si="131"/>
        <v>2.4E-2</v>
      </c>
      <c r="AG130" s="1123">
        <f t="shared" ref="AG130:AW130" si="132">AG38</f>
        <v>4.5999999999999999E-2</v>
      </c>
      <c r="AH130" s="1124">
        <f t="shared" si="132"/>
        <v>4.9000000000000002E-2</v>
      </c>
      <c r="AI130" s="1123">
        <f t="shared" si="132"/>
        <v>4.1000000000000002E-2</v>
      </c>
      <c r="AJ130" s="1123">
        <f t="shared" si="132"/>
        <v>6.0999999999999999E-2</v>
      </c>
      <c r="AK130" s="1123">
        <f t="shared" si="132"/>
        <v>7.1000000000000008E-2</v>
      </c>
      <c r="AL130" s="1124">
        <f t="shared" si="132"/>
        <v>3.2000000000000001E-2</v>
      </c>
      <c r="AM130" s="1123">
        <f t="shared" si="132"/>
        <v>6.5000000000000002E-2</v>
      </c>
      <c r="AN130" s="1123">
        <f t="shared" si="132"/>
        <v>5.6000000000000001E-2</v>
      </c>
      <c r="AO130" s="1123">
        <f t="shared" si="132"/>
        <v>6.5000000000000002E-2</v>
      </c>
      <c r="AP130" s="1124">
        <f t="shared" si="132"/>
        <v>9.6000000000000002E-2</v>
      </c>
      <c r="AQ130" s="1123">
        <f t="shared" si="132"/>
        <v>5.8999999999999997E-2</v>
      </c>
      <c r="AR130" s="1123">
        <f t="shared" si="132"/>
        <v>6.0999999999999999E-2</v>
      </c>
      <c r="AS130" s="1123">
        <f t="shared" si="132"/>
        <v>-9.9999999999999742E-4</v>
      </c>
      <c r="AT130" s="1124">
        <f t="shared" si="132"/>
        <v>0.06</v>
      </c>
      <c r="AU130" s="1123">
        <f t="shared" si="132"/>
        <v>6.4000000000000001E-2</v>
      </c>
      <c r="AV130" s="1123">
        <f t="shared" si="132"/>
        <v>6.4000000000000001E-2</v>
      </c>
      <c r="AW130" s="1123">
        <f t="shared" si="132"/>
        <v>-5.9999999999999984E-3</v>
      </c>
    </row>
    <row r="131" spans="1:50" x14ac:dyDescent="0.2">
      <c r="A131" s="1137" t="str">
        <f t="shared" ref="A131:AF131" si="133">A39</f>
        <v>Core gr. - Dental Equipment</v>
      </c>
      <c r="B131" s="1138">
        <f t="shared" si="133"/>
        <v>0</v>
      </c>
      <c r="C131" s="1139">
        <f t="shared" si="133"/>
        <v>0</v>
      </c>
      <c r="D131" s="1139">
        <f t="shared" si="133"/>
        <v>0</v>
      </c>
      <c r="E131" s="1139">
        <f t="shared" si="133"/>
        <v>0</v>
      </c>
      <c r="F131" s="1140">
        <f t="shared" si="133"/>
        <v>0</v>
      </c>
      <c r="G131" s="1139">
        <f t="shared" si="133"/>
        <v>0</v>
      </c>
      <c r="H131" s="1139">
        <f t="shared" si="133"/>
        <v>0</v>
      </c>
      <c r="I131" s="1139">
        <f t="shared" si="133"/>
        <v>0</v>
      </c>
      <c r="J131" s="1140">
        <f t="shared" si="133"/>
        <v>0</v>
      </c>
      <c r="K131" s="1139">
        <f t="shared" si="133"/>
        <v>0</v>
      </c>
      <c r="L131" s="1139">
        <f t="shared" si="133"/>
        <v>0</v>
      </c>
      <c r="M131" s="1139">
        <f t="shared" si="133"/>
        <v>0</v>
      </c>
      <c r="N131" s="1140">
        <f t="shared" si="133"/>
        <v>0</v>
      </c>
      <c r="O131" s="1139">
        <f t="shared" si="133"/>
        <v>0</v>
      </c>
      <c r="P131" s="1139">
        <f t="shared" si="133"/>
        <v>0</v>
      </c>
      <c r="Q131" s="1139">
        <f t="shared" si="133"/>
        <v>0</v>
      </c>
      <c r="R131" s="1140">
        <f t="shared" si="133"/>
        <v>0</v>
      </c>
      <c r="S131" s="1139">
        <f t="shared" si="133"/>
        <v>0</v>
      </c>
      <c r="T131" s="1139">
        <f t="shared" si="133"/>
        <v>0</v>
      </c>
      <c r="U131" s="1139">
        <f t="shared" si="133"/>
        <v>0</v>
      </c>
      <c r="V131" s="1140">
        <f t="shared" si="133"/>
        <v>0</v>
      </c>
      <c r="W131" s="1139">
        <f t="shared" si="133"/>
        <v>0</v>
      </c>
      <c r="X131" s="1139">
        <f t="shared" si="133"/>
        <v>0</v>
      </c>
      <c r="Y131" s="1139">
        <f t="shared" si="133"/>
        <v>0</v>
      </c>
      <c r="Z131" s="1140">
        <f t="shared" si="133"/>
        <v>1.7000000000000001E-2</v>
      </c>
      <c r="AA131" s="1139">
        <f t="shared" si="133"/>
        <v>4.5999999999999999E-2</v>
      </c>
      <c r="AB131" s="1139">
        <f t="shared" si="133"/>
        <v>5.8999999999999997E-2</v>
      </c>
      <c r="AC131" s="1139">
        <f t="shared" si="133"/>
        <v>-6.0000000000000053E-3</v>
      </c>
      <c r="AD131" s="1140">
        <f t="shared" si="133"/>
        <v>-1.8999999999999996E-2</v>
      </c>
      <c r="AE131" s="1139">
        <f t="shared" si="133"/>
        <v>5.6000000000000001E-2</v>
      </c>
      <c r="AF131" s="1139">
        <f t="shared" si="133"/>
        <v>6.3E-2</v>
      </c>
      <c r="AG131" s="1139">
        <f t="shared" ref="AG131:AW131" si="134">AG39</f>
        <v>0.11199999999999999</v>
      </c>
      <c r="AH131" s="1140">
        <f t="shared" si="134"/>
        <v>7.8E-2</v>
      </c>
      <c r="AI131" s="1139">
        <f t="shared" si="134"/>
        <v>6.3E-2</v>
      </c>
      <c r="AJ131" s="1139">
        <f t="shared" si="134"/>
        <v>0.10200000000000001</v>
      </c>
      <c r="AK131" s="1139">
        <f t="shared" si="134"/>
        <v>9.6000000000000002E-2</v>
      </c>
      <c r="AL131" s="1140">
        <f t="shared" si="134"/>
        <v>9.7000000000000003E-2</v>
      </c>
      <c r="AM131" s="1139">
        <f t="shared" si="134"/>
        <v>0.14899999999999999</v>
      </c>
      <c r="AN131" s="1139">
        <f t="shared" si="134"/>
        <v>9.5000000000000001E-2</v>
      </c>
      <c r="AO131" s="1139">
        <f t="shared" si="134"/>
        <v>3.1000000000000007E-2</v>
      </c>
      <c r="AP131" s="1140">
        <f t="shared" si="134"/>
        <v>7.3999999999999996E-2</v>
      </c>
      <c r="AQ131" s="1139">
        <f t="shared" si="134"/>
        <v>6.7000000000000004E-2</v>
      </c>
      <c r="AR131" s="1139">
        <f t="shared" si="134"/>
        <v>6.8000000000000005E-2</v>
      </c>
      <c r="AS131" s="1139">
        <f t="shared" si="134"/>
        <v>3.7999999999999999E-2</v>
      </c>
      <c r="AT131" s="1140">
        <f t="shared" si="134"/>
        <v>1.0999999999999746E-2</v>
      </c>
      <c r="AU131" s="1139">
        <f t="shared" si="134"/>
        <v>-1.4155801281661648E-3</v>
      </c>
      <c r="AV131" s="1139">
        <f t="shared" si="134"/>
        <v>9.5706640218233309E-3</v>
      </c>
      <c r="AW131" s="1139">
        <f t="shared" si="134"/>
        <v>0.23332293119857206</v>
      </c>
    </row>
    <row r="133" spans="1:50" x14ac:dyDescent="0.2">
      <c r="AX133" s="1001"/>
    </row>
    <row r="134" spans="1:50" x14ac:dyDescent="0.2">
      <c r="AX134" s="290"/>
    </row>
    <row r="135" spans="1:50" x14ac:dyDescent="0.2">
      <c r="A135" s="294" t="str">
        <f>A3</f>
        <v>Organic Growth Trends</v>
      </c>
      <c r="B135" s="289"/>
      <c r="C135" s="289"/>
      <c r="D135" s="289"/>
      <c r="E135" s="289"/>
      <c r="F135" s="289"/>
      <c r="G135" s="289"/>
      <c r="H135" s="289"/>
      <c r="I135" s="289"/>
      <c r="J135" s="289"/>
      <c r="K135" s="289"/>
      <c r="L135" s="289"/>
      <c r="M135" s="289"/>
      <c r="N135" s="290"/>
      <c r="O135" s="289"/>
      <c r="P135" s="289"/>
      <c r="Q135" s="289"/>
      <c r="R135" s="289"/>
      <c r="S135" s="289"/>
      <c r="T135" s="289"/>
      <c r="U135" s="289"/>
      <c r="V135" s="289"/>
      <c r="W135" s="289"/>
      <c r="X135" s="289"/>
      <c r="Y135" s="289"/>
      <c r="Z135" s="289"/>
      <c r="AA135" s="289"/>
      <c r="AB135" s="289"/>
      <c r="AC135" s="289"/>
      <c r="AD135" s="289"/>
      <c r="AE135" s="289"/>
    </row>
    <row r="136" spans="1:50" x14ac:dyDescent="0.2">
      <c r="A136" s="295"/>
      <c r="B136" s="741" t="str">
        <f t="shared" ref="B136:AF136" si="135">B4</f>
        <v>1Q07</v>
      </c>
      <c r="C136" s="295" t="str">
        <f t="shared" si="135"/>
        <v>2Q07</v>
      </c>
      <c r="D136" s="295" t="str">
        <f t="shared" si="135"/>
        <v>3Q07</v>
      </c>
      <c r="E136" s="295" t="str">
        <f t="shared" si="135"/>
        <v>4Q07</v>
      </c>
      <c r="F136" s="296" t="str">
        <f t="shared" si="135"/>
        <v>1Q08</v>
      </c>
      <c r="G136" s="295" t="str">
        <f t="shared" si="135"/>
        <v>2Q08</v>
      </c>
      <c r="H136" s="295" t="str">
        <f t="shared" si="135"/>
        <v>3Q08</v>
      </c>
      <c r="I136" s="295" t="str">
        <f t="shared" si="135"/>
        <v>4Q08</v>
      </c>
      <c r="J136" s="296" t="str">
        <f t="shared" si="135"/>
        <v>1Q09</v>
      </c>
      <c r="K136" s="295" t="str">
        <f t="shared" si="135"/>
        <v>2Q09</v>
      </c>
      <c r="L136" s="295" t="str">
        <f t="shared" si="135"/>
        <v>3Q09</v>
      </c>
      <c r="M136" s="295" t="str">
        <f t="shared" si="135"/>
        <v>4Q09</v>
      </c>
      <c r="N136" s="296" t="str">
        <f t="shared" si="135"/>
        <v>1Q10</v>
      </c>
      <c r="O136" s="295" t="str">
        <f t="shared" si="135"/>
        <v>2Q10</v>
      </c>
      <c r="P136" s="295" t="str">
        <f t="shared" si="135"/>
        <v>3Q10</v>
      </c>
      <c r="Q136" s="295" t="str">
        <f t="shared" si="135"/>
        <v>4Q10</v>
      </c>
      <c r="R136" s="296" t="str">
        <f t="shared" si="135"/>
        <v>1Q11</v>
      </c>
      <c r="S136" s="295" t="str">
        <f t="shared" si="135"/>
        <v>2Q11</v>
      </c>
      <c r="T136" s="295" t="str">
        <f t="shared" si="135"/>
        <v>3Q11</v>
      </c>
      <c r="U136" s="295" t="str">
        <f t="shared" si="135"/>
        <v>4Q11</v>
      </c>
      <c r="V136" s="296" t="str">
        <f t="shared" si="135"/>
        <v>1Q12</v>
      </c>
      <c r="W136" s="295" t="str">
        <f t="shared" si="135"/>
        <v>2Q12</v>
      </c>
      <c r="X136" s="295" t="str">
        <f t="shared" si="135"/>
        <v>3Q12</v>
      </c>
      <c r="Y136" s="295" t="str">
        <f t="shared" si="135"/>
        <v>4Q12</v>
      </c>
      <c r="Z136" s="296" t="str">
        <f t="shared" si="135"/>
        <v>1Q13</v>
      </c>
      <c r="AA136" s="295" t="str">
        <f t="shared" si="135"/>
        <v>2Q13</v>
      </c>
      <c r="AB136" s="295" t="str">
        <f t="shared" si="135"/>
        <v>3Q13</v>
      </c>
      <c r="AC136" s="295" t="str">
        <f t="shared" si="135"/>
        <v>4Q13</v>
      </c>
      <c r="AD136" s="296" t="str">
        <f t="shared" si="135"/>
        <v>1Q14</v>
      </c>
      <c r="AE136" s="295" t="str">
        <f t="shared" si="135"/>
        <v>2Q14</v>
      </c>
      <c r="AF136" s="295" t="str">
        <f t="shared" si="135"/>
        <v>3Q14</v>
      </c>
      <c r="AG136" s="295" t="str">
        <f t="shared" ref="AG136:AW136" si="136">AG4</f>
        <v>4Q14</v>
      </c>
      <c r="AH136" s="296" t="str">
        <f t="shared" si="136"/>
        <v>1Q15</v>
      </c>
      <c r="AI136" s="295" t="str">
        <f t="shared" si="136"/>
        <v>2Q15</v>
      </c>
      <c r="AJ136" s="295" t="str">
        <f t="shared" si="136"/>
        <v>3Q15</v>
      </c>
      <c r="AK136" s="295" t="str">
        <f t="shared" si="136"/>
        <v>4Q15</v>
      </c>
      <c r="AL136" s="296" t="str">
        <f t="shared" si="136"/>
        <v>1Q16</v>
      </c>
      <c r="AM136" s="295" t="str">
        <f t="shared" si="136"/>
        <v>2Q16</v>
      </c>
      <c r="AN136" s="295" t="str">
        <f t="shared" si="136"/>
        <v>3Q16</v>
      </c>
      <c r="AO136" s="295" t="str">
        <f t="shared" si="136"/>
        <v>4Q16</v>
      </c>
      <c r="AP136" s="296" t="str">
        <f t="shared" si="136"/>
        <v>1Q17</v>
      </c>
      <c r="AQ136" s="295" t="str">
        <f t="shared" si="136"/>
        <v>2Q17</v>
      </c>
      <c r="AR136" s="295" t="str">
        <f t="shared" si="136"/>
        <v>3Q17</v>
      </c>
      <c r="AS136" s="295" t="str">
        <f t="shared" si="136"/>
        <v>4Q17</v>
      </c>
      <c r="AT136" s="296" t="str">
        <f t="shared" si="136"/>
        <v>1Q18E</v>
      </c>
      <c r="AU136" s="295" t="str">
        <f t="shared" si="136"/>
        <v>2Q18E</v>
      </c>
      <c r="AV136" s="295" t="str">
        <f t="shared" si="136"/>
        <v>3Q18E</v>
      </c>
      <c r="AW136" s="295" t="str">
        <f t="shared" si="136"/>
        <v>4Q18E</v>
      </c>
    </row>
    <row r="137" spans="1:50" x14ac:dyDescent="0.2">
      <c r="A137" s="338" t="str">
        <f t="shared" ref="A137:AF137" si="137">A15</f>
        <v>Global Animal Health revenues</v>
      </c>
      <c r="B137" s="1079" t="str">
        <f t="shared" si="137"/>
        <v>NA</v>
      </c>
      <c r="C137" s="1080" t="str">
        <f t="shared" si="137"/>
        <v>NA</v>
      </c>
      <c r="D137" s="1080" t="str">
        <f t="shared" si="137"/>
        <v>NA</v>
      </c>
      <c r="E137" s="1080" t="str">
        <f t="shared" si="137"/>
        <v>NA</v>
      </c>
      <c r="F137" s="1081" t="str">
        <f t="shared" si="137"/>
        <v>NA</v>
      </c>
      <c r="G137" s="1080" t="str">
        <f t="shared" si="137"/>
        <v>NA</v>
      </c>
      <c r="H137" s="1080" t="str">
        <f t="shared" si="137"/>
        <v>NA</v>
      </c>
      <c r="I137" s="1080" t="str">
        <f t="shared" si="137"/>
        <v>NA</v>
      </c>
      <c r="J137" s="1081" t="str">
        <f t="shared" si="137"/>
        <v>NA</v>
      </c>
      <c r="K137" s="1080" t="str">
        <f t="shared" si="137"/>
        <v>NA</v>
      </c>
      <c r="L137" s="1080" t="str">
        <f t="shared" si="137"/>
        <v>NA</v>
      </c>
      <c r="M137" s="1080" t="str">
        <f t="shared" si="137"/>
        <v>NA</v>
      </c>
      <c r="N137" s="1081" t="str">
        <f t="shared" si="137"/>
        <v>NA</v>
      </c>
      <c r="O137" s="1080" t="str">
        <f t="shared" si="137"/>
        <v>NA</v>
      </c>
      <c r="P137" s="1080" t="str">
        <f t="shared" si="137"/>
        <v>NA</v>
      </c>
      <c r="Q137" s="1080" t="str">
        <f t="shared" si="137"/>
        <v>NA</v>
      </c>
      <c r="R137" s="1081" t="str">
        <f t="shared" si="137"/>
        <v>NA</v>
      </c>
      <c r="S137" s="1080" t="str">
        <f t="shared" si="137"/>
        <v>NA</v>
      </c>
      <c r="T137" s="1080" t="str">
        <f t="shared" si="137"/>
        <v>NA</v>
      </c>
      <c r="U137" s="1080" t="str">
        <f t="shared" si="137"/>
        <v>NA</v>
      </c>
      <c r="V137" s="1081">
        <f t="shared" si="137"/>
        <v>0.14799999999999999</v>
      </c>
      <c r="W137" s="1080">
        <f t="shared" si="137"/>
        <v>8.6999999999999994E-2</v>
      </c>
      <c r="X137" s="1080">
        <f t="shared" si="137"/>
        <v>9.0999999999999998E-2</v>
      </c>
      <c r="Y137" s="1080">
        <f t="shared" si="137"/>
        <v>0.10600000000000002</v>
      </c>
      <c r="Z137" s="1081">
        <f t="shared" si="137"/>
        <v>6.8000000000000005E-2</v>
      </c>
      <c r="AA137" s="1080">
        <f t="shared" si="137"/>
        <v>4.1999999999999982E-2</v>
      </c>
      <c r="AB137" s="1080">
        <f t="shared" si="137"/>
        <v>5.8999999999999997E-2</v>
      </c>
      <c r="AC137" s="1080">
        <f t="shared" si="137"/>
        <v>4.8000000000000001E-2</v>
      </c>
      <c r="AD137" s="1077">
        <f t="shared" si="137"/>
        <v>0.02</v>
      </c>
      <c r="AE137" s="1078">
        <f t="shared" si="137"/>
        <v>7.2999999999999995E-2</v>
      </c>
      <c r="AF137" s="1078">
        <f t="shared" si="137"/>
        <v>8.1000000000000003E-2</v>
      </c>
      <c r="AG137" s="1078">
        <f t="shared" ref="AG137:AW137" si="138">AG15</f>
        <v>7.8E-2</v>
      </c>
      <c r="AH137" s="1077">
        <f t="shared" si="138"/>
        <v>4.4999999999999998E-2</v>
      </c>
      <c r="AI137" s="1078">
        <f t="shared" si="138"/>
        <v>6.0000000000000053E-3</v>
      </c>
      <c r="AJ137" s="1078">
        <f t="shared" si="138"/>
        <v>4.9999999999999975E-3</v>
      </c>
      <c r="AK137" s="1078">
        <f t="shared" si="138"/>
        <v>2.3000000000000007E-2</v>
      </c>
      <c r="AL137" s="1077">
        <f t="shared" si="138"/>
        <v>9.8000000000000004E-2</v>
      </c>
      <c r="AM137" s="1078">
        <f t="shared" si="138"/>
        <v>0.11799999999999999</v>
      </c>
      <c r="AN137" s="1078">
        <f t="shared" si="138"/>
        <v>8.5999999999999993E-2</v>
      </c>
      <c r="AO137" s="1078">
        <f t="shared" si="138"/>
        <v>8.1901387050405311E-2</v>
      </c>
      <c r="AP137" s="1077">
        <f t="shared" si="138"/>
        <v>7.0670141675081913E-2</v>
      </c>
      <c r="AQ137" s="1078">
        <f t="shared" si="138"/>
        <v>5.8044796262409326E-2</v>
      </c>
      <c r="AR137" s="1078">
        <f t="shared" si="138"/>
        <v>8.0243905000639063E-2</v>
      </c>
      <c r="AS137" s="1078">
        <f t="shared" si="138"/>
        <v>4.4786150715261708E-2</v>
      </c>
      <c r="AT137" s="1077">
        <f t="shared" si="138"/>
        <v>5.9805354399284694E-2</v>
      </c>
      <c r="AU137" s="1078">
        <f t="shared" si="138"/>
        <v>7.4122800620644913E-2</v>
      </c>
      <c r="AV137" s="1078">
        <f t="shared" si="138"/>
        <v>6.1570758458156849E-2</v>
      </c>
      <c r="AW137" s="1078">
        <f t="shared" si="138"/>
        <v>8.5042510269334848E-2</v>
      </c>
    </row>
    <row r="138" spans="1:50" x14ac:dyDescent="0.2">
      <c r="A138" s="375" t="str">
        <f t="shared" ref="A138:AF138" si="139">A16</f>
        <v>North America</v>
      </c>
      <c r="B138" s="1136" t="str">
        <f t="shared" si="139"/>
        <v>NA</v>
      </c>
      <c r="C138" s="1087" t="str">
        <f t="shared" si="139"/>
        <v>NA</v>
      </c>
      <c r="D138" s="1087" t="str">
        <f t="shared" si="139"/>
        <v>NA</v>
      </c>
      <c r="E138" s="1087" t="str">
        <f t="shared" si="139"/>
        <v>NA</v>
      </c>
      <c r="F138" s="1086" t="str">
        <f t="shared" si="139"/>
        <v>NA</v>
      </c>
      <c r="G138" s="1087" t="str">
        <f t="shared" si="139"/>
        <v>NA</v>
      </c>
      <c r="H138" s="1087" t="str">
        <f t="shared" si="139"/>
        <v>NA</v>
      </c>
      <c r="I138" s="1087" t="str">
        <f t="shared" si="139"/>
        <v>NA</v>
      </c>
      <c r="J138" s="1086" t="str">
        <f t="shared" si="139"/>
        <v>NA</v>
      </c>
      <c r="K138" s="1087" t="str">
        <f t="shared" si="139"/>
        <v>NA</v>
      </c>
      <c r="L138" s="1087" t="str">
        <f t="shared" si="139"/>
        <v>NA</v>
      </c>
      <c r="M138" s="1087" t="str">
        <f t="shared" si="139"/>
        <v>NA</v>
      </c>
      <c r="N138" s="1086">
        <f t="shared" si="139"/>
        <v>2.4999999999999911E-2</v>
      </c>
      <c r="O138" s="1087">
        <f t="shared" si="139"/>
        <v>0</v>
      </c>
      <c r="P138" s="1087">
        <f t="shared" si="139"/>
        <v>0</v>
      </c>
      <c r="Q138" s="1087">
        <f t="shared" si="139"/>
        <v>0</v>
      </c>
      <c r="R138" s="1086">
        <f t="shared" si="139"/>
        <v>7.5000000000000011E-2</v>
      </c>
      <c r="S138" s="1087">
        <f t="shared" si="139"/>
        <v>0.109</v>
      </c>
      <c r="T138" s="1087">
        <f t="shared" si="139"/>
        <v>9.4E-2</v>
      </c>
      <c r="U138" s="1087">
        <f t="shared" si="139"/>
        <v>7.1000000000000008E-2</v>
      </c>
      <c r="V138" s="1086">
        <f t="shared" si="139"/>
        <v>0.158</v>
      </c>
      <c r="W138" s="1087">
        <f t="shared" si="139"/>
        <v>0.14199999999999999</v>
      </c>
      <c r="X138" s="1087">
        <f t="shared" si="139"/>
        <v>0.122</v>
      </c>
      <c r="Y138" s="1087">
        <f t="shared" si="139"/>
        <v>0.184</v>
      </c>
      <c r="Z138" s="1086">
        <f t="shared" si="139"/>
        <v>0.14899999999999999</v>
      </c>
      <c r="AA138" s="1087">
        <f t="shared" si="139"/>
        <v>9.6000000000000002E-2</v>
      </c>
      <c r="AB138" s="1087">
        <f t="shared" si="139"/>
        <v>0.104</v>
      </c>
      <c r="AC138" s="1087">
        <f t="shared" si="139"/>
        <v>7.0000000000000007E-2</v>
      </c>
      <c r="AD138" s="1086">
        <f t="shared" si="139"/>
        <v>-4.0000000000000001E-3</v>
      </c>
      <c r="AE138" s="1087">
        <f t="shared" si="139"/>
        <v>7.9000000000000001E-2</v>
      </c>
      <c r="AF138" s="1087">
        <f t="shared" si="139"/>
        <v>0.10899999999999999</v>
      </c>
      <c r="AG138" s="1087">
        <f t="shared" ref="AG138:AW138" si="140">AG16</f>
        <v>6.8999999999999992E-2</v>
      </c>
      <c r="AH138" s="1086">
        <f t="shared" si="140"/>
        <v>1.2999999999999998E-2</v>
      </c>
      <c r="AI138" s="1087">
        <f t="shared" si="140"/>
        <v>-4.0999999999999995E-2</v>
      </c>
      <c r="AJ138" s="1087">
        <f t="shared" si="140"/>
        <v>-1.9E-2</v>
      </c>
      <c r="AK138" s="1087">
        <f t="shared" si="140"/>
        <v>1.2000000000000002E-2</v>
      </c>
      <c r="AL138" s="1086">
        <f t="shared" si="140"/>
        <v>0.16699999999999998</v>
      </c>
      <c r="AM138" s="1087">
        <f t="shared" si="140"/>
        <v>0.188</v>
      </c>
      <c r="AN138" s="1087">
        <f t="shared" si="140"/>
        <v>0.1</v>
      </c>
      <c r="AO138" s="1087">
        <f t="shared" si="140"/>
        <v>0.10299999999999998</v>
      </c>
      <c r="AP138" s="1086">
        <f t="shared" si="140"/>
        <v>5.5E-2</v>
      </c>
      <c r="AQ138" s="1087">
        <f t="shared" si="140"/>
        <v>5.8999999999999997E-2</v>
      </c>
      <c r="AR138" s="1087">
        <f t="shared" si="140"/>
        <v>9.5000000000000001E-2</v>
      </c>
      <c r="AS138" s="1087">
        <f t="shared" si="140"/>
        <v>0.06</v>
      </c>
      <c r="AT138" s="1086">
        <f t="shared" si="140"/>
        <v>7.9018275428019799E-2</v>
      </c>
      <c r="AU138" s="1087">
        <f t="shared" si="140"/>
        <v>8.6601993655972834E-2</v>
      </c>
      <c r="AV138" s="1087">
        <f t="shared" si="140"/>
        <v>6.3091869323960242E-2</v>
      </c>
      <c r="AW138" s="1087">
        <f t="shared" si="140"/>
        <v>0.09</v>
      </c>
    </row>
    <row r="139" spans="1:50" x14ac:dyDescent="0.2">
      <c r="A139" s="1141" t="str">
        <f t="shared" ref="A139:AF139" si="141">A17</f>
        <v>International</v>
      </c>
      <c r="B139" s="1142" t="str">
        <f t="shared" si="141"/>
        <v>NA</v>
      </c>
      <c r="C139" s="1143" t="str">
        <f t="shared" si="141"/>
        <v>NA</v>
      </c>
      <c r="D139" s="1143" t="str">
        <f t="shared" si="141"/>
        <v>NA</v>
      </c>
      <c r="E139" s="1143" t="str">
        <f t="shared" si="141"/>
        <v>NA</v>
      </c>
      <c r="F139" s="1144" t="str">
        <f t="shared" si="141"/>
        <v>NA</v>
      </c>
      <c r="G139" s="1143" t="str">
        <f t="shared" si="141"/>
        <v>NA</v>
      </c>
      <c r="H139" s="1143" t="str">
        <f t="shared" si="141"/>
        <v>NA</v>
      </c>
      <c r="I139" s="1143" t="str">
        <f t="shared" si="141"/>
        <v>NA</v>
      </c>
      <c r="J139" s="1144" t="str">
        <f t="shared" si="141"/>
        <v>NA</v>
      </c>
      <c r="K139" s="1143" t="str">
        <f t="shared" si="141"/>
        <v>NA</v>
      </c>
      <c r="L139" s="1143" t="str">
        <f t="shared" si="141"/>
        <v>NA</v>
      </c>
      <c r="M139" s="1143" t="str">
        <f t="shared" si="141"/>
        <v>NA</v>
      </c>
      <c r="N139" s="1144" t="str">
        <f t="shared" si="141"/>
        <v>NA</v>
      </c>
      <c r="O139" s="1143" t="str">
        <f t="shared" si="141"/>
        <v>NA</v>
      </c>
      <c r="P139" s="1143" t="str">
        <f t="shared" si="141"/>
        <v>NA</v>
      </c>
      <c r="Q139" s="1143" t="str">
        <f t="shared" si="141"/>
        <v>NA</v>
      </c>
      <c r="R139" s="1144" t="str">
        <f t="shared" si="141"/>
        <v>NA</v>
      </c>
      <c r="S139" s="1143" t="str">
        <f t="shared" si="141"/>
        <v>NA</v>
      </c>
      <c r="T139" s="1143" t="str">
        <f t="shared" si="141"/>
        <v>NA</v>
      </c>
      <c r="U139" s="1143" t="str">
        <f t="shared" si="141"/>
        <v>NA</v>
      </c>
      <c r="V139" s="1144">
        <f t="shared" si="141"/>
        <v>0.13699999999999998</v>
      </c>
      <c r="W139" s="1143">
        <f t="shared" si="141"/>
        <v>3.4000000000000002E-2</v>
      </c>
      <c r="X139" s="1143">
        <f t="shared" si="141"/>
        <v>6.2E-2</v>
      </c>
      <c r="Y139" s="1143">
        <f t="shared" si="141"/>
        <v>3.1E-2</v>
      </c>
      <c r="Z139" s="1144">
        <f t="shared" si="141"/>
        <v>-1.5000000000000013E-2</v>
      </c>
      <c r="AA139" s="1143">
        <f t="shared" si="141"/>
        <v>-1.4000000000000012E-2</v>
      </c>
      <c r="AB139" s="1143">
        <f t="shared" si="141"/>
        <v>2.0999999999999998E-2</v>
      </c>
      <c r="AC139" s="1143">
        <f t="shared" si="141"/>
        <v>2.8999999999999998E-2</v>
      </c>
      <c r="AD139" s="1144">
        <f t="shared" si="141"/>
        <v>4.2000000000000003E-2</v>
      </c>
      <c r="AE139" s="1143">
        <f t="shared" si="141"/>
        <v>6.8000000000000005E-2</v>
      </c>
      <c r="AF139" s="1143">
        <f t="shared" si="141"/>
        <v>5.6000000000000008E-2</v>
      </c>
      <c r="AG139" s="1143">
        <f t="shared" ref="AG139:AW139" si="142">AG17</f>
        <v>8.5999999999999993E-2</v>
      </c>
      <c r="AH139" s="1144">
        <f t="shared" si="142"/>
        <v>7.400000000000001E-2</v>
      </c>
      <c r="AI139" s="1143">
        <f t="shared" si="142"/>
        <v>4.7999999999999994E-2</v>
      </c>
      <c r="AJ139" s="1143">
        <f t="shared" si="142"/>
        <v>2.6999999999999996E-2</v>
      </c>
      <c r="AK139" s="1143">
        <f t="shared" si="142"/>
        <v>3.3000000000000002E-2</v>
      </c>
      <c r="AL139" s="1144">
        <f t="shared" si="142"/>
        <v>3.1E-2</v>
      </c>
      <c r="AM139" s="1143">
        <f t="shared" si="142"/>
        <v>4.9000000000000002E-2</v>
      </c>
      <c r="AN139" s="1143">
        <f t="shared" si="142"/>
        <v>7.2000000000000008E-2</v>
      </c>
      <c r="AO139" s="1143">
        <f t="shared" si="142"/>
        <v>6.3269409233216778E-2</v>
      </c>
      <c r="AP139" s="1144">
        <f t="shared" si="142"/>
        <v>8.8999999999999996E-2</v>
      </c>
      <c r="AQ139" s="1143">
        <f t="shared" si="142"/>
        <v>5.6999999999999995E-2</v>
      </c>
      <c r="AR139" s="1143">
        <f t="shared" si="142"/>
        <v>6.8999999999999992E-2</v>
      </c>
      <c r="AS139" s="1143">
        <f t="shared" si="142"/>
        <v>2.9000000000000005E-2</v>
      </c>
      <c r="AT139" s="1144">
        <f t="shared" si="142"/>
        <v>3.9E-2</v>
      </c>
      <c r="AU139" s="1143">
        <f t="shared" si="142"/>
        <v>0.06</v>
      </c>
      <c r="AV139" s="1143">
        <f t="shared" si="142"/>
        <v>0.06</v>
      </c>
      <c r="AW139" s="1143">
        <f t="shared" si="142"/>
        <v>0.08</v>
      </c>
    </row>
    <row r="140" spans="1:50" x14ac:dyDescent="0.2">
      <c r="A140" s="309"/>
      <c r="B140" s="309"/>
      <c r="C140" s="309"/>
      <c r="D140" s="309"/>
      <c r="E140" s="309"/>
      <c r="F140" s="309"/>
      <c r="G140" s="309"/>
      <c r="H140" s="309"/>
      <c r="I140" s="309"/>
      <c r="J140" s="309"/>
      <c r="K140" s="309"/>
      <c r="L140" s="309"/>
      <c r="M140" s="309"/>
      <c r="N140" s="309"/>
      <c r="O140" s="309"/>
      <c r="P140" s="309"/>
      <c r="Q140" s="309"/>
      <c r="R140" s="309"/>
      <c r="S140" s="309"/>
      <c r="T140" s="309"/>
      <c r="U140" s="309"/>
      <c r="V140" s="309"/>
      <c r="W140" s="309"/>
      <c r="X140" s="309"/>
      <c r="Y140" s="309"/>
      <c r="Z140" s="309"/>
      <c r="AA140" s="309"/>
      <c r="AB140" s="309"/>
      <c r="AC140" s="309"/>
      <c r="AD140" s="309"/>
      <c r="AE140" s="309"/>
      <c r="AF140" s="309"/>
      <c r="AG140" s="309"/>
      <c r="AH140" s="309"/>
      <c r="AI140" s="310"/>
      <c r="AJ140" s="310"/>
      <c r="AK140" s="310"/>
      <c r="AL140" s="310"/>
      <c r="AM140" s="309"/>
      <c r="AN140" s="309"/>
      <c r="AO140" s="309"/>
      <c r="AP140" s="309"/>
      <c r="AQ140" s="309"/>
      <c r="AR140" s="309"/>
      <c r="AS140" s="309"/>
      <c r="AT140" s="309"/>
      <c r="AU140" s="309"/>
      <c r="AV140" s="309"/>
      <c r="AW140" s="309"/>
    </row>
    <row r="141" spans="1:50" x14ac:dyDescent="0.2">
      <c r="A141" s="311" t="str">
        <f>A28</f>
        <v>Two-Year Growth Momentum</v>
      </c>
      <c r="B141" s="293"/>
      <c r="C141" s="293"/>
      <c r="D141" s="312"/>
      <c r="E141" s="312"/>
      <c r="F141" s="312"/>
      <c r="G141" s="312"/>
      <c r="H141" s="312"/>
      <c r="I141" s="312"/>
      <c r="J141" s="312"/>
      <c r="K141" s="312"/>
      <c r="L141" s="312"/>
      <c r="M141" s="312"/>
      <c r="N141" s="312"/>
      <c r="O141" s="309"/>
      <c r="P141" s="309"/>
      <c r="Q141" s="309"/>
      <c r="R141" s="309"/>
      <c r="S141" s="309"/>
      <c r="T141" s="309"/>
      <c r="U141" s="309"/>
      <c r="V141" s="309"/>
      <c r="W141" s="309"/>
      <c r="X141" s="309"/>
      <c r="Y141" s="309"/>
      <c r="Z141" s="309"/>
      <c r="AA141" s="309"/>
      <c r="AB141" s="309"/>
      <c r="AC141" s="309"/>
      <c r="AD141" s="309"/>
      <c r="AE141" s="309"/>
      <c r="AF141" s="309"/>
      <c r="AG141" s="309"/>
      <c r="AH141" s="309"/>
      <c r="AI141" s="309"/>
      <c r="AJ141" s="309"/>
      <c r="AK141" s="309"/>
      <c r="AL141" s="309"/>
      <c r="AM141" s="309"/>
      <c r="AN141" s="309"/>
      <c r="AO141" s="309"/>
      <c r="AP141" s="309"/>
      <c r="AQ141" s="309"/>
      <c r="AR141" s="309"/>
      <c r="AS141" s="309"/>
      <c r="AT141" s="309"/>
      <c r="AU141" s="309"/>
      <c r="AV141" s="309"/>
      <c r="AW141" s="309"/>
    </row>
    <row r="142" spans="1:50" x14ac:dyDescent="0.2">
      <c r="A142" s="295"/>
      <c r="B142" s="741"/>
      <c r="C142" s="295"/>
      <c r="D142" s="295"/>
      <c r="E142" s="295"/>
      <c r="F142" s="296" t="str">
        <f t="shared" ref="F142:AF142" si="143">F29</f>
        <v>1Q08</v>
      </c>
      <c r="G142" s="295" t="str">
        <f t="shared" si="143"/>
        <v>2Q08</v>
      </c>
      <c r="H142" s="295" t="str">
        <f t="shared" si="143"/>
        <v>3Q08</v>
      </c>
      <c r="I142" s="295" t="str">
        <f t="shared" si="143"/>
        <v>4Q08</v>
      </c>
      <c r="J142" s="296" t="str">
        <f t="shared" si="143"/>
        <v>1Q09</v>
      </c>
      <c r="K142" s="295" t="str">
        <f t="shared" si="143"/>
        <v>2Q09</v>
      </c>
      <c r="L142" s="295" t="str">
        <f t="shared" si="143"/>
        <v>3Q09</v>
      </c>
      <c r="M142" s="295" t="str">
        <f t="shared" si="143"/>
        <v>4Q09</v>
      </c>
      <c r="N142" s="296" t="str">
        <f t="shared" si="143"/>
        <v>1Q10</v>
      </c>
      <c r="O142" s="295" t="str">
        <f t="shared" si="143"/>
        <v>2Q10</v>
      </c>
      <c r="P142" s="295" t="str">
        <f t="shared" si="143"/>
        <v>3Q10</v>
      </c>
      <c r="Q142" s="295" t="str">
        <f t="shared" si="143"/>
        <v>4Q10</v>
      </c>
      <c r="R142" s="296" t="str">
        <f t="shared" si="143"/>
        <v>1Q11</v>
      </c>
      <c r="S142" s="295" t="str">
        <f t="shared" si="143"/>
        <v>2Q11</v>
      </c>
      <c r="T142" s="295" t="str">
        <f t="shared" si="143"/>
        <v>3Q11</v>
      </c>
      <c r="U142" s="295" t="str">
        <f t="shared" si="143"/>
        <v>4Q11</v>
      </c>
      <c r="V142" s="296" t="str">
        <f t="shared" si="143"/>
        <v>1Q12</v>
      </c>
      <c r="W142" s="295" t="str">
        <f t="shared" si="143"/>
        <v>2Q12</v>
      </c>
      <c r="X142" s="295" t="str">
        <f t="shared" si="143"/>
        <v>3Q12</v>
      </c>
      <c r="Y142" s="295" t="str">
        <f t="shared" si="143"/>
        <v>4Q12</v>
      </c>
      <c r="Z142" s="296" t="str">
        <f t="shared" si="143"/>
        <v>1Q13</v>
      </c>
      <c r="AA142" s="295" t="str">
        <f t="shared" si="143"/>
        <v>2Q13</v>
      </c>
      <c r="AB142" s="295" t="str">
        <f t="shared" si="143"/>
        <v>3Q13</v>
      </c>
      <c r="AC142" s="295" t="str">
        <f t="shared" si="143"/>
        <v>4Q13</v>
      </c>
      <c r="AD142" s="296" t="str">
        <f t="shared" si="143"/>
        <v>1Q14</v>
      </c>
      <c r="AE142" s="295" t="str">
        <f t="shared" si="143"/>
        <v>2Q14</v>
      </c>
      <c r="AF142" s="295" t="str">
        <f t="shared" si="143"/>
        <v>3Q14</v>
      </c>
      <c r="AG142" s="295" t="str">
        <f t="shared" ref="AG142:AW142" si="144">AG29</f>
        <v>4Q14</v>
      </c>
      <c r="AH142" s="296" t="str">
        <f t="shared" si="144"/>
        <v>1Q15</v>
      </c>
      <c r="AI142" s="295" t="str">
        <f t="shared" si="144"/>
        <v>2Q15</v>
      </c>
      <c r="AJ142" s="295" t="str">
        <f t="shared" si="144"/>
        <v>3Q15</v>
      </c>
      <c r="AK142" s="295" t="str">
        <f t="shared" si="144"/>
        <v>4Q15</v>
      </c>
      <c r="AL142" s="296" t="str">
        <f t="shared" si="144"/>
        <v>1Q16</v>
      </c>
      <c r="AM142" s="295" t="str">
        <f t="shared" si="144"/>
        <v>2Q16</v>
      </c>
      <c r="AN142" s="295" t="str">
        <f t="shared" si="144"/>
        <v>3Q16</v>
      </c>
      <c r="AO142" s="295" t="str">
        <f t="shared" si="144"/>
        <v>4Q16</v>
      </c>
      <c r="AP142" s="296" t="str">
        <f t="shared" si="144"/>
        <v>1Q17</v>
      </c>
      <c r="AQ142" s="295" t="str">
        <f t="shared" si="144"/>
        <v>2Q17</v>
      </c>
      <c r="AR142" s="295" t="str">
        <f t="shared" si="144"/>
        <v>3Q17</v>
      </c>
      <c r="AS142" s="295" t="str">
        <f t="shared" si="144"/>
        <v>4Q17</v>
      </c>
      <c r="AT142" s="296" t="str">
        <f t="shared" si="144"/>
        <v>1Q18E</v>
      </c>
      <c r="AU142" s="295" t="str">
        <f t="shared" si="144"/>
        <v>2Q18E</v>
      </c>
      <c r="AV142" s="295" t="str">
        <f t="shared" si="144"/>
        <v>3Q18E</v>
      </c>
      <c r="AW142" s="295" t="str">
        <f t="shared" si="144"/>
        <v>4Q18E</v>
      </c>
    </row>
    <row r="143" spans="1:50" x14ac:dyDescent="0.2">
      <c r="A143" s="1135" t="str">
        <f>A40</f>
        <v>Global Animal Health revenues</v>
      </c>
      <c r="B143" s="1079"/>
      <c r="C143" s="1080"/>
      <c r="D143" s="1080"/>
      <c r="E143" s="1080"/>
      <c r="F143" s="1081" t="str">
        <f t="shared" ref="F143:AF143" si="145">F40</f>
        <v>NM</v>
      </c>
      <c r="G143" s="1080" t="str">
        <f t="shared" si="145"/>
        <v>NM</v>
      </c>
      <c r="H143" s="1080" t="str">
        <f t="shared" si="145"/>
        <v>NM</v>
      </c>
      <c r="I143" s="1080" t="str">
        <f t="shared" si="145"/>
        <v>NM</v>
      </c>
      <c r="J143" s="1081" t="str">
        <f t="shared" si="145"/>
        <v>NM</v>
      </c>
      <c r="K143" s="1080" t="str">
        <f t="shared" si="145"/>
        <v>NM</v>
      </c>
      <c r="L143" s="1080" t="str">
        <f t="shared" si="145"/>
        <v>NM</v>
      </c>
      <c r="M143" s="1080" t="str">
        <f t="shared" si="145"/>
        <v>NM</v>
      </c>
      <c r="N143" s="1081" t="str">
        <f t="shared" si="145"/>
        <v>NM</v>
      </c>
      <c r="O143" s="1080" t="str">
        <f t="shared" si="145"/>
        <v>NM</v>
      </c>
      <c r="P143" s="1080" t="str">
        <f t="shared" si="145"/>
        <v>NM</v>
      </c>
      <c r="Q143" s="1080" t="str">
        <f t="shared" si="145"/>
        <v>NM</v>
      </c>
      <c r="R143" s="1081" t="str">
        <f t="shared" si="145"/>
        <v>NM</v>
      </c>
      <c r="S143" s="1080" t="str">
        <f t="shared" si="145"/>
        <v>NM</v>
      </c>
      <c r="T143" s="1080" t="str">
        <f t="shared" si="145"/>
        <v>NM</v>
      </c>
      <c r="U143" s="1080" t="str">
        <f t="shared" si="145"/>
        <v>NM</v>
      </c>
      <c r="V143" s="1081" t="str">
        <f t="shared" si="145"/>
        <v>NM</v>
      </c>
      <c r="W143" s="1080" t="str">
        <f t="shared" si="145"/>
        <v>NM</v>
      </c>
      <c r="X143" s="1080" t="str">
        <f t="shared" si="145"/>
        <v>NM</v>
      </c>
      <c r="Y143" s="1080" t="str">
        <f t="shared" si="145"/>
        <v>NM</v>
      </c>
      <c r="Z143" s="1081">
        <f t="shared" si="145"/>
        <v>0.216</v>
      </c>
      <c r="AA143" s="1080">
        <f t="shared" si="145"/>
        <v>0.12899999999999998</v>
      </c>
      <c r="AB143" s="1080">
        <f t="shared" si="145"/>
        <v>0.15</v>
      </c>
      <c r="AC143" s="1080">
        <f t="shared" si="145"/>
        <v>0.15400000000000003</v>
      </c>
      <c r="AD143" s="1077">
        <f t="shared" si="145"/>
        <v>8.8000000000000009E-2</v>
      </c>
      <c r="AE143" s="1078">
        <f t="shared" si="145"/>
        <v>0.11499999999999998</v>
      </c>
      <c r="AF143" s="1078">
        <f t="shared" si="145"/>
        <v>0.14000000000000001</v>
      </c>
      <c r="AG143" s="1078">
        <f t="shared" ref="AG143:AW143" si="146">AG40</f>
        <v>0.126</v>
      </c>
      <c r="AH143" s="1077">
        <f t="shared" si="146"/>
        <v>6.5000000000000002E-2</v>
      </c>
      <c r="AI143" s="1078">
        <f t="shared" si="146"/>
        <v>7.9000000000000001E-2</v>
      </c>
      <c r="AJ143" s="1078">
        <f t="shared" si="146"/>
        <v>8.5999999999999993E-2</v>
      </c>
      <c r="AK143" s="1078">
        <f t="shared" si="146"/>
        <v>0.10100000000000001</v>
      </c>
      <c r="AL143" s="1077">
        <f t="shared" si="146"/>
        <v>0.14300000000000002</v>
      </c>
      <c r="AM143" s="1078">
        <f t="shared" si="146"/>
        <v>0.124</v>
      </c>
      <c r="AN143" s="1078">
        <f t="shared" si="146"/>
        <v>9.0999999999999998E-2</v>
      </c>
      <c r="AO143" s="1078">
        <f t="shared" si="146"/>
        <v>0.10490138705040532</v>
      </c>
      <c r="AP143" s="1077">
        <f t="shared" si="146"/>
        <v>0.16867014167508193</v>
      </c>
      <c r="AQ143" s="1078">
        <f t="shared" si="146"/>
        <v>0.17604479626240932</v>
      </c>
      <c r="AR143" s="1078">
        <f t="shared" si="146"/>
        <v>0.16624390500063907</v>
      </c>
      <c r="AS143" s="1078">
        <f t="shared" si="146"/>
        <v>0.12668753776566702</v>
      </c>
      <c r="AT143" s="1077">
        <f t="shared" si="146"/>
        <v>0.13047549607436659</v>
      </c>
      <c r="AU143" s="1078">
        <f t="shared" si="146"/>
        <v>0.13216759688305424</v>
      </c>
      <c r="AV143" s="1078">
        <f t="shared" si="146"/>
        <v>0.1418146634587959</v>
      </c>
      <c r="AW143" s="1078">
        <f t="shared" si="146"/>
        <v>0.12982866098459656</v>
      </c>
    </row>
    <row r="144" spans="1:50" x14ac:dyDescent="0.2">
      <c r="A144" s="375" t="str">
        <f>A41</f>
        <v>North America</v>
      </c>
      <c r="B144" s="1136"/>
      <c r="C144" s="1087"/>
      <c r="D144" s="1087"/>
      <c r="E144" s="1087"/>
      <c r="F144" s="1086" t="str">
        <f t="shared" ref="F144:AF144" si="147">F41</f>
        <v>NM</v>
      </c>
      <c r="G144" s="1087" t="str">
        <f t="shared" si="147"/>
        <v>NM</v>
      </c>
      <c r="H144" s="1087" t="str">
        <f t="shared" si="147"/>
        <v>NM</v>
      </c>
      <c r="I144" s="1087" t="str">
        <f t="shared" si="147"/>
        <v>NM</v>
      </c>
      <c r="J144" s="1086" t="str">
        <f t="shared" si="147"/>
        <v>NM</v>
      </c>
      <c r="K144" s="1087" t="str">
        <f t="shared" si="147"/>
        <v>NM</v>
      </c>
      <c r="L144" s="1087" t="str">
        <f t="shared" si="147"/>
        <v>NM</v>
      </c>
      <c r="M144" s="1087" t="str">
        <f t="shared" si="147"/>
        <v>NM</v>
      </c>
      <c r="N144" s="1086" t="str">
        <f t="shared" si="147"/>
        <v>NM</v>
      </c>
      <c r="O144" s="1087" t="str">
        <f t="shared" si="147"/>
        <v>NM</v>
      </c>
      <c r="P144" s="1087" t="str">
        <f t="shared" si="147"/>
        <v>NM</v>
      </c>
      <c r="Q144" s="1087" t="str">
        <f t="shared" si="147"/>
        <v>NM</v>
      </c>
      <c r="R144" s="1086">
        <f t="shared" si="147"/>
        <v>9.9999999999999922E-2</v>
      </c>
      <c r="S144" s="1087">
        <f t="shared" si="147"/>
        <v>0.109</v>
      </c>
      <c r="T144" s="1087">
        <f t="shared" si="147"/>
        <v>9.4E-2</v>
      </c>
      <c r="U144" s="1087">
        <f t="shared" si="147"/>
        <v>7.1000000000000008E-2</v>
      </c>
      <c r="V144" s="1086">
        <f t="shared" si="147"/>
        <v>0.23300000000000001</v>
      </c>
      <c r="W144" s="1087">
        <f t="shared" si="147"/>
        <v>0.251</v>
      </c>
      <c r="X144" s="1087">
        <f t="shared" si="147"/>
        <v>0.216</v>
      </c>
      <c r="Y144" s="1087">
        <f t="shared" si="147"/>
        <v>0.255</v>
      </c>
      <c r="Z144" s="1086">
        <f t="shared" si="147"/>
        <v>0.307</v>
      </c>
      <c r="AA144" s="1087">
        <f t="shared" si="147"/>
        <v>0.23799999999999999</v>
      </c>
      <c r="AB144" s="1087">
        <f t="shared" si="147"/>
        <v>0.22599999999999998</v>
      </c>
      <c r="AC144" s="1087">
        <f t="shared" si="147"/>
        <v>0.254</v>
      </c>
      <c r="AD144" s="1086">
        <f t="shared" si="147"/>
        <v>0.14499999999999999</v>
      </c>
      <c r="AE144" s="1087">
        <f t="shared" si="147"/>
        <v>0.17499999999999999</v>
      </c>
      <c r="AF144" s="1087">
        <f t="shared" si="147"/>
        <v>0.21299999999999997</v>
      </c>
      <c r="AG144" s="1087">
        <f t="shared" ref="AG144:AW144" si="148">AG41</f>
        <v>0.13900000000000001</v>
      </c>
      <c r="AH144" s="1086">
        <f t="shared" si="148"/>
        <v>8.9999999999999976E-3</v>
      </c>
      <c r="AI144" s="1087">
        <f t="shared" si="148"/>
        <v>3.8000000000000006E-2</v>
      </c>
      <c r="AJ144" s="1087">
        <f t="shared" si="148"/>
        <v>8.9999999999999983E-2</v>
      </c>
      <c r="AK144" s="1087">
        <f t="shared" si="148"/>
        <v>8.0999999999999989E-2</v>
      </c>
      <c r="AL144" s="1086">
        <f t="shared" si="148"/>
        <v>0.18</v>
      </c>
      <c r="AM144" s="1087">
        <f t="shared" si="148"/>
        <v>0.14700000000000002</v>
      </c>
      <c r="AN144" s="1087">
        <f t="shared" si="148"/>
        <v>8.1000000000000003E-2</v>
      </c>
      <c r="AO144" s="1087">
        <f t="shared" si="148"/>
        <v>0.11499999999999998</v>
      </c>
      <c r="AP144" s="1086">
        <f t="shared" si="148"/>
        <v>0.22199999999999998</v>
      </c>
      <c r="AQ144" s="1087">
        <f t="shared" si="148"/>
        <v>0.247</v>
      </c>
      <c r="AR144" s="1087">
        <f t="shared" si="148"/>
        <v>0.19500000000000001</v>
      </c>
      <c r="AS144" s="1087">
        <f t="shared" si="148"/>
        <v>0.16299999999999998</v>
      </c>
      <c r="AT144" s="1086">
        <f t="shared" si="148"/>
        <v>0.13401827542801981</v>
      </c>
      <c r="AU144" s="1087">
        <f t="shared" si="148"/>
        <v>0.14560199365597282</v>
      </c>
      <c r="AV144" s="1087">
        <f t="shared" si="148"/>
        <v>0.15809186932396024</v>
      </c>
      <c r="AW144" s="1087">
        <f t="shared" si="148"/>
        <v>0.15</v>
      </c>
    </row>
    <row r="145" spans="1:49" x14ac:dyDescent="0.2">
      <c r="A145" s="1141" t="str">
        <f>A42</f>
        <v>International</v>
      </c>
      <c r="B145" s="1142"/>
      <c r="C145" s="1143"/>
      <c r="D145" s="1143"/>
      <c r="E145" s="1143"/>
      <c r="F145" s="1144" t="str">
        <f t="shared" ref="F145:AF145" si="149">F42</f>
        <v>NM</v>
      </c>
      <c r="G145" s="1143" t="str">
        <f t="shared" si="149"/>
        <v>NM</v>
      </c>
      <c r="H145" s="1143" t="str">
        <f t="shared" si="149"/>
        <v>NM</v>
      </c>
      <c r="I145" s="1143" t="str">
        <f t="shared" si="149"/>
        <v>NM</v>
      </c>
      <c r="J145" s="1144" t="str">
        <f t="shared" si="149"/>
        <v>NM</v>
      </c>
      <c r="K145" s="1143" t="str">
        <f t="shared" si="149"/>
        <v>NM</v>
      </c>
      <c r="L145" s="1143" t="str">
        <f t="shared" si="149"/>
        <v>NM</v>
      </c>
      <c r="M145" s="1143" t="str">
        <f t="shared" si="149"/>
        <v>NM</v>
      </c>
      <c r="N145" s="1144" t="str">
        <f t="shared" si="149"/>
        <v>NM</v>
      </c>
      <c r="O145" s="1143" t="str">
        <f t="shared" si="149"/>
        <v>NM</v>
      </c>
      <c r="P145" s="1143" t="str">
        <f t="shared" si="149"/>
        <v>NM</v>
      </c>
      <c r="Q145" s="1143" t="str">
        <f t="shared" si="149"/>
        <v>NM</v>
      </c>
      <c r="R145" s="1144" t="str">
        <f t="shared" si="149"/>
        <v>NM</v>
      </c>
      <c r="S145" s="1143" t="str">
        <f t="shared" si="149"/>
        <v>NM</v>
      </c>
      <c r="T145" s="1143" t="str">
        <f t="shared" si="149"/>
        <v>NM</v>
      </c>
      <c r="U145" s="1143" t="str">
        <f t="shared" si="149"/>
        <v>NM</v>
      </c>
      <c r="V145" s="1144" t="str">
        <f t="shared" si="149"/>
        <v>NM</v>
      </c>
      <c r="W145" s="1143" t="str">
        <f t="shared" si="149"/>
        <v>NM</v>
      </c>
      <c r="X145" s="1143" t="str">
        <f t="shared" si="149"/>
        <v>NM</v>
      </c>
      <c r="Y145" s="1143" t="str">
        <f t="shared" si="149"/>
        <v>NM</v>
      </c>
      <c r="Z145" s="1144">
        <f t="shared" si="149"/>
        <v>0.12199999999999997</v>
      </c>
      <c r="AA145" s="1143">
        <f t="shared" si="149"/>
        <v>1.999999999999999E-2</v>
      </c>
      <c r="AB145" s="1143">
        <f t="shared" si="149"/>
        <v>8.299999999999999E-2</v>
      </c>
      <c r="AC145" s="1143">
        <f t="shared" si="149"/>
        <v>0.06</v>
      </c>
      <c r="AD145" s="1144">
        <f t="shared" si="149"/>
        <v>2.6999999999999989E-2</v>
      </c>
      <c r="AE145" s="1143">
        <f t="shared" si="149"/>
        <v>5.3999999999999992E-2</v>
      </c>
      <c r="AF145" s="1143">
        <f t="shared" si="149"/>
        <v>7.7000000000000013E-2</v>
      </c>
      <c r="AG145" s="1143">
        <f t="shared" ref="AG145:AW145" si="150">AG42</f>
        <v>0.11499999999999999</v>
      </c>
      <c r="AH145" s="1144">
        <f t="shared" si="150"/>
        <v>0.11600000000000002</v>
      </c>
      <c r="AI145" s="1143">
        <f t="shared" si="150"/>
        <v>0.11599999999999999</v>
      </c>
      <c r="AJ145" s="1143">
        <f t="shared" si="150"/>
        <v>8.3000000000000004E-2</v>
      </c>
      <c r="AK145" s="1143">
        <f t="shared" si="150"/>
        <v>0.11899999999999999</v>
      </c>
      <c r="AL145" s="1144">
        <f t="shared" si="150"/>
        <v>0.10500000000000001</v>
      </c>
      <c r="AM145" s="1143">
        <f t="shared" si="150"/>
        <v>9.7000000000000003E-2</v>
      </c>
      <c r="AN145" s="1143">
        <f t="shared" si="150"/>
        <v>9.9000000000000005E-2</v>
      </c>
      <c r="AO145" s="1143">
        <f t="shared" si="150"/>
        <v>9.6269409233216779E-2</v>
      </c>
      <c r="AP145" s="1144">
        <f t="shared" si="150"/>
        <v>0.12</v>
      </c>
      <c r="AQ145" s="1143">
        <f t="shared" si="150"/>
        <v>0.106</v>
      </c>
      <c r="AR145" s="1143">
        <f t="shared" si="150"/>
        <v>0.14100000000000001</v>
      </c>
      <c r="AS145" s="1143">
        <f t="shared" si="150"/>
        <v>9.2269409233216776E-2</v>
      </c>
      <c r="AT145" s="1144">
        <f t="shared" si="150"/>
        <v>0.128</v>
      </c>
      <c r="AU145" s="1143">
        <f t="shared" si="150"/>
        <v>0.11699999999999999</v>
      </c>
      <c r="AV145" s="1143">
        <f t="shared" si="150"/>
        <v>0.129</v>
      </c>
      <c r="AW145" s="1143">
        <f t="shared" si="150"/>
        <v>0.10900000000000001</v>
      </c>
    </row>
    <row r="149" spans="1:49" x14ac:dyDescent="0.2">
      <c r="A149" s="294" t="str">
        <f>A3</f>
        <v>Organic Growth Trends</v>
      </c>
      <c r="B149" s="289"/>
      <c r="C149" s="289"/>
      <c r="D149" s="289"/>
      <c r="E149" s="289"/>
      <c r="F149" s="289"/>
      <c r="G149" s="289"/>
      <c r="H149" s="289"/>
      <c r="I149" s="289"/>
      <c r="J149" s="289"/>
      <c r="K149" s="289"/>
      <c r="L149" s="289"/>
      <c r="M149" s="289"/>
      <c r="N149" s="290"/>
      <c r="O149" s="289"/>
      <c r="P149" s="289"/>
      <c r="Q149" s="289"/>
      <c r="R149" s="289"/>
      <c r="S149" s="289"/>
      <c r="T149" s="289"/>
      <c r="U149" s="289"/>
      <c r="V149" s="289"/>
      <c r="W149" s="289"/>
      <c r="X149" s="289"/>
      <c r="Y149" s="289"/>
      <c r="Z149" s="289"/>
      <c r="AA149" s="289"/>
      <c r="AB149" s="289"/>
      <c r="AC149" s="289"/>
      <c r="AD149" s="289"/>
      <c r="AE149" s="289"/>
    </row>
    <row r="150" spans="1:49" x14ac:dyDescent="0.2">
      <c r="A150" s="295"/>
      <c r="B150" s="741" t="str">
        <f t="shared" ref="B150:AF150" si="151">B4</f>
        <v>1Q07</v>
      </c>
      <c r="C150" s="295" t="str">
        <f t="shared" si="151"/>
        <v>2Q07</v>
      </c>
      <c r="D150" s="295" t="str">
        <f t="shared" si="151"/>
        <v>3Q07</v>
      </c>
      <c r="E150" s="295" t="str">
        <f t="shared" si="151"/>
        <v>4Q07</v>
      </c>
      <c r="F150" s="296" t="str">
        <f t="shared" si="151"/>
        <v>1Q08</v>
      </c>
      <c r="G150" s="295" t="str">
        <f t="shared" si="151"/>
        <v>2Q08</v>
      </c>
      <c r="H150" s="295" t="str">
        <f t="shared" si="151"/>
        <v>3Q08</v>
      </c>
      <c r="I150" s="295" t="str">
        <f t="shared" si="151"/>
        <v>4Q08</v>
      </c>
      <c r="J150" s="296" t="str">
        <f t="shared" si="151"/>
        <v>1Q09</v>
      </c>
      <c r="K150" s="295" t="str">
        <f t="shared" si="151"/>
        <v>2Q09</v>
      </c>
      <c r="L150" s="295" t="str">
        <f t="shared" si="151"/>
        <v>3Q09</v>
      </c>
      <c r="M150" s="295" t="str">
        <f t="shared" si="151"/>
        <v>4Q09</v>
      </c>
      <c r="N150" s="296" t="str">
        <f t="shared" si="151"/>
        <v>1Q10</v>
      </c>
      <c r="O150" s="295" t="str">
        <f t="shared" si="151"/>
        <v>2Q10</v>
      </c>
      <c r="P150" s="295" t="str">
        <f t="shared" si="151"/>
        <v>3Q10</v>
      </c>
      <c r="Q150" s="295" t="str">
        <f t="shared" si="151"/>
        <v>4Q10</v>
      </c>
      <c r="R150" s="296" t="str">
        <f t="shared" si="151"/>
        <v>1Q11</v>
      </c>
      <c r="S150" s="295" t="str">
        <f t="shared" si="151"/>
        <v>2Q11</v>
      </c>
      <c r="T150" s="295" t="str">
        <f t="shared" si="151"/>
        <v>3Q11</v>
      </c>
      <c r="U150" s="295" t="str">
        <f t="shared" si="151"/>
        <v>4Q11</v>
      </c>
      <c r="V150" s="296" t="str">
        <f t="shared" si="151"/>
        <v>1Q12</v>
      </c>
      <c r="W150" s="295" t="str">
        <f t="shared" si="151"/>
        <v>2Q12</v>
      </c>
      <c r="X150" s="295" t="str">
        <f t="shared" si="151"/>
        <v>3Q12</v>
      </c>
      <c r="Y150" s="295" t="str">
        <f t="shared" si="151"/>
        <v>4Q12</v>
      </c>
      <c r="Z150" s="296" t="str">
        <f t="shared" si="151"/>
        <v>1Q13</v>
      </c>
      <c r="AA150" s="295" t="str">
        <f t="shared" si="151"/>
        <v>2Q13</v>
      </c>
      <c r="AB150" s="295" t="str">
        <f t="shared" si="151"/>
        <v>3Q13</v>
      </c>
      <c r="AC150" s="295" t="str">
        <f t="shared" si="151"/>
        <v>4Q13</v>
      </c>
      <c r="AD150" s="296" t="str">
        <f t="shared" si="151"/>
        <v>1Q14</v>
      </c>
      <c r="AE150" s="295" t="str">
        <f t="shared" si="151"/>
        <v>2Q14</v>
      </c>
      <c r="AF150" s="295" t="str">
        <f t="shared" si="151"/>
        <v>3Q14</v>
      </c>
      <c r="AG150" s="295" t="str">
        <f t="shared" ref="AG150:AW150" si="152">AG4</f>
        <v>4Q14</v>
      </c>
      <c r="AH150" s="296" t="str">
        <f t="shared" si="152"/>
        <v>1Q15</v>
      </c>
      <c r="AI150" s="295" t="str">
        <f t="shared" si="152"/>
        <v>2Q15</v>
      </c>
      <c r="AJ150" s="295" t="str">
        <f t="shared" si="152"/>
        <v>3Q15</v>
      </c>
      <c r="AK150" s="295" t="str">
        <f t="shared" si="152"/>
        <v>4Q15</v>
      </c>
      <c r="AL150" s="296" t="str">
        <f t="shared" si="152"/>
        <v>1Q16</v>
      </c>
      <c r="AM150" s="295" t="str">
        <f t="shared" si="152"/>
        <v>2Q16</v>
      </c>
      <c r="AN150" s="295" t="str">
        <f t="shared" si="152"/>
        <v>3Q16</v>
      </c>
      <c r="AO150" s="295" t="str">
        <f t="shared" si="152"/>
        <v>4Q16</v>
      </c>
      <c r="AP150" s="296" t="str">
        <f t="shared" si="152"/>
        <v>1Q17</v>
      </c>
      <c r="AQ150" s="295" t="str">
        <f t="shared" si="152"/>
        <v>2Q17</v>
      </c>
      <c r="AR150" s="295" t="str">
        <f t="shared" si="152"/>
        <v>3Q17</v>
      </c>
      <c r="AS150" s="295" t="str">
        <f t="shared" si="152"/>
        <v>4Q17</v>
      </c>
      <c r="AT150" s="296" t="str">
        <f t="shared" si="152"/>
        <v>1Q18E</v>
      </c>
      <c r="AU150" s="295" t="str">
        <f t="shared" si="152"/>
        <v>2Q18E</v>
      </c>
      <c r="AV150" s="295" t="str">
        <f t="shared" si="152"/>
        <v>3Q18E</v>
      </c>
      <c r="AW150" s="295" t="str">
        <f t="shared" si="152"/>
        <v>4Q18E</v>
      </c>
    </row>
    <row r="151" spans="1:49" x14ac:dyDescent="0.2">
      <c r="A151" s="338" t="str">
        <f t="shared" ref="A151:AF151" si="153">A18</f>
        <v>Global Medical revenues</v>
      </c>
      <c r="B151" s="1096" t="str">
        <f t="shared" si="153"/>
        <v>NA</v>
      </c>
      <c r="C151" s="1078" t="str">
        <f t="shared" si="153"/>
        <v>NA</v>
      </c>
      <c r="D151" s="1078" t="str">
        <f t="shared" si="153"/>
        <v>NA</v>
      </c>
      <c r="E151" s="1078" t="str">
        <f t="shared" si="153"/>
        <v>NA</v>
      </c>
      <c r="F151" s="1077" t="str">
        <f t="shared" si="153"/>
        <v>NA</v>
      </c>
      <c r="G151" s="1078" t="str">
        <f t="shared" si="153"/>
        <v>NA</v>
      </c>
      <c r="H151" s="1078" t="str">
        <f t="shared" si="153"/>
        <v>NA</v>
      </c>
      <c r="I151" s="1078" t="str">
        <f t="shared" si="153"/>
        <v>NA</v>
      </c>
      <c r="J151" s="1077" t="str">
        <f t="shared" si="153"/>
        <v>NA</v>
      </c>
      <c r="K151" s="1078" t="str">
        <f t="shared" si="153"/>
        <v>NA</v>
      </c>
      <c r="L151" s="1078" t="str">
        <f t="shared" si="153"/>
        <v>NA</v>
      </c>
      <c r="M151" s="1078" t="str">
        <f t="shared" si="153"/>
        <v>NA</v>
      </c>
      <c r="N151" s="1077" t="str">
        <f t="shared" si="153"/>
        <v>NA</v>
      </c>
      <c r="O151" s="1078" t="str">
        <f t="shared" si="153"/>
        <v>NA</v>
      </c>
      <c r="P151" s="1078" t="str">
        <f t="shared" si="153"/>
        <v>NA</v>
      </c>
      <c r="Q151" s="1078" t="str">
        <f t="shared" si="153"/>
        <v>NA</v>
      </c>
      <c r="R151" s="1077" t="str">
        <f t="shared" si="153"/>
        <v>NA</v>
      </c>
      <c r="S151" s="1078" t="str">
        <f t="shared" si="153"/>
        <v>NA</v>
      </c>
      <c r="T151" s="1078" t="str">
        <f t="shared" si="153"/>
        <v>NA</v>
      </c>
      <c r="U151" s="1078" t="str">
        <f t="shared" si="153"/>
        <v>NA</v>
      </c>
      <c r="V151" s="1077">
        <f t="shared" si="153"/>
        <v>3.6000000000000004E-2</v>
      </c>
      <c r="W151" s="1078">
        <f t="shared" si="153"/>
        <v>6.6000000000000003E-2</v>
      </c>
      <c r="X151" s="1078">
        <f t="shared" si="153"/>
        <v>3.5000000000000003E-2</v>
      </c>
      <c r="Y151" s="1078">
        <f t="shared" si="153"/>
        <v>6.9000000000000006E-2</v>
      </c>
      <c r="Z151" s="1077">
        <f t="shared" si="153"/>
        <v>8.3000000000000004E-2</v>
      </c>
      <c r="AA151" s="1078">
        <f t="shared" si="153"/>
        <v>6.2E-2</v>
      </c>
      <c r="AB151" s="1078">
        <f t="shared" si="153"/>
        <v>3.0000000000000001E-3</v>
      </c>
      <c r="AC151" s="1078">
        <f t="shared" si="153"/>
        <v>4.5999999999999999E-2</v>
      </c>
      <c r="AD151" s="1077">
        <f t="shared" si="153"/>
        <v>0.02</v>
      </c>
      <c r="AE151" s="1078">
        <f t="shared" si="153"/>
        <v>3.6999999999999998E-2</v>
      </c>
      <c r="AF151" s="1078">
        <f t="shared" si="153"/>
        <v>0.08</v>
      </c>
      <c r="AG151" s="1078">
        <f t="shared" ref="AG151:AW151" si="154">AG18</f>
        <v>9.4E-2</v>
      </c>
      <c r="AH151" s="1077">
        <f t="shared" si="154"/>
        <v>0.11600000000000001</v>
      </c>
      <c r="AI151" s="1078">
        <f t="shared" si="154"/>
        <v>9.8999999999999991E-2</v>
      </c>
      <c r="AJ151" s="1078">
        <f t="shared" si="154"/>
        <v>0.13600000000000001</v>
      </c>
      <c r="AK151" s="1078">
        <f t="shared" si="154"/>
        <v>0.13400000000000001</v>
      </c>
      <c r="AL151" s="1077">
        <f t="shared" si="154"/>
        <v>0.215</v>
      </c>
      <c r="AM151" s="1078">
        <f t="shared" si="154"/>
        <v>0.14499999999999999</v>
      </c>
      <c r="AN151" s="1078">
        <f t="shared" si="154"/>
        <v>7.0999999999999994E-2</v>
      </c>
      <c r="AO151" s="1078">
        <f t="shared" si="154"/>
        <v>4.3856272924753192E-2</v>
      </c>
      <c r="AP151" s="1077">
        <f t="shared" si="154"/>
        <v>0.11484821516510335</v>
      </c>
      <c r="AQ151" s="1078">
        <f t="shared" si="154"/>
        <v>6.0666173618521668E-2</v>
      </c>
      <c r="AR151" s="1078">
        <f t="shared" si="154"/>
        <v>8.0544486186152398E-2</v>
      </c>
      <c r="AS151" s="1078">
        <f t="shared" si="154"/>
        <v>8.3432987532826464E-2</v>
      </c>
      <c r="AT151" s="1077">
        <f t="shared" si="154"/>
        <v>2.8426328216054397E-2</v>
      </c>
      <c r="AU151" s="1078">
        <f t="shared" si="154"/>
        <v>8.8761486594088224E-2</v>
      </c>
      <c r="AV151" s="1078">
        <f t="shared" si="154"/>
        <v>5.8938214519927978E-2</v>
      </c>
      <c r="AW151" s="1078">
        <f t="shared" si="154"/>
        <v>5.9396376310996812E-2</v>
      </c>
    </row>
    <row r="152" spans="1:49" x14ac:dyDescent="0.2">
      <c r="A152" s="375" t="str">
        <f t="shared" ref="A152:AF152" si="155">A19</f>
        <v>North America</v>
      </c>
      <c r="B152" s="1094">
        <f t="shared" si="155"/>
        <v>-1.9000000000000003E-2</v>
      </c>
      <c r="C152" s="1083">
        <f t="shared" si="155"/>
        <v>7.7000000000000013E-2</v>
      </c>
      <c r="D152" s="1083">
        <f t="shared" si="155"/>
        <v>0.22500000000000001</v>
      </c>
      <c r="E152" s="1083">
        <f t="shared" si="155"/>
        <v>-0.06</v>
      </c>
      <c r="F152" s="1082">
        <f t="shared" si="155"/>
        <v>-4.3999999999999997E-2</v>
      </c>
      <c r="G152" s="1083">
        <f t="shared" si="155"/>
        <v>-8.900000000000001E-2</v>
      </c>
      <c r="H152" s="1083">
        <f t="shared" si="155"/>
        <v>-4.2000000000000003E-2</v>
      </c>
      <c r="I152" s="1083">
        <f t="shared" si="155"/>
        <v>-0.13500000000000001</v>
      </c>
      <c r="J152" s="1082">
        <f t="shared" si="155"/>
        <v>-2.4E-2</v>
      </c>
      <c r="K152" s="1083">
        <f t="shared" si="155"/>
        <v>6.7000000000000004E-2</v>
      </c>
      <c r="L152" s="1083">
        <f t="shared" si="155"/>
        <v>-4.1999999999999996E-2</v>
      </c>
      <c r="M152" s="1083">
        <f t="shared" si="155"/>
        <v>4.2999999999999997E-2</v>
      </c>
      <c r="N152" s="1082">
        <f t="shared" si="155"/>
        <v>2.4E-2</v>
      </c>
      <c r="O152" s="1083">
        <f t="shared" si="155"/>
        <v>-4.1999999999999996E-2</v>
      </c>
      <c r="P152" s="1083">
        <f t="shared" si="155"/>
        <v>8.8999999999999996E-2</v>
      </c>
      <c r="Q152" s="1083">
        <f t="shared" si="155"/>
        <v>8.0000000000000002E-3</v>
      </c>
      <c r="R152" s="1082">
        <f t="shared" si="155"/>
        <v>9.9000000000000005E-2</v>
      </c>
      <c r="S152" s="1083">
        <f t="shared" si="155"/>
        <v>3.7999999999999992E-2</v>
      </c>
      <c r="T152" s="1083">
        <f t="shared" si="155"/>
        <v>1.7999999999999999E-2</v>
      </c>
      <c r="U152" s="1083">
        <f t="shared" si="155"/>
        <v>7.1999999999999995E-2</v>
      </c>
      <c r="V152" s="1082">
        <f t="shared" si="155"/>
        <v>3.4000000000000002E-2</v>
      </c>
      <c r="W152" s="1083">
        <f t="shared" si="155"/>
        <v>7.1999999999999995E-2</v>
      </c>
      <c r="X152" s="1083">
        <f t="shared" si="155"/>
        <v>3.7999999999999999E-2</v>
      </c>
      <c r="Y152" s="1083">
        <f t="shared" si="155"/>
        <v>7.2000000000000008E-2</v>
      </c>
      <c r="Z152" s="1082">
        <f t="shared" si="155"/>
        <v>0.09</v>
      </c>
      <c r="AA152" s="1083">
        <f t="shared" si="155"/>
        <v>6.2E-2</v>
      </c>
      <c r="AB152" s="1083">
        <f t="shared" si="155"/>
        <v>5.0000000000000001E-3</v>
      </c>
      <c r="AC152" s="1083">
        <f t="shared" si="155"/>
        <v>5.1999999999999998E-2</v>
      </c>
      <c r="AD152" s="1082">
        <f t="shared" si="155"/>
        <v>0.02</v>
      </c>
      <c r="AE152" s="1083">
        <f t="shared" si="155"/>
        <v>3.9E-2</v>
      </c>
      <c r="AF152" s="1083">
        <f t="shared" si="155"/>
        <v>0.08</v>
      </c>
      <c r="AG152" s="1083">
        <f t="shared" ref="AG152:AW152" si="156">AG19</f>
        <v>9.5000000000000001E-2</v>
      </c>
      <c r="AH152" s="1082">
        <f t="shared" si="156"/>
        <v>0.12200000000000001</v>
      </c>
      <c r="AI152" s="1083">
        <f t="shared" si="156"/>
        <v>0.104</v>
      </c>
      <c r="AJ152" s="1083">
        <f t="shared" si="156"/>
        <v>0.14100000000000001</v>
      </c>
      <c r="AK152" s="1083">
        <f t="shared" si="156"/>
        <v>0.14000000000000001</v>
      </c>
      <c r="AL152" s="1082">
        <f t="shared" si="156"/>
        <v>0.223</v>
      </c>
      <c r="AM152" s="1083">
        <f t="shared" si="156"/>
        <v>0.14899999999999999</v>
      </c>
      <c r="AN152" s="1083">
        <f t="shared" si="156"/>
        <v>7.3999999999999996E-2</v>
      </c>
      <c r="AO152" s="1083">
        <f t="shared" si="156"/>
        <v>4.4999999999999998E-2</v>
      </c>
      <c r="AP152" s="1082">
        <f t="shared" si="156"/>
        <v>0.11700000000000001</v>
      </c>
      <c r="AQ152" s="1083">
        <f t="shared" si="156"/>
        <v>6.3E-2</v>
      </c>
      <c r="AR152" s="1083">
        <f t="shared" si="156"/>
        <v>8.1500000000000003E-2</v>
      </c>
      <c r="AS152" s="1083">
        <f t="shared" si="156"/>
        <v>8.6999999999999994E-2</v>
      </c>
      <c r="AT152" s="1082">
        <f t="shared" si="156"/>
        <v>0.03</v>
      </c>
      <c r="AU152" s="1083">
        <f t="shared" si="156"/>
        <v>0.09</v>
      </c>
      <c r="AV152" s="1083">
        <f t="shared" si="156"/>
        <v>0.06</v>
      </c>
      <c r="AW152" s="1083">
        <f t="shared" si="156"/>
        <v>0.06</v>
      </c>
    </row>
    <row r="153" spans="1:49" x14ac:dyDescent="0.2">
      <c r="A153" s="1141" t="str">
        <f t="shared" ref="A153:AF153" si="157">A20</f>
        <v>International</v>
      </c>
      <c r="B153" s="1145">
        <f t="shared" si="157"/>
        <v>0</v>
      </c>
      <c r="C153" s="1146">
        <f t="shared" si="157"/>
        <v>0</v>
      </c>
      <c r="D153" s="1146">
        <f t="shared" si="157"/>
        <v>0</v>
      </c>
      <c r="E153" s="1146">
        <f t="shared" si="157"/>
        <v>0</v>
      </c>
      <c r="F153" s="1147">
        <f t="shared" si="157"/>
        <v>0</v>
      </c>
      <c r="G153" s="1146">
        <f t="shared" si="157"/>
        <v>0</v>
      </c>
      <c r="H153" s="1146">
        <f t="shared" si="157"/>
        <v>0</v>
      </c>
      <c r="I153" s="1146">
        <f t="shared" si="157"/>
        <v>0</v>
      </c>
      <c r="J153" s="1147">
        <f t="shared" si="157"/>
        <v>0</v>
      </c>
      <c r="K153" s="1146">
        <f t="shared" si="157"/>
        <v>0</v>
      </c>
      <c r="L153" s="1146">
        <f t="shared" si="157"/>
        <v>0</v>
      </c>
      <c r="M153" s="1146">
        <f t="shared" si="157"/>
        <v>0</v>
      </c>
      <c r="N153" s="1147">
        <f t="shared" si="157"/>
        <v>0</v>
      </c>
      <c r="O153" s="1146">
        <f t="shared" si="157"/>
        <v>0</v>
      </c>
      <c r="P153" s="1146">
        <f t="shared" si="157"/>
        <v>0</v>
      </c>
      <c r="Q153" s="1146">
        <f t="shared" si="157"/>
        <v>0</v>
      </c>
      <c r="R153" s="1147">
        <f t="shared" si="157"/>
        <v>0</v>
      </c>
      <c r="S153" s="1146">
        <f t="shared" si="157"/>
        <v>0</v>
      </c>
      <c r="T153" s="1146">
        <f t="shared" si="157"/>
        <v>0</v>
      </c>
      <c r="U153" s="1146">
        <f t="shared" si="157"/>
        <v>0</v>
      </c>
      <c r="V153" s="1147">
        <f t="shared" si="157"/>
        <v>7.3999999999999996E-2</v>
      </c>
      <c r="W153" s="1146">
        <f t="shared" si="157"/>
        <v>-2.1999999999999999E-2</v>
      </c>
      <c r="X153" s="1146">
        <f t="shared" si="157"/>
        <v>-2.1000000000000001E-2</v>
      </c>
      <c r="Y153" s="1146">
        <f t="shared" si="157"/>
        <v>2.8999999999999998E-2</v>
      </c>
      <c r="Z153" s="1147">
        <f t="shared" si="157"/>
        <v>-3.3000000000000002E-2</v>
      </c>
      <c r="AA153" s="1146">
        <f t="shared" si="157"/>
        <v>5.6000000000000001E-2</v>
      </c>
      <c r="AB153" s="1146">
        <f t="shared" si="157"/>
        <v>-5.8000000000000003E-2</v>
      </c>
      <c r="AC153" s="1146">
        <f t="shared" si="157"/>
        <v>-6.5000000000000002E-2</v>
      </c>
      <c r="AD153" s="1147">
        <f t="shared" si="157"/>
        <v>8.9999999999999993E-3</v>
      </c>
      <c r="AE153" s="1146">
        <f t="shared" si="157"/>
        <v>-1.4E-2</v>
      </c>
      <c r="AF153" s="1146">
        <f t="shared" si="157"/>
        <v>8.1000000000000003E-2</v>
      </c>
      <c r="AG153" s="1146">
        <f t="shared" ref="AG153:AW153" si="158">AG20</f>
        <v>8.4000000000000005E-2</v>
      </c>
      <c r="AH153" s="1147">
        <f t="shared" si="158"/>
        <v>1.4999999999999999E-2</v>
      </c>
      <c r="AI153" s="1146">
        <f t="shared" si="158"/>
        <v>1.2999999999999999E-2</v>
      </c>
      <c r="AJ153" s="1146">
        <f t="shared" si="158"/>
        <v>1.2999999999999999E-2</v>
      </c>
      <c r="AK153" s="1146">
        <f t="shared" si="158"/>
        <v>-3.0000000000000001E-3</v>
      </c>
      <c r="AL153" s="1147">
        <f t="shared" si="158"/>
        <v>0.02</v>
      </c>
      <c r="AM153" s="1146">
        <f t="shared" si="158"/>
        <v>2.4E-2</v>
      </c>
      <c r="AN153" s="1146">
        <f t="shared" si="158"/>
        <v>-8.9999999999999993E-3</v>
      </c>
      <c r="AO153" s="1146">
        <f t="shared" si="158"/>
        <v>8.8696909645975611E-3</v>
      </c>
      <c r="AP153" s="1147">
        <f t="shared" si="158"/>
        <v>5.5E-2</v>
      </c>
      <c r="AQ153" s="1146">
        <f t="shared" si="158"/>
        <v>-5.0000000000000001E-3</v>
      </c>
      <c r="AR153" s="1146">
        <f t="shared" si="158"/>
        <v>4.4999999999999998E-2</v>
      </c>
      <c r="AS153" s="1146">
        <f t="shared" si="158"/>
        <v>-2.9000000000000005E-2</v>
      </c>
      <c r="AT153" s="1147">
        <f t="shared" si="158"/>
        <v>-0.02</v>
      </c>
      <c r="AU153" s="1146">
        <f t="shared" si="158"/>
        <v>0.05</v>
      </c>
      <c r="AV153" s="1146">
        <f t="shared" si="158"/>
        <v>0.02</v>
      </c>
      <c r="AW153" s="1146">
        <f t="shared" si="158"/>
        <v>0.04</v>
      </c>
    </row>
    <row r="154" spans="1:49" x14ac:dyDescent="0.2">
      <c r="A154" s="309"/>
      <c r="B154" s="309"/>
      <c r="C154" s="309"/>
      <c r="D154" s="309"/>
      <c r="E154" s="309"/>
      <c r="F154" s="309"/>
      <c r="G154" s="309"/>
      <c r="H154" s="309"/>
      <c r="I154" s="309"/>
      <c r="J154" s="309"/>
      <c r="K154" s="309"/>
      <c r="L154" s="309"/>
      <c r="M154" s="309"/>
      <c r="N154" s="309"/>
      <c r="O154" s="309"/>
      <c r="P154" s="309"/>
      <c r="Q154" s="309"/>
      <c r="R154" s="309"/>
      <c r="S154" s="309"/>
      <c r="T154" s="309"/>
      <c r="U154" s="309"/>
      <c r="V154" s="309"/>
      <c r="W154" s="309"/>
      <c r="X154" s="309"/>
      <c r="Y154" s="309"/>
      <c r="Z154" s="309"/>
      <c r="AA154" s="309"/>
      <c r="AB154" s="309"/>
      <c r="AC154" s="309"/>
      <c r="AD154" s="309"/>
      <c r="AE154" s="309"/>
      <c r="AF154" s="309"/>
      <c r="AG154" s="309"/>
      <c r="AH154" s="309"/>
      <c r="AI154" s="310"/>
      <c r="AJ154" s="310"/>
      <c r="AK154" s="310"/>
      <c r="AL154" s="310"/>
      <c r="AM154" s="309"/>
      <c r="AN154" s="309"/>
      <c r="AO154" s="309"/>
      <c r="AP154" s="309"/>
      <c r="AQ154" s="309"/>
      <c r="AR154" s="309"/>
      <c r="AS154" s="309"/>
      <c r="AT154" s="309"/>
      <c r="AU154" s="309"/>
      <c r="AV154" s="309"/>
      <c r="AW154" s="309"/>
    </row>
    <row r="155" spans="1:49" x14ac:dyDescent="0.2">
      <c r="A155" s="311" t="str">
        <f>A28</f>
        <v>Two-Year Growth Momentum</v>
      </c>
      <c r="B155" s="293"/>
      <c r="C155" s="293"/>
      <c r="D155" s="312"/>
      <c r="E155" s="312"/>
      <c r="F155" s="312"/>
      <c r="G155" s="312"/>
      <c r="H155" s="312"/>
      <c r="I155" s="312"/>
      <c r="J155" s="312"/>
      <c r="K155" s="312"/>
      <c r="L155" s="312"/>
      <c r="M155" s="312"/>
      <c r="N155" s="312"/>
      <c r="O155" s="309"/>
      <c r="P155" s="309"/>
      <c r="Q155" s="309"/>
      <c r="R155" s="309"/>
      <c r="S155" s="309"/>
      <c r="T155" s="309"/>
      <c r="U155" s="309"/>
      <c r="V155" s="309"/>
      <c r="W155" s="309"/>
      <c r="X155" s="309"/>
      <c r="Y155" s="309"/>
      <c r="Z155" s="309"/>
      <c r="AA155" s="309"/>
      <c r="AB155" s="309"/>
      <c r="AC155" s="309"/>
      <c r="AD155" s="309"/>
      <c r="AE155" s="309"/>
      <c r="AF155" s="309"/>
      <c r="AG155" s="309"/>
      <c r="AH155" s="309"/>
      <c r="AI155" s="309"/>
      <c r="AJ155" s="309"/>
      <c r="AK155" s="309"/>
      <c r="AL155" s="309"/>
      <c r="AM155" s="309"/>
      <c r="AN155" s="309"/>
      <c r="AO155" s="309"/>
      <c r="AP155" s="309"/>
      <c r="AQ155" s="309"/>
      <c r="AR155" s="309"/>
      <c r="AS155" s="309"/>
      <c r="AT155" s="309"/>
      <c r="AU155" s="309"/>
      <c r="AV155" s="309"/>
      <c r="AW155" s="309"/>
    </row>
    <row r="156" spans="1:49" x14ac:dyDescent="0.2">
      <c r="A156" s="295"/>
      <c r="B156" s="741"/>
      <c r="C156" s="295"/>
      <c r="D156" s="295"/>
      <c r="E156" s="295"/>
      <c r="F156" s="296" t="str">
        <f t="shared" ref="F156:AF156" si="159">F29</f>
        <v>1Q08</v>
      </c>
      <c r="G156" s="295" t="str">
        <f t="shared" si="159"/>
        <v>2Q08</v>
      </c>
      <c r="H156" s="295" t="str">
        <f t="shared" si="159"/>
        <v>3Q08</v>
      </c>
      <c r="I156" s="295" t="str">
        <f t="shared" si="159"/>
        <v>4Q08</v>
      </c>
      <c r="J156" s="296" t="str">
        <f t="shared" si="159"/>
        <v>1Q09</v>
      </c>
      <c r="K156" s="295" t="str">
        <f t="shared" si="159"/>
        <v>2Q09</v>
      </c>
      <c r="L156" s="295" t="str">
        <f t="shared" si="159"/>
        <v>3Q09</v>
      </c>
      <c r="M156" s="295" t="str">
        <f t="shared" si="159"/>
        <v>4Q09</v>
      </c>
      <c r="N156" s="296" t="str">
        <f t="shared" si="159"/>
        <v>1Q10</v>
      </c>
      <c r="O156" s="295" t="str">
        <f t="shared" si="159"/>
        <v>2Q10</v>
      </c>
      <c r="P156" s="295" t="str">
        <f t="shared" si="159"/>
        <v>3Q10</v>
      </c>
      <c r="Q156" s="295" t="str">
        <f t="shared" si="159"/>
        <v>4Q10</v>
      </c>
      <c r="R156" s="296" t="str">
        <f t="shared" si="159"/>
        <v>1Q11</v>
      </c>
      <c r="S156" s="295" t="str">
        <f t="shared" si="159"/>
        <v>2Q11</v>
      </c>
      <c r="T156" s="295" t="str">
        <f t="shared" si="159"/>
        <v>3Q11</v>
      </c>
      <c r="U156" s="295" t="str">
        <f t="shared" si="159"/>
        <v>4Q11</v>
      </c>
      <c r="V156" s="296" t="str">
        <f t="shared" si="159"/>
        <v>1Q12</v>
      </c>
      <c r="W156" s="295" t="str">
        <f t="shared" si="159"/>
        <v>2Q12</v>
      </c>
      <c r="X156" s="295" t="str">
        <f t="shared" si="159"/>
        <v>3Q12</v>
      </c>
      <c r="Y156" s="295" t="str">
        <f t="shared" si="159"/>
        <v>4Q12</v>
      </c>
      <c r="Z156" s="296" t="str">
        <f t="shared" si="159"/>
        <v>1Q13</v>
      </c>
      <c r="AA156" s="295" t="str">
        <f t="shared" si="159"/>
        <v>2Q13</v>
      </c>
      <c r="AB156" s="295" t="str">
        <f t="shared" si="159"/>
        <v>3Q13</v>
      </c>
      <c r="AC156" s="295" t="str">
        <f t="shared" si="159"/>
        <v>4Q13</v>
      </c>
      <c r="AD156" s="296" t="str">
        <f t="shared" si="159"/>
        <v>1Q14</v>
      </c>
      <c r="AE156" s="295" t="str">
        <f t="shared" si="159"/>
        <v>2Q14</v>
      </c>
      <c r="AF156" s="295" t="str">
        <f t="shared" si="159"/>
        <v>3Q14</v>
      </c>
      <c r="AG156" s="295" t="str">
        <f t="shared" ref="AG156:AW156" si="160">AG29</f>
        <v>4Q14</v>
      </c>
      <c r="AH156" s="296" t="str">
        <f t="shared" si="160"/>
        <v>1Q15</v>
      </c>
      <c r="AI156" s="295" t="str">
        <f t="shared" si="160"/>
        <v>2Q15</v>
      </c>
      <c r="AJ156" s="295" t="str">
        <f t="shared" si="160"/>
        <v>3Q15</v>
      </c>
      <c r="AK156" s="295" t="str">
        <f t="shared" si="160"/>
        <v>4Q15</v>
      </c>
      <c r="AL156" s="296" t="str">
        <f t="shared" si="160"/>
        <v>1Q16</v>
      </c>
      <c r="AM156" s="295" t="str">
        <f t="shared" si="160"/>
        <v>2Q16</v>
      </c>
      <c r="AN156" s="295" t="str">
        <f t="shared" si="160"/>
        <v>3Q16</v>
      </c>
      <c r="AO156" s="295" t="str">
        <f t="shared" si="160"/>
        <v>4Q16</v>
      </c>
      <c r="AP156" s="296" t="str">
        <f t="shared" si="160"/>
        <v>1Q17</v>
      </c>
      <c r="AQ156" s="295" t="str">
        <f t="shared" si="160"/>
        <v>2Q17</v>
      </c>
      <c r="AR156" s="295" t="str">
        <f t="shared" si="160"/>
        <v>3Q17</v>
      </c>
      <c r="AS156" s="295" t="str">
        <f t="shared" si="160"/>
        <v>4Q17</v>
      </c>
      <c r="AT156" s="296" t="str">
        <f t="shared" si="160"/>
        <v>1Q18E</v>
      </c>
      <c r="AU156" s="295" t="str">
        <f t="shared" si="160"/>
        <v>2Q18E</v>
      </c>
      <c r="AV156" s="295" t="str">
        <f t="shared" si="160"/>
        <v>3Q18E</v>
      </c>
      <c r="AW156" s="295" t="str">
        <f t="shared" si="160"/>
        <v>4Q18E</v>
      </c>
    </row>
    <row r="157" spans="1:49" x14ac:dyDescent="0.2">
      <c r="A157" s="1135" t="str">
        <f>A43</f>
        <v>Global Medical revenues</v>
      </c>
      <c r="B157" s="1096"/>
      <c r="C157" s="1078"/>
      <c r="D157" s="1078"/>
      <c r="E157" s="1078"/>
      <c r="F157" s="1077" t="str">
        <f t="shared" ref="F157:AF157" si="161">F43</f>
        <v>NM</v>
      </c>
      <c r="G157" s="1078" t="str">
        <f t="shared" si="161"/>
        <v>NM</v>
      </c>
      <c r="H157" s="1078" t="str">
        <f t="shared" si="161"/>
        <v>NM</v>
      </c>
      <c r="I157" s="1078" t="str">
        <f t="shared" si="161"/>
        <v>NM</v>
      </c>
      <c r="J157" s="1077" t="str">
        <f t="shared" si="161"/>
        <v>NM</v>
      </c>
      <c r="K157" s="1078" t="str">
        <f t="shared" si="161"/>
        <v>NM</v>
      </c>
      <c r="L157" s="1078" t="str">
        <f t="shared" si="161"/>
        <v>NM</v>
      </c>
      <c r="M157" s="1078" t="str">
        <f t="shared" si="161"/>
        <v>NM</v>
      </c>
      <c r="N157" s="1077" t="str">
        <f t="shared" si="161"/>
        <v>NM</v>
      </c>
      <c r="O157" s="1078" t="str">
        <f t="shared" si="161"/>
        <v>NM</v>
      </c>
      <c r="P157" s="1078" t="str">
        <f t="shared" si="161"/>
        <v>NM</v>
      </c>
      <c r="Q157" s="1078" t="str">
        <f t="shared" si="161"/>
        <v>NM</v>
      </c>
      <c r="R157" s="1077" t="str">
        <f t="shared" si="161"/>
        <v>NM</v>
      </c>
      <c r="S157" s="1078" t="str">
        <f t="shared" si="161"/>
        <v>NM</v>
      </c>
      <c r="T157" s="1078" t="str">
        <f t="shared" si="161"/>
        <v>NM</v>
      </c>
      <c r="U157" s="1078" t="str">
        <f t="shared" si="161"/>
        <v>NM</v>
      </c>
      <c r="V157" s="1077" t="str">
        <f t="shared" si="161"/>
        <v>NM</v>
      </c>
      <c r="W157" s="1078" t="str">
        <f t="shared" si="161"/>
        <v>NM</v>
      </c>
      <c r="X157" s="1078" t="str">
        <f t="shared" si="161"/>
        <v>NM</v>
      </c>
      <c r="Y157" s="1078" t="str">
        <f t="shared" si="161"/>
        <v>NM</v>
      </c>
      <c r="Z157" s="1077">
        <f t="shared" si="161"/>
        <v>0.11900000000000001</v>
      </c>
      <c r="AA157" s="1078">
        <f t="shared" si="161"/>
        <v>0.128</v>
      </c>
      <c r="AB157" s="1078">
        <f t="shared" si="161"/>
        <v>3.8000000000000006E-2</v>
      </c>
      <c r="AC157" s="1078">
        <f t="shared" si="161"/>
        <v>0.115</v>
      </c>
      <c r="AD157" s="1077">
        <f t="shared" si="161"/>
        <v>0.10300000000000001</v>
      </c>
      <c r="AE157" s="1078">
        <f t="shared" si="161"/>
        <v>9.9000000000000005E-2</v>
      </c>
      <c r="AF157" s="1078">
        <f t="shared" si="161"/>
        <v>8.3000000000000004E-2</v>
      </c>
      <c r="AG157" s="1078">
        <f t="shared" ref="AG157:AW157" si="162">AG43</f>
        <v>0.14000000000000001</v>
      </c>
      <c r="AH157" s="1077">
        <f t="shared" si="162"/>
        <v>0.13600000000000001</v>
      </c>
      <c r="AI157" s="1078">
        <f t="shared" si="162"/>
        <v>0.13599999999999998</v>
      </c>
      <c r="AJ157" s="1078">
        <f t="shared" si="162"/>
        <v>0.21600000000000003</v>
      </c>
      <c r="AK157" s="1078">
        <f t="shared" si="162"/>
        <v>0.22800000000000001</v>
      </c>
      <c r="AL157" s="1077">
        <f t="shared" si="162"/>
        <v>0.33100000000000002</v>
      </c>
      <c r="AM157" s="1078">
        <f t="shared" si="162"/>
        <v>0.24399999999999999</v>
      </c>
      <c r="AN157" s="1078">
        <f t="shared" si="162"/>
        <v>0.20700000000000002</v>
      </c>
      <c r="AO157" s="1078">
        <f t="shared" si="162"/>
        <v>0.1778562729247532</v>
      </c>
      <c r="AP157" s="1077">
        <f t="shared" si="162"/>
        <v>0.32984821516510332</v>
      </c>
      <c r="AQ157" s="1078">
        <f t="shared" si="162"/>
        <v>0.20566617361852166</v>
      </c>
      <c r="AR157" s="1078">
        <f t="shared" si="162"/>
        <v>0.15154448618615241</v>
      </c>
      <c r="AS157" s="1078">
        <f t="shared" si="162"/>
        <v>0.12728926045757966</v>
      </c>
      <c r="AT157" s="1077">
        <f t="shared" si="162"/>
        <v>0.14327454338115775</v>
      </c>
      <c r="AU157" s="1078">
        <f t="shared" si="162"/>
        <v>0.14942766021260989</v>
      </c>
      <c r="AV157" s="1078">
        <f t="shared" si="162"/>
        <v>0.13948270070608038</v>
      </c>
      <c r="AW157" s="1078">
        <f t="shared" si="162"/>
        <v>0.14282936384382328</v>
      </c>
    </row>
    <row r="158" spans="1:49" x14ac:dyDescent="0.2">
      <c r="A158" s="375" t="str">
        <f>A44</f>
        <v>North America</v>
      </c>
      <c r="B158" s="1094"/>
      <c r="C158" s="1083"/>
      <c r="D158" s="1083"/>
      <c r="E158" s="1083"/>
      <c r="F158" s="1082">
        <f t="shared" ref="F158:AF158" si="163">F44</f>
        <v>-6.3E-2</v>
      </c>
      <c r="G158" s="1083">
        <f t="shared" si="163"/>
        <v>-1.1999999999999997E-2</v>
      </c>
      <c r="H158" s="1083">
        <f t="shared" si="163"/>
        <v>0.183</v>
      </c>
      <c r="I158" s="1083">
        <f t="shared" si="163"/>
        <v>-0.19500000000000001</v>
      </c>
      <c r="J158" s="1082">
        <f t="shared" si="163"/>
        <v>-6.8000000000000005E-2</v>
      </c>
      <c r="K158" s="1083">
        <f t="shared" si="163"/>
        <v>-2.2000000000000006E-2</v>
      </c>
      <c r="L158" s="1083">
        <f t="shared" si="163"/>
        <v>-8.3999999999999991E-2</v>
      </c>
      <c r="M158" s="1083">
        <f t="shared" si="163"/>
        <v>-9.2000000000000012E-2</v>
      </c>
      <c r="N158" s="1082">
        <f t="shared" si="163"/>
        <v>0</v>
      </c>
      <c r="O158" s="1083">
        <f t="shared" si="163"/>
        <v>2.5000000000000008E-2</v>
      </c>
      <c r="P158" s="1083">
        <f t="shared" si="163"/>
        <v>4.7E-2</v>
      </c>
      <c r="Q158" s="1083">
        <f t="shared" si="163"/>
        <v>5.0999999999999997E-2</v>
      </c>
      <c r="R158" s="1082">
        <f t="shared" si="163"/>
        <v>0.123</v>
      </c>
      <c r="S158" s="1083">
        <f t="shared" si="163"/>
        <v>-4.0000000000000036E-3</v>
      </c>
      <c r="T158" s="1083">
        <f t="shared" si="163"/>
        <v>0.107</v>
      </c>
      <c r="U158" s="1083">
        <f t="shared" si="163"/>
        <v>7.9999999999999988E-2</v>
      </c>
      <c r="V158" s="1082">
        <f t="shared" si="163"/>
        <v>0.13300000000000001</v>
      </c>
      <c r="W158" s="1083">
        <f t="shared" si="163"/>
        <v>0.10999999999999999</v>
      </c>
      <c r="X158" s="1083">
        <f t="shared" si="163"/>
        <v>5.5999999999999994E-2</v>
      </c>
      <c r="Y158" s="1083">
        <f t="shared" si="163"/>
        <v>0.14400000000000002</v>
      </c>
      <c r="Z158" s="1082">
        <f t="shared" si="163"/>
        <v>0.124</v>
      </c>
      <c r="AA158" s="1083">
        <f t="shared" si="163"/>
        <v>0.13400000000000001</v>
      </c>
      <c r="AB158" s="1083">
        <f t="shared" si="163"/>
        <v>4.2999999999999997E-2</v>
      </c>
      <c r="AC158" s="1083">
        <f t="shared" si="163"/>
        <v>0.124</v>
      </c>
      <c r="AD158" s="1082">
        <f t="shared" si="163"/>
        <v>0.11</v>
      </c>
      <c r="AE158" s="1083">
        <f t="shared" si="163"/>
        <v>0.10100000000000001</v>
      </c>
      <c r="AF158" s="1083">
        <f t="shared" si="163"/>
        <v>8.5000000000000006E-2</v>
      </c>
      <c r="AG158" s="1083">
        <f t="shared" ref="AG158:AW158" si="164">AG44</f>
        <v>0.14699999999999999</v>
      </c>
      <c r="AH158" s="1082">
        <f t="shared" si="164"/>
        <v>0.14200000000000002</v>
      </c>
      <c r="AI158" s="1083">
        <f t="shared" si="164"/>
        <v>0.14299999999999999</v>
      </c>
      <c r="AJ158" s="1083">
        <f t="shared" si="164"/>
        <v>0.22100000000000003</v>
      </c>
      <c r="AK158" s="1083">
        <f t="shared" si="164"/>
        <v>0.23500000000000001</v>
      </c>
      <c r="AL158" s="1082">
        <f t="shared" si="164"/>
        <v>0.34500000000000003</v>
      </c>
      <c r="AM158" s="1083">
        <f t="shared" si="164"/>
        <v>0.253</v>
      </c>
      <c r="AN158" s="1083">
        <f t="shared" si="164"/>
        <v>0.21500000000000002</v>
      </c>
      <c r="AO158" s="1083">
        <f t="shared" si="164"/>
        <v>0.185</v>
      </c>
      <c r="AP158" s="1082">
        <f t="shared" si="164"/>
        <v>0.34</v>
      </c>
      <c r="AQ158" s="1083">
        <f t="shared" si="164"/>
        <v>0.21199999999999999</v>
      </c>
      <c r="AR158" s="1083">
        <f t="shared" si="164"/>
        <v>0.1555</v>
      </c>
      <c r="AS158" s="1083">
        <f t="shared" si="164"/>
        <v>0.13200000000000001</v>
      </c>
      <c r="AT158" s="1082">
        <f t="shared" si="164"/>
        <v>0.14700000000000002</v>
      </c>
      <c r="AU158" s="1083">
        <f t="shared" si="164"/>
        <v>0.153</v>
      </c>
      <c r="AV158" s="1083">
        <f t="shared" si="164"/>
        <v>0.14150000000000001</v>
      </c>
      <c r="AW158" s="1083">
        <f t="shared" si="164"/>
        <v>0.14699999999999999</v>
      </c>
    </row>
    <row r="159" spans="1:49" x14ac:dyDescent="0.2">
      <c r="A159" s="1141" t="str">
        <f>A45</f>
        <v>International</v>
      </c>
      <c r="B159" s="1145"/>
      <c r="C159" s="1146"/>
      <c r="D159" s="1146"/>
      <c r="E159" s="1146"/>
      <c r="F159" s="1147">
        <f t="shared" ref="F159:AF159" si="165">F45</f>
        <v>0</v>
      </c>
      <c r="G159" s="1146">
        <f t="shared" si="165"/>
        <v>0</v>
      </c>
      <c r="H159" s="1146">
        <f t="shared" si="165"/>
        <v>0</v>
      </c>
      <c r="I159" s="1146">
        <f t="shared" si="165"/>
        <v>0</v>
      </c>
      <c r="J159" s="1147">
        <f t="shared" si="165"/>
        <v>0</v>
      </c>
      <c r="K159" s="1146">
        <f t="shared" si="165"/>
        <v>0</v>
      </c>
      <c r="L159" s="1146">
        <f t="shared" si="165"/>
        <v>0</v>
      </c>
      <c r="M159" s="1146">
        <f t="shared" si="165"/>
        <v>0</v>
      </c>
      <c r="N159" s="1147">
        <f t="shared" si="165"/>
        <v>0</v>
      </c>
      <c r="O159" s="1146">
        <f t="shared" si="165"/>
        <v>0</v>
      </c>
      <c r="P159" s="1146">
        <f t="shared" si="165"/>
        <v>0</v>
      </c>
      <c r="Q159" s="1146">
        <f t="shared" si="165"/>
        <v>0</v>
      </c>
      <c r="R159" s="1147">
        <f t="shared" si="165"/>
        <v>0</v>
      </c>
      <c r="S159" s="1146">
        <f t="shared" si="165"/>
        <v>0</v>
      </c>
      <c r="T159" s="1146">
        <f t="shared" si="165"/>
        <v>0</v>
      </c>
      <c r="U159" s="1146">
        <f t="shared" si="165"/>
        <v>0</v>
      </c>
      <c r="V159" s="1147">
        <f t="shared" si="165"/>
        <v>7.3999999999999996E-2</v>
      </c>
      <c r="W159" s="1146">
        <f t="shared" si="165"/>
        <v>-2.1999999999999999E-2</v>
      </c>
      <c r="X159" s="1146">
        <f t="shared" si="165"/>
        <v>-2.1000000000000001E-2</v>
      </c>
      <c r="Y159" s="1146">
        <f t="shared" si="165"/>
        <v>2.8999999999999998E-2</v>
      </c>
      <c r="Z159" s="1147">
        <f t="shared" si="165"/>
        <v>4.0999999999999995E-2</v>
      </c>
      <c r="AA159" s="1146">
        <f t="shared" si="165"/>
        <v>3.4000000000000002E-2</v>
      </c>
      <c r="AB159" s="1146">
        <f t="shared" si="165"/>
        <v>-7.9000000000000001E-2</v>
      </c>
      <c r="AC159" s="1146">
        <f t="shared" si="165"/>
        <v>-3.6000000000000004E-2</v>
      </c>
      <c r="AD159" s="1147">
        <f t="shared" si="165"/>
        <v>-2.4E-2</v>
      </c>
      <c r="AE159" s="1146">
        <f t="shared" si="165"/>
        <v>4.2000000000000003E-2</v>
      </c>
      <c r="AF159" s="1146">
        <f t="shared" si="165"/>
        <v>2.3E-2</v>
      </c>
      <c r="AG159" s="1146">
        <f t="shared" ref="AG159:AW159" si="166">AG45</f>
        <v>1.9000000000000003E-2</v>
      </c>
      <c r="AH159" s="1147">
        <f t="shared" si="166"/>
        <v>2.4E-2</v>
      </c>
      <c r="AI159" s="1146">
        <f t="shared" si="166"/>
        <v>-1.0000000000000009E-3</v>
      </c>
      <c r="AJ159" s="1146">
        <f t="shared" si="166"/>
        <v>9.4E-2</v>
      </c>
      <c r="AK159" s="1146">
        <f t="shared" si="166"/>
        <v>8.1000000000000003E-2</v>
      </c>
      <c r="AL159" s="1147">
        <f t="shared" si="166"/>
        <v>3.5000000000000003E-2</v>
      </c>
      <c r="AM159" s="1146">
        <f t="shared" si="166"/>
        <v>3.6999999999999998E-2</v>
      </c>
      <c r="AN159" s="1146">
        <f t="shared" si="166"/>
        <v>4.0000000000000001E-3</v>
      </c>
      <c r="AO159" s="1146">
        <f t="shared" si="166"/>
        <v>5.869690964597561E-3</v>
      </c>
      <c r="AP159" s="1147">
        <f t="shared" si="166"/>
        <v>7.4999999999999997E-2</v>
      </c>
      <c r="AQ159" s="1146">
        <f t="shared" si="166"/>
        <v>1.9E-2</v>
      </c>
      <c r="AR159" s="1146">
        <f t="shared" si="166"/>
        <v>3.5999999999999997E-2</v>
      </c>
      <c r="AS159" s="1146">
        <f t="shared" si="166"/>
        <v>-2.0130309035402444E-2</v>
      </c>
      <c r="AT159" s="1147">
        <f t="shared" si="166"/>
        <v>3.5000000000000003E-2</v>
      </c>
      <c r="AU159" s="1146">
        <f t="shared" si="166"/>
        <v>4.5000000000000005E-2</v>
      </c>
      <c r="AV159" s="1146">
        <f t="shared" si="166"/>
        <v>6.5000000000000002E-2</v>
      </c>
      <c r="AW159" s="1146">
        <f t="shared" si="166"/>
        <v>1.0999999999999996E-2</v>
      </c>
    </row>
    <row r="163" spans="1:49" x14ac:dyDescent="0.2">
      <c r="A163" s="294" t="str">
        <f>A3</f>
        <v>Organic Growth Trends</v>
      </c>
      <c r="B163" s="289"/>
      <c r="C163" s="289"/>
      <c r="D163" s="289"/>
      <c r="E163" s="289"/>
      <c r="F163" s="289"/>
      <c r="G163" s="289"/>
      <c r="H163" s="289"/>
      <c r="I163" s="289"/>
      <c r="J163" s="289"/>
      <c r="K163" s="289"/>
      <c r="L163" s="289"/>
      <c r="M163" s="289"/>
      <c r="N163" s="290"/>
      <c r="O163" s="289"/>
      <c r="P163" s="289"/>
      <c r="Q163" s="289"/>
      <c r="R163" s="289"/>
      <c r="S163" s="289"/>
      <c r="T163" s="289"/>
      <c r="U163" s="289"/>
      <c r="V163" s="289"/>
      <c r="W163" s="289"/>
      <c r="X163" s="289"/>
      <c r="Y163" s="289"/>
      <c r="Z163" s="289"/>
      <c r="AA163" s="289"/>
      <c r="AB163" s="289"/>
      <c r="AC163" s="289"/>
      <c r="AD163" s="289"/>
      <c r="AE163" s="289"/>
    </row>
    <row r="164" spans="1:49" x14ac:dyDescent="0.2">
      <c r="A164" s="295"/>
      <c r="B164" s="741" t="str">
        <f t="shared" ref="B164:AF164" si="167">B4</f>
        <v>1Q07</v>
      </c>
      <c r="C164" s="295" t="str">
        <f t="shared" si="167"/>
        <v>2Q07</v>
      </c>
      <c r="D164" s="295" t="str">
        <f t="shared" si="167"/>
        <v>3Q07</v>
      </c>
      <c r="E164" s="295" t="str">
        <f t="shared" si="167"/>
        <v>4Q07</v>
      </c>
      <c r="F164" s="296" t="str">
        <f t="shared" si="167"/>
        <v>1Q08</v>
      </c>
      <c r="G164" s="295" t="str">
        <f t="shared" si="167"/>
        <v>2Q08</v>
      </c>
      <c r="H164" s="295" t="str">
        <f t="shared" si="167"/>
        <v>3Q08</v>
      </c>
      <c r="I164" s="295" t="str">
        <f t="shared" si="167"/>
        <v>4Q08</v>
      </c>
      <c r="J164" s="296" t="str">
        <f t="shared" si="167"/>
        <v>1Q09</v>
      </c>
      <c r="K164" s="295" t="str">
        <f t="shared" si="167"/>
        <v>2Q09</v>
      </c>
      <c r="L164" s="295" t="str">
        <f t="shared" si="167"/>
        <v>3Q09</v>
      </c>
      <c r="M164" s="295" t="str">
        <f t="shared" si="167"/>
        <v>4Q09</v>
      </c>
      <c r="N164" s="296" t="str">
        <f t="shared" si="167"/>
        <v>1Q10</v>
      </c>
      <c r="O164" s="295" t="str">
        <f t="shared" si="167"/>
        <v>2Q10</v>
      </c>
      <c r="P164" s="295" t="str">
        <f t="shared" si="167"/>
        <v>3Q10</v>
      </c>
      <c r="Q164" s="295" t="str">
        <f t="shared" si="167"/>
        <v>4Q10</v>
      </c>
      <c r="R164" s="296" t="str">
        <f t="shared" si="167"/>
        <v>1Q11</v>
      </c>
      <c r="S164" s="295" t="str">
        <f t="shared" si="167"/>
        <v>2Q11</v>
      </c>
      <c r="T164" s="295" t="str">
        <f t="shared" si="167"/>
        <v>3Q11</v>
      </c>
      <c r="U164" s="295" t="str">
        <f t="shared" si="167"/>
        <v>4Q11</v>
      </c>
      <c r="V164" s="296" t="str">
        <f t="shared" si="167"/>
        <v>1Q12</v>
      </c>
      <c r="W164" s="295" t="str">
        <f t="shared" si="167"/>
        <v>2Q12</v>
      </c>
      <c r="X164" s="295" t="str">
        <f t="shared" si="167"/>
        <v>3Q12</v>
      </c>
      <c r="Y164" s="295" t="str">
        <f t="shared" si="167"/>
        <v>4Q12</v>
      </c>
      <c r="Z164" s="296" t="str">
        <f t="shared" si="167"/>
        <v>1Q13</v>
      </c>
      <c r="AA164" s="295" t="str">
        <f t="shared" si="167"/>
        <v>2Q13</v>
      </c>
      <c r="AB164" s="295" t="str">
        <f t="shared" si="167"/>
        <v>3Q13</v>
      </c>
      <c r="AC164" s="295" t="str">
        <f t="shared" si="167"/>
        <v>4Q13</v>
      </c>
      <c r="AD164" s="296" t="str">
        <f t="shared" si="167"/>
        <v>1Q14</v>
      </c>
      <c r="AE164" s="295" t="str">
        <f t="shared" si="167"/>
        <v>2Q14</v>
      </c>
      <c r="AF164" s="295" t="str">
        <f t="shared" si="167"/>
        <v>3Q14</v>
      </c>
      <c r="AG164" s="295" t="str">
        <f t="shared" ref="AG164:AW164" si="168">AG4</f>
        <v>4Q14</v>
      </c>
      <c r="AH164" s="296" t="str">
        <f t="shared" si="168"/>
        <v>1Q15</v>
      </c>
      <c r="AI164" s="295" t="str">
        <f t="shared" si="168"/>
        <v>2Q15</v>
      </c>
      <c r="AJ164" s="295" t="str">
        <f t="shared" si="168"/>
        <v>3Q15</v>
      </c>
      <c r="AK164" s="295" t="str">
        <f t="shared" si="168"/>
        <v>4Q15</v>
      </c>
      <c r="AL164" s="296" t="str">
        <f t="shared" si="168"/>
        <v>1Q16</v>
      </c>
      <c r="AM164" s="295" t="str">
        <f t="shared" si="168"/>
        <v>2Q16</v>
      </c>
      <c r="AN164" s="295" t="str">
        <f t="shared" si="168"/>
        <v>3Q16</v>
      </c>
      <c r="AO164" s="295" t="str">
        <f t="shared" si="168"/>
        <v>4Q16</v>
      </c>
      <c r="AP164" s="296" t="str">
        <f t="shared" si="168"/>
        <v>1Q17</v>
      </c>
      <c r="AQ164" s="295" t="str">
        <f t="shared" si="168"/>
        <v>2Q17</v>
      </c>
      <c r="AR164" s="295" t="str">
        <f t="shared" si="168"/>
        <v>3Q17</v>
      </c>
      <c r="AS164" s="295" t="str">
        <f t="shared" si="168"/>
        <v>4Q17</v>
      </c>
      <c r="AT164" s="296" t="str">
        <f t="shared" si="168"/>
        <v>1Q18E</v>
      </c>
      <c r="AU164" s="295" t="str">
        <f t="shared" si="168"/>
        <v>2Q18E</v>
      </c>
      <c r="AV164" s="295" t="str">
        <f t="shared" si="168"/>
        <v>3Q18E</v>
      </c>
      <c r="AW164" s="295" t="str">
        <f t="shared" si="168"/>
        <v>4Q18E</v>
      </c>
    </row>
    <row r="165" spans="1:49" x14ac:dyDescent="0.2">
      <c r="A165" s="338" t="str">
        <f t="shared" ref="A165:AF165" si="169">A21</f>
        <v>Global Technology and Value-Added Services revenues</v>
      </c>
      <c r="B165" s="1079">
        <f t="shared" si="169"/>
        <v>0.17699999999999999</v>
      </c>
      <c r="C165" s="1080">
        <f t="shared" si="169"/>
        <v>0.255</v>
      </c>
      <c r="D165" s="1080">
        <f t="shared" si="169"/>
        <v>0.15499999999999997</v>
      </c>
      <c r="E165" s="1080">
        <f t="shared" si="169"/>
        <v>0.15500000000000003</v>
      </c>
      <c r="F165" s="1081">
        <f t="shared" si="169"/>
        <v>0.10199999999999998</v>
      </c>
      <c r="G165" s="1080">
        <f t="shared" si="169"/>
        <v>1.799999999999996E-2</v>
      </c>
      <c r="H165" s="1080">
        <f t="shared" si="169"/>
        <v>0.11299999999999999</v>
      </c>
      <c r="I165" s="1080">
        <f t="shared" si="169"/>
        <v>0.109</v>
      </c>
      <c r="J165" s="1081">
        <f t="shared" si="169"/>
        <v>8.7999999999999995E-2</v>
      </c>
      <c r="K165" s="1080">
        <f t="shared" si="169"/>
        <v>7.2999999999999995E-2</v>
      </c>
      <c r="L165" s="1080">
        <f t="shared" si="169"/>
        <v>4.5999999999999999E-2</v>
      </c>
      <c r="M165" s="1080">
        <f t="shared" si="169"/>
        <v>6.4000000000000001E-2</v>
      </c>
      <c r="N165" s="1081">
        <f t="shared" si="169"/>
        <v>4.5999999999999999E-2</v>
      </c>
      <c r="O165" s="1080">
        <f t="shared" si="169"/>
        <v>8.0000000000000016E-2</v>
      </c>
      <c r="P165" s="1080">
        <f t="shared" si="169"/>
        <v>0.10699999999999998</v>
      </c>
      <c r="Q165" s="1080">
        <f t="shared" si="169"/>
        <v>0.17499999999999999</v>
      </c>
      <c r="R165" s="1081">
        <f t="shared" si="169"/>
        <v>0.13800000000000001</v>
      </c>
      <c r="S165" s="1080">
        <f t="shared" si="169"/>
        <v>0.126</v>
      </c>
      <c r="T165" s="1080">
        <f t="shared" si="169"/>
        <v>0.11299999999999999</v>
      </c>
      <c r="U165" s="1080">
        <f t="shared" si="169"/>
        <v>2.4000000000000021E-2</v>
      </c>
      <c r="V165" s="1081">
        <f t="shared" si="169"/>
        <v>0.09</v>
      </c>
      <c r="W165" s="1080">
        <f t="shared" si="169"/>
        <v>8.5999999999999993E-2</v>
      </c>
      <c r="X165" s="1080">
        <f t="shared" si="169"/>
        <v>0.11199999999999999</v>
      </c>
      <c r="Y165" s="1080">
        <f t="shared" si="169"/>
        <v>0.13500000000000001</v>
      </c>
      <c r="Z165" s="1081">
        <f t="shared" si="169"/>
        <v>0.11700000000000001</v>
      </c>
      <c r="AA165" s="1080">
        <f t="shared" si="169"/>
        <v>9.6000000000000002E-2</v>
      </c>
      <c r="AB165" s="1080">
        <f t="shared" si="169"/>
        <v>8.4999999999999992E-2</v>
      </c>
      <c r="AC165" s="1080">
        <f t="shared" si="169"/>
        <v>8.5999999999999993E-2</v>
      </c>
      <c r="AD165" s="1081">
        <f t="shared" si="169"/>
        <v>6.1999999999999993E-2</v>
      </c>
      <c r="AE165" s="1080">
        <f t="shared" si="169"/>
        <v>9.2999999999999999E-2</v>
      </c>
      <c r="AF165" s="1080">
        <f t="shared" si="169"/>
        <v>6.5000000000000002E-2</v>
      </c>
      <c r="AG165" s="1080">
        <f t="shared" ref="AG165:AW165" si="170">AG21</f>
        <v>1.4999999999999996E-2</v>
      </c>
      <c r="AH165" s="1081">
        <f t="shared" si="170"/>
        <v>7.9000000000000001E-2</v>
      </c>
      <c r="AI165" s="1080">
        <f t="shared" si="170"/>
        <v>2.9000000000000001E-2</v>
      </c>
      <c r="AJ165" s="1080">
        <f t="shared" si="170"/>
        <v>5.2000000000000005E-2</v>
      </c>
      <c r="AK165" s="1080">
        <f t="shared" si="170"/>
        <v>0.04</v>
      </c>
      <c r="AL165" s="1081">
        <f t="shared" si="170"/>
        <v>7.5000000000000011E-2</v>
      </c>
      <c r="AM165" s="1080">
        <f t="shared" si="170"/>
        <v>8.0999999999999989E-2</v>
      </c>
      <c r="AN165" s="1080">
        <f t="shared" si="170"/>
        <v>7.5999999999999998E-2</v>
      </c>
      <c r="AO165" s="1080">
        <f t="shared" si="170"/>
        <v>8.5001566846800797E-2</v>
      </c>
      <c r="AP165" s="1081">
        <f t="shared" si="170"/>
        <v>5.5226592165581234E-2</v>
      </c>
      <c r="AQ165" s="1080">
        <f t="shared" si="170"/>
        <v>2.1999999999999999E-2</v>
      </c>
      <c r="AR165" s="1080">
        <f t="shared" si="170"/>
        <v>0.03</v>
      </c>
      <c r="AS165" s="1080">
        <f t="shared" si="170"/>
        <v>3.2436989316296343E-2</v>
      </c>
      <c r="AT165" s="1081">
        <f t="shared" si="170"/>
        <v>6.1076449771150898E-2</v>
      </c>
      <c r="AU165" s="1080">
        <f t="shared" si="170"/>
        <v>9.3288400762901347E-2</v>
      </c>
      <c r="AV165" s="1080">
        <f t="shared" si="170"/>
        <v>8.1586981249770707E-2</v>
      </c>
      <c r="AW165" s="1080">
        <f t="shared" si="170"/>
        <v>7.9072876578439866E-2</v>
      </c>
    </row>
    <row r="166" spans="1:49" x14ac:dyDescent="0.2">
      <c r="A166" s="375" t="str">
        <f t="shared" ref="A166:AF166" si="171">A22</f>
        <v>North America</v>
      </c>
      <c r="B166" s="1136" t="str">
        <f t="shared" si="171"/>
        <v>NA</v>
      </c>
      <c r="C166" s="1087" t="str">
        <f t="shared" si="171"/>
        <v>NA</v>
      </c>
      <c r="D166" s="1087" t="str">
        <f t="shared" si="171"/>
        <v>NA</v>
      </c>
      <c r="E166" s="1087" t="str">
        <f t="shared" si="171"/>
        <v>NA</v>
      </c>
      <c r="F166" s="1086" t="str">
        <f t="shared" si="171"/>
        <v>NA</v>
      </c>
      <c r="G166" s="1087" t="str">
        <f t="shared" si="171"/>
        <v>NA</v>
      </c>
      <c r="H166" s="1087" t="str">
        <f t="shared" si="171"/>
        <v>NA</v>
      </c>
      <c r="I166" s="1087" t="str">
        <f t="shared" si="171"/>
        <v>NA</v>
      </c>
      <c r="J166" s="1086" t="str">
        <f t="shared" si="171"/>
        <v>NA</v>
      </c>
      <c r="K166" s="1087" t="str">
        <f t="shared" si="171"/>
        <v>NA</v>
      </c>
      <c r="L166" s="1087" t="str">
        <f t="shared" si="171"/>
        <v>NA</v>
      </c>
      <c r="M166" s="1087" t="str">
        <f t="shared" si="171"/>
        <v>NA</v>
      </c>
      <c r="N166" s="1086" t="str">
        <f t="shared" si="171"/>
        <v>NA</v>
      </c>
      <c r="O166" s="1087" t="str">
        <f t="shared" si="171"/>
        <v>NA</v>
      </c>
      <c r="P166" s="1087" t="str">
        <f t="shared" si="171"/>
        <v>NA</v>
      </c>
      <c r="Q166" s="1087" t="str">
        <f t="shared" si="171"/>
        <v>NA</v>
      </c>
      <c r="R166" s="1086" t="str">
        <f t="shared" si="171"/>
        <v>NA</v>
      </c>
      <c r="S166" s="1087" t="str">
        <f t="shared" si="171"/>
        <v>NA</v>
      </c>
      <c r="T166" s="1087" t="str">
        <f t="shared" si="171"/>
        <v>NA</v>
      </c>
      <c r="U166" s="1087" t="str">
        <f t="shared" si="171"/>
        <v>NA</v>
      </c>
      <c r="V166" s="1086">
        <f t="shared" si="171"/>
        <v>9.8999999999999991E-2</v>
      </c>
      <c r="W166" s="1087">
        <f t="shared" si="171"/>
        <v>0.09</v>
      </c>
      <c r="X166" s="1087">
        <f t="shared" si="171"/>
        <v>0.12299999999999998</v>
      </c>
      <c r="Y166" s="1087">
        <f t="shared" si="171"/>
        <v>0.157</v>
      </c>
      <c r="Z166" s="1086">
        <f t="shared" si="171"/>
        <v>0.11399999999999999</v>
      </c>
      <c r="AA166" s="1087">
        <f t="shared" si="171"/>
        <v>8.0999999999999989E-2</v>
      </c>
      <c r="AB166" s="1087">
        <f t="shared" si="171"/>
        <v>7.3000000000000009E-2</v>
      </c>
      <c r="AC166" s="1087">
        <f t="shared" si="171"/>
        <v>6.699999999999999E-2</v>
      </c>
      <c r="AD166" s="1086">
        <f t="shared" si="171"/>
        <v>4.7999999999999994E-2</v>
      </c>
      <c r="AE166" s="1087">
        <f t="shared" si="171"/>
        <v>8.5000000000000006E-2</v>
      </c>
      <c r="AF166" s="1087">
        <f t="shared" si="171"/>
        <v>5.3999999999999999E-2</v>
      </c>
      <c r="AG166" s="1087">
        <f t="shared" ref="AG166:AW166" si="172">AG22</f>
        <v>-7.0000000000000001E-3</v>
      </c>
      <c r="AH166" s="1086">
        <f t="shared" si="172"/>
        <v>5.8999999999999997E-2</v>
      </c>
      <c r="AI166" s="1087">
        <f t="shared" si="172"/>
        <v>2.5999999999999999E-2</v>
      </c>
      <c r="AJ166" s="1087">
        <f t="shared" si="172"/>
        <v>4.4999999999999998E-2</v>
      </c>
      <c r="AK166" s="1087">
        <f t="shared" si="172"/>
        <v>4.2000000000000003E-2</v>
      </c>
      <c r="AL166" s="1086">
        <f t="shared" si="172"/>
        <v>7.9999999999999988E-2</v>
      </c>
      <c r="AM166" s="1087">
        <f t="shared" si="172"/>
        <v>8.4999999999999992E-2</v>
      </c>
      <c r="AN166" s="1087">
        <f t="shared" si="172"/>
        <v>6.9999999999999993E-2</v>
      </c>
      <c r="AO166" s="1087">
        <f t="shared" si="172"/>
        <v>7.3999999999999982E-2</v>
      </c>
      <c r="AP166" s="1086">
        <f t="shared" si="172"/>
        <v>3.4000000000000002E-2</v>
      </c>
      <c r="AQ166" s="1087">
        <f t="shared" si="172"/>
        <v>3.0000000000000001E-3</v>
      </c>
      <c r="AR166" s="1087">
        <f t="shared" si="172"/>
        <v>0.02</v>
      </c>
      <c r="AS166" s="1087">
        <f t="shared" si="172"/>
        <v>1.7999999999999999E-2</v>
      </c>
      <c r="AT166" s="1086">
        <f t="shared" si="172"/>
        <v>5.5963415044973222E-2</v>
      </c>
      <c r="AU166" s="1087">
        <f t="shared" si="172"/>
        <v>8.572763921499138E-2</v>
      </c>
      <c r="AV166" s="1087">
        <f t="shared" si="172"/>
        <v>6.4702106118089464E-2</v>
      </c>
      <c r="AW166" s="1087">
        <f t="shared" si="172"/>
        <v>6.4951946052142551E-2</v>
      </c>
    </row>
    <row r="167" spans="1:49" x14ac:dyDescent="0.2">
      <c r="A167" s="1141" t="str">
        <f t="shared" ref="A167:AF167" si="173">A23</f>
        <v>International</v>
      </c>
      <c r="B167" s="1142" t="str">
        <f t="shared" si="173"/>
        <v>NA</v>
      </c>
      <c r="C167" s="1143" t="str">
        <f t="shared" si="173"/>
        <v>NA</v>
      </c>
      <c r="D167" s="1143" t="str">
        <f t="shared" si="173"/>
        <v>NA</v>
      </c>
      <c r="E167" s="1143" t="str">
        <f t="shared" si="173"/>
        <v>NA</v>
      </c>
      <c r="F167" s="1144" t="str">
        <f t="shared" si="173"/>
        <v>NA</v>
      </c>
      <c r="G167" s="1143" t="str">
        <f t="shared" si="173"/>
        <v>NA</v>
      </c>
      <c r="H167" s="1143" t="str">
        <f t="shared" si="173"/>
        <v>NA</v>
      </c>
      <c r="I167" s="1143" t="str">
        <f t="shared" si="173"/>
        <v>NA</v>
      </c>
      <c r="J167" s="1144" t="str">
        <f t="shared" si="173"/>
        <v>NA</v>
      </c>
      <c r="K167" s="1143" t="str">
        <f t="shared" si="173"/>
        <v>NA</v>
      </c>
      <c r="L167" s="1143" t="str">
        <f t="shared" si="173"/>
        <v>NA</v>
      </c>
      <c r="M167" s="1143" t="str">
        <f t="shared" si="173"/>
        <v>NA</v>
      </c>
      <c r="N167" s="1144" t="str">
        <f t="shared" si="173"/>
        <v>NA</v>
      </c>
      <c r="O167" s="1143" t="str">
        <f t="shared" si="173"/>
        <v>NA</v>
      </c>
      <c r="P167" s="1143" t="str">
        <f t="shared" si="173"/>
        <v>NA</v>
      </c>
      <c r="Q167" s="1143" t="str">
        <f t="shared" si="173"/>
        <v>NA</v>
      </c>
      <c r="R167" s="1144" t="str">
        <f t="shared" si="173"/>
        <v>NA</v>
      </c>
      <c r="S167" s="1143" t="str">
        <f t="shared" si="173"/>
        <v>NA</v>
      </c>
      <c r="T167" s="1143" t="str">
        <f t="shared" si="173"/>
        <v>NA</v>
      </c>
      <c r="U167" s="1143" t="str">
        <f t="shared" si="173"/>
        <v>NA</v>
      </c>
      <c r="V167" s="1144">
        <f t="shared" si="173"/>
        <v>0.04</v>
      </c>
      <c r="W167" s="1143">
        <f t="shared" si="173"/>
        <v>6.2E-2</v>
      </c>
      <c r="X167" s="1143">
        <f t="shared" si="173"/>
        <v>4.7000000000000014E-2</v>
      </c>
      <c r="Y167" s="1143">
        <f t="shared" si="173"/>
        <v>-1.0000000000000009E-2</v>
      </c>
      <c r="Z167" s="1144">
        <f t="shared" si="173"/>
        <v>0.14299999999999999</v>
      </c>
      <c r="AA167" s="1143">
        <f t="shared" si="173"/>
        <v>0.184</v>
      </c>
      <c r="AB167" s="1143">
        <f t="shared" si="173"/>
        <v>0.16200000000000001</v>
      </c>
      <c r="AC167" s="1143">
        <f t="shared" si="173"/>
        <v>0.215</v>
      </c>
      <c r="AD167" s="1144">
        <f t="shared" si="173"/>
        <v>0.14199999999999999</v>
      </c>
      <c r="AE167" s="1143">
        <f t="shared" si="173"/>
        <v>0.14399999999999996</v>
      </c>
      <c r="AF167" s="1143">
        <f t="shared" si="173"/>
        <v>0.13399999999999998</v>
      </c>
      <c r="AG167" s="1143">
        <f t="shared" ref="AG167:AW167" si="174">AG23</f>
        <v>0.15</v>
      </c>
      <c r="AH167" s="1144">
        <f t="shared" si="174"/>
        <v>0.17299999999999999</v>
      </c>
      <c r="AI167" s="1143">
        <f t="shared" si="174"/>
        <v>3.9E-2</v>
      </c>
      <c r="AJ167" s="1143">
        <f t="shared" si="174"/>
        <v>8.4000000000000005E-2</v>
      </c>
      <c r="AK167" s="1143">
        <f t="shared" si="174"/>
        <v>2.7E-2</v>
      </c>
      <c r="AL167" s="1144">
        <f t="shared" si="174"/>
        <v>5.1000000000000004E-2</v>
      </c>
      <c r="AM167" s="1143">
        <f t="shared" si="174"/>
        <v>6.3999999999999987E-2</v>
      </c>
      <c r="AN167" s="1143">
        <f t="shared" si="174"/>
        <v>0.108</v>
      </c>
      <c r="AO167" s="1143">
        <f t="shared" si="174"/>
        <v>0.13875164451604249</v>
      </c>
      <c r="AP167" s="1144">
        <f t="shared" si="174"/>
        <v>0.17199999999999999</v>
      </c>
      <c r="AQ167" s="1143">
        <f t="shared" si="174"/>
        <v>0.124</v>
      </c>
      <c r="AR167" s="1143">
        <f t="shared" si="174"/>
        <v>8.7000000000000008E-2</v>
      </c>
      <c r="AS167" s="1143">
        <f t="shared" si="174"/>
        <v>0.11399999999999999</v>
      </c>
      <c r="AT167" s="1144">
        <f t="shared" si="174"/>
        <v>8.7999999999999995E-2</v>
      </c>
      <c r="AU167" s="1143">
        <f t="shared" si="174"/>
        <v>0.1307137766569815</v>
      </c>
      <c r="AV167" s="1143">
        <f t="shared" si="174"/>
        <v>0.16091526841252418</v>
      </c>
      <c r="AW167" s="1143">
        <f t="shared" si="174"/>
        <v>0.14417115441104475</v>
      </c>
    </row>
    <row r="168" spans="1:49" x14ac:dyDescent="0.2">
      <c r="A168" s="309"/>
      <c r="B168" s="309"/>
      <c r="C168" s="309"/>
      <c r="D168" s="309"/>
      <c r="E168" s="309"/>
      <c r="F168" s="309"/>
      <c r="G168" s="309"/>
      <c r="H168" s="309"/>
      <c r="I168" s="309"/>
      <c r="J168" s="309"/>
      <c r="K168" s="309"/>
      <c r="L168" s="309"/>
      <c r="M168" s="309"/>
      <c r="N168" s="309"/>
      <c r="O168" s="309"/>
      <c r="P168" s="309"/>
      <c r="Q168" s="309"/>
      <c r="R168" s="309"/>
      <c r="S168" s="309"/>
      <c r="T168" s="309"/>
      <c r="U168" s="309"/>
      <c r="V168" s="309"/>
      <c r="W168" s="309"/>
      <c r="X168" s="309"/>
      <c r="Y168" s="309"/>
      <c r="Z168" s="309"/>
      <c r="AA168" s="309"/>
      <c r="AB168" s="309"/>
      <c r="AC168" s="309"/>
      <c r="AD168" s="309"/>
      <c r="AE168" s="309"/>
      <c r="AF168" s="309"/>
      <c r="AG168" s="309"/>
      <c r="AH168" s="309"/>
      <c r="AI168" s="310"/>
      <c r="AJ168" s="310"/>
      <c r="AK168" s="310"/>
      <c r="AL168" s="310"/>
      <c r="AM168" s="309"/>
      <c r="AN168" s="309"/>
      <c r="AO168" s="309"/>
      <c r="AP168" s="309"/>
      <c r="AQ168" s="309"/>
      <c r="AR168" s="309"/>
      <c r="AS168" s="309"/>
      <c r="AT168" s="309"/>
      <c r="AU168" s="309"/>
      <c r="AV168" s="309"/>
      <c r="AW168" s="309"/>
    </row>
    <row r="169" spans="1:49" x14ac:dyDescent="0.2">
      <c r="A169" s="311" t="str">
        <f>A28</f>
        <v>Two-Year Growth Momentum</v>
      </c>
      <c r="B169" s="293"/>
      <c r="C169" s="293"/>
      <c r="D169" s="312"/>
      <c r="E169" s="312"/>
      <c r="F169" s="312"/>
      <c r="G169" s="312"/>
      <c r="H169" s="312"/>
      <c r="I169" s="312"/>
      <c r="J169" s="312"/>
      <c r="K169" s="312"/>
      <c r="L169" s="312"/>
      <c r="M169" s="312"/>
      <c r="N169" s="312"/>
      <c r="O169" s="309"/>
      <c r="P169" s="309"/>
      <c r="Q169" s="309"/>
      <c r="R169" s="309"/>
      <c r="S169" s="309"/>
      <c r="T169" s="309"/>
      <c r="U169" s="309"/>
      <c r="V169" s="309"/>
      <c r="W169" s="309"/>
      <c r="X169" s="309"/>
      <c r="Y169" s="309"/>
      <c r="Z169" s="309"/>
      <c r="AA169" s="309"/>
      <c r="AB169" s="309"/>
      <c r="AC169" s="309"/>
      <c r="AD169" s="309"/>
      <c r="AE169" s="309"/>
      <c r="AF169" s="309"/>
      <c r="AG169" s="309"/>
      <c r="AH169" s="309"/>
      <c r="AI169" s="309"/>
      <c r="AJ169" s="309"/>
      <c r="AK169" s="309"/>
      <c r="AL169" s="309"/>
      <c r="AM169" s="309"/>
      <c r="AN169" s="309"/>
      <c r="AO169" s="309"/>
      <c r="AP169" s="309"/>
      <c r="AQ169" s="309"/>
      <c r="AR169" s="309"/>
      <c r="AS169" s="309"/>
      <c r="AT169" s="309"/>
      <c r="AU169" s="309"/>
      <c r="AV169" s="309"/>
      <c r="AW169" s="309"/>
    </row>
    <row r="170" spans="1:49" x14ac:dyDescent="0.2">
      <c r="A170" s="295"/>
      <c r="B170" s="741"/>
      <c r="C170" s="295"/>
      <c r="D170" s="295"/>
      <c r="E170" s="295"/>
      <c r="F170" s="296" t="str">
        <f t="shared" ref="F170:AF170" si="175">F29</f>
        <v>1Q08</v>
      </c>
      <c r="G170" s="295" t="str">
        <f t="shared" si="175"/>
        <v>2Q08</v>
      </c>
      <c r="H170" s="295" t="str">
        <f t="shared" si="175"/>
        <v>3Q08</v>
      </c>
      <c r="I170" s="295" t="str">
        <f t="shared" si="175"/>
        <v>4Q08</v>
      </c>
      <c r="J170" s="296" t="str">
        <f t="shared" si="175"/>
        <v>1Q09</v>
      </c>
      <c r="K170" s="295" t="str">
        <f t="shared" si="175"/>
        <v>2Q09</v>
      </c>
      <c r="L170" s="295" t="str">
        <f t="shared" si="175"/>
        <v>3Q09</v>
      </c>
      <c r="M170" s="295" t="str">
        <f t="shared" si="175"/>
        <v>4Q09</v>
      </c>
      <c r="N170" s="296" t="str">
        <f t="shared" si="175"/>
        <v>1Q10</v>
      </c>
      <c r="O170" s="295" t="str">
        <f t="shared" si="175"/>
        <v>2Q10</v>
      </c>
      <c r="P170" s="295" t="str">
        <f t="shared" si="175"/>
        <v>3Q10</v>
      </c>
      <c r="Q170" s="295" t="str">
        <f t="shared" si="175"/>
        <v>4Q10</v>
      </c>
      <c r="R170" s="296" t="str">
        <f t="shared" si="175"/>
        <v>1Q11</v>
      </c>
      <c r="S170" s="295" t="str">
        <f t="shared" si="175"/>
        <v>2Q11</v>
      </c>
      <c r="T170" s="295" t="str">
        <f t="shared" si="175"/>
        <v>3Q11</v>
      </c>
      <c r="U170" s="295" t="str">
        <f t="shared" si="175"/>
        <v>4Q11</v>
      </c>
      <c r="V170" s="296" t="str">
        <f t="shared" si="175"/>
        <v>1Q12</v>
      </c>
      <c r="W170" s="295" t="str">
        <f t="shared" si="175"/>
        <v>2Q12</v>
      </c>
      <c r="X170" s="295" t="str">
        <f t="shared" si="175"/>
        <v>3Q12</v>
      </c>
      <c r="Y170" s="295" t="str">
        <f t="shared" si="175"/>
        <v>4Q12</v>
      </c>
      <c r="Z170" s="296" t="str">
        <f t="shared" si="175"/>
        <v>1Q13</v>
      </c>
      <c r="AA170" s="295" t="str">
        <f t="shared" si="175"/>
        <v>2Q13</v>
      </c>
      <c r="AB170" s="295" t="str">
        <f t="shared" si="175"/>
        <v>3Q13</v>
      </c>
      <c r="AC170" s="295" t="str">
        <f t="shared" si="175"/>
        <v>4Q13</v>
      </c>
      <c r="AD170" s="296" t="str">
        <f t="shared" si="175"/>
        <v>1Q14</v>
      </c>
      <c r="AE170" s="295" t="str">
        <f t="shared" si="175"/>
        <v>2Q14</v>
      </c>
      <c r="AF170" s="295" t="str">
        <f t="shared" si="175"/>
        <v>3Q14</v>
      </c>
      <c r="AG170" s="295" t="str">
        <f t="shared" ref="AG170:AW170" si="176">AG29</f>
        <v>4Q14</v>
      </c>
      <c r="AH170" s="296" t="str">
        <f t="shared" si="176"/>
        <v>1Q15</v>
      </c>
      <c r="AI170" s="295" t="str">
        <f t="shared" si="176"/>
        <v>2Q15</v>
      </c>
      <c r="AJ170" s="295" t="str">
        <f t="shared" si="176"/>
        <v>3Q15</v>
      </c>
      <c r="AK170" s="295" t="str">
        <f t="shared" si="176"/>
        <v>4Q15</v>
      </c>
      <c r="AL170" s="296" t="str">
        <f t="shared" si="176"/>
        <v>1Q16</v>
      </c>
      <c r="AM170" s="295" t="str">
        <f t="shared" si="176"/>
        <v>2Q16</v>
      </c>
      <c r="AN170" s="295" t="str">
        <f t="shared" si="176"/>
        <v>3Q16</v>
      </c>
      <c r="AO170" s="295" t="str">
        <f t="shared" si="176"/>
        <v>4Q16</v>
      </c>
      <c r="AP170" s="296" t="str">
        <f t="shared" si="176"/>
        <v>1Q17</v>
      </c>
      <c r="AQ170" s="295" t="str">
        <f t="shared" si="176"/>
        <v>2Q17</v>
      </c>
      <c r="AR170" s="295" t="str">
        <f t="shared" si="176"/>
        <v>3Q17</v>
      </c>
      <c r="AS170" s="295" t="str">
        <f t="shared" si="176"/>
        <v>4Q17</v>
      </c>
      <c r="AT170" s="296" t="str">
        <f t="shared" si="176"/>
        <v>1Q18E</v>
      </c>
      <c r="AU170" s="295" t="str">
        <f t="shared" si="176"/>
        <v>2Q18E</v>
      </c>
      <c r="AV170" s="295" t="str">
        <f t="shared" si="176"/>
        <v>3Q18E</v>
      </c>
      <c r="AW170" s="295" t="str">
        <f t="shared" si="176"/>
        <v>4Q18E</v>
      </c>
    </row>
    <row r="171" spans="1:49" x14ac:dyDescent="0.2">
      <c r="A171" s="338" t="str">
        <f>A46</f>
        <v>Global Technology and Value-Added Services revenues</v>
      </c>
      <c r="B171" s="1079"/>
      <c r="C171" s="1080"/>
      <c r="D171" s="1080"/>
      <c r="E171" s="1080"/>
      <c r="F171" s="1081">
        <f t="shared" ref="F171:AF171" si="177">F46</f>
        <v>0.27899999999999997</v>
      </c>
      <c r="G171" s="1080">
        <f t="shared" si="177"/>
        <v>0.27299999999999996</v>
      </c>
      <c r="H171" s="1080">
        <f t="shared" si="177"/>
        <v>0.26799999999999996</v>
      </c>
      <c r="I171" s="1080">
        <f t="shared" si="177"/>
        <v>0.26400000000000001</v>
      </c>
      <c r="J171" s="1081">
        <f t="shared" si="177"/>
        <v>0.18999999999999997</v>
      </c>
      <c r="K171" s="1080">
        <f t="shared" si="177"/>
        <v>9.0999999999999956E-2</v>
      </c>
      <c r="L171" s="1080">
        <f t="shared" si="177"/>
        <v>0.15899999999999997</v>
      </c>
      <c r="M171" s="1080">
        <f t="shared" si="177"/>
        <v>0.17299999999999999</v>
      </c>
      <c r="N171" s="1081">
        <f t="shared" si="177"/>
        <v>0.13400000000000001</v>
      </c>
      <c r="O171" s="1080">
        <f t="shared" si="177"/>
        <v>0.15300000000000002</v>
      </c>
      <c r="P171" s="1080">
        <f t="shared" si="177"/>
        <v>0.15299999999999997</v>
      </c>
      <c r="Q171" s="1080">
        <f t="shared" si="177"/>
        <v>0.23899999999999999</v>
      </c>
      <c r="R171" s="1081">
        <f t="shared" si="177"/>
        <v>0.184</v>
      </c>
      <c r="S171" s="1080">
        <f t="shared" si="177"/>
        <v>0.20600000000000002</v>
      </c>
      <c r="T171" s="1080">
        <f t="shared" si="177"/>
        <v>0.21999999999999997</v>
      </c>
      <c r="U171" s="1080">
        <f t="shared" si="177"/>
        <v>0.19900000000000001</v>
      </c>
      <c r="V171" s="1081">
        <f t="shared" si="177"/>
        <v>0.22800000000000001</v>
      </c>
      <c r="W171" s="1080">
        <f t="shared" si="177"/>
        <v>0.21199999999999999</v>
      </c>
      <c r="X171" s="1080">
        <f t="shared" si="177"/>
        <v>0.22499999999999998</v>
      </c>
      <c r="Y171" s="1080">
        <f t="shared" si="177"/>
        <v>0.15900000000000003</v>
      </c>
      <c r="Z171" s="1081">
        <f t="shared" si="177"/>
        <v>0.20700000000000002</v>
      </c>
      <c r="AA171" s="1080">
        <f t="shared" si="177"/>
        <v>0.182</v>
      </c>
      <c r="AB171" s="1080">
        <f t="shared" si="177"/>
        <v>0.19699999999999998</v>
      </c>
      <c r="AC171" s="1080">
        <f t="shared" si="177"/>
        <v>0.221</v>
      </c>
      <c r="AD171" s="1081">
        <f t="shared" si="177"/>
        <v>0.17899999999999999</v>
      </c>
      <c r="AE171" s="1080">
        <f t="shared" si="177"/>
        <v>0.189</v>
      </c>
      <c r="AF171" s="1080">
        <f t="shared" si="177"/>
        <v>0.15</v>
      </c>
      <c r="AG171" s="1080">
        <f t="shared" ref="AG171:AW171" si="178">AG46</f>
        <v>0.10099999999999999</v>
      </c>
      <c r="AH171" s="1081">
        <f t="shared" si="178"/>
        <v>0.14099999999999999</v>
      </c>
      <c r="AI171" s="1080">
        <f t="shared" si="178"/>
        <v>0.122</v>
      </c>
      <c r="AJ171" s="1080">
        <f t="shared" si="178"/>
        <v>0.11700000000000001</v>
      </c>
      <c r="AK171" s="1080">
        <f t="shared" si="178"/>
        <v>5.4999999999999993E-2</v>
      </c>
      <c r="AL171" s="1081">
        <f t="shared" si="178"/>
        <v>0.15400000000000003</v>
      </c>
      <c r="AM171" s="1080">
        <f t="shared" si="178"/>
        <v>0.10999999999999999</v>
      </c>
      <c r="AN171" s="1080">
        <f t="shared" si="178"/>
        <v>0.128</v>
      </c>
      <c r="AO171" s="1080">
        <f t="shared" si="178"/>
        <v>0.1250015668468008</v>
      </c>
      <c r="AP171" s="1081">
        <f t="shared" si="178"/>
        <v>0.13022659216558125</v>
      </c>
      <c r="AQ171" s="1080">
        <f t="shared" si="178"/>
        <v>0.10299999999999998</v>
      </c>
      <c r="AR171" s="1080">
        <f t="shared" si="178"/>
        <v>0.106</v>
      </c>
      <c r="AS171" s="1080">
        <f t="shared" si="178"/>
        <v>0.11743855616309715</v>
      </c>
      <c r="AT171" s="1081">
        <f t="shared" si="178"/>
        <v>0.11630304193673213</v>
      </c>
      <c r="AU171" s="1080">
        <f t="shared" si="178"/>
        <v>0.11528840076290134</v>
      </c>
      <c r="AV171" s="1080">
        <f t="shared" si="178"/>
        <v>0.11158698124977071</v>
      </c>
      <c r="AW171" s="1080">
        <f t="shared" si="178"/>
        <v>0.11150986589473622</v>
      </c>
    </row>
    <row r="172" spans="1:49" x14ac:dyDescent="0.2">
      <c r="A172" s="375" t="str">
        <f>A47</f>
        <v>North America</v>
      </c>
      <c r="B172" s="1136"/>
      <c r="C172" s="1087"/>
      <c r="D172" s="1087"/>
      <c r="E172" s="1087"/>
      <c r="F172" s="1086" t="str">
        <f t="shared" ref="F172:AF172" si="179">F47</f>
        <v>NM</v>
      </c>
      <c r="G172" s="1087" t="str">
        <f t="shared" si="179"/>
        <v>NM</v>
      </c>
      <c r="H172" s="1087" t="str">
        <f t="shared" si="179"/>
        <v>NM</v>
      </c>
      <c r="I172" s="1087" t="str">
        <f t="shared" si="179"/>
        <v>NM</v>
      </c>
      <c r="J172" s="1086" t="str">
        <f t="shared" si="179"/>
        <v>NM</v>
      </c>
      <c r="K172" s="1087" t="str">
        <f t="shared" si="179"/>
        <v>NM</v>
      </c>
      <c r="L172" s="1087" t="str">
        <f t="shared" si="179"/>
        <v>NM</v>
      </c>
      <c r="M172" s="1087" t="str">
        <f t="shared" si="179"/>
        <v>NM</v>
      </c>
      <c r="N172" s="1086" t="str">
        <f t="shared" si="179"/>
        <v>NM</v>
      </c>
      <c r="O172" s="1087" t="str">
        <f t="shared" si="179"/>
        <v>NM</v>
      </c>
      <c r="P172" s="1087" t="str">
        <f t="shared" si="179"/>
        <v>NM</v>
      </c>
      <c r="Q172" s="1087" t="str">
        <f t="shared" si="179"/>
        <v>NM</v>
      </c>
      <c r="R172" s="1086" t="str">
        <f t="shared" si="179"/>
        <v>NM</v>
      </c>
      <c r="S172" s="1087" t="str">
        <f t="shared" si="179"/>
        <v>NM</v>
      </c>
      <c r="T172" s="1087" t="str">
        <f t="shared" si="179"/>
        <v>NM</v>
      </c>
      <c r="U172" s="1087" t="str">
        <f t="shared" si="179"/>
        <v>NM</v>
      </c>
      <c r="V172" s="1086" t="str">
        <f t="shared" si="179"/>
        <v>NM</v>
      </c>
      <c r="W172" s="1087" t="str">
        <f t="shared" si="179"/>
        <v>NM</v>
      </c>
      <c r="X172" s="1087" t="str">
        <f t="shared" si="179"/>
        <v>NM</v>
      </c>
      <c r="Y172" s="1087" t="str">
        <f t="shared" si="179"/>
        <v>NM</v>
      </c>
      <c r="Z172" s="1086">
        <f t="shared" si="179"/>
        <v>0.21299999999999997</v>
      </c>
      <c r="AA172" s="1087">
        <f t="shared" si="179"/>
        <v>0.17099999999999999</v>
      </c>
      <c r="AB172" s="1087">
        <f t="shared" si="179"/>
        <v>0.19600000000000001</v>
      </c>
      <c r="AC172" s="1087">
        <f t="shared" si="179"/>
        <v>0.22399999999999998</v>
      </c>
      <c r="AD172" s="1086">
        <f t="shared" si="179"/>
        <v>0.16199999999999998</v>
      </c>
      <c r="AE172" s="1087">
        <f t="shared" si="179"/>
        <v>0.16599999999999998</v>
      </c>
      <c r="AF172" s="1087">
        <f t="shared" si="179"/>
        <v>0.127</v>
      </c>
      <c r="AG172" s="1087">
        <f t="shared" ref="AG172:AW172" si="180">AG47</f>
        <v>5.9999999999999991E-2</v>
      </c>
      <c r="AH172" s="1086">
        <f t="shared" si="180"/>
        <v>0.10699999999999998</v>
      </c>
      <c r="AI172" s="1087">
        <f t="shared" si="180"/>
        <v>0.111</v>
      </c>
      <c r="AJ172" s="1087">
        <f t="shared" si="180"/>
        <v>9.9000000000000005E-2</v>
      </c>
      <c r="AK172" s="1087">
        <f t="shared" si="180"/>
        <v>3.5000000000000003E-2</v>
      </c>
      <c r="AL172" s="1086">
        <f t="shared" si="180"/>
        <v>0.13899999999999998</v>
      </c>
      <c r="AM172" s="1087">
        <f t="shared" si="180"/>
        <v>0.11099999999999999</v>
      </c>
      <c r="AN172" s="1087">
        <f t="shared" si="180"/>
        <v>0.11499999999999999</v>
      </c>
      <c r="AO172" s="1087">
        <f t="shared" si="180"/>
        <v>0.11599999999999999</v>
      </c>
      <c r="AP172" s="1086">
        <f t="shared" si="180"/>
        <v>0.11399999999999999</v>
      </c>
      <c r="AQ172" s="1087">
        <f t="shared" si="180"/>
        <v>8.7999999999999995E-2</v>
      </c>
      <c r="AR172" s="1087">
        <f t="shared" si="180"/>
        <v>0.09</v>
      </c>
      <c r="AS172" s="1087">
        <f t="shared" si="180"/>
        <v>9.1999999999999985E-2</v>
      </c>
      <c r="AT172" s="1086">
        <f t="shared" si="180"/>
        <v>8.9963415044973224E-2</v>
      </c>
      <c r="AU172" s="1087">
        <f t="shared" si="180"/>
        <v>8.8727639214991383E-2</v>
      </c>
      <c r="AV172" s="1087">
        <f t="shared" si="180"/>
        <v>8.4702106118089468E-2</v>
      </c>
      <c r="AW172" s="1087">
        <f t="shared" si="180"/>
        <v>8.2951946052142553E-2</v>
      </c>
    </row>
    <row r="173" spans="1:49" x14ac:dyDescent="0.2">
      <c r="A173" s="1141" t="str">
        <f>A48</f>
        <v>International</v>
      </c>
      <c r="B173" s="1142"/>
      <c r="C173" s="1143"/>
      <c r="D173" s="1143"/>
      <c r="E173" s="1143"/>
      <c r="F173" s="1144" t="str">
        <f t="shared" ref="F173:AF173" si="181">F48</f>
        <v>NM</v>
      </c>
      <c r="G173" s="1143" t="str">
        <f t="shared" si="181"/>
        <v>NM</v>
      </c>
      <c r="H173" s="1143" t="str">
        <f t="shared" si="181"/>
        <v>NM</v>
      </c>
      <c r="I173" s="1143" t="str">
        <f t="shared" si="181"/>
        <v>NM</v>
      </c>
      <c r="J173" s="1144" t="str">
        <f t="shared" si="181"/>
        <v>NM</v>
      </c>
      <c r="K173" s="1143" t="str">
        <f t="shared" si="181"/>
        <v>NM</v>
      </c>
      <c r="L173" s="1143" t="str">
        <f t="shared" si="181"/>
        <v>NM</v>
      </c>
      <c r="M173" s="1143" t="str">
        <f t="shared" si="181"/>
        <v>NM</v>
      </c>
      <c r="N173" s="1144" t="str">
        <f t="shared" si="181"/>
        <v>NM</v>
      </c>
      <c r="O173" s="1143" t="str">
        <f t="shared" si="181"/>
        <v>NM</v>
      </c>
      <c r="P173" s="1143" t="str">
        <f t="shared" si="181"/>
        <v>NM</v>
      </c>
      <c r="Q173" s="1143" t="str">
        <f t="shared" si="181"/>
        <v>NM</v>
      </c>
      <c r="R173" s="1144" t="str">
        <f t="shared" si="181"/>
        <v>NM</v>
      </c>
      <c r="S173" s="1143" t="str">
        <f t="shared" si="181"/>
        <v>NM</v>
      </c>
      <c r="T173" s="1143" t="str">
        <f t="shared" si="181"/>
        <v>NM</v>
      </c>
      <c r="U173" s="1143" t="str">
        <f t="shared" si="181"/>
        <v>NM</v>
      </c>
      <c r="V173" s="1144" t="str">
        <f t="shared" si="181"/>
        <v>NM</v>
      </c>
      <c r="W173" s="1143" t="str">
        <f t="shared" si="181"/>
        <v>NM</v>
      </c>
      <c r="X173" s="1143" t="str">
        <f t="shared" si="181"/>
        <v>NM</v>
      </c>
      <c r="Y173" s="1143" t="str">
        <f t="shared" si="181"/>
        <v>NM</v>
      </c>
      <c r="Z173" s="1144">
        <f t="shared" si="181"/>
        <v>0.183</v>
      </c>
      <c r="AA173" s="1143">
        <f t="shared" si="181"/>
        <v>0.246</v>
      </c>
      <c r="AB173" s="1143">
        <f t="shared" si="181"/>
        <v>0.20900000000000002</v>
      </c>
      <c r="AC173" s="1143">
        <f t="shared" si="181"/>
        <v>0.20499999999999999</v>
      </c>
      <c r="AD173" s="1144">
        <f t="shared" si="181"/>
        <v>0.28499999999999998</v>
      </c>
      <c r="AE173" s="1143">
        <f t="shared" si="181"/>
        <v>0.32799999999999996</v>
      </c>
      <c r="AF173" s="1143">
        <f t="shared" si="181"/>
        <v>0.29599999999999999</v>
      </c>
      <c r="AG173" s="1143">
        <f t="shared" ref="AG173:AW173" si="182">AG48</f>
        <v>0.36499999999999999</v>
      </c>
      <c r="AH173" s="1144">
        <f t="shared" si="182"/>
        <v>0.31499999999999995</v>
      </c>
      <c r="AI173" s="1143">
        <f t="shared" si="182"/>
        <v>0.18299999999999997</v>
      </c>
      <c r="AJ173" s="1143">
        <f t="shared" si="182"/>
        <v>0.21799999999999997</v>
      </c>
      <c r="AK173" s="1143">
        <f t="shared" si="182"/>
        <v>0.17699999999999999</v>
      </c>
      <c r="AL173" s="1144">
        <f t="shared" si="182"/>
        <v>0.22399999999999998</v>
      </c>
      <c r="AM173" s="1143">
        <f t="shared" si="182"/>
        <v>0.10299999999999998</v>
      </c>
      <c r="AN173" s="1143">
        <f t="shared" si="182"/>
        <v>0.192</v>
      </c>
      <c r="AO173" s="1143">
        <f t="shared" si="182"/>
        <v>0.16575164451604249</v>
      </c>
      <c r="AP173" s="1144">
        <f t="shared" si="182"/>
        <v>0.22299999999999998</v>
      </c>
      <c r="AQ173" s="1143">
        <f t="shared" si="182"/>
        <v>0.188</v>
      </c>
      <c r="AR173" s="1143">
        <f t="shared" si="182"/>
        <v>0.19500000000000001</v>
      </c>
      <c r="AS173" s="1143">
        <f t="shared" si="182"/>
        <v>0.25275164451604248</v>
      </c>
      <c r="AT173" s="1144">
        <f t="shared" si="182"/>
        <v>0.26</v>
      </c>
      <c r="AU173" s="1143">
        <f t="shared" si="182"/>
        <v>0.25471377665698147</v>
      </c>
      <c r="AV173" s="1143">
        <f t="shared" si="182"/>
        <v>0.2479152684125242</v>
      </c>
      <c r="AW173" s="1143">
        <f t="shared" si="182"/>
        <v>0.25817115441104477</v>
      </c>
    </row>
    <row r="177" spans="1:63" x14ac:dyDescent="0.2">
      <c r="B177" s="741" t="str">
        <f t="shared" ref="B177:AS177" si="183">B164</f>
        <v>1Q07</v>
      </c>
      <c r="C177" s="295" t="str">
        <f t="shared" si="183"/>
        <v>2Q07</v>
      </c>
      <c r="D177" s="295" t="str">
        <f t="shared" si="183"/>
        <v>3Q07</v>
      </c>
      <c r="E177" s="295" t="str">
        <f t="shared" si="183"/>
        <v>4Q07</v>
      </c>
      <c r="F177" s="296" t="str">
        <f t="shared" si="183"/>
        <v>1Q08</v>
      </c>
      <c r="G177" s="295" t="str">
        <f t="shared" si="183"/>
        <v>2Q08</v>
      </c>
      <c r="H177" s="295" t="str">
        <f t="shared" si="183"/>
        <v>3Q08</v>
      </c>
      <c r="I177" s="295" t="str">
        <f t="shared" si="183"/>
        <v>4Q08</v>
      </c>
      <c r="J177" s="296" t="str">
        <f t="shared" si="183"/>
        <v>1Q09</v>
      </c>
      <c r="K177" s="295" t="str">
        <f t="shared" si="183"/>
        <v>2Q09</v>
      </c>
      <c r="L177" s="295" t="str">
        <f t="shared" si="183"/>
        <v>3Q09</v>
      </c>
      <c r="M177" s="295" t="str">
        <f t="shared" si="183"/>
        <v>4Q09</v>
      </c>
      <c r="N177" s="296" t="str">
        <f t="shared" si="183"/>
        <v>1Q10</v>
      </c>
      <c r="O177" s="295" t="str">
        <f t="shared" si="183"/>
        <v>2Q10</v>
      </c>
      <c r="P177" s="295" t="str">
        <f t="shared" si="183"/>
        <v>3Q10</v>
      </c>
      <c r="Q177" s="295" t="str">
        <f t="shared" si="183"/>
        <v>4Q10</v>
      </c>
      <c r="R177" s="296" t="str">
        <f t="shared" si="183"/>
        <v>1Q11</v>
      </c>
      <c r="S177" s="295" t="str">
        <f t="shared" si="183"/>
        <v>2Q11</v>
      </c>
      <c r="T177" s="295" t="str">
        <f t="shared" si="183"/>
        <v>3Q11</v>
      </c>
      <c r="U177" s="295" t="str">
        <f t="shared" si="183"/>
        <v>4Q11</v>
      </c>
      <c r="V177" s="296" t="str">
        <f t="shared" si="183"/>
        <v>1Q12</v>
      </c>
      <c r="W177" s="295" t="str">
        <f t="shared" si="183"/>
        <v>2Q12</v>
      </c>
      <c r="X177" s="295" t="str">
        <f t="shared" si="183"/>
        <v>3Q12</v>
      </c>
      <c r="Y177" s="295" t="str">
        <f t="shared" si="183"/>
        <v>4Q12</v>
      </c>
      <c r="Z177" s="296" t="str">
        <f t="shared" si="183"/>
        <v>1Q13</v>
      </c>
      <c r="AA177" s="295" t="str">
        <f t="shared" si="183"/>
        <v>2Q13</v>
      </c>
      <c r="AB177" s="295" t="str">
        <f t="shared" si="183"/>
        <v>3Q13</v>
      </c>
      <c r="AC177" s="295" t="str">
        <f t="shared" si="183"/>
        <v>4Q13</v>
      </c>
      <c r="AD177" s="296" t="str">
        <f t="shared" si="183"/>
        <v>1Q14</v>
      </c>
      <c r="AE177" s="295" t="str">
        <f t="shared" si="183"/>
        <v>2Q14</v>
      </c>
      <c r="AF177" s="295" t="str">
        <f t="shared" si="183"/>
        <v>3Q14</v>
      </c>
      <c r="AG177" s="295" t="str">
        <f t="shared" si="183"/>
        <v>4Q14</v>
      </c>
      <c r="AH177" s="296" t="str">
        <f t="shared" si="183"/>
        <v>1Q15</v>
      </c>
      <c r="AI177" s="295" t="str">
        <f t="shared" si="183"/>
        <v>2Q15</v>
      </c>
      <c r="AJ177" s="295" t="str">
        <f t="shared" si="183"/>
        <v>3Q15</v>
      </c>
      <c r="AK177" s="295" t="str">
        <f t="shared" si="183"/>
        <v>4Q15</v>
      </c>
      <c r="AL177" s="296" t="str">
        <f t="shared" si="183"/>
        <v>1Q16</v>
      </c>
      <c r="AM177" s="295" t="str">
        <f t="shared" si="183"/>
        <v>2Q16</v>
      </c>
      <c r="AN177" s="295" t="str">
        <f t="shared" si="183"/>
        <v>3Q16</v>
      </c>
      <c r="AO177" s="295" t="str">
        <f t="shared" si="183"/>
        <v>4Q16</v>
      </c>
      <c r="AP177" s="296" t="str">
        <f t="shared" si="183"/>
        <v>1Q17</v>
      </c>
      <c r="AQ177" s="295" t="str">
        <f t="shared" si="183"/>
        <v>2Q17</v>
      </c>
      <c r="AR177" s="295" t="str">
        <f t="shared" si="183"/>
        <v>3Q17</v>
      </c>
      <c r="AS177" s="295" t="str">
        <f t="shared" si="183"/>
        <v>4Q17</v>
      </c>
      <c r="AT177" s="296" t="s">
        <v>432</v>
      </c>
      <c r="AU177" s="295" t="s">
        <v>420</v>
      </c>
      <c r="AV177" s="295" t="s">
        <v>421</v>
      </c>
      <c r="AW177" s="295" t="s">
        <v>422</v>
      </c>
      <c r="AX177" s="296" t="s">
        <v>580</v>
      </c>
      <c r="AY177" s="295" t="s">
        <v>581</v>
      </c>
      <c r="AZ177" s="295" t="s">
        <v>582</v>
      </c>
      <c r="BA177" s="295" t="s">
        <v>583</v>
      </c>
      <c r="BB177" s="296" t="s">
        <v>584</v>
      </c>
      <c r="BC177" s="295" t="s">
        <v>585</v>
      </c>
      <c r="BD177" s="295" t="s">
        <v>586</v>
      </c>
      <c r="BE177" s="295" t="s">
        <v>587</v>
      </c>
    </row>
    <row r="178" spans="1:63" x14ac:dyDescent="0.2">
      <c r="A178" s="287" t="s">
        <v>627</v>
      </c>
      <c r="B178" s="281">
        <f>'P&amp;L'!C55</f>
        <v>0</v>
      </c>
      <c r="C178" s="281">
        <f>'P&amp;L'!D55</f>
        <v>0</v>
      </c>
      <c r="D178" s="281">
        <f>'P&amp;L'!E55</f>
        <v>0</v>
      </c>
      <c r="E178" s="281">
        <f>'P&amp;L'!F55</f>
        <v>0</v>
      </c>
      <c r="F178" s="281">
        <f>'P&amp;L'!I55</f>
        <v>0.15672603464413326</v>
      </c>
      <c r="G178" s="281">
        <f>'P&amp;L'!J55</f>
        <v>0.25469995156958669</v>
      </c>
      <c r="H178" s="281">
        <f>'P&amp;L'!K55</f>
        <v>0.19352637021716501</v>
      </c>
      <c r="I178" s="281">
        <f>'P&amp;L'!L55</f>
        <v>9.3079437260032982E-3</v>
      </c>
      <c r="J178" s="281">
        <f>'P&amp;L'!O55</f>
        <v>0.10971562591615003</v>
      </c>
      <c r="K178" s="281">
        <f>'P&amp;L'!P55</f>
        <v>6.9987367534561917E-2</v>
      </c>
      <c r="L178" s="281">
        <f>'P&amp;L'!Q55</f>
        <v>-1.3247959519642305E-2</v>
      </c>
      <c r="M178" s="281">
        <f>'P&amp;L'!R55</f>
        <v>6.8629981618389291E-2</v>
      </c>
      <c r="N178" s="281">
        <f>'P&amp;L'!U55</f>
        <v>0.22627891494330798</v>
      </c>
      <c r="O178" s="281">
        <f>'P&amp;L'!V55</f>
        <v>0.13147495285726096</v>
      </c>
      <c r="P178" s="281">
        <f>'P&amp;L'!W55</f>
        <v>0.20619923607147417</v>
      </c>
      <c r="Q178" s="281">
        <f>'P&amp;L'!X55</f>
        <v>3.9372268864500404E-2</v>
      </c>
      <c r="R178" s="281">
        <f>'P&amp;L'!AA55</f>
        <v>7.1145427596428723E-2</v>
      </c>
      <c r="S178" s="281">
        <f>'P&amp;L'!AB55</f>
        <v>9.5713229859570426E-2</v>
      </c>
      <c r="T178" s="281">
        <f>'P&amp;L'!AC55</f>
        <v>4.2899365208785456E-2</v>
      </c>
      <c r="U178" s="281">
        <f>'P&amp;L'!AD55</f>
        <v>0.15053028915900035</v>
      </c>
      <c r="V178" s="281">
        <f>'P&amp;L'!AG55</f>
        <v>0.16755430410297545</v>
      </c>
      <c r="W178" s="281">
        <f>'P&amp;L'!AH55</f>
        <v>4.5279899480873409E-2</v>
      </c>
      <c r="X178" s="281">
        <f>'P&amp;L'!AI55</f>
        <v>4.4401477024450076E-2</v>
      </c>
      <c r="Y178" s="281">
        <f>'P&amp;L'!AJ55</f>
        <v>0.10998757444621732</v>
      </c>
      <c r="Z178" s="281">
        <f>'P&amp;L'!AM55</f>
        <v>5.858317198040508E-2</v>
      </c>
      <c r="AA178" s="281">
        <f>'P&amp;L'!AN55</f>
        <v>0.11389834368791862</v>
      </c>
      <c r="AB178" s="281">
        <f>'P&amp;L'!AO55</f>
        <v>7.2549491384957143E-2</v>
      </c>
      <c r="AC178" s="281">
        <f>'P&amp;L'!AP55</f>
        <v>3.0555524919761767E-2</v>
      </c>
      <c r="AD178" s="281">
        <f>'P&amp;L'!AS55</f>
        <v>2.3686934107493895E-2</v>
      </c>
      <c r="AE178" s="281">
        <f>'P&amp;L'!AT55</f>
        <v>2.7143384545480043E-2</v>
      </c>
      <c r="AF178" s="281">
        <f>'P&amp;L'!AU55</f>
        <v>8.4815892620123678E-2</v>
      </c>
      <c r="AG178" s="281">
        <f>'P&amp;L'!AV55</f>
        <v>8.5930769518890004E-2</v>
      </c>
      <c r="AH178" s="281">
        <f>'P&amp;L'!AY55</f>
        <v>6.9696314571304985E-2</v>
      </c>
      <c r="AI178" s="281">
        <f>'P&amp;L'!AZ55</f>
        <v>5.2022737829290122E-2</v>
      </c>
      <c r="AJ178" s="281">
        <f>'P&amp;L'!BA55</f>
        <v>0.13344974955195332</v>
      </c>
      <c r="AK178" s="281">
        <f>'P&amp;L'!BB55</f>
        <v>5.0063564959436757E-2</v>
      </c>
      <c r="AL178" s="281">
        <f>'P&amp;L'!BE55</f>
        <v>7.1468058420366853E-2</v>
      </c>
      <c r="AM178" s="281">
        <f>'P&amp;L'!BF55</f>
        <v>5.6808864032968032E-2</v>
      </c>
      <c r="AN178" s="281">
        <f>'P&amp;L'!BG55</f>
        <v>4.4450638556658317E-2</v>
      </c>
      <c r="AO178" s="281">
        <f>'P&amp;L'!BH55</f>
        <v>7.9586301395584647E-2</v>
      </c>
      <c r="AP178" s="281">
        <f>'P&amp;L'!BK55</f>
        <v>7.6093469143199588E-2</v>
      </c>
      <c r="AQ178" s="281">
        <f>'P&amp;L'!BL55</f>
        <v>4.7756888490997573E-2</v>
      </c>
      <c r="AR178" s="281">
        <f>'P&amp;L'!BM55</f>
        <v>3.6183045353751941E-2</v>
      </c>
      <c r="AS178" s="281">
        <f>'P&amp;L'!BN55</f>
        <v>4.8373916596396338E-2</v>
      </c>
      <c r="AT178" s="281">
        <f>'P&amp;L'!BQ55</f>
        <v>6.783952450829478E-2</v>
      </c>
      <c r="AU178" s="281">
        <f>'P&amp;L'!BR55</f>
        <v>0.11018832002061441</v>
      </c>
      <c r="AV178" s="281">
        <f>'P&amp;L'!BS55</f>
        <v>0.10354400145402098</v>
      </c>
      <c r="AW178" s="281">
        <f>'P&amp;L'!BT55</f>
        <v>8.029858648385324E-2</v>
      </c>
      <c r="AX178" s="281">
        <f>'P&amp;L'!BW55</f>
        <v>2.401494770807755E-2</v>
      </c>
      <c r="AY178" s="281">
        <f>'P&amp;L'!BX55</f>
        <v>-9.7661223670946207E-3</v>
      </c>
      <c r="AZ178" s="281">
        <f>'P&amp;L'!BY55</f>
        <v>-1.0559230981781464E-2</v>
      </c>
      <c r="BA178" s="281">
        <f>'P&amp;L'!BZ55</f>
        <v>-7.9034699237906514E-3</v>
      </c>
      <c r="BB178" s="281">
        <f>'P&amp;L'!CC55</f>
        <v>-1.7044507083831206E-2</v>
      </c>
      <c r="BC178" s="281">
        <f>'P&amp;L'!CD55</f>
        <v>-1.5052976376335292E-2</v>
      </c>
      <c r="BD178" s="281">
        <f>'P&amp;L'!CE55</f>
        <v>-1.6070727095679582E-2</v>
      </c>
      <c r="BE178" s="281">
        <f>'P&amp;L'!CF55</f>
        <v>-1.2844594006779397E-2</v>
      </c>
    </row>
    <row r="179" spans="1:63" x14ac:dyDescent="0.2">
      <c r="A179" s="287" t="s">
        <v>628</v>
      </c>
      <c r="B179" s="281">
        <f>'P&amp;L'!C41</f>
        <v>5.6270074374412234E-2</v>
      </c>
      <c r="C179" s="281">
        <f>'P&amp;L'!D41</f>
        <v>6.5501720598954469E-2</v>
      </c>
      <c r="D179" s="281">
        <f>'P&amp;L'!E41</f>
        <v>6.4227952775517766E-2</v>
      </c>
      <c r="E179" s="281">
        <f>'P&amp;L'!F41</f>
        <v>7.4435151754485104E-2</v>
      </c>
      <c r="F179" s="281">
        <f>'P&amp;L'!I41</f>
        <v>5.6036462635458473E-2</v>
      </c>
      <c r="G179" s="281">
        <f>'P&amp;L'!J41</f>
        <v>6.9471268262627214E-2</v>
      </c>
      <c r="H179" s="281">
        <f>'P&amp;L'!K41</f>
        <v>7.0194239296829081E-2</v>
      </c>
      <c r="I179" s="281">
        <f>'P&amp;L'!L41</f>
        <v>8.1244884263612482E-2</v>
      </c>
      <c r="J179" s="281">
        <f>'P&amp;L'!O41</f>
        <v>6.3707933550021814E-2</v>
      </c>
      <c r="K179" s="281">
        <f>'P&amp;L'!P41</f>
        <v>7.5878698596645283E-2</v>
      </c>
      <c r="L179" s="281">
        <f>'P&amp;L'!Q41</f>
        <v>6.8628862991154241E-2</v>
      </c>
      <c r="M179" s="281">
        <f>'P&amp;L'!R41</f>
        <v>7.6490931822241565E-2</v>
      </c>
      <c r="N179" s="281">
        <f>'P&amp;L'!U41</f>
        <v>6.592247956325871E-2</v>
      </c>
      <c r="O179" s="281">
        <f>'P&amp;L'!V41</f>
        <v>7.4621999231102409E-2</v>
      </c>
      <c r="P179" s="281">
        <f>'P&amp;L'!W41</f>
        <v>7.2546713486216816E-2</v>
      </c>
      <c r="Q179" s="281">
        <f>'P&amp;L'!X41</f>
        <v>7.0172092067081637E-2</v>
      </c>
      <c r="R179" s="281">
        <f>'P&amp;L'!AA41</f>
        <v>6.381686459478339E-2</v>
      </c>
      <c r="S179" s="281">
        <f>'P&amp;L'!AB41</f>
        <v>7.0971632936582402E-2</v>
      </c>
      <c r="T179" s="281">
        <f>'P&amp;L'!AC41</f>
        <v>6.7841774348828307E-2</v>
      </c>
      <c r="U179" s="281">
        <f>'P&amp;L'!AD41</f>
        <v>6.9813105837750453E-2</v>
      </c>
      <c r="V179" s="281">
        <f>'P&amp;L'!AG41</f>
        <v>6.9140393679142376E-2</v>
      </c>
      <c r="W179" s="281">
        <f>'P&amp;L'!AH41</f>
        <v>7.1798976311997789E-2</v>
      </c>
      <c r="X179" s="281">
        <f>'P&amp;L'!AI41</f>
        <v>6.7063249812420872E-2</v>
      </c>
      <c r="Y179" s="281">
        <f>'P&amp;L'!AJ41</f>
        <v>7.5294443950810377E-2</v>
      </c>
      <c r="Z179" s="281">
        <f>'P&amp;L'!AM41</f>
        <v>6.6984200206582814E-2</v>
      </c>
      <c r="AA179" s="281">
        <f>'P&amp;L'!AN41</f>
        <v>7.3611616307315386E-2</v>
      </c>
      <c r="AB179" s="281">
        <f>'P&amp;L'!AO41</f>
        <v>6.8318435934943078E-2</v>
      </c>
      <c r="AC179" s="281">
        <f>'P&amp;L'!AP41</f>
        <v>7.3972933497469237E-2</v>
      </c>
      <c r="AD179" s="281">
        <f>'P&amp;L'!AS41</f>
        <v>6.4715107118505477E-2</v>
      </c>
      <c r="AE179" s="281">
        <f>'P&amp;L'!AT41</f>
        <v>6.9145669926581166E-2</v>
      </c>
      <c r="AF179" s="281">
        <f>'P&amp;L'!AU41</f>
        <v>6.6351364794153572E-2</v>
      </c>
      <c r="AG179" s="281">
        <f>'P&amp;L'!AV41</f>
        <v>7.5105399660115799E-2</v>
      </c>
      <c r="AH179" s="281">
        <f>'P&amp;L'!AY41</f>
        <v>6.8284566857413825E-2</v>
      </c>
      <c r="AI179" s="281">
        <f>'P&amp;L'!AZ41</f>
        <v>7.235787199732252E-2</v>
      </c>
      <c r="AJ179" s="281">
        <f>'P&amp;L'!BA41</f>
        <v>7.3466910662792081E-2</v>
      </c>
      <c r="AK179" s="281">
        <f>'P&amp;L'!BB41</f>
        <v>7.4748554676072179E-2</v>
      </c>
      <c r="AL179" s="281">
        <f>'P&amp;L'!BE41</f>
        <v>6.6441180763713109E-2</v>
      </c>
      <c r="AM179" s="281">
        <f>'P&amp;L'!BF41</f>
        <v>6.999161047541809E-2</v>
      </c>
      <c r="AN179" s="281">
        <f>'P&amp;L'!BG41</f>
        <v>7.1930315641635267E-2</v>
      </c>
      <c r="AO179" s="281">
        <f>'P&amp;L'!BH41</f>
        <v>7.3715753040596174E-2</v>
      </c>
      <c r="AP179" s="281">
        <f>'P&amp;L'!BK41</f>
        <v>6.6360400527139068E-2</v>
      </c>
      <c r="AQ179" s="281">
        <f>'P&amp;L'!BL41</f>
        <v>6.8855986910099851E-2</v>
      </c>
      <c r="AR179" s="281">
        <f>'P&amp;L'!BM41</f>
        <v>6.7555328347911184E-2</v>
      </c>
      <c r="AS179" s="281">
        <f>'P&amp;L'!BN41</f>
        <v>7.2690498707977669E-2</v>
      </c>
      <c r="AT179" s="281">
        <f>'P&amp;L'!BQ41</f>
        <v>6.7420512459383741E-2</v>
      </c>
      <c r="AU179" s="281">
        <f>'P&amp;L'!BR41</f>
        <v>7.1525185440989708E-2</v>
      </c>
      <c r="AV179" s="281">
        <f>'P&amp;L'!BS41</f>
        <v>7.0552099137801833E-2</v>
      </c>
      <c r="AW179" s="281">
        <f>'P&amp;L'!BT41</f>
        <v>7.5231796603533352E-2</v>
      </c>
      <c r="AX179" s="281">
        <f>'P&amp;L'!BW41</f>
        <v>6.5677054003398391E-2</v>
      </c>
      <c r="AY179" s="281">
        <f>'P&amp;L'!BX41</f>
        <v>6.7894329918428434E-2</v>
      </c>
      <c r="AZ179" s="281">
        <f>'P&amp;L'!BY41</f>
        <v>6.6910715962475484E-2</v>
      </c>
      <c r="BA179" s="281">
        <f>'P&amp;L'!BZ41</f>
        <v>7.1593127451818589E-2</v>
      </c>
      <c r="BB179" s="281">
        <f>'P&amp;L'!CC41</f>
        <v>6.2101446706333815E-2</v>
      </c>
      <c r="BC179" s="281">
        <f>'P&amp;L'!CD41</f>
        <v>6.430977017355427E-2</v>
      </c>
      <c r="BD179" s="281">
        <f>'P&amp;L'!CE41</f>
        <v>6.3315403942067333E-2</v>
      </c>
      <c r="BE179" s="281">
        <f>'P&amp;L'!CF41</f>
        <v>6.7995670881399767E-2</v>
      </c>
    </row>
    <row r="180" spans="1:63" x14ac:dyDescent="0.2">
      <c r="A180" s="287" t="s">
        <v>629</v>
      </c>
      <c r="F180" s="1249">
        <f>+F179-B179</f>
        <v>-2.3361173895376092E-4</v>
      </c>
      <c r="G180" s="1249">
        <f t="shared" ref="G180:BE180" si="184">+G179-C179</f>
        <v>3.9695476636727456E-3</v>
      </c>
      <c r="H180" s="1249">
        <f t="shared" si="184"/>
        <v>5.9662865213113148E-3</v>
      </c>
      <c r="I180" s="1249">
        <f t="shared" si="184"/>
        <v>6.809732509127378E-3</v>
      </c>
      <c r="J180" s="1249">
        <f t="shared" si="184"/>
        <v>7.6714709145633414E-3</v>
      </c>
      <c r="K180" s="1249">
        <f t="shared" si="184"/>
        <v>6.4074303340180688E-3</v>
      </c>
      <c r="L180" s="1249">
        <f t="shared" si="184"/>
        <v>-1.5653763056748399E-3</v>
      </c>
      <c r="M180" s="1249">
        <f t="shared" si="184"/>
        <v>-4.7539524413709178E-3</v>
      </c>
      <c r="N180" s="1249">
        <f t="shared" si="184"/>
        <v>2.2145460132368955E-3</v>
      </c>
      <c r="O180" s="1249">
        <f t="shared" si="184"/>
        <v>-1.2566993655428738E-3</v>
      </c>
      <c r="P180" s="1249">
        <f t="shared" si="184"/>
        <v>3.9178504950625748E-3</v>
      </c>
      <c r="Q180" s="1249">
        <f t="shared" si="184"/>
        <v>-6.3188397551599274E-3</v>
      </c>
      <c r="R180" s="1249">
        <f t="shared" si="184"/>
        <v>-2.1056149684753195E-3</v>
      </c>
      <c r="S180" s="1249">
        <f t="shared" si="184"/>
        <v>-3.6503662945200077E-3</v>
      </c>
      <c r="T180" s="1249">
        <f t="shared" si="184"/>
        <v>-4.7049391373885086E-3</v>
      </c>
      <c r="U180" s="1249">
        <f t="shared" si="184"/>
        <v>-3.5898622933118463E-4</v>
      </c>
      <c r="V180" s="1249">
        <f t="shared" si="184"/>
        <v>5.3235290843589855E-3</v>
      </c>
      <c r="W180" s="1249">
        <f t="shared" si="184"/>
        <v>8.2734337541538749E-4</v>
      </c>
      <c r="X180" s="1249">
        <f t="shared" si="184"/>
        <v>-7.7852453640743502E-4</v>
      </c>
      <c r="Y180" s="1249">
        <f t="shared" si="184"/>
        <v>5.4813381130599248E-3</v>
      </c>
      <c r="Z180" s="1249">
        <f t="shared" si="184"/>
        <v>-2.1561934725595616E-3</v>
      </c>
      <c r="AA180" s="1249">
        <f t="shared" si="184"/>
        <v>1.812639995317597E-3</v>
      </c>
      <c r="AB180" s="1249">
        <f t="shared" si="184"/>
        <v>1.2551861225222061E-3</v>
      </c>
      <c r="AC180" s="1249">
        <f t="shared" si="184"/>
        <v>-1.3215104533411404E-3</v>
      </c>
      <c r="AD180" s="1249">
        <f t="shared" si="184"/>
        <v>-2.2690930880773369E-3</v>
      </c>
      <c r="AE180" s="1249">
        <f t="shared" si="184"/>
        <v>-4.4659463807342203E-3</v>
      </c>
      <c r="AF180" s="1249">
        <f t="shared" si="184"/>
        <v>-1.9670711407895058E-3</v>
      </c>
      <c r="AG180" s="1249">
        <f t="shared" si="184"/>
        <v>1.1324661626465615E-3</v>
      </c>
      <c r="AH180" s="1249">
        <f t="shared" si="184"/>
        <v>3.5694597389083482E-3</v>
      </c>
      <c r="AI180" s="1249">
        <f t="shared" si="184"/>
        <v>3.2122020707413546E-3</v>
      </c>
      <c r="AJ180" s="1249">
        <f t="shared" si="184"/>
        <v>7.1155458686385092E-3</v>
      </c>
      <c r="AK180" s="1249">
        <f t="shared" si="184"/>
        <v>-3.5684498404361942E-4</v>
      </c>
      <c r="AL180" s="1249">
        <f t="shared" si="184"/>
        <v>-1.8433860937007163E-3</v>
      </c>
      <c r="AM180" s="1249">
        <f t="shared" si="184"/>
        <v>-2.3662615219044308E-3</v>
      </c>
      <c r="AN180" s="1249">
        <f t="shared" si="184"/>
        <v>-1.5365950211568141E-3</v>
      </c>
      <c r="AO180" s="1249">
        <f t="shared" si="184"/>
        <v>-1.032801635476005E-3</v>
      </c>
      <c r="AP180" s="1249">
        <f t="shared" si="184"/>
        <v>-8.0780236574040654E-5</v>
      </c>
      <c r="AQ180" s="1249">
        <f t="shared" si="184"/>
        <v>-1.1356235653182389E-3</v>
      </c>
      <c r="AR180" s="1249">
        <f t="shared" si="184"/>
        <v>-4.3749872937240836E-3</v>
      </c>
      <c r="AS180" s="1249">
        <f t="shared" si="184"/>
        <v>-1.0252543326185054E-3</v>
      </c>
      <c r="AT180" s="1249">
        <f t="shared" si="184"/>
        <v>1.0601119322446728E-3</v>
      </c>
      <c r="AU180" s="1249">
        <f t="shared" si="184"/>
        <v>2.6691985308898575E-3</v>
      </c>
      <c r="AV180" s="1249">
        <f t="shared" si="184"/>
        <v>2.9967707898906487E-3</v>
      </c>
      <c r="AW180" s="1249">
        <f t="shared" si="184"/>
        <v>2.5412978955556831E-3</v>
      </c>
      <c r="AX180" s="1249">
        <f t="shared" si="184"/>
        <v>-1.74345845598535E-3</v>
      </c>
      <c r="AY180" s="1249">
        <f t="shared" si="184"/>
        <v>-3.6308555225612743E-3</v>
      </c>
      <c r="AZ180" s="1249">
        <f t="shared" si="184"/>
        <v>-3.6413831753263487E-3</v>
      </c>
      <c r="BA180" s="1249">
        <f t="shared" si="184"/>
        <v>-3.6386691517147629E-3</v>
      </c>
      <c r="BB180" s="1249">
        <f t="shared" si="184"/>
        <v>-3.5756072970645758E-3</v>
      </c>
      <c r="BC180" s="1249">
        <f t="shared" si="184"/>
        <v>-3.5845597448741634E-3</v>
      </c>
      <c r="BD180" s="1249">
        <f t="shared" si="184"/>
        <v>-3.5953120204081507E-3</v>
      </c>
      <c r="BE180" s="1249">
        <f t="shared" si="184"/>
        <v>-3.5974565704188222E-3</v>
      </c>
    </row>
    <row r="181" spans="1:63" x14ac:dyDescent="0.2">
      <c r="A181" s="287" t="s">
        <v>675</v>
      </c>
      <c r="B181" s="281">
        <f>'P&amp;L'!C201</f>
        <v>0</v>
      </c>
      <c r="C181" s="281">
        <f>'P&amp;L'!D201</f>
        <v>0</v>
      </c>
      <c r="D181" s="281">
        <f>'P&amp;L'!E201</f>
        <v>0</v>
      </c>
      <c r="E181" s="281">
        <f>'P&amp;L'!F201</f>
        <v>0</v>
      </c>
      <c r="F181" s="281">
        <f>'P&amp;L'!I201</f>
        <v>-2.3361173895376092E-4</v>
      </c>
      <c r="G181" s="281">
        <f>'P&amp;L'!J201</f>
        <v>3.9695476636727456E-3</v>
      </c>
      <c r="H181" s="281">
        <f>'P&amp;L'!K201</f>
        <v>5.9662865213113148E-3</v>
      </c>
      <c r="I181" s="281">
        <f>'P&amp;L'!L201</f>
        <v>6.809732509127378E-3</v>
      </c>
      <c r="J181" s="281">
        <f>'P&amp;L'!O201</f>
        <v>7.6714709145633414E-3</v>
      </c>
      <c r="K181" s="281">
        <f>'P&amp;L'!P201</f>
        <v>6.4074303340180688E-3</v>
      </c>
      <c r="L181" s="281">
        <f>'P&amp;L'!Q201</f>
        <v>-1.5653763056748399E-3</v>
      </c>
      <c r="M181" s="281">
        <f>'P&amp;L'!R201</f>
        <v>-4.7539524413709178E-3</v>
      </c>
      <c r="N181" s="281">
        <f>'P&amp;L'!U201</f>
        <v>2.2145460132368955E-3</v>
      </c>
      <c r="O181" s="281">
        <f>'P&amp;L'!V201</f>
        <v>-1.2566993655428738E-3</v>
      </c>
      <c r="P181" s="281">
        <f>'P&amp;L'!W201</f>
        <v>3.9178504950625748E-3</v>
      </c>
      <c r="Q181" s="281">
        <f>'P&amp;L'!X201</f>
        <v>-6.3188397551599274E-3</v>
      </c>
      <c r="R181" s="281">
        <f>'P&amp;L'!AA201</f>
        <v>-2.1056149684753195E-3</v>
      </c>
      <c r="S181" s="281">
        <f>'P&amp;L'!AB201</f>
        <v>-3.6503662945200077E-3</v>
      </c>
      <c r="T181" s="281">
        <f>'P&amp;L'!AC201</f>
        <v>-4.7049391373885086E-3</v>
      </c>
      <c r="U181" s="281">
        <f>'P&amp;L'!AD201</f>
        <v>-3.5898622933118463E-4</v>
      </c>
      <c r="V181" s="281">
        <f>'P&amp;L'!AG201</f>
        <v>5.3235290843589855E-3</v>
      </c>
      <c r="W181" s="281">
        <f>'P&amp;L'!AH201</f>
        <v>8.2734337541538749E-4</v>
      </c>
      <c r="X181" s="281">
        <f>'P&amp;L'!AI201</f>
        <v>-7.7852453640743502E-4</v>
      </c>
      <c r="Y181" s="281">
        <f>'P&amp;L'!AJ201</f>
        <v>5.4813381130599248E-3</v>
      </c>
      <c r="Z181" s="281">
        <f>'P&amp;L'!AM201</f>
        <v>9.8309820731465325E-4</v>
      </c>
      <c r="AA181" s="281">
        <f>'P&amp;L'!AN201</f>
        <v>3.1505389086928098E-3</v>
      </c>
      <c r="AB181" s="281">
        <f>'P&amp;L'!AO201</f>
        <v>2.0214840012393875E-3</v>
      </c>
      <c r="AC181" s="281">
        <f>'P&amp;L'!AP201</f>
        <v>-5.2986077415717592E-4</v>
      </c>
      <c r="AD181" s="281">
        <f>'P&amp;L'!AS201</f>
        <v>-4.1736239885083182E-4</v>
      </c>
      <c r="AE181" s="281">
        <f>'P&amp;L'!AT201</f>
        <v>-2.7453722136641795E-3</v>
      </c>
      <c r="AF181" s="281">
        <f>'P&amp;L'!AU201</f>
        <v>-6.1386521684414497E-5</v>
      </c>
      <c r="AG181" s="281">
        <f>'P&amp;L'!AV201</f>
        <v>4.1582781977008432E-3</v>
      </c>
      <c r="AH181" s="281">
        <f>'P&amp;L'!AY201</f>
        <v>9.2482423778151995E-3</v>
      </c>
      <c r="AI181" s="281">
        <f>'P&amp;L'!AZ201</f>
        <v>1.0933438315988489E-2</v>
      </c>
      <c r="AJ181" s="281">
        <f>'P&amp;L'!BA201</f>
        <v>1.2354570441699478E-2</v>
      </c>
      <c r="AK181" s="281">
        <f>'P&amp;L'!BB201</f>
        <v>5.4676864078929549E-3</v>
      </c>
      <c r="AL181" s="281">
        <f>'P&amp;L'!BE201</f>
        <v>4.0369322889419745E-3</v>
      </c>
      <c r="AM181" s="281">
        <f>'P&amp;L'!BF201</f>
        <v>-1.4263562782775158E-3</v>
      </c>
      <c r="AN181" s="281">
        <f>'P&amp;L'!BG201</f>
        <v>6.6143496208916075E-4</v>
      </c>
      <c r="AO181" s="281">
        <f>'P&amp;L'!BH201</f>
        <v>1.2101166703901295E-3</v>
      </c>
      <c r="AP181" s="281">
        <f>'P&amp;L'!BK201</f>
        <v>1.9815896562758867E-3</v>
      </c>
      <c r="AQ181" s="281">
        <f>'P&amp;L'!BL201</f>
        <v>1.6603260577094381E-4</v>
      </c>
      <c r="AR181" s="281">
        <f>'P&amp;L'!BM201</f>
        <v>-4.8902321816237243E-3</v>
      </c>
      <c r="AS181" s="281">
        <f>'P&amp;L'!BN201</f>
        <v>-4.4795230093790384E-3</v>
      </c>
      <c r="AT181" s="281">
        <f>'P&amp;L'!BQ201</f>
        <v>-1.4941933949141895E-4</v>
      </c>
      <c r="AU181" s="281">
        <f>'P&amp;L'!BR201</f>
        <v>3.114590894350705E-3</v>
      </c>
      <c r="AV181" s="281">
        <f>'P&amp;L'!BS201</f>
        <v>3.6534693988732186E-3</v>
      </c>
      <c r="AW181" s="281">
        <f>'P&amp;L'!BT201</f>
        <v>1.7118639794294482E-3</v>
      </c>
      <c r="AX181" s="281">
        <f>'P&amp;L'!BW201</f>
        <v>-2.3627587469127187E-3</v>
      </c>
      <c r="AY181" s="281">
        <f>'P&amp;L'!BX201</f>
        <v>-3.9240210282814741E-3</v>
      </c>
      <c r="AZ181" s="281">
        <f>'P&amp;L'!BY201</f>
        <v>-3.9283427454578218E-3</v>
      </c>
      <c r="BA181" s="281">
        <f>'P&amp;L'!BZ201</f>
        <v>-3.9156262483236309E-3</v>
      </c>
      <c r="BB181" s="281">
        <f>'P&amp;L'!CC201</f>
        <v>-4.7670837926897663E-3</v>
      </c>
      <c r="BC181" s="281">
        <f>'P&amp;L'!CD201</f>
        <v>-4.7122853455690006E-3</v>
      </c>
      <c r="BD181" s="281">
        <f>'P&amp;L'!CE201</f>
        <v>-4.4232385351780992E-3</v>
      </c>
      <c r="BE181" s="281">
        <f>'P&amp;L'!CF201</f>
        <v>-4.3968455430490883E-3</v>
      </c>
    </row>
    <row r="183" spans="1:63" x14ac:dyDescent="0.2">
      <c r="A183" s="287" t="s">
        <v>676</v>
      </c>
      <c r="B183" s="281">
        <v>0</v>
      </c>
      <c r="C183" s="281">
        <v>1.7738180270386872E-3</v>
      </c>
      <c r="D183" s="281">
        <v>2.8983475801432901E-3</v>
      </c>
      <c r="E183" s="281">
        <v>-2.7553521448668294E-3</v>
      </c>
      <c r="F183" s="281">
        <v>-2.1062378761876935E-3</v>
      </c>
      <c r="G183" s="281">
        <v>-2.6704222297273722E-4</v>
      </c>
      <c r="H183" s="281">
        <v>7.7054186611731168E-4</v>
      </c>
      <c r="I183" s="281">
        <v>-2.7256510204510158E-3</v>
      </c>
      <c r="J183" s="281">
        <v>-3.3487379315653614E-3</v>
      </c>
      <c r="K183" s="281">
        <v>-2.0889318513407176E-3</v>
      </c>
      <c r="L183" s="281">
        <v>-3.9901584540278047E-3</v>
      </c>
      <c r="M183" s="281">
        <v>-2.1089657060710076E-4</v>
      </c>
      <c r="N183" s="281">
        <v>3.6083685387023052E-3</v>
      </c>
      <c r="O183" s="281">
        <v>6.3071032269334422E-3</v>
      </c>
      <c r="P183" s="281">
        <v>3.3662600799339486E-3</v>
      </c>
      <c r="Q183" s="281">
        <v>-8.5588729511147177E-4</v>
      </c>
      <c r="R183" s="281">
        <v>-4.5290735561126175E-3</v>
      </c>
      <c r="S183" s="281">
        <v>-1.5557467778226086E-3</v>
      </c>
      <c r="T183" s="281">
        <v>2.0002313236141173E-4</v>
      </c>
      <c r="U183" s="281">
        <v>-3.1658540214464835E-3</v>
      </c>
      <c r="V183" s="281">
        <v>-4.6657406254661015E-3</v>
      </c>
      <c r="W183" s="281">
        <v>-2.3067068374948052E-4</v>
      </c>
      <c r="X183" s="281">
        <v>-4.1694002656878859E-4</v>
      </c>
      <c r="Y183" s="281">
        <v>1.2274060065108662E-3</v>
      </c>
      <c r="Z183" s="281">
        <v>3.4463288786608691E-3</v>
      </c>
      <c r="AA183" s="281">
        <v>7.0225237004451395E-3</v>
      </c>
      <c r="AB183" s="281">
        <v>7.9845176886521353E-3</v>
      </c>
      <c r="AC183" s="281">
        <v>2.5971474427329876E-3</v>
      </c>
      <c r="AD183" s="281">
        <v>-6.580976161026657E-3</v>
      </c>
      <c r="AE183" s="281">
        <v>-1.6124229371535934E-2</v>
      </c>
      <c r="AF183" s="281">
        <v>-4.1582976300543655E-3</v>
      </c>
      <c r="AG183" s="281">
        <v>2.8078968174756283E-3</v>
      </c>
      <c r="AH183" s="281">
        <v>5.2459601467121034E-3</v>
      </c>
      <c r="AI183" s="281">
        <v>3.7693073660049802E-3</v>
      </c>
      <c r="AJ183" s="281">
        <v>3.4313514072410499E-3</v>
      </c>
      <c r="AK183" s="281">
        <v>5.0234005872844311E-3</v>
      </c>
      <c r="AL183" s="281">
        <v>2.2633249224834106E-3</v>
      </c>
      <c r="AM183" s="281">
        <v>-7.6825843784482086E-3</v>
      </c>
      <c r="AN183" s="281">
        <v>-6.3635753865821966E-3</v>
      </c>
      <c r="AO183" s="281">
        <v>-3.700292441455014E-3</v>
      </c>
      <c r="AP183" s="281">
        <v>-3.3196650944936159E-3</v>
      </c>
      <c r="AQ183" s="281">
        <v>-4.6268681383393366E-3</v>
      </c>
      <c r="AR183" s="281">
        <v>-6.0421908849635809E-3</v>
      </c>
      <c r="AS183" s="281">
        <v>-1.9126212076578081E-2</v>
      </c>
      <c r="AT183" s="281">
        <v>-3.2737769678778561E-2</v>
      </c>
      <c r="AU183" s="281">
        <v>-2.2183878131342739E-2</v>
      </c>
      <c r="AV183" s="281">
        <v>-1.7709125433678308E-2</v>
      </c>
      <c r="AW183" s="281">
        <v>-6.1214856666328352E-3</v>
      </c>
      <c r="AX183" s="281">
        <v>3.1661819192108157E-3</v>
      </c>
      <c r="AY183" s="281">
        <v>1.6401606987391075E-3</v>
      </c>
      <c r="AZ183" s="281">
        <v>1.5150237989565901E-4</v>
      </c>
      <c r="BA183" s="281">
        <v>1.1438182135598689E-4</v>
      </c>
      <c r="BB183" s="281">
        <v>1.3121963794366964E-4</v>
      </c>
      <c r="BC183" s="281">
        <v>-1.7642804393751821E-3</v>
      </c>
      <c r="BD183" s="281">
        <v>-2.7280457849258493E-3</v>
      </c>
      <c r="BE183" s="281">
        <v>-2.8181154342758058E-3</v>
      </c>
      <c r="BH183" s="281"/>
      <c r="BI183" s="281"/>
      <c r="BJ183" s="281"/>
      <c r="BK183" s="281"/>
    </row>
  </sheetData>
  <printOptions horizontalCentered="1" verticalCentered="1"/>
  <pageMargins left="0" right="0" top="0" bottom="0" header="0" footer="0"/>
  <pageSetup paperSize="5" scale="50" orientation="landscape" r:id="rId1"/>
  <headerFooter alignWithMargins="0"/>
  <rowBreaks count="1" manualBreakCount="1">
    <brk id="51" max="48" man="1"/>
  </rowBreaks>
  <ignoredErrors>
    <ignoredError sqref="AT102 AT93:AT101 B90:AW92 B93:AS101 AU93:AW101"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pageSetUpPr fitToPage="1"/>
  </sheetPr>
  <dimension ref="A1:CU194"/>
  <sheetViews>
    <sheetView showGridLines="0" zoomScaleNormal="100" zoomScaleSheetLayoutView="100" workbookViewId="0">
      <pane xSplit="2" ySplit="6" topLeftCell="C7" activePane="bottomRight" state="frozen"/>
      <selection pane="topRight" activeCell="C1" sqref="C1"/>
      <selection pane="bottomLeft" activeCell="A7" sqref="A7"/>
      <selection pane="bottomRight" sqref="A1:XFD1048576"/>
    </sheetView>
  </sheetViews>
  <sheetFormatPr defaultRowHeight="12.75" outlineLevelRow="1" outlineLevelCol="1" x14ac:dyDescent="0.2"/>
  <cols>
    <col min="1" max="1" width="1.7109375" style="9" customWidth="1"/>
    <col min="2" max="2" width="31.7109375" style="9" customWidth="1"/>
    <col min="3" max="7" width="7.28515625" style="9" hidden="1" customWidth="1" outlineLevel="1"/>
    <col min="8" max="8" width="0.85546875" style="9" hidden="1" customWidth="1" outlineLevel="1"/>
    <col min="9" max="13" width="7.28515625" style="9" hidden="1" customWidth="1" outlineLevel="1"/>
    <col min="14" max="14" width="0.85546875" style="9" hidden="1" customWidth="1" outlineLevel="1"/>
    <col min="15" max="19" width="7.28515625" style="9" hidden="1" customWidth="1" outlineLevel="1"/>
    <col min="20" max="20" width="0.85546875" style="9" hidden="1" customWidth="1" outlineLevel="1"/>
    <col min="21" max="25" width="7.28515625" style="9" hidden="1" customWidth="1" outlineLevel="1"/>
    <col min="26" max="26" width="0.85546875" style="9" hidden="1" customWidth="1" outlineLevel="1"/>
    <col min="27" max="31" width="7.28515625" style="9" hidden="1" customWidth="1" outlineLevel="1"/>
    <col min="32" max="32" width="0.85546875" style="9" hidden="1" customWidth="1" outlineLevel="1"/>
    <col min="33" max="36" width="7.28515625" style="9" hidden="1" customWidth="1" outlineLevel="1"/>
    <col min="37" max="37" width="7.28515625" style="9" customWidth="1" collapsed="1"/>
    <col min="38" max="38" width="0.85546875" style="9" customWidth="1"/>
    <col min="39" max="42" width="7.28515625" style="9" hidden="1" customWidth="1" outlineLevel="1"/>
    <col min="43" max="43" width="7.28515625" style="9" customWidth="1" collapsed="1"/>
    <col min="44" max="44" width="0.85546875" style="9" customWidth="1"/>
    <col min="45" max="48" width="7.28515625" style="9" hidden="1" customWidth="1" outlineLevel="1"/>
    <col min="49" max="49" width="7.28515625" style="9" customWidth="1" collapsed="1"/>
    <col min="50" max="50" width="0.85546875" style="9" customWidth="1"/>
    <col min="51" max="54" width="7.28515625" style="9" hidden="1" customWidth="1" outlineLevel="1"/>
    <col min="55" max="55" width="7.28515625" style="9" customWidth="1" collapsed="1"/>
    <col min="56" max="56" width="0.85546875" style="9" customWidth="1"/>
    <col min="57" max="60" width="7.28515625" style="9" customWidth="1" outlineLevel="1"/>
    <col min="61" max="61" width="7.28515625" style="9" customWidth="1"/>
    <col min="62" max="62" width="0.85546875" style="9" customWidth="1"/>
    <col min="63" max="66" width="7.28515625" style="9" customWidth="1" outlineLevel="1"/>
    <col min="67" max="67" width="7.28515625" style="9" customWidth="1"/>
    <col min="68" max="68" width="0.85546875" style="9" customWidth="1"/>
    <col min="69" max="72" width="7.28515625" style="9" customWidth="1" outlineLevel="1"/>
    <col min="73" max="73" width="7.28515625" style="9" customWidth="1"/>
    <col min="74" max="74" width="0.85546875" style="9" customWidth="1"/>
    <col min="75" max="78" width="7.28515625" style="9" hidden="1" customWidth="1" outlineLevel="1"/>
    <col min="79" max="79" width="7.28515625" style="9" customWidth="1" collapsed="1"/>
    <col min="80" max="80" width="0.85546875" style="9" customWidth="1"/>
    <col min="81" max="84" width="7.28515625" style="9" hidden="1" customWidth="1" outlineLevel="1"/>
    <col min="85" max="85" width="7.28515625" style="9" customWidth="1" collapsed="1"/>
    <col min="86" max="92" width="7.28515625" style="9" customWidth="1"/>
    <col min="93" max="93" width="20" hidden="1" customWidth="1" outlineLevel="1"/>
    <col min="94" max="98" width="9.140625" hidden="1" customWidth="1" outlineLevel="1"/>
    <col min="99" max="99" width="9.140625" style="9" collapsed="1"/>
    <col min="100" max="16384" width="9.140625" style="9"/>
  </cols>
  <sheetData>
    <row r="1" spans="1:99" ht="11.25" customHeight="1" x14ac:dyDescent="0.2">
      <c r="A1" s="7"/>
      <c r="B1" s="14" t="str">
        <f>RevBuild!B1</f>
        <v>Henry Schein Inc.</v>
      </c>
      <c r="C1" s="7"/>
      <c r="D1" s="7"/>
      <c r="E1" s="7"/>
      <c r="F1" s="7"/>
      <c r="H1" s="1"/>
      <c r="N1" s="1"/>
      <c r="T1" s="1"/>
      <c r="Z1" s="1"/>
      <c r="AF1" s="1"/>
      <c r="AL1" s="1"/>
      <c r="AR1" s="1"/>
      <c r="AX1" s="1"/>
      <c r="BD1" s="1"/>
      <c r="BJ1" s="1"/>
      <c r="BP1" s="1"/>
      <c r="BV1" s="1"/>
      <c r="CB1" s="1"/>
      <c r="CU1" s="15"/>
    </row>
    <row r="2" spans="1:99" ht="11.25" customHeight="1" x14ac:dyDescent="0.2">
      <c r="B2" s="166" t="s">
        <v>248</v>
      </c>
      <c r="H2" s="1"/>
      <c r="N2" s="1"/>
      <c r="T2" s="1"/>
      <c r="Z2" s="1"/>
      <c r="AF2" s="1"/>
      <c r="AL2" s="1"/>
      <c r="AR2" s="1"/>
      <c r="AX2" s="1"/>
      <c r="BD2" s="1"/>
      <c r="BI2" s="120"/>
      <c r="BJ2" s="1"/>
      <c r="BP2" s="1"/>
      <c r="BV2" s="1"/>
      <c r="CB2" s="1"/>
      <c r="CU2" s="15"/>
    </row>
    <row r="3" spans="1:99" ht="11.25" customHeight="1" x14ac:dyDescent="0.2">
      <c r="B3" s="5" t="s">
        <v>42</v>
      </c>
      <c r="H3" s="1"/>
      <c r="N3" s="1"/>
      <c r="T3" s="1"/>
      <c r="Z3" s="1"/>
      <c r="AF3" s="1"/>
      <c r="AL3" s="1"/>
      <c r="AR3" s="1"/>
      <c r="AU3" s="121"/>
      <c r="AX3" s="1"/>
      <c r="BD3" s="1"/>
      <c r="BJ3" s="1"/>
      <c r="BP3" s="1"/>
      <c r="BV3" s="1"/>
      <c r="CB3" s="1"/>
      <c r="CU3" s="15"/>
    </row>
    <row r="4" spans="1:99" ht="11.25" customHeight="1" x14ac:dyDescent="0.2">
      <c r="B4" s="6" t="s">
        <v>213</v>
      </c>
      <c r="C4" s="122"/>
      <c r="D4" s="122"/>
      <c r="E4" s="122"/>
      <c r="F4" s="122"/>
      <c r="G4" s="122"/>
      <c r="H4" s="1"/>
      <c r="I4" s="122"/>
      <c r="J4" s="122"/>
      <c r="K4" s="122"/>
      <c r="L4" s="122"/>
      <c r="M4" s="122"/>
      <c r="N4" s="1"/>
      <c r="O4" s="122"/>
      <c r="P4" s="122"/>
      <c r="Q4" s="122"/>
      <c r="R4" s="122"/>
      <c r="S4" s="122"/>
      <c r="T4" s="1"/>
      <c r="U4" s="122"/>
      <c r="V4" s="122"/>
      <c r="W4" s="122"/>
      <c r="X4" s="122"/>
      <c r="Y4" s="122"/>
      <c r="Z4" s="1"/>
      <c r="AA4" s="122"/>
      <c r="AB4" s="122"/>
      <c r="AC4" s="122"/>
      <c r="AD4" s="122"/>
      <c r="AE4" s="122"/>
      <c r="AF4" s="1"/>
      <c r="AG4" s="122"/>
      <c r="AH4" s="122"/>
      <c r="AI4" s="122"/>
      <c r="AJ4" s="122"/>
      <c r="AK4" s="122"/>
      <c r="AL4" s="1"/>
      <c r="AM4" s="122"/>
      <c r="AN4" s="122"/>
      <c r="AO4" s="122"/>
      <c r="AP4" s="122"/>
      <c r="AQ4" s="122"/>
      <c r="AR4" s="1"/>
      <c r="AS4" s="122"/>
      <c r="AT4" s="122"/>
      <c r="AU4" s="122"/>
      <c r="AV4" s="122"/>
      <c r="AW4" s="122"/>
      <c r="AX4" s="1"/>
      <c r="AY4" s="122"/>
      <c r="AZ4" s="122"/>
      <c r="BA4" s="122"/>
      <c r="BD4" s="1"/>
      <c r="BJ4" s="1"/>
      <c r="BP4" s="1"/>
      <c r="BV4" s="1"/>
      <c r="CB4" s="1"/>
      <c r="CU4" s="15"/>
    </row>
    <row r="5" spans="1:99" s="87" customFormat="1" ht="11.25" customHeight="1" x14ac:dyDescent="0.2">
      <c r="C5" s="1422" t="s">
        <v>32</v>
      </c>
      <c r="D5" s="1423"/>
      <c r="E5" s="1423"/>
      <c r="F5" s="1423"/>
      <c r="G5" s="389" t="str">
        <f>C5</f>
        <v>2007A</v>
      </c>
      <c r="H5" s="85"/>
      <c r="I5" s="1422" t="s">
        <v>33</v>
      </c>
      <c r="J5" s="1423"/>
      <c r="K5" s="1423"/>
      <c r="L5" s="1424"/>
      <c r="M5" s="389" t="str">
        <f>I5</f>
        <v>2008A</v>
      </c>
      <c r="N5" s="85"/>
      <c r="O5" s="1422" t="s">
        <v>34</v>
      </c>
      <c r="P5" s="1423"/>
      <c r="Q5" s="1423"/>
      <c r="R5" s="1424"/>
      <c r="S5" s="389" t="str">
        <f>O5</f>
        <v>2009A</v>
      </c>
      <c r="T5" s="85"/>
      <c r="U5" s="1422" t="s">
        <v>100</v>
      </c>
      <c r="V5" s="1423"/>
      <c r="W5" s="1423"/>
      <c r="X5" s="1424"/>
      <c r="Y5" s="389" t="str">
        <f>U5</f>
        <v>2010A</v>
      </c>
      <c r="Z5" s="85"/>
      <c r="AA5" s="1422" t="s">
        <v>130</v>
      </c>
      <c r="AB5" s="1423"/>
      <c r="AC5" s="1423"/>
      <c r="AD5" s="1424"/>
      <c r="AE5" s="389" t="str">
        <f>AA5</f>
        <v>2011A</v>
      </c>
      <c r="AF5" s="85"/>
      <c r="AG5" s="1422" t="s">
        <v>131</v>
      </c>
      <c r="AH5" s="1423"/>
      <c r="AI5" s="1423"/>
      <c r="AJ5" s="1424"/>
      <c r="AK5" s="389" t="str">
        <f>AG5</f>
        <v>2012A</v>
      </c>
      <c r="AL5" s="85"/>
      <c r="AM5" s="1422" t="s">
        <v>132</v>
      </c>
      <c r="AN5" s="1423"/>
      <c r="AO5" s="1423"/>
      <c r="AP5" s="1424"/>
      <c r="AQ5" s="389" t="str">
        <f>AM5</f>
        <v>2013A</v>
      </c>
      <c r="AR5" s="85"/>
      <c r="AS5" s="1422" t="s">
        <v>238</v>
      </c>
      <c r="AT5" s="1423"/>
      <c r="AU5" s="1423"/>
      <c r="AV5" s="1424"/>
      <c r="AW5" s="389" t="str">
        <f>AS5</f>
        <v>2014A</v>
      </c>
      <c r="AX5" s="85"/>
      <c r="AY5" s="1422" t="s">
        <v>251</v>
      </c>
      <c r="AZ5" s="1423"/>
      <c r="BA5" s="1423"/>
      <c r="BB5" s="1424"/>
      <c r="BC5" s="389" t="str">
        <f>AY5</f>
        <v>2015A</v>
      </c>
      <c r="BD5" s="85"/>
      <c r="BE5" s="1422" t="s">
        <v>449</v>
      </c>
      <c r="BF5" s="1423"/>
      <c r="BG5" s="1423"/>
      <c r="BH5" s="1423"/>
      <c r="BI5" s="389" t="str">
        <f>BE5</f>
        <v>2016A</v>
      </c>
      <c r="BJ5" s="85"/>
      <c r="BK5" s="1422" t="s">
        <v>678</v>
      </c>
      <c r="BL5" s="1423"/>
      <c r="BM5" s="1423"/>
      <c r="BN5" s="1423"/>
      <c r="BO5" s="389" t="str">
        <f>BK5</f>
        <v>2017A</v>
      </c>
      <c r="BP5" s="85"/>
      <c r="BQ5" s="1422" t="s">
        <v>244</v>
      </c>
      <c r="BR5" s="1423"/>
      <c r="BS5" s="1423"/>
      <c r="BT5" s="1423"/>
      <c r="BU5" s="389" t="str">
        <f>BQ5</f>
        <v>2018E</v>
      </c>
      <c r="BV5" s="85"/>
      <c r="BW5" s="1422" t="s">
        <v>245</v>
      </c>
      <c r="BX5" s="1423"/>
      <c r="BY5" s="1423"/>
      <c r="BZ5" s="1423"/>
      <c r="CA5" s="389" t="str">
        <f>BW5</f>
        <v>2019E</v>
      </c>
      <c r="CB5" s="85"/>
      <c r="CC5" s="1422" t="s">
        <v>457</v>
      </c>
      <c r="CD5" s="1423"/>
      <c r="CE5" s="1423"/>
      <c r="CF5" s="1423"/>
      <c r="CG5" s="389" t="str">
        <f>CC5</f>
        <v>2020E</v>
      </c>
      <c r="CO5"/>
      <c r="CP5"/>
      <c r="CQ5"/>
      <c r="CR5"/>
      <c r="CS5"/>
      <c r="CT5"/>
      <c r="CU5" s="25"/>
    </row>
    <row r="6" spans="1:99" ht="11.25" customHeight="1" x14ac:dyDescent="0.2">
      <c r="C6" s="395">
        <v>39172</v>
      </c>
      <c r="D6" s="2">
        <v>39263</v>
      </c>
      <c r="E6" s="2">
        <v>39355</v>
      </c>
      <c r="F6" s="2">
        <v>39447</v>
      </c>
      <c r="G6" s="382" t="str">
        <f>+C5</f>
        <v>2007A</v>
      </c>
      <c r="H6" s="71"/>
      <c r="I6" s="395">
        <v>39538</v>
      </c>
      <c r="J6" s="2">
        <v>39629</v>
      </c>
      <c r="K6" s="2">
        <v>39721</v>
      </c>
      <c r="L6" s="390">
        <v>39813</v>
      </c>
      <c r="M6" s="382" t="str">
        <f>+I5</f>
        <v>2008A</v>
      </c>
      <c r="N6" s="71"/>
      <c r="O6" s="395">
        <v>39903</v>
      </c>
      <c r="P6" s="2">
        <v>39994</v>
      </c>
      <c r="Q6" s="2">
        <v>40086</v>
      </c>
      <c r="R6" s="390">
        <v>40178</v>
      </c>
      <c r="S6" s="382" t="str">
        <f>+O5</f>
        <v>2009A</v>
      </c>
      <c r="T6" s="71"/>
      <c r="U6" s="395">
        <v>40268</v>
      </c>
      <c r="V6" s="2">
        <v>40359</v>
      </c>
      <c r="W6" s="2">
        <v>40451</v>
      </c>
      <c r="X6" s="390">
        <v>40543</v>
      </c>
      <c r="Y6" s="382" t="str">
        <f>+U5</f>
        <v>2010A</v>
      </c>
      <c r="Z6" s="71"/>
      <c r="AA6" s="395">
        <v>40633</v>
      </c>
      <c r="AB6" s="2">
        <v>40724</v>
      </c>
      <c r="AC6" s="2">
        <v>40816</v>
      </c>
      <c r="AD6" s="390">
        <v>40908</v>
      </c>
      <c r="AE6" s="382" t="str">
        <f>+AA5</f>
        <v>2011A</v>
      </c>
      <c r="AF6" s="71"/>
      <c r="AG6" s="395">
        <v>40999</v>
      </c>
      <c r="AH6" s="2">
        <v>41090</v>
      </c>
      <c r="AI6" s="2">
        <v>41182</v>
      </c>
      <c r="AJ6" s="390">
        <v>41274</v>
      </c>
      <c r="AK6" s="382" t="str">
        <f>+AG5</f>
        <v>2012A</v>
      </c>
      <c r="AL6" s="71"/>
      <c r="AM6" s="395">
        <v>41364</v>
      </c>
      <c r="AN6" s="2">
        <v>41455</v>
      </c>
      <c r="AO6" s="2">
        <v>41547</v>
      </c>
      <c r="AP6" s="390">
        <v>41639</v>
      </c>
      <c r="AQ6" s="382" t="str">
        <f>+AM5</f>
        <v>2013A</v>
      </c>
      <c r="AR6" s="71"/>
      <c r="AS6" s="395">
        <v>41729</v>
      </c>
      <c r="AT6" s="2">
        <v>41820</v>
      </c>
      <c r="AU6" s="2">
        <v>41912</v>
      </c>
      <c r="AV6" s="390">
        <v>42004</v>
      </c>
      <c r="AW6" s="382" t="str">
        <f>+AS5</f>
        <v>2014A</v>
      </c>
      <c r="AX6" s="71"/>
      <c r="AY6" s="395">
        <v>42094</v>
      </c>
      <c r="AZ6" s="2">
        <v>42185</v>
      </c>
      <c r="BA6" s="2">
        <v>42277</v>
      </c>
      <c r="BB6" s="390">
        <v>42369</v>
      </c>
      <c r="BC6" s="382" t="str">
        <f>+AY5</f>
        <v>2015A</v>
      </c>
      <c r="BD6" s="71"/>
      <c r="BE6" s="397">
        <v>42460</v>
      </c>
      <c r="BF6" s="72">
        <v>42551</v>
      </c>
      <c r="BG6" s="72">
        <v>42643</v>
      </c>
      <c r="BH6" s="72">
        <v>42735</v>
      </c>
      <c r="BI6" s="404" t="str">
        <f>+BE5</f>
        <v>2016A</v>
      </c>
      <c r="BJ6" s="71"/>
      <c r="BK6" s="397">
        <v>42825</v>
      </c>
      <c r="BL6" s="1113">
        <f>BK6+FLOOR(365/4,1)</f>
        <v>42916</v>
      </c>
      <c r="BM6" s="1113">
        <f>BL6+FLOOR(365/4,1)+1</f>
        <v>43008</v>
      </c>
      <c r="BN6" s="1113">
        <f>BM6+FLOOR(365/4,1)+1</f>
        <v>43100</v>
      </c>
      <c r="BO6" s="404"/>
      <c r="BP6" s="71"/>
      <c r="BQ6" s="401">
        <f>BK6+365</f>
        <v>43190</v>
      </c>
      <c r="BR6" s="70">
        <f>BQ6+FLOOR(365/4,1)</f>
        <v>43281</v>
      </c>
      <c r="BS6" s="70">
        <f>BR6+FLOOR(365/4,1)+1</f>
        <v>43373</v>
      </c>
      <c r="BT6" s="70">
        <f>BS6+FLOOR(365/4,1)+1</f>
        <v>43465</v>
      </c>
      <c r="BU6" s="404"/>
      <c r="BV6" s="71"/>
      <c r="BW6" s="401">
        <f>BQ6+365</f>
        <v>43555</v>
      </c>
      <c r="BX6" s="70">
        <f>BW6+FLOOR(365/4,1)</f>
        <v>43646</v>
      </c>
      <c r="BY6" s="70">
        <f>BX6+FLOOR(365/4,1)+1</f>
        <v>43738</v>
      </c>
      <c r="BZ6" s="70">
        <f>BY6+FLOOR(365/4,1)+1</f>
        <v>43830</v>
      </c>
      <c r="CA6" s="404"/>
      <c r="CB6" s="71"/>
      <c r="CC6" s="401">
        <f>BW6+365</f>
        <v>43920</v>
      </c>
      <c r="CD6" s="70">
        <f>CC6+FLOOR(365/4,1)</f>
        <v>44011</v>
      </c>
      <c r="CE6" s="70">
        <f>CD6+FLOOR(365/4,1)+1</f>
        <v>44103</v>
      </c>
      <c r="CF6" s="70">
        <f>CE6+FLOOR(365/4,1)+1</f>
        <v>44195</v>
      </c>
      <c r="CG6" s="404"/>
      <c r="CU6" s="15"/>
    </row>
    <row r="7" spans="1:99" ht="11.25" customHeight="1" x14ac:dyDescent="0.2">
      <c r="B7" s="756" t="s">
        <v>35</v>
      </c>
      <c r="C7" s="10"/>
      <c r="D7" s="10"/>
      <c r="E7" s="10"/>
      <c r="F7" s="10"/>
      <c r="G7" s="499"/>
      <c r="H7" s="3"/>
      <c r="I7" s="521"/>
      <c r="J7" s="505"/>
      <c r="K7" s="505"/>
      <c r="L7" s="506"/>
      <c r="M7" s="499"/>
      <c r="N7" s="3"/>
      <c r="O7" s="521"/>
      <c r="P7" s="505"/>
      <c r="Q7" s="505"/>
      <c r="R7" s="506"/>
      <c r="S7" s="499"/>
      <c r="T7" s="3"/>
      <c r="U7" s="521"/>
      <c r="V7" s="505"/>
      <c r="W7" s="505"/>
      <c r="X7" s="506"/>
      <c r="Y7" s="499"/>
      <c r="Z7" s="3"/>
      <c r="AA7" s="521"/>
      <c r="AB7" s="505"/>
      <c r="AC7" s="505"/>
      <c r="AD7" s="506"/>
      <c r="AE7" s="499"/>
      <c r="AF7" s="3"/>
      <c r="AG7" s="521"/>
      <c r="AH7" s="505"/>
      <c r="AI7" s="505"/>
      <c r="AJ7" s="506"/>
      <c r="AK7" s="499"/>
      <c r="AL7" s="3"/>
      <c r="AM7" s="521"/>
      <c r="AN7" s="505"/>
      <c r="AO7" s="505"/>
      <c r="AP7" s="506"/>
      <c r="AQ7" s="499"/>
      <c r="AR7" s="3"/>
      <c r="AS7" s="521"/>
      <c r="AT7" s="505"/>
      <c r="AU7" s="505"/>
      <c r="AV7" s="506"/>
      <c r="AW7" s="499"/>
      <c r="AX7" s="3"/>
      <c r="AY7" s="521"/>
      <c r="AZ7" s="505"/>
      <c r="BA7" s="505"/>
      <c r="BB7" s="506"/>
      <c r="BC7" s="499"/>
      <c r="BD7" s="3"/>
      <c r="BE7" s="521"/>
      <c r="BF7" s="505"/>
      <c r="BG7" s="505"/>
      <c r="BH7" s="505"/>
      <c r="BI7" s="535"/>
      <c r="BJ7" s="3"/>
      <c r="BK7" s="521"/>
      <c r="BL7" s="505"/>
      <c r="BM7" s="505"/>
      <c r="BN7" s="505"/>
      <c r="BO7" s="535"/>
      <c r="BP7" s="3"/>
      <c r="BQ7" s="521"/>
      <c r="BR7" s="505"/>
      <c r="BS7" s="505"/>
      <c r="BT7" s="505"/>
      <c r="BU7" s="535"/>
      <c r="BV7" s="3"/>
      <c r="BW7" s="521"/>
      <c r="BX7" s="505"/>
      <c r="BY7" s="505"/>
      <c r="BZ7" s="505"/>
      <c r="CA7" s="535"/>
      <c r="CB7" s="3"/>
      <c r="CC7" s="521"/>
      <c r="CD7" s="505"/>
      <c r="CE7" s="505"/>
      <c r="CF7" s="505"/>
      <c r="CG7" s="535"/>
      <c r="CU7" s="15"/>
    </row>
    <row r="8" spans="1:99" s="7" customFormat="1" ht="11.25" customHeight="1" x14ac:dyDescent="0.2">
      <c r="B8" s="494" t="s">
        <v>181</v>
      </c>
      <c r="C8" s="133"/>
      <c r="D8" s="133"/>
      <c r="E8" s="133"/>
      <c r="F8" s="133"/>
      <c r="G8" s="500"/>
      <c r="H8" s="191"/>
      <c r="I8" s="522"/>
      <c r="J8" s="507"/>
      <c r="K8" s="507"/>
      <c r="L8" s="508"/>
      <c r="M8" s="500"/>
      <c r="N8" s="191"/>
      <c r="O8" s="522"/>
      <c r="P8" s="507"/>
      <c r="Q8" s="507"/>
      <c r="R8" s="508"/>
      <c r="S8" s="500"/>
      <c r="T8" s="191"/>
      <c r="U8" s="522"/>
      <c r="V8" s="507"/>
      <c r="W8" s="507"/>
      <c r="X8" s="508"/>
      <c r="Y8" s="500"/>
      <c r="Z8" s="191"/>
      <c r="AA8" s="522"/>
      <c r="AB8" s="507"/>
      <c r="AC8" s="507"/>
      <c r="AD8" s="508"/>
      <c r="AE8" s="500"/>
      <c r="AF8" s="191"/>
      <c r="AG8" s="522"/>
      <c r="AH8" s="507"/>
      <c r="AI8" s="507"/>
      <c r="AJ8" s="508"/>
      <c r="AK8" s="500"/>
      <c r="AL8" s="191"/>
      <c r="AM8" s="522"/>
      <c r="AN8" s="507"/>
      <c r="AO8" s="507"/>
      <c r="AP8" s="508"/>
      <c r="AQ8" s="500"/>
      <c r="AR8" s="191"/>
      <c r="AS8" s="522"/>
      <c r="AT8" s="507"/>
      <c r="AU8" s="507"/>
      <c r="AV8" s="508"/>
      <c r="AW8" s="500"/>
      <c r="AX8" s="191"/>
      <c r="AY8" s="522"/>
      <c r="AZ8" s="507"/>
      <c r="BA8" s="507"/>
      <c r="BB8" s="508"/>
      <c r="BC8" s="500"/>
      <c r="BD8" s="191"/>
      <c r="BE8" s="522"/>
      <c r="BF8" s="507"/>
      <c r="BG8" s="507"/>
      <c r="BH8" s="507"/>
      <c r="BI8" s="500"/>
      <c r="BJ8" s="191"/>
      <c r="BK8" s="522"/>
      <c r="BL8" s="507"/>
      <c r="BM8" s="507"/>
      <c r="BN8" s="507"/>
      <c r="BO8" s="500"/>
      <c r="BP8" s="191"/>
      <c r="BQ8" s="522"/>
      <c r="BR8" s="507"/>
      <c r="BS8" s="507"/>
      <c r="BT8" s="507"/>
      <c r="BU8" s="500"/>
      <c r="BV8" s="191"/>
      <c r="BW8" s="522"/>
      <c r="BX8" s="507"/>
      <c r="BY8" s="507"/>
      <c r="BZ8" s="507"/>
      <c r="CA8" s="500"/>
      <c r="CB8" s="191"/>
      <c r="CC8" s="522"/>
      <c r="CD8" s="507"/>
      <c r="CE8" s="507"/>
      <c r="CF8" s="507"/>
      <c r="CG8" s="500"/>
      <c r="CO8"/>
      <c r="CP8"/>
      <c r="CQ8"/>
      <c r="CR8"/>
      <c r="CS8"/>
      <c r="CT8"/>
      <c r="CU8" s="11"/>
    </row>
    <row r="9" spans="1:99" s="7" customFormat="1" ht="11.25" customHeight="1" x14ac:dyDescent="0.2">
      <c r="B9" s="429" t="s">
        <v>138</v>
      </c>
      <c r="C9" s="192">
        <v>154.45599999999999</v>
      </c>
      <c r="D9" s="192">
        <v>190.971</v>
      </c>
      <c r="E9" s="192">
        <v>207.458</v>
      </c>
      <c r="F9" s="193">
        <v>247.59</v>
      </c>
      <c r="G9" s="501">
        <f>+F9</f>
        <v>247.59</v>
      </c>
      <c r="H9" s="194"/>
      <c r="I9" s="523">
        <v>203.036</v>
      </c>
      <c r="J9" s="509">
        <v>271.43200000000002</v>
      </c>
      <c r="K9" s="509">
        <v>288.36399999999998</v>
      </c>
      <c r="L9" s="510">
        <v>369.57</v>
      </c>
      <c r="M9" s="501">
        <f>+L9</f>
        <v>369.57</v>
      </c>
      <c r="N9" s="194"/>
      <c r="O9" s="523">
        <v>308.15600000000001</v>
      </c>
      <c r="P9" s="509">
        <v>393.87299999999999</v>
      </c>
      <c r="Q9" s="509">
        <v>317.60700000000003</v>
      </c>
      <c r="R9" s="510">
        <v>471.154</v>
      </c>
      <c r="S9" s="501">
        <f>+R9</f>
        <v>471.154</v>
      </c>
      <c r="T9" s="194"/>
      <c r="U9" s="523">
        <v>355.38799999999998</v>
      </c>
      <c r="V9" s="509">
        <v>321.11599999999999</v>
      </c>
      <c r="W9" s="509">
        <v>203.73</v>
      </c>
      <c r="X9" s="510">
        <v>150.34800000000001</v>
      </c>
      <c r="Y9" s="501">
        <f>+X9</f>
        <v>150.34800000000001</v>
      </c>
      <c r="Z9" s="194"/>
      <c r="AA9" s="523">
        <v>116.712</v>
      </c>
      <c r="AB9" s="509">
        <v>161.78899999999999</v>
      </c>
      <c r="AC9" s="509">
        <v>106.872</v>
      </c>
      <c r="AD9" s="510">
        <v>147.28399999999999</v>
      </c>
      <c r="AE9" s="501">
        <f>+AD9</f>
        <v>147.28399999999999</v>
      </c>
      <c r="AF9" s="194"/>
      <c r="AG9" s="523">
        <v>101.813</v>
      </c>
      <c r="AH9" s="509">
        <v>87.896000000000001</v>
      </c>
      <c r="AI9" s="509">
        <v>89.335999999999999</v>
      </c>
      <c r="AJ9" s="510">
        <v>122.08</v>
      </c>
      <c r="AK9" s="501">
        <f>+AJ9</f>
        <v>122.08</v>
      </c>
      <c r="AL9" s="194"/>
      <c r="AM9" s="523">
        <v>90.561999999999998</v>
      </c>
      <c r="AN9" s="509">
        <v>78.838999999999999</v>
      </c>
      <c r="AO9" s="509">
        <v>69.915000000000006</v>
      </c>
      <c r="AP9" s="510">
        <v>188.61600000000001</v>
      </c>
      <c r="AQ9" s="501">
        <f>+AP9</f>
        <v>188.61600000000001</v>
      </c>
      <c r="AR9" s="194"/>
      <c r="AS9" s="523">
        <v>129.11500000000001</v>
      </c>
      <c r="AT9" s="509">
        <v>89.697999999999993</v>
      </c>
      <c r="AU9" s="509">
        <v>76.542000000000002</v>
      </c>
      <c r="AV9" s="510">
        <v>89.474000000000004</v>
      </c>
      <c r="AW9" s="501">
        <f>+AV9</f>
        <v>89.474000000000004</v>
      </c>
      <c r="AX9" s="194"/>
      <c r="AY9" s="523">
        <v>59.201999999999998</v>
      </c>
      <c r="AZ9" s="509">
        <v>47.067999999999998</v>
      </c>
      <c r="BA9" s="509">
        <v>60.481000000000002</v>
      </c>
      <c r="BB9" s="510">
        <v>72.085999999999999</v>
      </c>
      <c r="BC9" s="501">
        <f>+BB9</f>
        <v>72.085999999999999</v>
      </c>
      <c r="BD9" s="194"/>
      <c r="BE9" s="531">
        <v>71.614000000000004</v>
      </c>
      <c r="BF9" s="532">
        <v>63.56</v>
      </c>
      <c r="BG9" s="532">
        <v>76.191999999999993</v>
      </c>
      <c r="BH9" s="510">
        <v>62.381</v>
      </c>
      <c r="BI9" s="501">
        <f>BH9</f>
        <v>62.381</v>
      </c>
      <c r="BJ9" s="194"/>
      <c r="BK9" s="531">
        <v>62.887999999999998</v>
      </c>
      <c r="BL9" s="532">
        <v>74.653999999999996</v>
      </c>
      <c r="BM9" s="532">
        <v>79.879000000000005</v>
      </c>
      <c r="BN9" s="510">
        <v>174.65799999999999</v>
      </c>
      <c r="BO9" s="501">
        <f>BN9</f>
        <v>174.65799999999999</v>
      </c>
      <c r="BP9" s="194"/>
      <c r="BQ9" s="536">
        <f>'Cash Flow'!BQ51</f>
        <v>162.45001371359501</v>
      </c>
      <c r="BR9" s="533">
        <f>'Cash Flow'!BR51</f>
        <v>125.35473561070265</v>
      </c>
      <c r="BS9" s="533">
        <f>'Cash Flow'!BS51</f>
        <v>198.24837612505166</v>
      </c>
      <c r="BT9" s="533">
        <f>'Cash Flow'!BT51</f>
        <v>281.98601556760855</v>
      </c>
      <c r="BU9" s="501">
        <f>BT9</f>
        <v>281.98601556760855</v>
      </c>
      <c r="BV9" s="194"/>
      <c r="BW9" s="536">
        <f>'Cash Flow'!BW51</f>
        <v>329.16933568432955</v>
      </c>
      <c r="BX9" s="533">
        <f>'Cash Flow'!BX51</f>
        <v>277.72554383766573</v>
      </c>
      <c r="BY9" s="533">
        <f>'Cash Flow'!BY51</f>
        <v>338.96452073059669</v>
      </c>
      <c r="BZ9" s="533">
        <f>'Cash Flow'!BZ51</f>
        <v>411.19698577661728</v>
      </c>
      <c r="CA9" s="501">
        <f>BZ9</f>
        <v>411.19698577661728</v>
      </c>
      <c r="CB9" s="194"/>
      <c r="CC9" s="536">
        <f>'Cash Flow'!CC51</f>
        <v>467.99951866089896</v>
      </c>
      <c r="CD9" s="533">
        <f>'Cash Flow'!CD51</f>
        <v>398.4160391699628</v>
      </c>
      <c r="CE9" s="533">
        <f>'Cash Flow'!CE51</f>
        <v>351.62502394020612</v>
      </c>
      <c r="CF9" s="533">
        <f>'Cash Flow'!CF51</f>
        <v>414.00437005546837</v>
      </c>
      <c r="CG9" s="501">
        <f>CF9</f>
        <v>414.00437005546837</v>
      </c>
      <c r="CM9" s="124"/>
      <c r="CO9"/>
      <c r="CP9"/>
      <c r="CQ9"/>
      <c r="CR9"/>
      <c r="CS9"/>
      <c r="CT9"/>
      <c r="CU9" s="11"/>
    </row>
    <row r="10" spans="1:99" s="7" customFormat="1" ht="11.25" customHeight="1" x14ac:dyDescent="0.2">
      <c r="B10" s="429" t="s">
        <v>264</v>
      </c>
      <c r="C10" s="105">
        <v>617.42700000000002</v>
      </c>
      <c r="D10" s="105">
        <v>637.22900000000004</v>
      </c>
      <c r="E10" s="105">
        <v>764.59</v>
      </c>
      <c r="F10" s="118">
        <v>708.30700000000002</v>
      </c>
      <c r="G10" s="388">
        <f>+F10</f>
        <v>708.30700000000002</v>
      </c>
      <c r="H10" s="39"/>
      <c r="I10" s="524">
        <v>702.51900000000001</v>
      </c>
      <c r="J10" s="511">
        <v>731.49900000000002</v>
      </c>
      <c r="K10" s="511">
        <v>767.30399999999997</v>
      </c>
      <c r="L10" s="512">
        <v>734.02700000000004</v>
      </c>
      <c r="M10" s="388">
        <f>+L10</f>
        <v>734.02700000000004</v>
      </c>
      <c r="N10" s="39"/>
      <c r="O10" s="524">
        <v>677.19299999999998</v>
      </c>
      <c r="P10" s="511">
        <v>730.99599999999998</v>
      </c>
      <c r="Q10" s="511">
        <v>764.28499999999997</v>
      </c>
      <c r="R10" s="512">
        <v>725.39700000000005</v>
      </c>
      <c r="S10" s="388">
        <f>+R10</f>
        <v>725.39700000000005</v>
      </c>
      <c r="T10" s="39"/>
      <c r="U10" s="524">
        <v>803.04399999999998</v>
      </c>
      <c r="V10" s="511">
        <v>829.91700000000003</v>
      </c>
      <c r="W10" s="511">
        <v>923.02599999999995</v>
      </c>
      <c r="X10" s="512">
        <v>885.78399999999999</v>
      </c>
      <c r="Y10" s="388">
        <f>+X10</f>
        <v>885.78399999999999</v>
      </c>
      <c r="Z10" s="39"/>
      <c r="AA10" s="524">
        <v>934.952</v>
      </c>
      <c r="AB10" s="511">
        <v>963.07299999999998</v>
      </c>
      <c r="AC10" s="511">
        <v>983.06</v>
      </c>
      <c r="AD10" s="512">
        <v>888.24800000000005</v>
      </c>
      <c r="AE10" s="388">
        <f>+AD10</f>
        <v>888.24800000000005</v>
      </c>
      <c r="AF10" s="39"/>
      <c r="AG10" s="524">
        <v>957.47</v>
      </c>
      <c r="AH10" s="511">
        <v>972.29200000000003</v>
      </c>
      <c r="AI10" s="511">
        <v>1035.529</v>
      </c>
      <c r="AJ10" s="512">
        <v>1015.194</v>
      </c>
      <c r="AK10" s="388">
        <f>+AJ10</f>
        <v>1015.194</v>
      </c>
      <c r="AL10" s="39"/>
      <c r="AM10" s="524">
        <v>1028.163</v>
      </c>
      <c r="AN10" s="511">
        <v>1039.914</v>
      </c>
      <c r="AO10" s="511">
        <v>1103.2719999999999</v>
      </c>
      <c r="AP10" s="512">
        <v>1055.2159999999999</v>
      </c>
      <c r="AQ10" s="388">
        <f>+AP10</f>
        <v>1055.2159999999999</v>
      </c>
      <c r="AR10" s="39"/>
      <c r="AS10" s="524">
        <v>1116.502</v>
      </c>
      <c r="AT10" s="511">
        <v>1188.143</v>
      </c>
      <c r="AU10" s="511">
        <v>1179.171</v>
      </c>
      <c r="AV10" s="512">
        <v>1127.5170000000001</v>
      </c>
      <c r="AW10" s="388">
        <f>+AV10</f>
        <v>1127.5170000000001</v>
      </c>
      <c r="AX10" s="39"/>
      <c r="AY10" s="524">
        <v>1099.2729999999999</v>
      </c>
      <c r="AZ10" s="511">
        <v>1164.3800000000001</v>
      </c>
      <c r="BA10" s="511">
        <v>1223.636</v>
      </c>
      <c r="BB10" s="512">
        <v>1229.816</v>
      </c>
      <c r="BC10" s="388">
        <f>+BB10</f>
        <v>1229.816</v>
      </c>
      <c r="BD10" s="39"/>
      <c r="BE10" s="238">
        <v>1274.95</v>
      </c>
      <c r="BF10" s="204">
        <v>1296.2249999999999</v>
      </c>
      <c r="BG10" s="204">
        <v>1367.604</v>
      </c>
      <c r="BH10" s="512">
        <v>1254.1389999999999</v>
      </c>
      <c r="BI10" s="388">
        <f>BH10</f>
        <v>1254.1389999999999</v>
      </c>
      <c r="BJ10" s="39"/>
      <c r="BK10" s="238">
        <v>1362.8320000000001</v>
      </c>
      <c r="BL10" s="204">
        <v>1409.06</v>
      </c>
      <c r="BM10" s="204">
        <v>1544.5820000000001</v>
      </c>
      <c r="BN10" s="512">
        <v>1470.047</v>
      </c>
      <c r="BO10" s="388">
        <f>BN10</f>
        <v>1470.047</v>
      </c>
      <c r="BP10" s="39"/>
      <c r="BQ10" s="237">
        <f>BQ74*('P&amp;L'!BQ8/'P&amp;L'!BQ7)</f>
        <v>1392.3498687680649</v>
      </c>
      <c r="BR10" s="39">
        <f>BR74*('P&amp;L'!BR8/'P&amp;L'!BR7)</f>
        <v>1499.2068866497073</v>
      </c>
      <c r="BS10" s="39">
        <f>BS74*('P&amp;L'!BS8/'P&amp;L'!BS7)</f>
        <v>1578.6656287058115</v>
      </c>
      <c r="BT10" s="39">
        <f>BT74*('P&amp;L'!BT8/'P&amp;L'!BT7)</f>
        <v>1592.1676285139242</v>
      </c>
      <c r="BU10" s="388">
        <f>BT10</f>
        <v>1592.1676285139242</v>
      </c>
      <c r="BV10" s="39"/>
      <c r="BW10" s="237">
        <f>BW74*('P&amp;L'!BW8/'P&amp;L'!BW7)</f>
        <v>1481.5773164933512</v>
      </c>
      <c r="BX10" s="39">
        <f>BX74*('P&amp;L'!BX8/'P&amp;L'!BX7)</f>
        <v>1582.6990872718961</v>
      </c>
      <c r="BY10" s="39">
        <f>BY74*('P&amp;L'!BY8/'P&amp;L'!BY7)</f>
        <v>1665.9415374621487</v>
      </c>
      <c r="BZ10" s="39">
        <f>BZ74*('P&amp;L'!BZ8/'P&amp;L'!BZ7)</f>
        <v>1679.4883910984886</v>
      </c>
      <c r="CA10" s="388">
        <f>BZ10</f>
        <v>1679.4883910984886</v>
      </c>
      <c r="CB10" s="39"/>
      <c r="CC10" s="237">
        <f>CC74*('P&amp;L'!CC8/'P&amp;L'!CC7)</f>
        <v>1558.8261751811394</v>
      </c>
      <c r="CD10" s="39">
        <f>CD74*('P&amp;L'!CD8/'P&amp;L'!CD7)</f>
        <v>1665.2536167599694</v>
      </c>
      <c r="CE10" s="39">
        <f>CE74*('P&amp;L'!CE8/'P&amp;L'!CE7)</f>
        <v>1751.940449198032</v>
      </c>
      <c r="CF10" s="39">
        <f>CF74*('P&amp;L'!CF8/'P&amp;L'!CF7)</f>
        <v>1766.02765602558</v>
      </c>
      <c r="CG10" s="388">
        <f>CF10</f>
        <v>1766.02765602558</v>
      </c>
      <c r="CM10" s="124"/>
      <c r="CO10"/>
      <c r="CP10"/>
      <c r="CQ10"/>
      <c r="CR10"/>
      <c r="CS10"/>
      <c r="CT10"/>
      <c r="CU10" s="11"/>
    </row>
    <row r="11" spans="1:99" s="7" customFormat="1" ht="11.25" customHeight="1" x14ac:dyDescent="0.2">
      <c r="B11" s="429" t="s">
        <v>297</v>
      </c>
      <c r="C11" s="105">
        <v>583.23599999999999</v>
      </c>
      <c r="D11" s="105">
        <v>579.47400000000005</v>
      </c>
      <c r="E11" s="105">
        <v>676.55700000000002</v>
      </c>
      <c r="F11" s="118">
        <v>666.78599999999994</v>
      </c>
      <c r="G11" s="388">
        <f>+F11</f>
        <v>666.78599999999994</v>
      </c>
      <c r="H11" s="116"/>
      <c r="I11" s="524">
        <v>701.76700000000005</v>
      </c>
      <c r="J11" s="511">
        <v>693.55600000000004</v>
      </c>
      <c r="K11" s="511">
        <v>731.51400000000001</v>
      </c>
      <c r="L11" s="512">
        <v>731.654</v>
      </c>
      <c r="M11" s="388">
        <f>+L11</f>
        <v>731.654</v>
      </c>
      <c r="N11" s="116"/>
      <c r="O11" s="524">
        <v>740.947</v>
      </c>
      <c r="P11" s="511">
        <v>737.95600000000002</v>
      </c>
      <c r="Q11" s="511">
        <v>770.37</v>
      </c>
      <c r="R11" s="512">
        <v>775.19899999999996</v>
      </c>
      <c r="S11" s="388">
        <f>+R11</f>
        <v>775.19899999999996</v>
      </c>
      <c r="T11" s="116"/>
      <c r="U11" s="524">
        <v>806.11500000000001</v>
      </c>
      <c r="V11" s="511">
        <v>797.60299999999995</v>
      </c>
      <c r="W11" s="511">
        <v>849.54100000000005</v>
      </c>
      <c r="X11" s="512">
        <v>870.20600000000002</v>
      </c>
      <c r="Y11" s="388">
        <f>+X11</f>
        <v>870.20600000000002</v>
      </c>
      <c r="Z11" s="116"/>
      <c r="AA11" s="524">
        <v>930.34100000000001</v>
      </c>
      <c r="AB11" s="511">
        <v>926.72199999999998</v>
      </c>
      <c r="AC11" s="511">
        <v>923.68700000000001</v>
      </c>
      <c r="AD11" s="512">
        <v>947.84900000000005</v>
      </c>
      <c r="AE11" s="388">
        <f>+AD11</f>
        <v>947.84900000000005</v>
      </c>
      <c r="AF11" s="116"/>
      <c r="AG11" s="524">
        <v>975.79700000000003</v>
      </c>
      <c r="AH11" s="511">
        <v>976.99599999999998</v>
      </c>
      <c r="AI11" s="511">
        <v>1070.854</v>
      </c>
      <c r="AJ11" s="512">
        <v>1203.5070000000001</v>
      </c>
      <c r="AK11" s="388">
        <f>+AJ11</f>
        <v>1203.5070000000001</v>
      </c>
      <c r="AL11" s="116"/>
      <c r="AM11" s="524">
        <v>1136.0429999999999</v>
      </c>
      <c r="AN11" s="511">
        <v>1099.0119999999999</v>
      </c>
      <c r="AO11" s="511">
        <v>1123.107</v>
      </c>
      <c r="AP11" s="512">
        <v>1250.403</v>
      </c>
      <c r="AQ11" s="388">
        <f>+AP11</f>
        <v>1250.403</v>
      </c>
      <c r="AR11" s="116"/>
      <c r="AS11" s="524">
        <v>1246.873</v>
      </c>
      <c r="AT11" s="511">
        <v>1257.2349999999999</v>
      </c>
      <c r="AU11" s="511">
        <v>1283.6980000000001</v>
      </c>
      <c r="AV11" s="512">
        <v>1327.796</v>
      </c>
      <c r="AW11" s="388">
        <f>+AV11</f>
        <v>1327.796</v>
      </c>
      <c r="AX11" s="116"/>
      <c r="AY11" s="524">
        <v>1297.825</v>
      </c>
      <c r="AZ11" s="511">
        <v>1314.22</v>
      </c>
      <c r="BA11" s="511">
        <v>1424.923</v>
      </c>
      <c r="BB11" s="512">
        <v>1509.9570000000001</v>
      </c>
      <c r="BC11" s="388">
        <f>+BB11</f>
        <v>1509.9570000000001</v>
      </c>
      <c r="BD11" s="116"/>
      <c r="BE11" s="238">
        <v>1500.3689999999999</v>
      </c>
      <c r="BF11" s="204">
        <v>1482.5070000000001</v>
      </c>
      <c r="BG11" s="204">
        <v>1468.3119999999999</v>
      </c>
      <c r="BH11" s="512">
        <v>1635.75</v>
      </c>
      <c r="BI11" s="388">
        <f>BH11</f>
        <v>1635.75</v>
      </c>
      <c r="BJ11" s="116"/>
      <c r="BK11" s="238">
        <v>1623.9829999999999</v>
      </c>
      <c r="BL11" s="204">
        <v>1567.1590000000001</v>
      </c>
      <c r="BM11" s="204">
        <v>1692.2560000000001</v>
      </c>
      <c r="BN11" s="512">
        <v>1933.8030000000001</v>
      </c>
      <c r="BO11" s="388">
        <f>BN11</f>
        <v>1933.8030000000001</v>
      </c>
      <c r="BP11" s="116"/>
      <c r="BQ11" s="237">
        <f>BQ75*('P&amp;L'!BQ9/'P&amp;L'!BQ7)</f>
        <v>1845.1857707850938</v>
      </c>
      <c r="BR11" s="39">
        <f>BR75*('P&amp;L'!BR9/'P&amp;L'!BR7)</f>
        <v>1834.5873189240413</v>
      </c>
      <c r="BS11" s="39">
        <f>BS75*('P&amp;L'!BS9/'P&amp;L'!BS7)</f>
        <v>1851.0876141669273</v>
      </c>
      <c r="BT11" s="39">
        <f>BT75*('P&amp;L'!BT9/'P&amp;L'!BT7)</f>
        <v>2025.7091810980287</v>
      </c>
      <c r="BU11" s="388">
        <f>BT11</f>
        <v>2025.7091810980287</v>
      </c>
      <c r="BV11" s="116"/>
      <c r="BW11" s="237">
        <f>BW75*('P&amp;L'!BW9/'P&amp;L'!BW7)</f>
        <v>2073.6377320967158</v>
      </c>
      <c r="BX11" s="39">
        <f>BX75*('P&amp;L'!BX9/'P&amp;L'!BX7)</f>
        <v>2062.6944121583797</v>
      </c>
      <c r="BY11" s="39">
        <f>BY75*('P&amp;L'!BY9/'P&amp;L'!BY7)</f>
        <v>2083.109550121671</v>
      </c>
      <c r="BZ11" s="39">
        <f>BZ75*('P&amp;L'!BZ9/'P&amp;L'!BZ7)</f>
        <v>2268.6918823318124</v>
      </c>
      <c r="CA11" s="388">
        <f>BZ11</f>
        <v>2268.6918823318124</v>
      </c>
      <c r="CB11" s="116"/>
      <c r="CC11" s="237">
        <f>CC75*('P&amp;L'!CC9/'P&amp;L'!CC7)</f>
        <v>2304.8642735674389</v>
      </c>
      <c r="CD11" s="39">
        <f>CD75*('P&amp;L'!CD9/'P&amp;L'!CD7)</f>
        <v>2301.2595659965186</v>
      </c>
      <c r="CE11" s="39">
        <f>CE75*('P&amp;L'!CE9/'P&amp;L'!CE7)</f>
        <v>2325.5403132311067</v>
      </c>
      <c r="CF11" s="39">
        <f>CF75*('P&amp;L'!CF9/'P&amp;L'!CF7)</f>
        <v>2522.7113277627191</v>
      </c>
      <c r="CG11" s="388">
        <f>CF11</f>
        <v>2522.7113277627191</v>
      </c>
      <c r="CM11" s="124"/>
      <c r="CO11"/>
      <c r="CP11"/>
      <c r="CQ11"/>
      <c r="CR11"/>
      <c r="CS11"/>
      <c r="CT11"/>
      <c r="CU11" s="11"/>
    </row>
    <row r="12" spans="1:99" s="7" customFormat="1" ht="11.25" customHeight="1" x14ac:dyDescent="0.2">
      <c r="B12" s="429" t="s">
        <v>265</v>
      </c>
      <c r="C12" s="105">
        <v>29.992000000000001</v>
      </c>
      <c r="D12" s="105">
        <v>29.338000000000001</v>
      </c>
      <c r="E12" s="105">
        <v>31.742000000000001</v>
      </c>
      <c r="F12" s="118">
        <v>32.826999999999998</v>
      </c>
      <c r="G12" s="388">
        <f>+F12</f>
        <v>32.826999999999998</v>
      </c>
      <c r="H12" s="39"/>
      <c r="I12" s="524">
        <v>37.328000000000003</v>
      </c>
      <c r="J12" s="511">
        <v>36.203000000000003</v>
      </c>
      <c r="K12" s="511">
        <v>32.340000000000003</v>
      </c>
      <c r="L12" s="512">
        <v>36.973999999999997</v>
      </c>
      <c r="M12" s="388">
        <f>+L12</f>
        <v>36.973999999999997</v>
      </c>
      <c r="N12" s="39"/>
      <c r="O12" s="524">
        <v>37.386000000000003</v>
      </c>
      <c r="P12" s="511">
        <v>38.667000000000002</v>
      </c>
      <c r="Q12" s="511">
        <v>40.747</v>
      </c>
      <c r="R12" s="512">
        <v>48.000999999999998</v>
      </c>
      <c r="S12" s="388">
        <f>+R12</f>
        <v>48.000999999999998</v>
      </c>
      <c r="T12" s="39"/>
      <c r="U12" s="524">
        <v>44.445</v>
      </c>
      <c r="V12" s="511">
        <v>42.933999999999997</v>
      </c>
      <c r="W12" s="511">
        <v>40.86</v>
      </c>
      <c r="X12" s="512">
        <v>48.951000000000001</v>
      </c>
      <c r="Y12" s="388">
        <f>+X12</f>
        <v>48.951000000000001</v>
      </c>
      <c r="Z12" s="39"/>
      <c r="AA12" s="524">
        <v>51.363</v>
      </c>
      <c r="AB12" s="511">
        <v>54.177999999999997</v>
      </c>
      <c r="AC12" s="511">
        <v>54.107999999999997</v>
      </c>
      <c r="AD12" s="512">
        <v>54.97</v>
      </c>
      <c r="AE12" s="388">
        <f>+AD12</f>
        <v>54.97</v>
      </c>
      <c r="AF12" s="39"/>
      <c r="AG12" s="524">
        <v>54.552999999999997</v>
      </c>
      <c r="AH12" s="511">
        <v>60.692999999999998</v>
      </c>
      <c r="AI12" s="511">
        <v>59.429000000000002</v>
      </c>
      <c r="AJ12" s="512">
        <v>64.049000000000007</v>
      </c>
      <c r="AK12" s="388">
        <f>+AJ12</f>
        <v>64.049000000000007</v>
      </c>
      <c r="AL12" s="39"/>
      <c r="AM12" s="524">
        <v>65.070999999999998</v>
      </c>
      <c r="AN12" s="511">
        <v>63.085000000000001</v>
      </c>
      <c r="AO12" s="511">
        <v>66.766000000000005</v>
      </c>
      <c r="AP12" s="512">
        <v>63.865000000000002</v>
      </c>
      <c r="AQ12" s="388">
        <f>+AP12</f>
        <v>63.865000000000002</v>
      </c>
      <c r="AR12" s="39"/>
      <c r="AS12" s="524">
        <v>77.388000000000005</v>
      </c>
      <c r="AT12" s="511">
        <v>66.430999999999997</v>
      </c>
      <c r="AU12" s="511">
        <v>69.471999999999994</v>
      </c>
      <c r="AV12" s="512">
        <v>56.591000000000001</v>
      </c>
      <c r="AW12" s="388">
        <f>+AV12</f>
        <v>56.591000000000001</v>
      </c>
      <c r="AX12" s="39"/>
      <c r="AY12" s="524">
        <v>52.619</v>
      </c>
      <c r="AZ12" s="511">
        <v>57.534999999999997</v>
      </c>
      <c r="BA12" s="511">
        <v>54.338999999999999</v>
      </c>
      <c r="BB12" s="512">
        <v>58.158999999999999</v>
      </c>
      <c r="BC12" s="388">
        <f>+BB12</f>
        <v>58.158999999999999</v>
      </c>
      <c r="BD12" s="39"/>
      <c r="BE12" s="238">
        <v>60.104999999999997</v>
      </c>
      <c r="BF12" s="204">
        <v>57.642000000000003</v>
      </c>
      <c r="BG12" s="204">
        <v>0</v>
      </c>
      <c r="BH12" s="512">
        <v>0</v>
      </c>
      <c r="BI12" s="388">
        <f>BH12</f>
        <v>0</v>
      </c>
      <c r="BJ12" s="39"/>
      <c r="BK12" s="238">
        <v>0</v>
      </c>
      <c r="BL12" s="204">
        <v>0</v>
      </c>
      <c r="BM12" s="204">
        <v>0</v>
      </c>
      <c r="BN12" s="512">
        <v>0</v>
      </c>
      <c r="BO12" s="388">
        <f>BN12</f>
        <v>0</v>
      </c>
      <c r="BP12" s="39"/>
      <c r="BQ12" s="537">
        <f>+BN12</f>
        <v>0</v>
      </c>
      <c r="BR12" s="206">
        <f>BQ12</f>
        <v>0</v>
      </c>
      <c r="BS12" s="206">
        <f>BR12</f>
        <v>0</v>
      </c>
      <c r="BT12" s="206">
        <f>BS12</f>
        <v>0</v>
      </c>
      <c r="BU12" s="388">
        <f>BT12</f>
        <v>0</v>
      </c>
      <c r="BV12" s="39"/>
      <c r="BW12" s="537">
        <f>+BT12</f>
        <v>0</v>
      </c>
      <c r="BX12" s="206">
        <f>BW12</f>
        <v>0</v>
      </c>
      <c r="BY12" s="206">
        <f>BX12</f>
        <v>0</v>
      </c>
      <c r="BZ12" s="206">
        <f>BY12</f>
        <v>0</v>
      </c>
      <c r="CA12" s="388">
        <f>BZ12</f>
        <v>0</v>
      </c>
      <c r="CB12" s="39"/>
      <c r="CC12" s="537">
        <f>+BZ12</f>
        <v>0</v>
      </c>
      <c r="CD12" s="206">
        <f>CC12</f>
        <v>0</v>
      </c>
      <c r="CE12" s="206">
        <f>CD12</f>
        <v>0</v>
      </c>
      <c r="CF12" s="206">
        <f>CE12</f>
        <v>0</v>
      </c>
      <c r="CG12" s="388">
        <f>CF12</f>
        <v>0</v>
      </c>
      <c r="CM12" s="124"/>
      <c r="CO12"/>
      <c r="CP12"/>
      <c r="CQ12"/>
      <c r="CR12"/>
      <c r="CS12"/>
      <c r="CT12"/>
      <c r="CU12" s="11"/>
    </row>
    <row r="13" spans="1:99" s="7" customFormat="1" ht="11.25" customHeight="1" x14ac:dyDescent="0.2">
      <c r="B13" s="429" t="s">
        <v>298</v>
      </c>
      <c r="C13" s="105">
        <f>119.169+47.499</f>
        <v>166.66800000000001</v>
      </c>
      <c r="D13" s="105">
        <f>123.846+88</f>
        <v>211.846</v>
      </c>
      <c r="E13" s="105">
        <f>145.372+27.75</f>
        <v>173.12200000000001</v>
      </c>
      <c r="F13" s="118">
        <f>192.292+0.997</f>
        <v>193.28900000000002</v>
      </c>
      <c r="G13" s="388">
        <f>+F13</f>
        <v>193.28900000000002</v>
      </c>
      <c r="H13" s="39"/>
      <c r="I13" s="524">
        <f>192.727+35.925</f>
        <v>228.65199999999999</v>
      </c>
      <c r="J13" s="511">
        <f>186.508+11.925</f>
        <v>198.43300000000002</v>
      </c>
      <c r="K13" s="511">
        <v>194.74</v>
      </c>
      <c r="L13" s="512">
        <v>193.84100000000001</v>
      </c>
      <c r="M13" s="388">
        <f>+L13</f>
        <v>193.84100000000001</v>
      </c>
      <c r="N13" s="39"/>
      <c r="O13" s="524">
        <v>176.63399999999999</v>
      </c>
      <c r="P13" s="511">
        <v>187.798</v>
      </c>
      <c r="Q13" s="511">
        <v>186.744</v>
      </c>
      <c r="R13" s="512">
        <v>183.78200000000001</v>
      </c>
      <c r="S13" s="388">
        <f>+R13</f>
        <v>183.78200000000001</v>
      </c>
      <c r="T13" s="39"/>
      <c r="U13" s="524">
        <f>183.4+26.98</f>
        <v>210.38</v>
      </c>
      <c r="V13" s="511">
        <f>205.986+14.989</f>
        <v>220.97499999999999</v>
      </c>
      <c r="W13" s="511">
        <v>230.61699999999999</v>
      </c>
      <c r="X13" s="512">
        <v>214.01300000000001</v>
      </c>
      <c r="Y13" s="388">
        <f>+X13</f>
        <v>214.01300000000001</v>
      </c>
      <c r="Z13" s="39"/>
      <c r="AA13" s="524">
        <v>228.143</v>
      </c>
      <c r="AB13" s="511">
        <v>243.24799999999999</v>
      </c>
      <c r="AC13" s="511">
        <v>249.405</v>
      </c>
      <c r="AD13" s="512">
        <v>234.15700000000001</v>
      </c>
      <c r="AE13" s="388">
        <f>+AD13</f>
        <v>234.15700000000001</v>
      </c>
      <c r="AF13" s="39"/>
      <c r="AG13" s="524">
        <v>217.37700000000001</v>
      </c>
      <c r="AH13" s="511">
        <v>233.267</v>
      </c>
      <c r="AI13" s="511">
        <v>257.03100000000001</v>
      </c>
      <c r="AJ13" s="512">
        <v>299.54700000000003</v>
      </c>
      <c r="AK13" s="388">
        <f>+AJ13</f>
        <v>299.54700000000003</v>
      </c>
      <c r="AL13" s="39"/>
      <c r="AM13" s="524">
        <v>265.57600000000002</v>
      </c>
      <c r="AN13" s="511">
        <v>292.416</v>
      </c>
      <c r="AO13" s="511">
        <v>272.36</v>
      </c>
      <c r="AP13" s="512">
        <v>276.565</v>
      </c>
      <c r="AQ13" s="388">
        <f>+AP13</f>
        <v>276.565</v>
      </c>
      <c r="AR13" s="39"/>
      <c r="AS13" s="524">
        <v>307.02800000000002</v>
      </c>
      <c r="AT13" s="511">
        <v>310.49599999999998</v>
      </c>
      <c r="AU13" s="511">
        <v>319.35399999999998</v>
      </c>
      <c r="AV13" s="512">
        <v>311.78800000000001</v>
      </c>
      <c r="AW13" s="388">
        <f>+AV13</f>
        <v>311.78800000000001</v>
      </c>
      <c r="AX13" s="39"/>
      <c r="AY13" s="524">
        <v>293.33499999999998</v>
      </c>
      <c r="AZ13" s="511">
        <v>322.13400000000001</v>
      </c>
      <c r="BA13" s="511">
        <v>356.79399999999998</v>
      </c>
      <c r="BB13" s="512">
        <v>361.08199999999999</v>
      </c>
      <c r="BC13" s="388">
        <f>+BB13</f>
        <v>361.08199999999999</v>
      </c>
      <c r="BD13" s="39"/>
      <c r="BE13" s="238">
        <v>363.96499999999997</v>
      </c>
      <c r="BF13" s="204">
        <v>377.65699999999998</v>
      </c>
      <c r="BG13" s="204">
        <v>373.84699999999998</v>
      </c>
      <c r="BH13" s="512">
        <v>360.51</v>
      </c>
      <c r="BI13" s="388">
        <f>BH13</f>
        <v>360.51</v>
      </c>
      <c r="BJ13" s="39"/>
      <c r="BK13" s="238">
        <v>342.55399999999997</v>
      </c>
      <c r="BL13" s="204">
        <v>412.904</v>
      </c>
      <c r="BM13" s="204">
        <v>465.81200000000001</v>
      </c>
      <c r="BN13" s="512">
        <v>454.75200000000001</v>
      </c>
      <c r="BO13" s="388">
        <f>BN13</f>
        <v>454.75200000000001</v>
      </c>
      <c r="BP13" s="39"/>
      <c r="BQ13" s="237">
        <f>BQ87*('P&amp;L'!BQ8*4)</f>
        <v>430.10259796000008</v>
      </c>
      <c r="BR13" s="39">
        <f>BR87*('P&amp;L'!BR8*4)</f>
        <v>457.77481960000006</v>
      </c>
      <c r="BS13" s="39">
        <f>BS87*('P&amp;L'!BS8*4)</f>
        <v>467.63096239999999</v>
      </c>
      <c r="BT13" s="39">
        <f>BT87*('P&amp;L'!BT8*4)</f>
        <v>484.87691560000002</v>
      </c>
      <c r="BU13" s="388">
        <f>BT13</f>
        <v>484.87691560000002</v>
      </c>
      <c r="BV13" s="39"/>
      <c r="BW13" s="237">
        <f>BW87*('P&amp;L'!BW8*4)</f>
        <v>452.12315269660002</v>
      </c>
      <c r="BX13" s="39">
        <f>BX87*('P&amp;L'!BX8*4)</f>
        <v>477.54595021699998</v>
      </c>
      <c r="BY13" s="39">
        <f>BY87*('P&amp;L'!BY8*4)</f>
        <v>487.87360510700006</v>
      </c>
      <c r="BZ13" s="39">
        <f>BZ87*('P&amp;L'!BZ8*4)</f>
        <v>505.49345625800009</v>
      </c>
      <c r="CA13" s="388">
        <f>BZ13</f>
        <v>505.49345625800009</v>
      </c>
      <c r="CB13" s="39"/>
      <c r="CC13" s="237">
        <f>CC87*('P&amp;L'!CC8*4)</f>
        <v>470.00507526265312</v>
      </c>
      <c r="CD13" s="39">
        <f>CD87*('P&amp;L'!CD8*4)</f>
        <v>496.57469836187505</v>
      </c>
      <c r="CE13" s="39">
        <f>CE87*('P&amp;L'!CE8*4)</f>
        <v>507.29139906420488</v>
      </c>
      <c r="CF13" s="39">
        <f>CF87*('P&amp;L'!CF8*4)</f>
        <v>525.40129321280995</v>
      </c>
      <c r="CG13" s="388">
        <f>CF13</f>
        <v>525.40129321280995</v>
      </c>
      <c r="CM13" s="124"/>
      <c r="CO13"/>
      <c r="CP13"/>
      <c r="CQ13"/>
      <c r="CR13"/>
      <c r="CS13"/>
      <c r="CT13"/>
      <c r="CU13" s="11"/>
    </row>
    <row r="14" spans="1:99" s="7" customFormat="1" ht="11.25" customHeight="1" x14ac:dyDescent="0.2">
      <c r="B14" s="492" t="s">
        <v>36</v>
      </c>
      <c r="C14" s="41">
        <f>SUM(C9:C13)</f>
        <v>1551.779</v>
      </c>
      <c r="D14" s="41">
        <f>SUM(D9:D13)</f>
        <v>1648.8579999999999</v>
      </c>
      <c r="E14" s="41">
        <f>SUM(E9:E13)</f>
        <v>1853.4690000000001</v>
      </c>
      <c r="F14" s="41">
        <f>SUM(F9:F13)</f>
        <v>1848.799</v>
      </c>
      <c r="G14" s="502">
        <f>SUM(G9:G13)</f>
        <v>1848.799</v>
      </c>
      <c r="H14" s="66"/>
      <c r="I14" s="526">
        <f>SUM(I9:I13)</f>
        <v>1873.3020000000001</v>
      </c>
      <c r="J14" s="40">
        <f>SUM(J9:J13)</f>
        <v>1931.123</v>
      </c>
      <c r="K14" s="40">
        <f>SUM(K9:K13)</f>
        <v>2014.2619999999997</v>
      </c>
      <c r="L14" s="513">
        <f>SUM(L9:L13)</f>
        <v>2066.0659999999998</v>
      </c>
      <c r="M14" s="502">
        <f>SUM(M9:M13)</f>
        <v>2066.0659999999998</v>
      </c>
      <c r="N14" s="66"/>
      <c r="O14" s="526">
        <f>SUM(O9:O13)</f>
        <v>1940.3159999999998</v>
      </c>
      <c r="P14" s="40">
        <f>SUM(P9:P13)</f>
        <v>2089.29</v>
      </c>
      <c r="Q14" s="40">
        <f>SUM(Q9:Q13)</f>
        <v>2079.7530000000002</v>
      </c>
      <c r="R14" s="513">
        <f>SUM(R9:R13)</f>
        <v>2203.5329999999999</v>
      </c>
      <c r="S14" s="502">
        <f>SUM(S9:S13)</f>
        <v>2203.5329999999999</v>
      </c>
      <c r="T14" s="66"/>
      <c r="U14" s="526">
        <f>SUM(U9:U13)</f>
        <v>2219.3719999999998</v>
      </c>
      <c r="V14" s="40">
        <f>SUM(V9:V13)</f>
        <v>2212.5450000000001</v>
      </c>
      <c r="W14" s="40">
        <f>SUM(W9:W13)</f>
        <v>2247.7739999999999</v>
      </c>
      <c r="X14" s="513">
        <f>SUM(X9:X13)</f>
        <v>2169.3020000000001</v>
      </c>
      <c r="Y14" s="502">
        <f>SUM(Y9:Y13)</f>
        <v>2169.3020000000001</v>
      </c>
      <c r="Z14" s="66"/>
      <c r="AA14" s="526">
        <f>SUM(AA9:AA13)</f>
        <v>2261.511</v>
      </c>
      <c r="AB14" s="40">
        <f>SUM(AB9:AB13)</f>
        <v>2349.0099999999998</v>
      </c>
      <c r="AC14" s="40">
        <f>SUM(AC9:AC13)</f>
        <v>2317.1320000000005</v>
      </c>
      <c r="AD14" s="513">
        <f>SUM(AD9:AD13)</f>
        <v>2272.5080000000003</v>
      </c>
      <c r="AE14" s="502">
        <f>SUM(AE9:AE13)</f>
        <v>2272.5080000000003</v>
      </c>
      <c r="AF14" s="66"/>
      <c r="AG14" s="526">
        <f>SUM(AG9:AG13)</f>
        <v>2307.0100000000002</v>
      </c>
      <c r="AH14" s="40">
        <f>SUM(AH9:AH13)</f>
        <v>2331.1440000000002</v>
      </c>
      <c r="AI14" s="40">
        <f>SUM(AI9:AI13)</f>
        <v>2512.1790000000001</v>
      </c>
      <c r="AJ14" s="513">
        <f>SUM(AJ9:AJ13)</f>
        <v>2704.377</v>
      </c>
      <c r="AK14" s="502">
        <f>SUM(AK9:AK13)</f>
        <v>2704.377</v>
      </c>
      <c r="AL14" s="66"/>
      <c r="AM14" s="526">
        <f>SUM(AM9:AM13)</f>
        <v>2585.415</v>
      </c>
      <c r="AN14" s="40">
        <f>SUM(AN9:AN13)</f>
        <v>2573.2660000000001</v>
      </c>
      <c r="AO14" s="40">
        <f>SUM(AO9:AO13)</f>
        <v>2635.42</v>
      </c>
      <c r="AP14" s="513">
        <f>SUM(AP9:AP13)</f>
        <v>2834.6649999999995</v>
      </c>
      <c r="AQ14" s="502">
        <f>SUM(AQ9:AQ13)</f>
        <v>2834.6649999999995</v>
      </c>
      <c r="AR14" s="66"/>
      <c r="AS14" s="526">
        <f>SUM(AS9:AS13)</f>
        <v>2876.9059999999999</v>
      </c>
      <c r="AT14" s="40">
        <f>SUM(AT9:AT13)</f>
        <v>2912.0030000000002</v>
      </c>
      <c r="AU14" s="40">
        <f>SUM(AU9:AU13)</f>
        <v>2928.2370000000001</v>
      </c>
      <c r="AV14" s="513">
        <f>SUM(AV9:AV13)</f>
        <v>2913.1660000000002</v>
      </c>
      <c r="AW14" s="502">
        <f>SUM(AW9:AW13)</f>
        <v>2913.1660000000002</v>
      </c>
      <c r="AX14" s="66"/>
      <c r="AY14" s="526">
        <f>SUM(AY9:AY13)</f>
        <v>2802.2540000000004</v>
      </c>
      <c r="AZ14" s="40">
        <f>SUM(AZ9:AZ13)</f>
        <v>2905.337</v>
      </c>
      <c r="BA14" s="40">
        <f>SUM(BA9:BA13)</f>
        <v>3120.1729999999998</v>
      </c>
      <c r="BB14" s="513">
        <f>SUM(BB9:BB13)</f>
        <v>3231.1000000000004</v>
      </c>
      <c r="BC14" s="502">
        <f>SUM(BC9:BC13)</f>
        <v>3231.1000000000004</v>
      </c>
      <c r="BD14" s="66"/>
      <c r="BE14" s="526">
        <f>SUM(BE9:BE13)</f>
        <v>3271.0030000000002</v>
      </c>
      <c r="BF14" s="40">
        <f>SUM(BF9:BF13)</f>
        <v>3277.5909999999999</v>
      </c>
      <c r="BG14" s="40">
        <f>SUM(BG9:BG13)</f>
        <v>3285.9549999999999</v>
      </c>
      <c r="BH14" s="513">
        <f>SUM(BH9:BH13)</f>
        <v>3312.7799999999997</v>
      </c>
      <c r="BI14" s="502">
        <f>SUM(BI9:BI13)</f>
        <v>3312.7799999999997</v>
      </c>
      <c r="BJ14" s="66"/>
      <c r="BK14" s="526">
        <f>SUM(BK9:BK13)</f>
        <v>3392.2570000000001</v>
      </c>
      <c r="BL14" s="40">
        <f>SUM(BL9:BL13)</f>
        <v>3463.777</v>
      </c>
      <c r="BM14" s="40">
        <f>SUM(BM9:BM13)</f>
        <v>3782.529</v>
      </c>
      <c r="BN14" s="513">
        <f>SUM(BN9:BN13)</f>
        <v>4033.2599999999998</v>
      </c>
      <c r="BO14" s="502">
        <f>SUM(BO9:BO13)</f>
        <v>4033.2599999999998</v>
      </c>
      <c r="BP14" s="66"/>
      <c r="BQ14" s="526">
        <f>SUM(BQ9:BQ13)</f>
        <v>3830.0882512267535</v>
      </c>
      <c r="BR14" s="40">
        <f>SUM(BR9:BR13)</f>
        <v>3916.9237607844516</v>
      </c>
      <c r="BS14" s="40">
        <f>SUM(BS9:BS13)</f>
        <v>4095.6325813977905</v>
      </c>
      <c r="BT14" s="40">
        <f>SUM(BT9:BT13)</f>
        <v>4384.7397407795615</v>
      </c>
      <c r="BU14" s="502">
        <f>SUM(BU9:BU13)</f>
        <v>4384.7397407795615</v>
      </c>
      <c r="BV14" s="66"/>
      <c r="BW14" s="526">
        <f>SUM(BW9:BW13)</f>
        <v>4336.5075369709966</v>
      </c>
      <c r="BX14" s="40">
        <f>SUM(BX9:BX13)</f>
        <v>4400.6649934849411</v>
      </c>
      <c r="BY14" s="40">
        <f>SUM(BY9:BY13)</f>
        <v>4575.8892134214166</v>
      </c>
      <c r="BZ14" s="40">
        <f>SUM(BZ9:BZ13)</f>
        <v>4864.8707154649182</v>
      </c>
      <c r="CA14" s="502">
        <f>SUM(CA9:CA13)</f>
        <v>4864.8707154649182</v>
      </c>
      <c r="CB14" s="66"/>
      <c r="CC14" s="526">
        <f>SUM(CC9:CC13)</f>
        <v>4801.6950426721305</v>
      </c>
      <c r="CD14" s="40">
        <f>SUM(CD9:CD13)</f>
        <v>4861.5039202883254</v>
      </c>
      <c r="CE14" s="40">
        <f>SUM(CE9:CE13)</f>
        <v>4936.3971854335496</v>
      </c>
      <c r="CF14" s="40">
        <f>SUM(CF9:CF13)</f>
        <v>5228.144647056577</v>
      </c>
      <c r="CG14" s="502">
        <f>SUM(CG9:CG13)</f>
        <v>5228.144647056577</v>
      </c>
      <c r="CM14" s="124"/>
      <c r="CO14"/>
      <c r="CP14"/>
      <c r="CQ14"/>
      <c r="CR14"/>
      <c r="CS14"/>
      <c r="CT14"/>
      <c r="CU14" s="11"/>
    </row>
    <row r="15" spans="1:99" s="7" customFormat="1" ht="11.25" customHeight="1" x14ac:dyDescent="0.2">
      <c r="B15" s="426"/>
      <c r="C15" s="38"/>
      <c r="D15" s="38"/>
      <c r="E15" s="38"/>
      <c r="F15" s="38"/>
      <c r="G15" s="388"/>
      <c r="H15" s="40"/>
      <c r="I15" s="237"/>
      <c r="J15" s="39"/>
      <c r="K15" s="39"/>
      <c r="L15" s="514"/>
      <c r="M15" s="388"/>
      <c r="N15" s="40"/>
      <c r="O15" s="237"/>
      <c r="P15" s="39"/>
      <c r="Q15" s="39"/>
      <c r="R15" s="514"/>
      <c r="S15" s="388"/>
      <c r="T15" s="40"/>
      <c r="U15" s="237"/>
      <c r="V15" s="39"/>
      <c r="W15" s="39"/>
      <c r="X15" s="514"/>
      <c r="Y15" s="388"/>
      <c r="Z15" s="40"/>
      <c r="AA15" s="237"/>
      <c r="AB15" s="39"/>
      <c r="AC15" s="39"/>
      <c r="AD15" s="514"/>
      <c r="AE15" s="388"/>
      <c r="AF15" s="40"/>
      <c r="AG15" s="237"/>
      <c r="AH15" s="39"/>
      <c r="AI15" s="39"/>
      <c r="AJ15" s="514"/>
      <c r="AK15" s="388"/>
      <c r="AL15" s="40"/>
      <c r="AM15" s="237"/>
      <c r="AN15" s="39"/>
      <c r="AO15" s="39"/>
      <c r="AP15" s="514"/>
      <c r="AQ15" s="388"/>
      <c r="AR15" s="40"/>
      <c r="AS15" s="237"/>
      <c r="AT15" s="39"/>
      <c r="AU15" s="39"/>
      <c r="AV15" s="514"/>
      <c r="AW15" s="388"/>
      <c r="AX15" s="40"/>
      <c r="AY15" s="237"/>
      <c r="AZ15" s="39"/>
      <c r="BA15" s="39"/>
      <c r="BB15" s="514"/>
      <c r="BC15" s="388"/>
      <c r="BD15" s="40"/>
      <c r="BE15" s="237"/>
      <c r="BF15" s="39"/>
      <c r="BG15" s="39"/>
      <c r="BH15" s="514"/>
      <c r="BI15" s="388"/>
      <c r="BJ15" s="40"/>
      <c r="BK15" s="237"/>
      <c r="BL15" s="39"/>
      <c r="BM15" s="39"/>
      <c r="BN15" s="514"/>
      <c r="BO15" s="388"/>
      <c r="BP15" s="40"/>
      <c r="BQ15" s="237"/>
      <c r="BR15" s="39"/>
      <c r="BS15" s="39"/>
      <c r="BT15" s="39"/>
      <c r="BU15" s="388"/>
      <c r="BV15" s="40"/>
      <c r="BW15" s="237"/>
      <c r="BX15" s="39"/>
      <c r="BY15" s="39"/>
      <c r="BZ15" s="39"/>
      <c r="CA15" s="388"/>
      <c r="CB15" s="40"/>
      <c r="CC15" s="237"/>
      <c r="CD15" s="39"/>
      <c r="CE15" s="39"/>
      <c r="CF15" s="39"/>
      <c r="CG15" s="388"/>
      <c r="CM15" s="124"/>
      <c r="CO15"/>
      <c r="CP15"/>
      <c r="CQ15"/>
      <c r="CR15"/>
      <c r="CS15"/>
      <c r="CT15"/>
      <c r="CU15" s="11"/>
    </row>
    <row r="16" spans="1:99" s="7" customFormat="1" ht="11.25" customHeight="1" x14ac:dyDescent="0.2">
      <c r="B16" s="429" t="s">
        <v>266</v>
      </c>
      <c r="C16" s="105">
        <v>221.23400000000001</v>
      </c>
      <c r="D16" s="105">
        <v>223.227</v>
      </c>
      <c r="E16" s="105">
        <v>236.309</v>
      </c>
      <c r="F16" s="105">
        <v>247.67099999999999</v>
      </c>
      <c r="G16" s="388">
        <f>+F16</f>
        <v>247.67099999999999</v>
      </c>
      <c r="H16" s="116"/>
      <c r="I16" s="524">
        <v>255.76499999999999</v>
      </c>
      <c r="J16" s="511">
        <v>254.11</v>
      </c>
      <c r="K16" s="511">
        <v>247.345</v>
      </c>
      <c r="L16" s="515">
        <v>247.83500000000001</v>
      </c>
      <c r="M16" s="388">
        <f>+L16</f>
        <v>247.83500000000001</v>
      </c>
      <c r="N16" s="116"/>
      <c r="O16" s="524">
        <v>242.17500000000001</v>
      </c>
      <c r="P16" s="511">
        <v>254.00800000000001</v>
      </c>
      <c r="Q16" s="511">
        <v>257.60199999999998</v>
      </c>
      <c r="R16" s="515">
        <v>259.57600000000002</v>
      </c>
      <c r="S16" s="388">
        <f>+R16</f>
        <v>259.57600000000002</v>
      </c>
      <c r="T16" s="116"/>
      <c r="U16" s="524">
        <v>249.72</v>
      </c>
      <c r="V16" s="511">
        <v>248.233</v>
      </c>
      <c r="W16" s="511">
        <v>254.00399999999999</v>
      </c>
      <c r="X16" s="515">
        <v>252.57300000000001</v>
      </c>
      <c r="Y16" s="388">
        <f>+X16</f>
        <v>252.57300000000001</v>
      </c>
      <c r="Z16" s="116"/>
      <c r="AA16" s="524">
        <v>271.75</v>
      </c>
      <c r="AB16" s="511">
        <v>270.02100000000002</v>
      </c>
      <c r="AC16" s="511">
        <v>262.50200000000001</v>
      </c>
      <c r="AD16" s="515">
        <v>262.08800000000002</v>
      </c>
      <c r="AE16" s="388">
        <f>+AD16</f>
        <v>262.08800000000002</v>
      </c>
      <c r="AF16" s="116"/>
      <c r="AG16" s="524">
        <v>259.76</v>
      </c>
      <c r="AH16" s="511">
        <v>255.715</v>
      </c>
      <c r="AI16" s="511">
        <v>258.68299999999999</v>
      </c>
      <c r="AJ16" s="515">
        <v>273.45800000000003</v>
      </c>
      <c r="AK16" s="388">
        <f>+AJ16</f>
        <v>273.45800000000003</v>
      </c>
      <c r="AL16" s="116"/>
      <c r="AM16" s="524">
        <v>262.82499999999999</v>
      </c>
      <c r="AN16" s="511">
        <v>256.77499999999998</v>
      </c>
      <c r="AO16" s="511">
        <v>265.27300000000002</v>
      </c>
      <c r="AP16" s="515">
        <v>275.88799999999998</v>
      </c>
      <c r="AQ16" s="388">
        <f>+AP16</f>
        <v>275.88799999999998</v>
      </c>
      <c r="AR16" s="116"/>
      <c r="AS16" s="524">
        <v>285.52800000000002</v>
      </c>
      <c r="AT16" s="511">
        <v>292.97199999999998</v>
      </c>
      <c r="AU16" s="511">
        <v>303.15699999999998</v>
      </c>
      <c r="AV16" s="515">
        <v>311.49599999999998</v>
      </c>
      <c r="AW16" s="388">
        <f>+AV16</f>
        <v>311.49599999999998</v>
      </c>
      <c r="AX16" s="116"/>
      <c r="AY16" s="524">
        <v>292.04399999999998</v>
      </c>
      <c r="AZ16" s="511">
        <v>310.33300000000003</v>
      </c>
      <c r="BA16" s="511">
        <v>311.89100000000002</v>
      </c>
      <c r="BB16" s="515">
        <v>318.476</v>
      </c>
      <c r="BC16" s="388">
        <f>+BB16</f>
        <v>318.476</v>
      </c>
      <c r="BD16" s="116"/>
      <c r="BE16" s="238">
        <v>324.28300000000002</v>
      </c>
      <c r="BF16" s="204">
        <v>320.09800000000001</v>
      </c>
      <c r="BG16" s="204">
        <v>324.108</v>
      </c>
      <c r="BH16" s="515">
        <v>333.90600000000001</v>
      </c>
      <c r="BI16" s="388">
        <f>BH16</f>
        <v>333.90600000000001</v>
      </c>
      <c r="BJ16" s="116"/>
      <c r="BK16" s="238">
        <v>336.46499999999997</v>
      </c>
      <c r="BL16" s="204">
        <v>351.38099999999997</v>
      </c>
      <c r="BM16" s="204">
        <v>361.70800000000003</v>
      </c>
      <c r="BN16" s="515">
        <v>375.00099999999998</v>
      </c>
      <c r="BO16" s="388">
        <f>BN16</f>
        <v>375.00099999999998</v>
      </c>
      <c r="BP16" s="116"/>
      <c r="BQ16" s="237">
        <f>+BQ116</f>
        <v>372.98180239800001</v>
      </c>
      <c r="BR16" s="39">
        <f>+BR116</f>
        <v>371.83546904292245</v>
      </c>
      <c r="BS16" s="39">
        <f>+BS116</f>
        <v>370.63833522956986</v>
      </c>
      <c r="BT16" s="39">
        <f>+BT116</f>
        <v>369.74818730836728</v>
      </c>
      <c r="BU16" s="388">
        <f>BT16</f>
        <v>369.74818730836728</v>
      </c>
      <c r="BV16" s="116"/>
      <c r="BW16" s="237">
        <f>+BW116</f>
        <v>366.6445599047197</v>
      </c>
      <c r="BX16" s="39">
        <f>+BX116</f>
        <v>364.27517613326495</v>
      </c>
      <c r="BY16" s="39">
        <f>+BY116</f>
        <v>361.8550892904276</v>
      </c>
      <c r="BZ16" s="39">
        <f>+BZ116</f>
        <v>359.73664509907564</v>
      </c>
      <c r="CA16" s="388">
        <f>BZ16</f>
        <v>359.73664509907564</v>
      </c>
      <c r="CB16" s="116"/>
      <c r="CC16" s="237">
        <f>+CC116</f>
        <v>355.24350837864995</v>
      </c>
      <c r="CD16" s="39">
        <f>+CD116</f>
        <v>351.5207217863109</v>
      </c>
      <c r="CE16" s="39">
        <f>+CE116</f>
        <v>347.74408777478379</v>
      </c>
      <c r="CF16" s="39">
        <f>+CF116</f>
        <v>344.27053993429797</v>
      </c>
      <c r="CG16" s="388">
        <f>CF16</f>
        <v>344.27053993429797</v>
      </c>
      <c r="CM16" s="124"/>
      <c r="CO16"/>
      <c r="CP16"/>
      <c r="CQ16"/>
      <c r="CR16"/>
      <c r="CS16"/>
      <c r="CT16"/>
      <c r="CU16" s="11"/>
    </row>
    <row r="17" spans="2:99" s="7" customFormat="1" ht="11.25" customHeight="1" x14ac:dyDescent="0.2">
      <c r="B17" s="429" t="s">
        <v>37</v>
      </c>
      <c r="C17" s="105">
        <v>787.01800000000003</v>
      </c>
      <c r="D17" s="105">
        <v>771.83399999999995</v>
      </c>
      <c r="E17" s="105">
        <v>887.28499999999997</v>
      </c>
      <c r="F17" s="105">
        <v>917.19399999999996</v>
      </c>
      <c r="G17" s="388">
        <f>+F17</f>
        <v>917.19399999999996</v>
      </c>
      <c r="H17" s="116"/>
      <c r="I17" s="524">
        <v>947.88499999999999</v>
      </c>
      <c r="J17" s="511">
        <v>954.20299999999997</v>
      </c>
      <c r="K17" s="511">
        <v>917.25800000000004</v>
      </c>
      <c r="L17" s="515">
        <v>922.952</v>
      </c>
      <c r="M17" s="388">
        <f>+L17</f>
        <v>922.952</v>
      </c>
      <c r="N17" s="116"/>
      <c r="O17" s="524">
        <v>899.88400000000001</v>
      </c>
      <c r="P17" s="511">
        <v>948.86199999999997</v>
      </c>
      <c r="Q17" s="511">
        <v>977.05399999999997</v>
      </c>
      <c r="R17" s="515">
        <v>986.39499999999998</v>
      </c>
      <c r="S17" s="388">
        <f>+R17</f>
        <v>986.39499999999998</v>
      </c>
      <c r="T17" s="116"/>
      <c r="U17" s="524">
        <v>1258.722</v>
      </c>
      <c r="V17" s="511">
        <v>1368.106</v>
      </c>
      <c r="W17" s="511">
        <v>1425.6510000000001</v>
      </c>
      <c r="X17" s="515">
        <v>1424.7940000000001</v>
      </c>
      <c r="Y17" s="388">
        <f>+X17</f>
        <v>1424.7940000000001</v>
      </c>
      <c r="Z17" s="116"/>
      <c r="AA17" s="524">
        <v>1499.6890000000001</v>
      </c>
      <c r="AB17" s="511">
        <v>1512.702</v>
      </c>
      <c r="AC17" s="511">
        <v>1495.2560000000001</v>
      </c>
      <c r="AD17" s="515">
        <v>1497.1079999999999</v>
      </c>
      <c r="AE17" s="388">
        <f>+AD17</f>
        <v>1497.1079999999999</v>
      </c>
      <c r="AF17" s="116"/>
      <c r="AG17" s="524">
        <v>1483.0940000000001</v>
      </c>
      <c r="AH17" s="511">
        <v>1523.4459999999999</v>
      </c>
      <c r="AI17" s="511">
        <v>1591.482</v>
      </c>
      <c r="AJ17" s="515">
        <v>1601.046</v>
      </c>
      <c r="AK17" s="388">
        <f>+AJ17</f>
        <v>1601.046</v>
      </c>
      <c r="AL17" s="116"/>
      <c r="AM17" s="524">
        <v>1610.9960000000001</v>
      </c>
      <c r="AN17" s="511">
        <v>1607.731</v>
      </c>
      <c r="AO17" s="511">
        <v>1634.48</v>
      </c>
      <c r="AP17" s="515">
        <v>1635.0050000000001</v>
      </c>
      <c r="AQ17" s="388">
        <f>+AP17</f>
        <v>1635.0050000000001</v>
      </c>
      <c r="AR17" s="116"/>
      <c r="AS17" s="524">
        <v>1802.905</v>
      </c>
      <c r="AT17" s="511">
        <v>1832.377</v>
      </c>
      <c r="AU17" s="511">
        <v>1886.2809999999999</v>
      </c>
      <c r="AV17" s="515">
        <v>1884.123</v>
      </c>
      <c r="AW17" s="388">
        <f>+AV17</f>
        <v>1884.123</v>
      </c>
      <c r="AX17" s="116"/>
      <c r="AY17" s="524">
        <v>1855.7139999999999</v>
      </c>
      <c r="AZ17" s="511">
        <v>1871.8440000000001</v>
      </c>
      <c r="BA17" s="511">
        <v>1901.52</v>
      </c>
      <c r="BB17" s="515">
        <v>1907.5930000000001</v>
      </c>
      <c r="BC17" s="388">
        <f>+BB17</f>
        <v>1907.5930000000001</v>
      </c>
      <c r="BD17" s="116"/>
      <c r="BE17" s="238">
        <v>1925.1110000000001</v>
      </c>
      <c r="BF17" s="204">
        <v>1954.5840000000001</v>
      </c>
      <c r="BG17" s="204">
        <v>1975.566</v>
      </c>
      <c r="BH17" s="515">
        <v>2019.74</v>
      </c>
      <c r="BI17" s="388">
        <f>BH17</f>
        <v>2019.74</v>
      </c>
      <c r="BJ17" s="116"/>
      <c r="BK17" s="238">
        <v>2058.6869999999999</v>
      </c>
      <c r="BL17" s="204">
        <v>2172.5630000000001</v>
      </c>
      <c r="BM17" s="204">
        <v>2224.6570000000002</v>
      </c>
      <c r="BN17" s="515">
        <v>2301.3310000000001</v>
      </c>
      <c r="BO17" s="388">
        <f>BN17</f>
        <v>2301.3310000000001</v>
      </c>
      <c r="BP17" s="116"/>
      <c r="BQ17" s="237">
        <f>+BQ134</f>
        <v>2301.3310000000001</v>
      </c>
      <c r="BR17" s="39">
        <f>+BR134</f>
        <v>2301.3310000000001</v>
      </c>
      <c r="BS17" s="39">
        <f>+BS134</f>
        <v>2301.3310000000001</v>
      </c>
      <c r="BT17" s="39">
        <f>+BT134</f>
        <v>2301.3310000000001</v>
      </c>
      <c r="BU17" s="388">
        <f>BT17</f>
        <v>2301.3310000000001</v>
      </c>
      <c r="BV17" s="116"/>
      <c r="BW17" s="237">
        <f>+BW134</f>
        <v>2301.3310000000001</v>
      </c>
      <c r="BX17" s="39">
        <f>+BX134</f>
        <v>2301.3310000000001</v>
      </c>
      <c r="BY17" s="39">
        <f>+BY134</f>
        <v>2301.3310000000001</v>
      </c>
      <c r="BZ17" s="39">
        <f>+BZ134</f>
        <v>2301.3310000000001</v>
      </c>
      <c r="CA17" s="388">
        <f>BZ17</f>
        <v>2301.3310000000001</v>
      </c>
      <c r="CB17" s="116"/>
      <c r="CC17" s="237">
        <f>+CC134</f>
        <v>2301.3310000000001</v>
      </c>
      <c r="CD17" s="39">
        <f>+CD134</f>
        <v>2301.3310000000001</v>
      </c>
      <c r="CE17" s="39">
        <f>+CE134</f>
        <v>2301.3310000000001</v>
      </c>
      <c r="CF17" s="39">
        <f>+CF134</f>
        <v>2301.3310000000001</v>
      </c>
      <c r="CG17" s="388">
        <f>CF17</f>
        <v>2301.3310000000001</v>
      </c>
      <c r="CM17" s="124"/>
      <c r="CO17"/>
      <c r="CP17"/>
      <c r="CQ17"/>
      <c r="CR17"/>
      <c r="CS17"/>
      <c r="CT17"/>
      <c r="CU17" s="11"/>
    </row>
    <row r="18" spans="2:99" s="7" customFormat="1" ht="11.25" customHeight="1" x14ac:dyDescent="0.2">
      <c r="B18" s="429" t="s">
        <v>267</v>
      </c>
      <c r="C18" s="105">
        <v>157.874</v>
      </c>
      <c r="D18" s="105">
        <v>155.62299999999999</v>
      </c>
      <c r="E18" s="105">
        <v>203.38900000000001</v>
      </c>
      <c r="F18" s="105">
        <v>192.42</v>
      </c>
      <c r="G18" s="388">
        <f>+F18</f>
        <v>192.42</v>
      </c>
      <c r="H18" s="116"/>
      <c r="I18" s="524">
        <v>193.15</v>
      </c>
      <c r="J18" s="511">
        <v>191.03899999999999</v>
      </c>
      <c r="K18" s="511">
        <v>174.77199999999999</v>
      </c>
      <c r="L18" s="515">
        <v>214.09299999999999</v>
      </c>
      <c r="M18" s="388">
        <f>+L18</f>
        <v>214.09299999999999</v>
      </c>
      <c r="N18" s="116"/>
      <c r="O18" s="524">
        <v>203.16300000000001</v>
      </c>
      <c r="P18" s="511">
        <v>206.429</v>
      </c>
      <c r="Q18" s="511">
        <v>212.042</v>
      </c>
      <c r="R18" s="515">
        <v>204.44499999999999</v>
      </c>
      <c r="S18" s="388">
        <f>+R18</f>
        <v>204.44499999999999</v>
      </c>
      <c r="T18" s="116"/>
      <c r="U18" s="524">
        <v>349.65699999999998</v>
      </c>
      <c r="V18" s="511">
        <v>406.82799999999997</v>
      </c>
      <c r="W18" s="511">
        <v>413.70100000000002</v>
      </c>
      <c r="X18" s="515">
        <v>405.46800000000002</v>
      </c>
      <c r="Y18" s="388">
        <f>+X18</f>
        <v>405.46800000000002</v>
      </c>
      <c r="Z18" s="116"/>
      <c r="AA18" s="524">
        <v>458.48</v>
      </c>
      <c r="AB18" s="511">
        <v>447.50099999999998</v>
      </c>
      <c r="AC18" s="511">
        <v>426.06099999999998</v>
      </c>
      <c r="AD18" s="515">
        <v>409.61200000000002</v>
      </c>
      <c r="AE18" s="388">
        <f>+AD18</f>
        <v>409.61200000000002</v>
      </c>
      <c r="AF18" s="116"/>
      <c r="AG18" s="524">
        <v>409.142</v>
      </c>
      <c r="AH18" s="511">
        <v>425.03800000000001</v>
      </c>
      <c r="AI18" s="511">
        <v>471.14299999999997</v>
      </c>
      <c r="AJ18" s="515">
        <v>462.18200000000002</v>
      </c>
      <c r="AK18" s="388">
        <f>+AJ18</f>
        <v>462.18200000000002</v>
      </c>
      <c r="AL18" s="116"/>
      <c r="AM18" s="524">
        <v>453.50200000000001</v>
      </c>
      <c r="AN18" s="511">
        <v>435.41199999999998</v>
      </c>
      <c r="AO18" s="511">
        <v>431.50400000000002</v>
      </c>
      <c r="AP18" s="515">
        <v>417.13299999999998</v>
      </c>
      <c r="AQ18" s="388">
        <f>+AP18</f>
        <v>417.13299999999998</v>
      </c>
      <c r="AR18" s="116"/>
      <c r="AS18" s="524">
        <v>587.202</v>
      </c>
      <c r="AT18" s="511">
        <v>594.35799999999995</v>
      </c>
      <c r="AU18" s="511">
        <v>654.07000000000005</v>
      </c>
      <c r="AV18" s="515">
        <v>643.73599999999999</v>
      </c>
      <c r="AW18" s="388">
        <f>+AV18</f>
        <v>643.73599999999999</v>
      </c>
      <c r="AX18" s="116"/>
      <c r="AY18" s="524">
        <v>601.47199999999998</v>
      </c>
      <c r="AZ18" s="511">
        <v>601.11800000000005</v>
      </c>
      <c r="BA18" s="511">
        <v>615.25800000000004</v>
      </c>
      <c r="BB18" s="515">
        <v>592.971</v>
      </c>
      <c r="BC18" s="388">
        <f>+BB18</f>
        <v>592.971</v>
      </c>
      <c r="BD18" s="116"/>
      <c r="BE18" s="238">
        <v>603.24900000000002</v>
      </c>
      <c r="BF18" s="204">
        <v>593.91899999999998</v>
      </c>
      <c r="BG18" s="204">
        <v>593.26</v>
      </c>
      <c r="BH18" s="515">
        <v>621.17999999999995</v>
      </c>
      <c r="BI18" s="388">
        <f>BH18</f>
        <v>621.17999999999995</v>
      </c>
      <c r="BJ18" s="116"/>
      <c r="BK18" s="238">
        <v>599.18299999999999</v>
      </c>
      <c r="BL18" s="204">
        <v>636.81299999999999</v>
      </c>
      <c r="BM18" s="204">
        <v>666.99699999999996</v>
      </c>
      <c r="BN18" s="515">
        <v>669.64099999999996</v>
      </c>
      <c r="BO18" s="388">
        <f>BN18</f>
        <v>669.64099999999996</v>
      </c>
      <c r="BP18" s="116"/>
      <c r="BQ18" s="237">
        <f>+BQ126</f>
        <v>639.50715500000001</v>
      </c>
      <c r="BR18" s="39">
        <f>+BR126</f>
        <v>610.72933302499996</v>
      </c>
      <c r="BS18" s="39">
        <f>+BS126</f>
        <v>583.24651303887492</v>
      </c>
      <c r="BT18" s="39">
        <f>+BT126</f>
        <v>557.00041995212553</v>
      </c>
      <c r="BU18" s="388">
        <f>BT18</f>
        <v>557.00041995212553</v>
      </c>
      <c r="BV18" s="116"/>
      <c r="BW18" s="237">
        <f>+BW126</f>
        <v>529.15039895451923</v>
      </c>
      <c r="BX18" s="39">
        <f>+BX126</f>
        <v>502.69287900679325</v>
      </c>
      <c r="BY18" s="39">
        <f>+BY126</f>
        <v>477.55823505645361</v>
      </c>
      <c r="BZ18" s="39">
        <f>+BZ126</f>
        <v>453.68032330363093</v>
      </c>
      <c r="CA18" s="388">
        <f>BZ18</f>
        <v>453.68032330363093</v>
      </c>
      <c r="CB18" s="116"/>
      <c r="CC18" s="237">
        <f>+CC126</f>
        <v>428.72790552193123</v>
      </c>
      <c r="CD18" s="39">
        <f>+CD126</f>
        <v>405.14787071822502</v>
      </c>
      <c r="CE18" s="39">
        <f>+CE126</f>
        <v>382.86473782872264</v>
      </c>
      <c r="CF18" s="39">
        <f>+CF126</f>
        <v>361.80717724814292</v>
      </c>
      <c r="CG18" s="388">
        <f>CF18</f>
        <v>361.80717724814292</v>
      </c>
      <c r="CM18" s="124"/>
      <c r="CO18"/>
      <c r="CP18"/>
      <c r="CQ18"/>
      <c r="CR18"/>
      <c r="CS18"/>
      <c r="CT18"/>
      <c r="CU18" s="11"/>
    </row>
    <row r="19" spans="2:99" s="7" customFormat="1" ht="11.25" customHeight="1" x14ac:dyDescent="0.2">
      <c r="B19" s="429" t="s">
        <v>268</v>
      </c>
      <c r="C19" s="105">
        <v>97.486999999999995</v>
      </c>
      <c r="D19" s="105">
        <v>97.11</v>
      </c>
      <c r="E19" s="105">
        <v>103.041</v>
      </c>
      <c r="F19" s="105">
        <v>107.9</v>
      </c>
      <c r="G19" s="388">
        <f>+F19</f>
        <v>107.9</v>
      </c>
      <c r="H19" s="116"/>
      <c r="I19" s="524">
        <v>118.367</v>
      </c>
      <c r="J19" s="511">
        <v>139.04</v>
      </c>
      <c r="K19" s="511">
        <v>152.93700000000001</v>
      </c>
      <c r="L19" s="515">
        <v>148.26400000000001</v>
      </c>
      <c r="M19" s="388">
        <f>+L19</f>
        <v>148.26400000000001</v>
      </c>
      <c r="N19" s="116"/>
      <c r="O19" s="524">
        <v>147.006</v>
      </c>
      <c r="P19" s="511">
        <v>146.90100000000001</v>
      </c>
      <c r="Q19" s="511">
        <v>176.88800000000001</v>
      </c>
      <c r="R19" s="515">
        <v>182.036</v>
      </c>
      <c r="S19" s="388">
        <f>+R19</f>
        <v>182.036</v>
      </c>
      <c r="T19" s="116"/>
      <c r="U19" s="524">
        <v>185.16</v>
      </c>
      <c r="V19" s="511">
        <v>181.953</v>
      </c>
      <c r="W19" s="511">
        <v>263.32900000000001</v>
      </c>
      <c r="X19" s="515">
        <v>295.334</v>
      </c>
      <c r="Y19" s="388">
        <f>+X19</f>
        <v>295.334</v>
      </c>
      <c r="Z19" s="116"/>
      <c r="AA19" s="524">
        <v>303.56400000000002</v>
      </c>
      <c r="AB19" s="511">
        <v>304.52499999999998</v>
      </c>
      <c r="AC19" s="511">
        <v>297.34500000000003</v>
      </c>
      <c r="AD19" s="515">
        <v>298.82799999999997</v>
      </c>
      <c r="AE19" s="388">
        <f>+AD19</f>
        <v>298.82799999999997</v>
      </c>
      <c r="AF19" s="116"/>
      <c r="AG19" s="524">
        <v>300.62700000000001</v>
      </c>
      <c r="AH19" s="511">
        <v>299.91300000000001</v>
      </c>
      <c r="AI19" s="511">
        <v>278.04500000000002</v>
      </c>
      <c r="AJ19" s="515">
        <v>292.93400000000003</v>
      </c>
      <c r="AK19" s="388">
        <f>+AJ19</f>
        <v>292.93400000000003</v>
      </c>
      <c r="AL19" s="116"/>
      <c r="AM19" s="524">
        <v>292.94799999999998</v>
      </c>
      <c r="AN19" s="511">
        <v>291.322</v>
      </c>
      <c r="AO19" s="511">
        <v>311.41199999999998</v>
      </c>
      <c r="AP19" s="515">
        <v>461.94499999999999</v>
      </c>
      <c r="AQ19" s="388">
        <f>+AP19</f>
        <v>461.94499999999999</v>
      </c>
      <c r="AR19" s="116"/>
      <c r="AS19" s="524">
        <v>327.56900000000002</v>
      </c>
      <c r="AT19" s="511">
        <v>360.04399999999998</v>
      </c>
      <c r="AU19" s="511">
        <v>358.88600000000002</v>
      </c>
      <c r="AV19" s="515">
        <v>386.286</v>
      </c>
      <c r="AW19" s="388">
        <f>+AV19</f>
        <v>386.286</v>
      </c>
      <c r="AX19" s="116"/>
      <c r="AY19" s="524">
        <v>387.78</v>
      </c>
      <c r="AZ19" s="511">
        <v>416.99400000000003</v>
      </c>
      <c r="BA19" s="511">
        <v>422.71600000000001</v>
      </c>
      <c r="BB19" s="515">
        <v>454.6</v>
      </c>
      <c r="BC19" s="388">
        <f>+BB19</f>
        <v>454.6</v>
      </c>
      <c r="BD19" s="116"/>
      <c r="BE19" s="238">
        <v>476.92399999999998</v>
      </c>
      <c r="BF19" s="204">
        <v>487.404</v>
      </c>
      <c r="BG19" s="204">
        <v>454.70400000000001</v>
      </c>
      <c r="BH19" s="515">
        <v>442.79</v>
      </c>
      <c r="BI19" s="388">
        <f>BH19</f>
        <v>442.79</v>
      </c>
      <c r="BJ19" s="116"/>
      <c r="BK19" s="238">
        <v>458.02800000000002</v>
      </c>
      <c r="BL19" s="204">
        <v>472.92200000000003</v>
      </c>
      <c r="BM19" s="204">
        <v>450.77</v>
      </c>
      <c r="BN19" s="515">
        <v>432.00200000000001</v>
      </c>
      <c r="BO19" s="388">
        <f>BN19</f>
        <v>432.00200000000001</v>
      </c>
      <c r="BP19" s="116"/>
      <c r="BQ19" s="237">
        <f>+BN19-'Cash Flow'!BQ14-'Cash Flow'!BQ15-'Cash Flow'!BQ29</f>
        <v>432.00200000000001</v>
      </c>
      <c r="BR19" s="39">
        <f>+BQ19-'Cash Flow'!BR14-'Cash Flow'!BR15-'Cash Flow'!BR29</f>
        <v>432.00200000000001</v>
      </c>
      <c r="BS19" s="39">
        <f>+BR19-'Cash Flow'!BS14-'Cash Flow'!BS15-'Cash Flow'!BS29</f>
        <v>432.00200000000001</v>
      </c>
      <c r="BT19" s="39">
        <f>+BS19-'Cash Flow'!BT14-'Cash Flow'!BT15-'Cash Flow'!BT29</f>
        <v>432.00200000000001</v>
      </c>
      <c r="BU19" s="388">
        <f>BT19</f>
        <v>432.00200000000001</v>
      </c>
      <c r="BV19" s="116"/>
      <c r="BW19" s="237">
        <f>+BT19-'Cash Flow'!BW14-'Cash Flow'!BW15-'Cash Flow'!BW29</f>
        <v>432.00200000000001</v>
      </c>
      <c r="BX19" s="39">
        <f>+BW19-'Cash Flow'!BX14-'Cash Flow'!BX15-'Cash Flow'!BX29</f>
        <v>432.00200000000001</v>
      </c>
      <c r="BY19" s="39">
        <f>+BX19-'Cash Flow'!BY14-'Cash Flow'!BY15-'Cash Flow'!BY29</f>
        <v>432.00200000000001</v>
      </c>
      <c r="BZ19" s="39">
        <f>+BY19-'Cash Flow'!BZ14-'Cash Flow'!BZ15-'Cash Flow'!BZ29</f>
        <v>432.00200000000001</v>
      </c>
      <c r="CA19" s="388">
        <f>BZ19</f>
        <v>432.00200000000001</v>
      </c>
      <c r="CB19" s="116"/>
      <c r="CC19" s="237">
        <f>+BZ19-'Cash Flow'!CC14-'Cash Flow'!CC15-'Cash Flow'!CC29</f>
        <v>432.00200000000001</v>
      </c>
      <c r="CD19" s="39">
        <f>+CC19-'Cash Flow'!CD14-'Cash Flow'!CD15-'Cash Flow'!CD29</f>
        <v>432.00200000000001</v>
      </c>
      <c r="CE19" s="39">
        <f>+CD19-'Cash Flow'!CE14-'Cash Flow'!CE15-'Cash Flow'!CE29</f>
        <v>432.00200000000001</v>
      </c>
      <c r="CF19" s="39">
        <f>+CE19-'Cash Flow'!CF14-'Cash Flow'!CF15-'Cash Flow'!CF29</f>
        <v>432.00200000000001</v>
      </c>
      <c r="CG19" s="388">
        <f>CF19</f>
        <v>432.00200000000001</v>
      </c>
      <c r="CM19" s="124"/>
      <c r="CO19"/>
      <c r="CP19"/>
      <c r="CQ19"/>
      <c r="CR19"/>
      <c r="CS19"/>
      <c r="CT19"/>
      <c r="CU19" s="11"/>
    </row>
    <row r="20" spans="2:99" s="7" customFormat="1" ht="11.25" customHeight="1" thickBot="1" x14ac:dyDescent="0.25">
      <c r="B20" s="498" t="s">
        <v>39</v>
      </c>
      <c r="C20" s="68">
        <f>C14+SUM(C16:C19)</f>
        <v>2815.3919999999998</v>
      </c>
      <c r="D20" s="68">
        <f>D14+SUM(D16:D19)</f>
        <v>2896.652</v>
      </c>
      <c r="E20" s="68">
        <f>E14+SUM(E16:E19)</f>
        <v>3283.4930000000004</v>
      </c>
      <c r="F20" s="68">
        <f>F14+SUM(F16:F19)</f>
        <v>3313.9840000000004</v>
      </c>
      <c r="G20" s="503">
        <f>G14+SUM(G16:G19)</f>
        <v>3313.9840000000004</v>
      </c>
      <c r="H20" s="66"/>
      <c r="I20" s="527">
        <f>I14+SUM(I16:I19)</f>
        <v>3388.4690000000001</v>
      </c>
      <c r="J20" s="68">
        <f>J14+SUM(J16:J19)</f>
        <v>3469.5150000000003</v>
      </c>
      <c r="K20" s="68">
        <f>K14+SUM(K16:K19)</f>
        <v>3506.5739999999996</v>
      </c>
      <c r="L20" s="516">
        <f>L14+SUM(L16:L19)</f>
        <v>3599.21</v>
      </c>
      <c r="M20" s="503">
        <f>M14+SUM(M16:M19)</f>
        <v>3599.21</v>
      </c>
      <c r="N20" s="66"/>
      <c r="O20" s="527">
        <f>O14+SUM(O16:O19)</f>
        <v>3432.5439999999999</v>
      </c>
      <c r="P20" s="68">
        <f>P14+SUM(P16:P19)</f>
        <v>3645.49</v>
      </c>
      <c r="Q20" s="68">
        <f>Q14+SUM(Q16:Q19)</f>
        <v>3703.3389999999999</v>
      </c>
      <c r="R20" s="516">
        <f>R14+SUM(R16:R19)</f>
        <v>3835.9849999999997</v>
      </c>
      <c r="S20" s="503">
        <f>S14+SUM(S16:S19)</f>
        <v>3835.9849999999997</v>
      </c>
      <c r="T20" s="66"/>
      <c r="U20" s="527">
        <f>U14+SUM(U16:U19)</f>
        <v>4262.6309999999994</v>
      </c>
      <c r="V20" s="68">
        <f>V14+SUM(V16:V19)</f>
        <v>4417.665</v>
      </c>
      <c r="W20" s="68">
        <f>W14+SUM(W16:W19)</f>
        <v>4604.4589999999998</v>
      </c>
      <c r="X20" s="516">
        <f>X14+SUM(X16:X19)</f>
        <v>4547.4709999999995</v>
      </c>
      <c r="Y20" s="503">
        <f>Y14+SUM(Y16:Y19)</f>
        <v>4547.4709999999995</v>
      </c>
      <c r="Z20" s="66"/>
      <c r="AA20" s="527">
        <f>AA14+SUM(AA16:AA19)</f>
        <v>4794.9939999999997</v>
      </c>
      <c r="AB20" s="68">
        <f>AB14+SUM(AB16:AB19)</f>
        <v>4883.759</v>
      </c>
      <c r="AC20" s="68">
        <f>AC14+SUM(AC16:AC19)</f>
        <v>4798.2960000000003</v>
      </c>
      <c r="AD20" s="516">
        <f>AD14+SUM(AD16:AD19)</f>
        <v>4740.1440000000002</v>
      </c>
      <c r="AE20" s="503">
        <f>AE14+SUM(AE16:AE19)</f>
        <v>4740.1440000000002</v>
      </c>
      <c r="AF20" s="66"/>
      <c r="AG20" s="527">
        <f>AG14+SUM(AG16:AG19)</f>
        <v>4759.6329999999998</v>
      </c>
      <c r="AH20" s="68">
        <f>AH14+SUM(AH16:AH19)</f>
        <v>4835.2559999999994</v>
      </c>
      <c r="AI20" s="68">
        <f>AI14+SUM(AI16:AI19)</f>
        <v>5111.5320000000002</v>
      </c>
      <c r="AJ20" s="516">
        <f>AJ14+SUM(AJ16:AJ19)</f>
        <v>5333.9970000000003</v>
      </c>
      <c r="AK20" s="503">
        <f>AK14+SUM(AK16:AK19)</f>
        <v>5333.9970000000003</v>
      </c>
      <c r="AL20" s="66"/>
      <c r="AM20" s="527">
        <f>AM14+SUM(AM16:AM19)</f>
        <v>5205.6859999999997</v>
      </c>
      <c r="AN20" s="68">
        <f>AN14+SUM(AN16:AN19)</f>
        <v>5164.5059999999994</v>
      </c>
      <c r="AO20" s="68">
        <f>AO14+SUM(AO16:AO19)</f>
        <v>5278.0889999999999</v>
      </c>
      <c r="AP20" s="516">
        <f>AP14+SUM(AP16:AP19)</f>
        <v>5624.6359999999995</v>
      </c>
      <c r="AQ20" s="503">
        <f>AQ14+SUM(AQ16:AQ19)</f>
        <v>5624.6359999999995</v>
      </c>
      <c r="AR20" s="66"/>
      <c r="AS20" s="527">
        <f>AS14+SUM(AS16:AS19)</f>
        <v>5880.1100000000006</v>
      </c>
      <c r="AT20" s="68">
        <f>AT14+SUM(AT16:AT19)</f>
        <v>5991.7540000000008</v>
      </c>
      <c r="AU20" s="68">
        <f>AU14+SUM(AU16:AU19)</f>
        <v>6130.6310000000003</v>
      </c>
      <c r="AV20" s="516">
        <f>AV14+SUM(AV16:AV19)</f>
        <v>6138.8070000000007</v>
      </c>
      <c r="AW20" s="503">
        <f>AW14+SUM(AW16:AW19)</f>
        <v>6138.8070000000007</v>
      </c>
      <c r="AX20" s="66"/>
      <c r="AY20" s="527">
        <f>AY14+SUM(AY16:AY19)</f>
        <v>5939.2639999999992</v>
      </c>
      <c r="AZ20" s="68">
        <f>AZ14+SUM(AZ16:AZ19)</f>
        <v>6105.6260000000002</v>
      </c>
      <c r="BA20" s="68">
        <f>BA14+SUM(BA16:BA19)</f>
        <v>6371.5579999999991</v>
      </c>
      <c r="BB20" s="516">
        <f>BB14+SUM(BB16:BB19)</f>
        <v>6504.74</v>
      </c>
      <c r="BC20" s="503">
        <f>BC14+SUM(BC16:BC19)</f>
        <v>6504.74</v>
      </c>
      <c r="BD20" s="66"/>
      <c r="BE20" s="527">
        <f>BE14+SUM(BE16:BE19)</f>
        <v>6600.57</v>
      </c>
      <c r="BF20" s="68">
        <f>BF14+SUM(BF16:BF19)</f>
        <v>6633.5959999999995</v>
      </c>
      <c r="BG20" s="68">
        <f>BG14+SUM(BG16:BG19)</f>
        <v>6633.5930000000008</v>
      </c>
      <c r="BH20" s="516">
        <f>BH14+SUM(BH16:BH19)</f>
        <v>6730.3959999999997</v>
      </c>
      <c r="BI20" s="503">
        <f>BI14+SUM(BI16:BI19)</f>
        <v>6730.3959999999997</v>
      </c>
      <c r="BJ20" s="66"/>
      <c r="BK20" s="527">
        <f>BK14+SUM(BK16:BK19)</f>
        <v>6844.6200000000008</v>
      </c>
      <c r="BL20" s="68">
        <f>BL14+SUM(BL16:BL19)</f>
        <v>7097.4560000000001</v>
      </c>
      <c r="BM20" s="68">
        <f>BM14+SUM(BM16:BM19)</f>
        <v>7486.6610000000001</v>
      </c>
      <c r="BN20" s="516">
        <f>BN14+SUM(BN16:BN19)</f>
        <v>7811.2350000000006</v>
      </c>
      <c r="BO20" s="503">
        <f>BO14+SUM(BO16:BO19)</f>
        <v>7811.2350000000006</v>
      </c>
      <c r="BP20" s="66"/>
      <c r="BQ20" s="527">
        <f>BQ14+SUM(BQ16:BQ19)</f>
        <v>7575.9102086247531</v>
      </c>
      <c r="BR20" s="68">
        <f>BR14+SUM(BR16:BR19)</f>
        <v>7632.821562852374</v>
      </c>
      <c r="BS20" s="68">
        <f>BS14+SUM(BS16:BS19)</f>
        <v>7782.8504296662359</v>
      </c>
      <c r="BT20" s="68">
        <f>BT14+SUM(BT16:BT19)</f>
        <v>8044.8213480400536</v>
      </c>
      <c r="BU20" s="503">
        <f>BU14+SUM(BU16:BU19)</f>
        <v>8044.8213480400536</v>
      </c>
      <c r="BV20" s="66"/>
      <c r="BW20" s="527">
        <f>BW14+SUM(BW16:BW19)</f>
        <v>7965.6354958302363</v>
      </c>
      <c r="BX20" s="68">
        <f>BX14+SUM(BX16:BX19)</f>
        <v>8000.9660486249995</v>
      </c>
      <c r="BY20" s="68">
        <f>BY14+SUM(BY16:BY19)</f>
        <v>8148.6355377682976</v>
      </c>
      <c r="BZ20" s="68">
        <f>BZ14+SUM(BZ16:BZ19)</f>
        <v>8411.6206838676244</v>
      </c>
      <c r="CA20" s="503">
        <f>CA14+SUM(CA16:CA19)</f>
        <v>8411.6206838676244</v>
      </c>
      <c r="CB20" s="66"/>
      <c r="CC20" s="527">
        <f>CC14+SUM(CC16:CC19)</f>
        <v>8318.999456572712</v>
      </c>
      <c r="CD20" s="68">
        <f>CD14+SUM(CD16:CD19)</f>
        <v>8351.5055127928608</v>
      </c>
      <c r="CE20" s="68">
        <f>CE14+SUM(CE16:CE19)</f>
        <v>8400.3390110370565</v>
      </c>
      <c r="CF20" s="68">
        <f>CF14+SUM(CF16:CF19)</f>
        <v>8667.5553642390187</v>
      </c>
      <c r="CG20" s="503">
        <f>CG14+SUM(CG16:CG19)</f>
        <v>8667.5553642390187</v>
      </c>
      <c r="CM20" s="124"/>
      <c r="CO20"/>
      <c r="CP20"/>
      <c r="CQ20"/>
      <c r="CR20"/>
      <c r="CS20"/>
      <c r="CT20"/>
      <c r="CU20" s="11"/>
    </row>
    <row r="21" spans="2:99" s="7" customFormat="1" ht="11.25" customHeight="1" thickTop="1" x14ac:dyDescent="0.2">
      <c r="B21" s="757" t="s">
        <v>456</v>
      </c>
      <c r="C21" s="101"/>
      <c r="D21" s="101"/>
      <c r="E21" s="101"/>
      <c r="F21" s="101"/>
      <c r="G21" s="388"/>
      <c r="H21" s="116"/>
      <c r="I21" s="528"/>
      <c r="J21" s="517"/>
      <c r="K21" s="517"/>
      <c r="L21" s="518"/>
      <c r="M21" s="388"/>
      <c r="N21" s="116"/>
      <c r="O21" s="528"/>
      <c r="P21" s="517"/>
      <c r="Q21" s="517"/>
      <c r="R21" s="518"/>
      <c r="S21" s="388"/>
      <c r="T21" s="116"/>
      <c r="U21" s="528"/>
      <c r="V21" s="517"/>
      <c r="W21" s="517"/>
      <c r="X21" s="518"/>
      <c r="Y21" s="388"/>
      <c r="Z21" s="116"/>
      <c r="AA21" s="528"/>
      <c r="AB21" s="517"/>
      <c r="AC21" s="517"/>
      <c r="AD21" s="518"/>
      <c r="AE21" s="388"/>
      <c r="AF21" s="116"/>
      <c r="AG21" s="528"/>
      <c r="AH21" s="517"/>
      <c r="AI21" s="517"/>
      <c r="AJ21" s="518"/>
      <c r="AK21" s="388"/>
      <c r="AL21" s="116"/>
      <c r="AM21" s="528"/>
      <c r="AN21" s="517"/>
      <c r="AO21" s="517"/>
      <c r="AP21" s="518"/>
      <c r="AQ21" s="388"/>
      <c r="AR21" s="116"/>
      <c r="AS21" s="528"/>
      <c r="AT21" s="517"/>
      <c r="AU21" s="517"/>
      <c r="AV21" s="518"/>
      <c r="AW21" s="388"/>
      <c r="AX21" s="116"/>
      <c r="AY21" s="528"/>
      <c r="AZ21" s="517"/>
      <c r="BA21" s="517"/>
      <c r="BB21" s="518"/>
      <c r="BC21" s="388"/>
      <c r="BD21" s="116"/>
      <c r="BE21" s="528"/>
      <c r="BF21" s="517"/>
      <c r="BG21" s="517"/>
      <c r="BH21" s="518"/>
      <c r="BI21" s="388"/>
      <c r="BJ21" s="116"/>
      <c r="BK21" s="528"/>
      <c r="BL21" s="517"/>
      <c r="BM21" s="517"/>
      <c r="BN21" s="518"/>
      <c r="BO21" s="388"/>
      <c r="BP21" s="116"/>
      <c r="BQ21" s="237"/>
      <c r="BR21" s="39"/>
      <c r="BS21" s="39"/>
      <c r="BT21" s="39"/>
      <c r="BU21" s="388"/>
      <c r="BV21" s="116"/>
      <c r="BW21" s="237"/>
      <c r="BX21" s="39"/>
      <c r="BY21" s="39"/>
      <c r="BZ21" s="39"/>
      <c r="CA21" s="388"/>
      <c r="CB21" s="116"/>
      <c r="CC21" s="237"/>
      <c r="CD21" s="39"/>
      <c r="CE21" s="39"/>
      <c r="CF21" s="39"/>
      <c r="CG21" s="388"/>
      <c r="CM21" s="124"/>
      <c r="CO21"/>
      <c r="CP21"/>
      <c r="CQ21"/>
      <c r="CR21"/>
      <c r="CS21"/>
      <c r="CT21"/>
      <c r="CU21" s="11"/>
    </row>
    <row r="22" spans="2:99" s="7" customFormat="1" ht="11.25" customHeight="1" x14ac:dyDescent="0.2">
      <c r="B22" s="494" t="s">
        <v>182</v>
      </c>
      <c r="C22" s="105"/>
      <c r="D22" s="105"/>
      <c r="E22" s="105"/>
      <c r="F22" s="105"/>
      <c r="G22" s="502"/>
      <c r="H22" s="66"/>
      <c r="I22" s="524"/>
      <c r="J22" s="511"/>
      <c r="K22" s="511"/>
      <c r="L22" s="515"/>
      <c r="M22" s="502"/>
      <c r="N22" s="66"/>
      <c r="O22" s="524"/>
      <c r="P22" s="511"/>
      <c r="Q22" s="511"/>
      <c r="R22" s="515"/>
      <c r="S22" s="502"/>
      <c r="T22" s="66"/>
      <c r="U22" s="524"/>
      <c r="V22" s="511"/>
      <c r="W22" s="511"/>
      <c r="X22" s="515"/>
      <c r="Y22" s="502"/>
      <c r="Z22" s="66"/>
      <c r="AA22" s="524"/>
      <c r="AB22" s="511"/>
      <c r="AC22" s="511"/>
      <c r="AD22" s="515"/>
      <c r="AE22" s="502"/>
      <c r="AF22" s="66"/>
      <c r="AG22" s="524"/>
      <c r="AH22" s="511"/>
      <c r="AI22" s="511"/>
      <c r="AJ22" s="515"/>
      <c r="AK22" s="502"/>
      <c r="AL22" s="66"/>
      <c r="AM22" s="524"/>
      <c r="AN22" s="511"/>
      <c r="AO22" s="511"/>
      <c r="AP22" s="515"/>
      <c r="AQ22" s="502"/>
      <c r="AR22" s="66"/>
      <c r="AS22" s="524"/>
      <c r="AT22" s="511"/>
      <c r="AU22" s="511"/>
      <c r="AV22" s="515"/>
      <c r="AW22" s="502"/>
      <c r="AX22" s="66"/>
      <c r="AY22" s="524"/>
      <c r="AZ22" s="511"/>
      <c r="BA22" s="511"/>
      <c r="BB22" s="515"/>
      <c r="BC22" s="502"/>
      <c r="BD22" s="66"/>
      <c r="BE22" s="524"/>
      <c r="BF22" s="511"/>
      <c r="BG22" s="511"/>
      <c r="BH22" s="515"/>
      <c r="BI22" s="502"/>
      <c r="BJ22" s="66"/>
      <c r="BK22" s="524"/>
      <c r="BL22" s="511"/>
      <c r="BM22" s="511"/>
      <c r="BN22" s="515"/>
      <c r="BO22" s="502"/>
      <c r="BP22" s="66"/>
      <c r="BQ22" s="526"/>
      <c r="BR22" s="40"/>
      <c r="BS22" s="40"/>
      <c r="BT22" s="40"/>
      <c r="BU22" s="502"/>
      <c r="BV22" s="66"/>
      <c r="BW22" s="526"/>
      <c r="BX22" s="40"/>
      <c r="BY22" s="40"/>
      <c r="BZ22" s="40"/>
      <c r="CA22" s="502"/>
      <c r="CB22" s="66"/>
      <c r="CC22" s="526"/>
      <c r="CD22" s="40"/>
      <c r="CE22" s="40"/>
      <c r="CF22" s="40"/>
      <c r="CG22" s="502"/>
      <c r="CM22" s="124"/>
      <c r="CO22"/>
      <c r="CP22"/>
      <c r="CQ22"/>
      <c r="CR22"/>
      <c r="CS22"/>
      <c r="CT22"/>
      <c r="CU22" s="11"/>
    </row>
    <row r="23" spans="2:99" s="7" customFormat="1" ht="11.25" customHeight="1" x14ac:dyDescent="0.2">
      <c r="B23" s="429" t="s">
        <v>95</v>
      </c>
      <c r="C23" s="105">
        <v>343.49099999999999</v>
      </c>
      <c r="D23" s="105">
        <v>361.03100000000001</v>
      </c>
      <c r="E23" s="105">
        <v>514.83000000000004</v>
      </c>
      <c r="F23" s="105">
        <v>474.00900000000001</v>
      </c>
      <c r="G23" s="388">
        <f>+F23</f>
        <v>474.00900000000001</v>
      </c>
      <c r="H23" s="26"/>
      <c r="I23" s="524">
        <v>428.69099999999997</v>
      </c>
      <c r="J23" s="511">
        <v>453.8</v>
      </c>
      <c r="K23" s="511">
        <v>511.65499999999997</v>
      </c>
      <c r="L23" s="515">
        <v>554.77300000000002</v>
      </c>
      <c r="M23" s="388">
        <f>+L23</f>
        <v>554.77300000000002</v>
      </c>
      <c r="N23" s="26"/>
      <c r="O23" s="524">
        <v>426.06599999999997</v>
      </c>
      <c r="P23" s="511">
        <v>435.57900000000001</v>
      </c>
      <c r="Q23" s="511">
        <v>507.46199999999999</v>
      </c>
      <c r="R23" s="515">
        <v>521.07899999999995</v>
      </c>
      <c r="S23" s="388">
        <f>+R23</f>
        <v>521.07899999999995</v>
      </c>
      <c r="T23" s="26"/>
      <c r="U23" s="524">
        <v>483.29899999999998</v>
      </c>
      <c r="V23" s="511">
        <v>504.24799999999999</v>
      </c>
      <c r="W23" s="511">
        <v>532.274</v>
      </c>
      <c r="X23" s="515">
        <v>590.029</v>
      </c>
      <c r="Y23" s="388">
        <f>+X23</f>
        <v>590.029</v>
      </c>
      <c r="Z23" s="26"/>
      <c r="AA23" s="524">
        <v>579.47400000000005</v>
      </c>
      <c r="AB23" s="511">
        <v>605.78499999999997</v>
      </c>
      <c r="AC23" s="511">
        <v>595.476</v>
      </c>
      <c r="AD23" s="515">
        <v>621.46799999999996</v>
      </c>
      <c r="AE23" s="388">
        <f>+AD23</f>
        <v>621.46799999999996</v>
      </c>
      <c r="AF23" s="26"/>
      <c r="AG23" s="524">
        <v>571.34100000000001</v>
      </c>
      <c r="AH23" s="511">
        <v>619.93600000000004</v>
      </c>
      <c r="AI23" s="511">
        <v>707.64099999999996</v>
      </c>
      <c r="AJ23" s="515">
        <v>787.65800000000002</v>
      </c>
      <c r="AK23" s="388">
        <f>+AJ23</f>
        <v>787.65800000000002</v>
      </c>
      <c r="AL23" s="26"/>
      <c r="AM23" s="524">
        <v>609.02800000000002</v>
      </c>
      <c r="AN23" s="511">
        <v>682.60400000000004</v>
      </c>
      <c r="AO23" s="511">
        <v>723.90499999999997</v>
      </c>
      <c r="AP23" s="515">
        <v>824.495</v>
      </c>
      <c r="AQ23" s="388">
        <f>+AP23</f>
        <v>824.495</v>
      </c>
      <c r="AR23" s="26"/>
      <c r="AS23" s="524">
        <v>685.91499999999996</v>
      </c>
      <c r="AT23" s="511">
        <v>755.99900000000002</v>
      </c>
      <c r="AU23" s="511">
        <v>822.06799999999998</v>
      </c>
      <c r="AV23" s="515">
        <v>860.99599999999998</v>
      </c>
      <c r="AW23" s="388">
        <f>+AV23</f>
        <v>860.99599999999998</v>
      </c>
      <c r="AX23" s="26"/>
      <c r="AY23" s="524">
        <v>716.97500000000002</v>
      </c>
      <c r="AZ23" s="511">
        <v>778.74800000000005</v>
      </c>
      <c r="BA23" s="511">
        <v>873.78499999999997</v>
      </c>
      <c r="BB23" s="515">
        <v>1005.798</v>
      </c>
      <c r="BC23" s="388">
        <f>+BB23</f>
        <v>1005.798</v>
      </c>
      <c r="BD23" s="26"/>
      <c r="BE23" s="238">
        <v>809.12400000000002</v>
      </c>
      <c r="BF23" s="204">
        <v>881.66700000000003</v>
      </c>
      <c r="BG23" s="204">
        <v>931.09</v>
      </c>
      <c r="BH23" s="515">
        <v>977.24900000000002</v>
      </c>
      <c r="BI23" s="388">
        <f>BH23</f>
        <v>977.24900000000002</v>
      </c>
      <c r="BJ23" s="26"/>
      <c r="BK23" s="238">
        <v>843.78200000000004</v>
      </c>
      <c r="BL23" s="204">
        <v>882.67399999999998</v>
      </c>
      <c r="BM23" s="204">
        <v>1029.1379999999999</v>
      </c>
      <c r="BN23" s="515">
        <v>1153.0119999999999</v>
      </c>
      <c r="BO23" s="388">
        <f>BN23</f>
        <v>1153.0119999999999</v>
      </c>
      <c r="BP23" s="26"/>
      <c r="BQ23" s="237">
        <f>BQ76*('P&amp;L'!BQ9/'P&amp;L'!BQ7)</f>
        <v>943.45622917282731</v>
      </c>
      <c r="BR23" s="39">
        <f>BR76*('P&amp;L'!BR9/'P&amp;L'!BR7)</f>
        <v>902.4963949768927</v>
      </c>
      <c r="BS23" s="39">
        <f>BS76*('P&amp;L'!BS9/'P&amp;L'!BS7)</f>
        <v>987.64990436521589</v>
      </c>
      <c r="BT23" s="39">
        <f>BT76*('P&amp;L'!BT9/'P&amp;L'!BT7)</f>
        <v>1116.1757251124341</v>
      </c>
      <c r="BU23" s="388">
        <f>BT23</f>
        <v>1116.1757251124341</v>
      </c>
      <c r="BV23" s="26"/>
      <c r="BW23" s="237">
        <f>BW76*('P&amp;L'!BW9/'P&amp;L'!BW7)</f>
        <v>987.38238708619247</v>
      </c>
      <c r="BX23" s="39">
        <f>BX76*('P&amp;L'!BX9/'P&amp;L'!BX7)</f>
        <v>940.57816822026427</v>
      </c>
      <c r="BY23" s="39">
        <f>BY76*('P&amp;L'!BY9/'P&amp;L'!BY7)</f>
        <v>1029.8467803706214</v>
      </c>
      <c r="BZ23" s="39">
        <f>BZ76*('P&amp;L'!BZ9/'P&amp;L'!BZ7)</f>
        <v>1163.771802325851</v>
      </c>
      <c r="CA23" s="388">
        <f>BZ23</f>
        <v>1163.771802325851</v>
      </c>
      <c r="CB23" s="26"/>
      <c r="CC23" s="237">
        <f>CC76*('P&amp;L'!CC9/'P&amp;L'!CC7)</f>
        <v>1026.0205696031753</v>
      </c>
      <c r="CD23" s="39">
        <f>CD76*('P&amp;L'!CD9/'P&amp;L'!CD7)</f>
        <v>976.94420956569274</v>
      </c>
      <c r="CE23" s="39">
        <f>CE76*('P&amp;L'!CE9/'P&amp;L'!CE7)</f>
        <v>1070.0649470607982</v>
      </c>
      <c r="CF23" s="39">
        <f>CF76*('P&amp;L'!CF9/'P&amp;L'!CF7)</f>
        <v>1209.5477329316566</v>
      </c>
      <c r="CG23" s="388">
        <f>CF23</f>
        <v>1209.5477329316566</v>
      </c>
      <c r="CM23" s="124"/>
      <c r="CO23"/>
      <c r="CP23"/>
      <c r="CQ23"/>
      <c r="CR23"/>
      <c r="CS23"/>
      <c r="CT23"/>
      <c r="CU23" s="11"/>
    </row>
    <row r="24" spans="2:99" s="7" customFormat="1" ht="11.25" customHeight="1" x14ac:dyDescent="0.2">
      <c r="B24" s="429" t="s">
        <v>269</v>
      </c>
      <c r="C24" s="105">
        <v>2.359</v>
      </c>
      <c r="D24" s="105">
        <v>2.367</v>
      </c>
      <c r="E24" s="105">
        <v>2.8559999999999999</v>
      </c>
      <c r="F24" s="105">
        <v>8.9770000000000003</v>
      </c>
      <c r="G24" s="388">
        <f>+F24</f>
        <v>8.9770000000000003</v>
      </c>
      <c r="H24" s="26"/>
      <c r="I24" s="524">
        <v>5.569</v>
      </c>
      <c r="J24" s="511">
        <v>6.2069999999999999</v>
      </c>
      <c r="K24" s="511">
        <v>6.226</v>
      </c>
      <c r="L24" s="515">
        <v>4.9359999999999999</v>
      </c>
      <c r="M24" s="388">
        <f>+L24</f>
        <v>4.9359999999999999</v>
      </c>
      <c r="N24" s="26"/>
      <c r="O24" s="524">
        <v>1.911</v>
      </c>
      <c r="P24" s="511">
        <v>2.0139999999999998</v>
      </c>
      <c r="Q24" s="511">
        <v>1.7310000000000001</v>
      </c>
      <c r="R24" s="515">
        <v>0.93200000000000005</v>
      </c>
      <c r="S24" s="388">
        <f>+R24</f>
        <v>0.93200000000000005</v>
      </c>
      <c r="T24" s="26"/>
      <c r="U24" s="524">
        <v>8.9999999999999993E-3</v>
      </c>
      <c r="V24" s="511">
        <v>0.255</v>
      </c>
      <c r="W24" s="511">
        <v>201.142</v>
      </c>
      <c r="X24" s="515">
        <v>41.508000000000003</v>
      </c>
      <c r="Y24" s="388">
        <f>+X24</f>
        <v>41.508000000000003</v>
      </c>
      <c r="Z24" s="26"/>
      <c r="AA24" s="524">
        <v>97.194000000000003</v>
      </c>
      <c r="AB24" s="511">
        <v>49.235999999999997</v>
      </c>
      <c r="AC24" s="511">
        <v>40.015000000000001</v>
      </c>
      <c r="AD24" s="515">
        <v>55.014000000000003</v>
      </c>
      <c r="AE24" s="388">
        <f>+AD24</f>
        <v>55.014000000000003</v>
      </c>
      <c r="AF24" s="26"/>
      <c r="AG24" s="524">
        <v>5.0039999999999996</v>
      </c>
      <c r="AH24" s="511">
        <v>83.453999999999994</v>
      </c>
      <c r="AI24" s="511">
        <v>155.21899999999999</v>
      </c>
      <c r="AJ24" s="515">
        <v>27.166</v>
      </c>
      <c r="AK24" s="388">
        <f>+AJ24</f>
        <v>27.166</v>
      </c>
      <c r="AL24" s="26"/>
      <c r="AM24" s="524">
        <v>50.073</v>
      </c>
      <c r="AN24" s="511">
        <v>15.587999999999999</v>
      </c>
      <c r="AO24" s="511">
        <v>15.750999999999999</v>
      </c>
      <c r="AP24" s="515">
        <v>29.507999999999999</v>
      </c>
      <c r="AQ24" s="388">
        <f>+AP24</f>
        <v>29.507999999999999</v>
      </c>
      <c r="AR24" s="26"/>
      <c r="AS24" s="524">
        <v>144.042</v>
      </c>
      <c r="AT24" s="511">
        <v>83.671000000000006</v>
      </c>
      <c r="AU24" s="511">
        <v>188.815</v>
      </c>
      <c r="AV24" s="515">
        <v>182.899</v>
      </c>
      <c r="AW24" s="388">
        <f>+AV24</f>
        <v>182.899</v>
      </c>
      <c r="AX24" s="26"/>
      <c r="AY24" s="524">
        <v>163.06700000000001</v>
      </c>
      <c r="AZ24" s="511">
        <v>132.428</v>
      </c>
      <c r="BA24" s="511">
        <v>186.886</v>
      </c>
      <c r="BB24" s="515">
        <v>328.63099999999997</v>
      </c>
      <c r="BC24" s="388">
        <f>+BB24</f>
        <v>328.63099999999997</v>
      </c>
      <c r="BD24" s="26"/>
      <c r="BE24" s="238">
        <v>424.03</v>
      </c>
      <c r="BF24" s="204">
        <v>237.809</v>
      </c>
      <c r="BG24" s="204">
        <v>333.12299999999999</v>
      </c>
      <c r="BH24" s="515">
        <v>437.476</v>
      </c>
      <c r="BI24" s="388">
        <f>BH24</f>
        <v>437.476</v>
      </c>
      <c r="BJ24" s="26"/>
      <c r="BK24" s="238">
        <v>671.72400000000005</v>
      </c>
      <c r="BL24" s="204">
        <v>577.47699999999998</v>
      </c>
      <c r="BM24" s="204">
        <v>631.86500000000001</v>
      </c>
      <c r="BN24" s="515">
        <v>741.65300000000002</v>
      </c>
      <c r="BO24" s="388">
        <f>BN24</f>
        <v>741.65300000000002</v>
      </c>
      <c r="BP24" s="26"/>
      <c r="BQ24" s="538">
        <f>+Debt!BQ6</f>
        <v>741.65300000000002</v>
      </c>
      <c r="BR24" s="534">
        <f>+Debt!BR6</f>
        <v>741.65300000000002</v>
      </c>
      <c r="BS24" s="534">
        <f>+Debt!BS6</f>
        <v>741.65300000000002</v>
      </c>
      <c r="BT24" s="534">
        <f>+Debt!BT6</f>
        <v>741.65300000000002</v>
      </c>
      <c r="BU24" s="388">
        <f>BT24</f>
        <v>741.65300000000002</v>
      </c>
      <c r="BV24" s="26"/>
      <c r="BW24" s="538">
        <f>+Debt!BW6</f>
        <v>741.65300000000002</v>
      </c>
      <c r="BX24" s="534">
        <f>+Debt!BX6</f>
        <v>741.65300000000002</v>
      </c>
      <c r="BY24" s="534">
        <f>+Debt!BY6</f>
        <v>741.65300000000002</v>
      </c>
      <c r="BZ24" s="534">
        <f>+Debt!BZ6</f>
        <v>741.65300000000002</v>
      </c>
      <c r="CA24" s="388">
        <f>BZ24</f>
        <v>741.65300000000002</v>
      </c>
      <c r="CB24" s="26"/>
      <c r="CC24" s="538">
        <f>+Debt!CC6</f>
        <v>741.65300000000002</v>
      </c>
      <c r="CD24" s="534">
        <f>+Debt!CD6</f>
        <v>741.65300000000002</v>
      </c>
      <c r="CE24" s="534">
        <f>+Debt!CE6</f>
        <v>741.65300000000002</v>
      </c>
      <c r="CF24" s="534">
        <f>+Debt!CF6</f>
        <v>741.65300000000002</v>
      </c>
      <c r="CG24" s="388">
        <f>CF24</f>
        <v>741.65300000000002</v>
      </c>
      <c r="CM24" s="124"/>
      <c r="CO24"/>
      <c r="CP24"/>
      <c r="CQ24"/>
      <c r="CR24"/>
      <c r="CS24"/>
      <c r="CT24"/>
      <c r="CU24" s="11"/>
    </row>
    <row r="25" spans="2:99" s="7" customFormat="1" ht="11.25" customHeight="1" x14ac:dyDescent="0.2">
      <c r="B25" s="429" t="s">
        <v>270</v>
      </c>
      <c r="C25" s="105">
        <v>37.494999999999997</v>
      </c>
      <c r="D25" s="105">
        <v>27.83</v>
      </c>
      <c r="E25" s="105">
        <v>29.05</v>
      </c>
      <c r="F25" s="105">
        <v>24.318999999999999</v>
      </c>
      <c r="G25" s="388">
        <f>+F25</f>
        <v>24.318999999999999</v>
      </c>
      <c r="H25" s="39"/>
      <c r="I25" s="524">
        <v>24.475000000000001</v>
      </c>
      <c r="J25" s="511">
        <v>23.623999999999999</v>
      </c>
      <c r="K25" s="511">
        <v>153.80199999999999</v>
      </c>
      <c r="L25" s="515">
        <v>156.405</v>
      </c>
      <c r="M25" s="388">
        <f>+L25</f>
        <v>156.405</v>
      </c>
      <c r="N25" s="39"/>
      <c r="O25" s="524">
        <v>155.04400000000001</v>
      </c>
      <c r="P25" s="511">
        <v>154.251</v>
      </c>
      <c r="Q25" s="511">
        <v>23.933</v>
      </c>
      <c r="R25" s="515">
        <v>23.56</v>
      </c>
      <c r="S25" s="388">
        <f>+R25</f>
        <v>23.56</v>
      </c>
      <c r="T25" s="39"/>
      <c r="U25" s="524">
        <v>25.63</v>
      </c>
      <c r="V25" s="511">
        <v>25.215</v>
      </c>
      <c r="W25" s="511">
        <v>25.122</v>
      </c>
      <c r="X25" s="515">
        <v>4.4870000000000001</v>
      </c>
      <c r="Y25" s="388">
        <f>+X25</f>
        <v>4.4870000000000001</v>
      </c>
      <c r="Z25" s="39"/>
      <c r="AA25" s="524">
        <v>8.3569999999999993</v>
      </c>
      <c r="AB25" s="511">
        <v>21.186</v>
      </c>
      <c r="AC25" s="511">
        <v>20.076000000000001</v>
      </c>
      <c r="AD25" s="515">
        <v>22.818999999999999</v>
      </c>
      <c r="AE25" s="388">
        <f>+AD25</f>
        <v>22.818999999999999</v>
      </c>
      <c r="AF25" s="39"/>
      <c r="AG25" s="524">
        <v>23.027999999999999</v>
      </c>
      <c r="AH25" s="511">
        <v>17.129000000000001</v>
      </c>
      <c r="AI25" s="511">
        <v>17.739000000000001</v>
      </c>
      <c r="AJ25" s="515">
        <v>17.992000000000001</v>
      </c>
      <c r="AK25" s="388">
        <f>+AJ25</f>
        <v>17.992000000000001</v>
      </c>
      <c r="AL25" s="39"/>
      <c r="AM25" s="524">
        <v>1.9079999999999999</v>
      </c>
      <c r="AN25" s="511">
        <v>5.8940000000000001</v>
      </c>
      <c r="AO25" s="511">
        <v>80.587999999999994</v>
      </c>
      <c r="AP25" s="515">
        <v>5.4409999999999998</v>
      </c>
      <c r="AQ25" s="388">
        <f>+AP25</f>
        <v>5.4409999999999998</v>
      </c>
      <c r="AR25" s="39"/>
      <c r="AS25" s="524">
        <v>105.98399999999999</v>
      </c>
      <c r="AT25" s="511">
        <v>6.3019999999999996</v>
      </c>
      <c r="AU25" s="511">
        <v>5.782</v>
      </c>
      <c r="AV25" s="515">
        <v>5.8150000000000004</v>
      </c>
      <c r="AW25" s="388">
        <f>+AV25</f>
        <v>5.8150000000000004</v>
      </c>
      <c r="AX25" s="39"/>
      <c r="AY25" s="524">
        <v>14.586</v>
      </c>
      <c r="AZ25" s="511">
        <v>14.715999999999999</v>
      </c>
      <c r="BA25" s="511">
        <v>14.456</v>
      </c>
      <c r="BB25" s="515">
        <v>17.331</v>
      </c>
      <c r="BC25" s="388">
        <f>+BB25</f>
        <v>17.331</v>
      </c>
      <c r="BD25" s="39"/>
      <c r="BE25" s="238">
        <v>17.332999999999998</v>
      </c>
      <c r="BF25" s="204">
        <v>17.189</v>
      </c>
      <c r="BG25" s="204">
        <v>17.46</v>
      </c>
      <c r="BH25" s="515">
        <v>65.923000000000002</v>
      </c>
      <c r="BI25" s="388">
        <f>BH25</f>
        <v>65.923000000000002</v>
      </c>
      <c r="BJ25" s="39"/>
      <c r="BK25" s="238">
        <v>18.603999999999999</v>
      </c>
      <c r="BL25" s="204">
        <v>17.241</v>
      </c>
      <c r="BM25" s="204">
        <v>17.247</v>
      </c>
      <c r="BN25" s="515">
        <v>16.658999999999999</v>
      </c>
      <c r="BO25" s="388">
        <f>BN25</f>
        <v>16.658999999999999</v>
      </c>
      <c r="BP25" s="39"/>
      <c r="BQ25" s="538">
        <f>+Debt!BQ8</f>
        <v>16.658999999999999</v>
      </c>
      <c r="BR25" s="534">
        <f>+Debt!BR8</f>
        <v>16.658999999999999</v>
      </c>
      <c r="BS25" s="534">
        <f>+Debt!BS8</f>
        <v>16.658999999999999</v>
      </c>
      <c r="BT25" s="534">
        <f>+Debt!BT8</f>
        <v>16.658999999999999</v>
      </c>
      <c r="BU25" s="388">
        <f>BT25</f>
        <v>16.658999999999999</v>
      </c>
      <c r="BV25" s="39"/>
      <c r="BW25" s="538">
        <f>+Debt!BW8</f>
        <v>16.658999999999999</v>
      </c>
      <c r="BX25" s="534">
        <f>+Debt!BX8</f>
        <v>16.658999999999999</v>
      </c>
      <c r="BY25" s="534">
        <f>+Debt!BY8</f>
        <v>16.658999999999999</v>
      </c>
      <c r="BZ25" s="534">
        <f>+Debt!BZ8</f>
        <v>16.658999999999999</v>
      </c>
      <c r="CA25" s="388">
        <f>BZ25</f>
        <v>16.658999999999999</v>
      </c>
      <c r="CB25" s="39"/>
      <c r="CC25" s="538">
        <f>+Debt!CC8</f>
        <v>16.658999999999999</v>
      </c>
      <c r="CD25" s="534">
        <f>+Debt!CD8</f>
        <v>16.658999999999999</v>
      </c>
      <c r="CE25" s="534">
        <f>+Debt!CE8</f>
        <v>16.658999999999999</v>
      </c>
      <c r="CF25" s="534">
        <f>+Debt!CF8</f>
        <v>16.658999999999999</v>
      </c>
      <c r="CG25" s="388">
        <f>CF25</f>
        <v>16.658999999999999</v>
      </c>
      <c r="CM25" s="124"/>
      <c r="CO25"/>
      <c r="CP25"/>
      <c r="CQ25"/>
      <c r="CR25"/>
      <c r="CS25"/>
      <c r="CT25"/>
      <c r="CU25" s="11"/>
    </row>
    <row r="26" spans="2:99" s="7" customFormat="1" ht="11.25" customHeight="1" x14ac:dyDescent="0.2">
      <c r="B26" s="429" t="s">
        <v>271</v>
      </c>
      <c r="C26" s="105">
        <f>96.994+52.72+165.113</f>
        <v>314.827</v>
      </c>
      <c r="D26" s="105">
        <f>104.099+56.303+181.875</f>
        <v>342.27699999999999</v>
      </c>
      <c r="E26" s="105">
        <f>122.898+77.882+61.615+204.76</f>
        <v>467.15499999999997</v>
      </c>
      <c r="F26" s="105">
        <f>136.291+73.278+223.765</f>
        <v>433.334</v>
      </c>
      <c r="G26" s="388">
        <f>+F26</f>
        <v>433.334</v>
      </c>
      <c r="H26" s="39"/>
      <c r="I26" s="524">
        <f>114.881+92.91+222.994</f>
        <v>430.78499999999997</v>
      </c>
      <c r="J26" s="511">
        <f>124.213+87.359+226.615</f>
        <v>438.18700000000001</v>
      </c>
      <c r="K26" s="511">
        <f>132+81.577+215.438</f>
        <v>429.01499999999999</v>
      </c>
      <c r="L26" s="515">
        <f>135.523+69.792+262.236</f>
        <v>467.55099999999999</v>
      </c>
      <c r="M26" s="388">
        <f>+L26</f>
        <v>467.55099999999999</v>
      </c>
      <c r="N26" s="39"/>
      <c r="O26" s="524">
        <f>106.768+84.304+237.792</f>
        <v>428.86400000000003</v>
      </c>
      <c r="P26" s="511">
        <f>123.182+91.091+251.495</f>
        <v>465.76800000000003</v>
      </c>
      <c r="Q26" s="511">
        <f>148.665+83.951+263.392</f>
        <v>496.00799999999998</v>
      </c>
      <c r="R26" s="515">
        <f>155.298+86.034+289.351</f>
        <v>530.68299999999999</v>
      </c>
      <c r="S26" s="388">
        <f>+R26</f>
        <v>530.68299999999999</v>
      </c>
      <c r="T26" s="39"/>
      <c r="U26" s="524">
        <f>129.727+97.379+277.827</f>
        <v>504.93299999999999</v>
      </c>
      <c r="V26" s="511">
        <f>139.29+91.721+265.468</f>
        <v>496.47900000000004</v>
      </c>
      <c r="W26" s="511">
        <f>154.103+107.04+267.966</f>
        <v>529.10900000000004</v>
      </c>
      <c r="X26" s="515">
        <f>172.746+91.581+267.736</f>
        <v>532.06299999999999</v>
      </c>
      <c r="Y26" s="388">
        <f>+X26</f>
        <v>532.06299999999999</v>
      </c>
      <c r="Z26" s="39"/>
      <c r="AA26" s="524">
        <f>153.892+131.387+263.899</f>
        <v>549.178</v>
      </c>
      <c r="AB26" s="511">
        <f>170.314+125.721+264.703</f>
        <v>560.73799999999994</v>
      </c>
      <c r="AC26" s="511">
        <f>175.919+127.337+242.529</f>
        <v>545.78500000000008</v>
      </c>
      <c r="AD26" s="515">
        <f>191.173+121.234+259.932</f>
        <v>572.33899999999994</v>
      </c>
      <c r="AE26" s="388">
        <f>+AD26</f>
        <v>572.33899999999994</v>
      </c>
      <c r="AF26" s="39"/>
      <c r="AG26" s="524">
        <f>147.662+131.811+260.29</f>
        <v>539.76300000000003</v>
      </c>
      <c r="AH26" s="511">
        <f>179.186+126.703+257.046</f>
        <v>562.93499999999995</v>
      </c>
      <c r="AI26" s="511">
        <f>175.089+130.576+262.694</f>
        <v>568.35899999999992</v>
      </c>
      <c r="AJ26" s="515">
        <f>207.381+132.774+299.738</f>
        <v>639.89300000000003</v>
      </c>
      <c r="AK26" s="388">
        <f>+AJ26</f>
        <v>639.89300000000003</v>
      </c>
      <c r="AL26" s="39"/>
      <c r="AM26" s="524">
        <f>154.845+137.114+289.601</f>
        <v>581.55999999999995</v>
      </c>
      <c r="AN26" s="511">
        <f>182.587+139.605+288.057</f>
        <v>610.24900000000002</v>
      </c>
      <c r="AO26" s="511">
        <f>181.444+156.945+287.812</f>
        <v>626.20100000000002</v>
      </c>
      <c r="AP26" s="515">
        <f>216.629+145.161+329.429</f>
        <v>691.21899999999994</v>
      </c>
      <c r="AQ26" s="388">
        <f>+AP26</f>
        <v>691.21899999999994</v>
      </c>
      <c r="AR26" s="39"/>
      <c r="AS26" s="524">
        <f>182.007+165.814+329.499</f>
        <v>677.32</v>
      </c>
      <c r="AT26" s="511">
        <f>208.886+158.363+330.68</f>
        <v>697.92900000000009</v>
      </c>
      <c r="AU26" s="511">
        <f>204.776+171.87+312.523</f>
        <v>689.1690000000001</v>
      </c>
      <c r="AV26" s="515">
        <f>237.511+151.162+341.728</f>
        <v>730.40100000000007</v>
      </c>
      <c r="AW26" s="388">
        <f>+AV26</f>
        <v>730.40100000000007</v>
      </c>
      <c r="AX26" s="39"/>
      <c r="AY26" s="524">
        <f>181.584+152.31+318.317</f>
        <v>652.21100000000001</v>
      </c>
      <c r="AZ26" s="511">
        <f>221.335+155.42+334.095</f>
        <v>710.85</v>
      </c>
      <c r="BA26" s="511">
        <f>218.486+167.333+336.335</f>
        <v>722.154</v>
      </c>
      <c r="BB26" s="515">
        <f>258.416+161.76+375.061</f>
        <v>795.23699999999997</v>
      </c>
      <c r="BC26" s="388">
        <f>+BB26</f>
        <v>795.23699999999997</v>
      </c>
      <c r="BD26" s="39"/>
      <c r="BE26" s="238">
        <f>218.284+159.635+359.098</f>
        <v>737.01700000000005</v>
      </c>
      <c r="BF26" s="204">
        <f>259.71+148.865+365.672</f>
        <v>774.24700000000007</v>
      </c>
      <c r="BG26" s="204">
        <f>249.938+158.157+349.887</f>
        <v>757.98199999999997</v>
      </c>
      <c r="BH26" s="515">
        <f>266.463+151.75+391.785</f>
        <v>809.99800000000005</v>
      </c>
      <c r="BI26" s="388">
        <f>BH26</f>
        <v>809.99800000000005</v>
      </c>
      <c r="BJ26" s="39"/>
      <c r="BK26" s="238">
        <f>226.364+168.532+356.426</f>
        <v>751.322</v>
      </c>
      <c r="BL26" s="204">
        <f>246.402+152.719+353.432</f>
        <v>752.553</v>
      </c>
      <c r="BM26" s="204">
        <f>251.849+148.627+358.421</f>
        <v>758.89699999999993</v>
      </c>
      <c r="BN26" s="515">
        <f>272.998+188.873+403.02</f>
        <v>864.89099999999996</v>
      </c>
      <c r="BO26" s="388">
        <f>BN26</f>
        <v>864.89099999999996</v>
      </c>
      <c r="BP26" s="39"/>
      <c r="BQ26" s="237">
        <f>BQ88*(('P&amp;L'!BQ11+'P&amp;L'!BQ12)*4)</f>
        <v>775.66679820829086</v>
      </c>
      <c r="BR26" s="39">
        <f>BR88*(('P&amp;L'!BR11+'P&amp;L'!BR12)*4)</f>
        <v>797.26346959168711</v>
      </c>
      <c r="BS26" s="39">
        <f>BS88*(('P&amp;L'!BS11+'P&amp;L'!BS12)*4)</f>
        <v>784.47183615477343</v>
      </c>
      <c r="BT26" s="39">
        <f>BT88*(('P&amp;L'!BT11+'P&amp;L'!BT12)*4)</f>
        <v>821.59897217814921</v>
      </c>
      <c r="BU26" s="388">
        <f>BT26</f>
        <v>821.59897217814921</v>
      </c>
      <c r="BV26" s="39"/>
      <c r="BW26" s="237">
        <f>BW88*(('P&amp;L'!BW11+'P&amp;L'!BW12)*4)</f>
        <v>816.16782828192788</v>
      </c>
      <c r="BX26" s="39">
        <f>BX88*(('P&amp;L'!BX11+'P&amp;L'!BX12)*4)</f>
        <v>827.81923020382487</v>
      </c>
      <c r="BY26" s="39">
        <f>BY88*(('P&amp;L'!BY11+'P&amp;L'!BY12)*4)</f>
        <v>814.4940184565404</v>
      </c>
      <c r="BZ26" s="39">
        <f>BZ88*(('P&amp;L'!BZ11+'P&amp;L'!BZ12)*4)</f>
        <v>852.4917998415541</v>
      </c>
      <c r="CA26" s="388">
        <f>BZ26</f>
        <v>852.4917998415541</v>
      </c>
      <c r="CB26" s="39"/>
      <c r="CC26" s="237">
        <f>CC88*(('P&amp;L'!CC11+'P&amp;L'!CC12)*4)</f>
        <v>844.73849400310326</v>
      </c>
      <c r="CD26" s="39">
        <f>CD88*(('P&amp;L'!CD11+'P&amp;L'!CD12)*4)</f>
        <v>856.86855953182953</v>
      </c>
      <c r="CE26" s="39">
        <f>CE88*(('P&amp;L'!CE11+'P&amp;L'!CE12)*4)</f>
        <v>842.92701631608566</v>
      </c>
      <c r="CF26" s="39">
        <f>CF88*(('P&amp;L'!CF11+'P&amp;L'!CF12)*4)</f>
        <v>881.97125164822876</v>
      </c>
      <c r="CG26" s="388">
        <f>CF26</f>
        <v>881.97125164822876</v>
      </c>
      <c r="CM26" s="124"/>
      <c r="CO26"/>
      <c r="CP26"/>
      <c r="CQ26"/>
      <c r="CR26"/>
      <c r="CS26"/>
      <c r="CT26"/>
      <c r="CU26" s="11"/>
    </row>
    <row r="27" spans="2:99" s="7" customFormat="1" ht="11.25" customHeight="1" x14ac:dyDescent="0.2">
      <c r="B27" s="492" t="s">
        <v>40</v>
      </c>
      <c r="C27" s="41">
        <f>SUM(C23:C26)</f>
        <v>698.17200000000003</v>
      </c>
      <c r="D27" s="41">
        <f>SUM(D23:D26)</f>
        <v>733.505</v>
      </c>
      <c r="E27" s="41">
        <f>SUM(E23:E26)</f>
        <v>1013.891</v>
      </c>
      <c r="F27" s="41">
        <f>SUM(F23:F26)</f>
        <v>940.63900000000001</v>
      </c>
      <c r="G27" s="502">
        <f>SUM(G23:G26)</f>
        <v>940.63900000000001</v>
      </c>
      <c r="H27" s="66"/>
      <c r="I27" s="526">
        <f>SUM(I23:I26)</f>
        <v>889.52</v>
      </c>
      <c r="J27" s="40">
        <f>SUM(J23:J26)</f>
        <v>921.81799999999998</v>
      </c>
      <c r="K27" s="40">
        <v>1100.6980000000001</v>
      </c>
      <c r="L27" s="513">
        <f>SUM(L23:L26)</f>
        <v>1183.665</v>
      </c>
      <c r="M27" s="502">
        <f>SUM(M23:M26)</f>
        <v>1183.665</v>
      </c>
      <c r="N27" s="66"/>
      <c r="O27" s="526">
        <f>SUM(O23:O26)</f>
        <v>1011.885</v>
      </c>
      <c r="P27" s="40">
        <f>SUM(P23:P26)</f>
        <v>1057.6120000000001</v>
      </c>
      <c r="Q27" s="40">
        <f>SUM(Q23:Q26)</f>
        <v>1029.134</v>
      </c>
      <c r="R27" s="513">
        <f>SUM(R23:R26)</f>
        <v>1076.2539999999999</v>
      </c>
      <c r="S27" s="502">
        <f>SUM(S23:S26)</f>
        <v>1076.2539999999999</v>
      </c>
      <c r="T27" s="66"/>
      <c r="U27" s="526">
        <f>SUM(U23:U26)</f>
        <v>1013.871</v>
      </c>
      <c r="V27" s="40">
        <f>SUM(V23:V26)</f>
        <v>1026.1970000000001</v>
      </c>
      <c r="W27" s="40">
        <f>SUM(W23:W26)</f>
        <v>1287.6469999999999</v>
      </c>
      <c r="X27" s="513">
        <f>SUM(X23:X26)</f>
        <v>1168.087</v>
      </c>
      <c r="Y27" s="502">
        <f>SUM(Y23:Y26)</f>
        <v>1168.087</v>
      </c>
      <c r="Z27" s="66"/>
      <c r="AA27" s="526">
        <f>SUM(AA23:AA26)</f>
        <v>1234.203</v>
      </c>
      <c r="AB27" s="40">
        <f>SUM(AB23:AB26)</f>
        <v>1236.9449999999999</v>
      </c>
      <c r="AC27" s="40">
        <f>SUM(AC23:AC26)</f>
        <v>1201.3520000000001</v>
      </c>
      <c r="AD27" s="513">
        <f>SUM(AD23:AD26)</f>
        <v>1271.6399999999999</v>
      </c>
      <c r="AE27" s="502">
        <f>SUM(AE23:AE26)</f>
        <v>1271.6399999999999</v>
      </c>
      <c r="AF27" s="66"/>
      <c r="AG27" s="526">
        <f>SUM(AG23:AG26)</f>
        <v>1139.136</v>
      </c>
      <c r="AH27" s="40">
        <f>SUM(AH23:AH26)</f>
        <v>1283.454</v>
      </c>
      <c r="AI27" s="40">
        <f>SUM(AI23:AI26)</f>
        <v>1448.9579999999999</v>
      </c>
      <c r="AJ27" s="513">
        <f>SUM(AJ23:AJ26)</f>
        <v>1472.7090000000001</v>
      </c>
      <c r="AK27" s="502">
        <f>SUM(AK23:AK26)</f>
        <v>1472.7090000000001</v>
      </c>
      <c r="AL27" s="66"/>
      <c r="AM27" s="526">
        <f>SUM(AM23:AM26)</f>
        <v>1242.569</v>
      </c>
      <c r="AN27" s="40">
        <f>SUM(AN23:AN26)</f>
        <v>1314.335</v>
      </c>
      <c r="AO27" s="40">
        <f>SUM(AO23:AO26)</f>
        <v>1446.4449999999999</v>
      </c>
      <c r="AP27" s="513">
        <f>SUM(AP23:AP26)</f>
        <v>1550.663</v>
      </c>
      <c r="AQ27" s="502">
        <f>SUM(AQ23:AQ26)</f>
        <v>1550.663</v>
      </c>
      <c r="AR27" s="66"/>
      <c r="AS27" s="526">
        <f>SUM(AS23:AS26)</f>
        <v>1613.261</v>
      </c>
      <c r="AT27" s="40">
        <f>SUM(AT23:AT26)</f>
        <v>1543.9010000000003</v>
      </c>
      <c r="AU27" s="40">
        <f>SUM(AU23:AU26)</f>
        <v>1705.8340000000003</v>
      </c>
      <c r="AV27" s="513">
        <f>SUM(AV23:AV26)</f>
        <v>1780.1110000000001</v>
      </c>
      <c r="AW27" s="502">
        <f>SUM(AW23:AW26)</f>
        <v>1780.1110000000001</v>
      </c>
      <c r="AX27" s="66"/>
      <c r="AY27" s="526">
        <f>SUM(AY23:AY26)</f>
        <v>1546.8389999999999</v>
      </c>
      <c r="AZ27" s="40">
        <f>SUM(AZ23:AZ26)</f>
        <v>1636.7420000000002</v>
      </c>
      <c r="BA27" s="40">
        <f>SUM(BA23:BA26)</f>
        <v>1797.2809999999999</v>
      </c>
      <c r="BB27" s="513">
        <f>SUM(BB23:BB26)</f>
        <v>2146.9969999999998</v>
      </c>
      <c r="BC27" s="502">
        <f>SUM(BC23:BC26)</f>
        <v>2146.9969999999998</v>
      </c>
      <c r="BD27" s="66"/>
      <c r="BE27" s="526">
        <f>SUM(BE23:BE26)</f>
        <v>1987.5040000000001</v>
      </c>
      <c r="BF27" s="40">
        <f>SUM(BF23:BF26)</f>
        <v>1910.9120000000003</v>
      </c>
      <c r="BG27" s="40">
        <f>SUM(BG23:BG26)</f>
        <v>2039.655</v>
      </c>
      <c r="BH27" s="513">
        <f>SUM(BH23:BH26)</f>
        <v>2290.6459999999997</v>
      </c>
      <c r="BI27" s="502">
        <f>SUM(BI23:BI26)</f>
        <v>2290.6459999999997</v>
      </c>
      <c r="BJ27" s="66"/>
      <c r="BK27" s="526">
        <f>SUM(BK23:BK26)</f>
        <v>2285.4320000000002</v>
      </c>
      <c r="BL27" s="40">
        <f>SUM(BL23:BL26)</f>
        <v>2229.9449999999997</v>
      </c>
      <c r="BM27" s="40">
        <f>SUM(BM23:BM26)</f>
        <v>2437.1469999999999</v>
      </c>
      <c r="BN27" s="513">
        <f>SUM(BN23:BN26)</f>
        <v>2776.2150000000001</v>
      </c>
      <c r="BO27" s="502">
        <f>SUM(BO23:BO26)</f>
        <v>2776.2150000000001</v>
      </c>
      <c r="BP27" s="66"/>
      <c r="BQ27" s="526">
        <f>SUM(BQ23:BQ26)</f>
        <v>2477.4350273811183</v>
      </c>
      <c r="BR27" s="40">
        <f>SUM(BR23:BR26)</f>
        <v>2458.0718645685802</v>
      </c>
      <c r="BS27" s="40">
        <f>SUM(BS23:BS26)</f>
        <v>2530.4337405199894</v>
      </c>
      <c r="BT27" s="40">
        <f>SUM(BT23:BT26)</f>
        <v>2696.0866972905833</v>
      </c>
      <c r="BU27" s="502">
        <f>SUM(BU23:BU26)</f>
        <v>2696.0866972905833</v>
      </c>
      <c r="BV27" s="66"/>
      <c r="BW27" s="526">
        <f>SUM(BW23:BW26)</f>
        <v>2561.8622153681204</v>
      </c>
      <c r="BX27" s="40">
        <f>SUM(BX23:BX26)</f>
        <v>2526.7093984240892</v>
      </c>
      <c r="BY27" s="40">
        <f>SUM(BY23:BY26)</f>
        <v>2602.6527988271619</v>
      </c>
      <c r="BZ27" s="40">
        <f>SUM(BZ23:BZ26)</f>
        <v>2774.5756021674051</v>
      </c>
      <c r="CA27" s="502">
        <f>SUM(CA23:CA26)</f>
        <v>2774.5756021674051</v>
      </c>
      <c r="CB27" s="66"/>
      <c r="CC27" s="526">
        <f>SUM(CC23:CC26)</f>
        <v>2629.0710636062786</v>
      </c>
      <c r="CD27" s="40">
        <f>SUM(CD23:CD26)</f>
        <v>2592.1247690975224</v>
      </c>
      <c r="CE27" s="40">
        <f>SUM(CE23:CE26)</f>
        <v>2671.303963376884</v>
      </c>
      <c r="CF27" s="40">
        <f>SUM(CF23:CF26)</f>
        <v>2849.8309845798854</v>
      </c>
      <c r="CG27" s="502">
        <f>SUM(CG23:CG26)</f>
        <v>2849.8309845798854</v>
      </c>
      <c r="CM27" s="124"/>
      <c r="CO27"/>
      <c r="CP27"/>
      <c r="CQ27"/>
      <c r="CR27"/>
      <c r="CS27"/>
      <c r="CT27"/>
      <c r="CU27" s="11"/>
    </row>
    <row r="28" spans="2:99" s="7" customFormat="1" ht="11.25" customHeight="1" x14ac:dyDescent="0.2">
      <c r="B28" s="426"/>
      <c r="C28" s="38"/>
      <c r="D28" s="38"/>
      <c r="E28" s="38"/>
      <c r="F28" s="38"/>
      <c r="G28" s="388"/>
      <c r="H28" s="116"/>
      <c r="I28" s="237"/>
      <c r="J28" s="39"/>
      <c r="K28" s="39"/>
      <c r="L28" s="514"/>
      <c r="M28" s="388"/>
      <c r="N28" s="116"/>
      <c r="O28" s="237"/>
      <c r="P28" s="39"/>
      <c r="Q28" s="39"/>
      <c r="R28" s="514"/>
      <c r="S28" s="388"/>
      <c r="T28" s="116"/>
      <c r="U28" s="237"/>
      <c r="V28" s="39"/>
      <c r="W28" s="39"/>
      <c r="X28" s="514"/>
      <c r="Y28" s="388"/>
      <c r="Z28" s="116"/>
      <c r="AA28" s="237"/>
      <c r="AB28" s="39"/>
      <c r="AC28" s="39"/>
      <c r="AD28" s="514"/>
      <c r="AE28" s="388"/>
      <c r="AF28" s="116"/>
      <c r="AG28" s="237"/>
      <c r="AH28" s="39"/>
      <c r="AI28" s="39"/>
      <c r="AJ28" s="514"/>
      <c r="AK28" s="388"/>
      <c r="AL28" s="116"/>
      <c r="AM28" s="237"/>
      <c r="AN28" s="39"/>
      <c r="AO28" s="39"/>
      <c r="AP28" s="514"/>
      <c r="AQ28" s="388"/>
      <c r="AR28" s="116"/>
      <c r="AS28" s="237"/>
      <c r="AT28" s="39"/>
      <c r="AU28" s="39"/>
      <c r="AV28" s="514"/>
      <c r="AW28" s="388"/>
      <c r="AX28" s="116"/>
      <c r="AY28" s="237"/>
      <c r="AZ28" s="39"/>
      <c r="BA28" s="39"/>
      <c r="BB28" s="514"/>
      <c r="BC28" s="388"/>
      <c r="BD28" s="116"/>
      <c r="BE28" s="237"/>
      <c r="BF28" s="39"/>
      <c r="BG28" s="39"/>
      <c r="BH28" s="514"/>
      <c r="BI28" s="388"/>
      <c r="BJ28" s="116"/>
      <c r="BK28" s="237"/>
      <c r="BL28" s="39"/>
      <c r="BM28" s="39"/>
      <c r="BN28" s="514"/>
      <c r="BO28" s="388"/>
      <c r="BP28" s="116"/>
      <c r="BQ28" s="237"/>
      <c r="BR28" s="39"/>
      <c r="BS28" s="39"/>
      <c r="BT28" s="39"/>
      <c r="BU28" s="388"/>
      <c r="BV28" s="116"/>
      <c r="BW28" s="237"/>
      <c r="BX28" s="39"/>
      <c r="BY28" s="39"/>
      <c r="BZ28" s="39"/>
      <c r="CA28" s="388"/>
      <c r="CB28" s="116"/>
      <c r="CC28" s="237"/>
      <c r="CD28" s="39"/>
      <c r="CE28" s="39"/>
      <c r="CF28" s="39"/>
      <c r="CG28" s="388"/>
      <c r="CM28" s="124"/>
      <c r="CO28"/>
      <c r="CP28"/>
      <c r="CQ28"/>
      <c r="CR28"/>
      <c r="CS28"/>
      <c r="CT28"/>
      <c r="CU28" s="11"/>
    </row>
    <row r="29" spans="2:99" s="7" customFormat="1" ht="11.25" customHeight="1" x14ac:dyDescent="0.2">
      <c r="B29" s="429" t="s">
        <v>196</v>
      </c>
      <c r="C29" s="105">
        <v>457.31799999999998</v>
      </c>
      <c r="D29" s="105">
        <v>450.26</v>
      </c>
      <c r="E29" s="105">
        <v>432.279</v>
      </c>
      <c r="F29" s="105">
        <v>423.274</v>
      </c>
      <c r="G29" s="388">
        <f>+F29</f>
        <v>423.274</v>
      </c>
      <c r="H29" s="39"/>
      <c r="I29" s="524">
        <v>428.541</v>
      </c>
      <c r="J29" s="511">
        <v>424.47</v>
      </c>
      <c r="K29" s="511">
        <v>268.99</v>
      </c>
      <c r="L29" s="515">
        <v>256.64800000000002</v>
      </c>
      <c r="M29" s="388">
        <f>+L29</f>
        <v>256.64800000000002</v>
      </c>
      <c r="N29" s="39"/>
      <c r="O29" s="524">
        <v>256.33300000000003</v>
      </c>
      <c r="P29" s="511">
        <v>261.22899999999998</v>
      </c>
      <c r="Q29" s="511">
        <v>242.511</v>
      </c>
      <c r="R29" s="515">
        <v>243.37299999999999</v>
      </c>
      <c r="S29" s="388">
        <f>+R29</f>
        <v>243.37299999999999</v>
      </c>
      <c r="T29" s="39"/>
      <c r="U29" s="524">
        <v>522.88199999999995</v>
      </c>
      <c r="V29" s="511">
        <v>523.42100000000005</v>
      </c>
      <c r="W29" s="511">
        <v>383.495</v>
      </c>
      <c r="X29" s="515">
        <v>395.30900000000003</v>
      </c>
      <c r="Y29" s="388">
        <f>+X29</f>
        <v>395.30900000000003</v>
      </c>
      <c r="Z29" s="39"/>
      <c r="AA29" s="524">
        <v>407.46199999999999</v>
      </c>
      <c r="AB29" s="511">
        <v>372.92399999999998</v>
      </c>
      <c r="AC29" s="511">
        <v>371.86399999999998</v>
      </c>
      <c r="AD29" s="515">
        <v>363.524</v>
      </c>
      <c r="AE29" s="388">
        <f>+AD29</f>
        <v>363.524</v>
      </c>
      <c r="AF29" s="39"/>
      <c r="AG29" s="524">
        <v>453.05799999999999</v>
      </c>
      <c r="AH29" s="511">
        <v>434.41699999999997</v>
      </c>
      <c r="AI29" s="511">
        <v>436.42599999999999</v>
      </c>
      <c r="AJ29" s="515">
        <v>488.12099999999998</v>
      </c>
      <c r="AK29" s="388">
        <f>+AJ29</f>
        <v>488.12099999999998</v>
      </c>
      <c r="AL29" s="39"/>
      <c r="AM29" s="524">
        <v>600.59900000000005</v>
      </c>
      <c r="AN29" s="511">
        <v>446.709</v>
      </c>
      <c r="AO29" s="511">
        <v>311.45800000000003</v>
      </c>
      <c r="AP29" s="515">
        <v>450.233</v>
      </c>
      <c r="AQ29" s="388">
        <f>+AP29</f>
        <v>450.233</v>
      </c>
      <c r="AR29" s="39"/>
      <c r="AS29" s="524">
        <v>541.68700000000001</v>
      </c>
      <c r="AT29" s="511">
        <v>665.90899999999999</v>
      </c>
      <c r="AU29" s="511">
        <v>630.80600000000004</v>
      </c>
      <c r="AV29" s="515">
        <v>542.77599999999995</v>
      </c>
      <c r="AW29" s="388">
        <f>+AV29</f>
        <v>542.77599999999995</v>
      </c>
      <c r="AX29" s="39"/>
      <c r="AY29" s="524">
        <v>653.71799999999996</v>
      </c>
      <c r="AZ29" s="511">
        <v>588.52300000000002</v>
      </c>
      <c r="BA29" s="511">
        <v>597.10599999999999</v>
      </c>
      <c r="BB29" s="515">
        <v>463.75200000000001</v>
      </c>
      <c r="BC29" s="388">
        <f>+BB29</f>
        <v>463.75200000000001</v>
      </c>
      <c r="BD29" s="39"/>
      <c r="BE29" s="238">
        <v>666.28300000000002</v>
      </c>
      <c r="BF29" s="204">
        <v>700.05200000000002</v>
      </c>
      <c r="BG29" s="204">
        <v>718.024</v>
      </c>
      <c r="BH29" s="515">
        <v>715.45699999999999</v>
      </c>
      <c r="BI29" s="388">
        <f>BH29</f>
        <v>715.45699999999999</v>
      </c>
      <c r="BJ29" s="39"/>
      <c r="BK29" s="238">
        <v>708.42200000000003</v>
      </c>
      <c r="BL29" s="204">
        <v>807.625</v>
      </c>
      <c r="BM29" s="204">
        <v>907.59199999999998</v>
      </c>
      <c r="BN29" s="515">
        <v>907.75599999999997</v>
      </c>
      <c r="BO29" s="388">
        <f>BN29</f>
        <v>907.75599999999997</v>
      </c>
      <c r="BP29" s="39"/>
      <c r="BQ29" s="538">
        <f>+Debt!BQ29</f>
        <v>907.75599999999997</v>
      </c>
      <c r="BR29" s="534">
        <f>+Debt!BR29</f>
        <v>907.75599999999997</v>
      </c>
      <c r="BS29" s="534">
        <f>+Debt!BS29</f>
        <v>907.75599999999997</v>
      </c>
      <c r="BT29" s="534">
        <f>+Debt!BT29</f>
        <v>907.75599999999997</v>
      </c>
      <c r="BU29" s="388">
        <f>BT29</f>
        <v>907.75599999999997</v>
      </c>
      <c r="BV29" s="39"/>
      <c r="BW29" s="538">
        <f>+Debt!BW29</f>
        <v>907.75599999999997</v>
      </c>
      <c r="BX29" s="534">
        <f>+Debt!BX29</f>
        <v>907.75599999999997</v>
      </c>
      <c r="BY29" s="534">
        <f>+Debt!BY29</f>
        <v>907.75599999999997</v>
      </c>
      <c r="BZ29" s="534">
        <f>+Debt!BZ29</f>
        <v>907.75599999999997</v>
      </c>
      <c r="CA29" s="388">
        <f>BZ29</f>
        <v>907.75599999999997</v>
      </c>
      <c r="CB29" s="39"/>
      <c r="CC29" s="538">
        <f>+Debt!CC29</f>
        <v>907.75599999999997</v>
      </c>
      <c r="CD29" s="534">
        <f>+Debt!CD29</f>
        <v>907.75599999999997</v>
      </c>
      <c r="CE29" s="534">
        <f>+Debt!CE29</f>
        <v>807.75600000000009</v>
      </c>
      <c r="CF29" s="534">
        <f>+Debt!CF29</f>
        <v>807.75600000000009</v>
      </c>
      <c r="CG29" s="388">
        <f>CF29</f>
        <v>807.75600000000009</v>
      </c>
      <c r="CM29" s="124"/>
      <c r="CO29"/>
      <c r="CP29"/>
      <c r="CQ29"/>
      <c r="CR29"/>
      <c r="CS29"/>
      <c r="CT29"/>
      <c r="CU29" s="11"/>
    </row>
    <row r="30" spans="2:99" s="7" customFormat="1" ht="11.25" customHeight="1" x14ac:dyDescent="0.2">
      <c r="B30" s="429" t="s">
        <v>183</v>
      </c>
      <c r="C30" s="105">
        <v>67.551000000000002</v>
      </c>
      <c r="D30" s="105">
        <v>57.957000000000001</v>
      </c>
      <c r="E30" s="105">
        <v>71.915999999999997</v>
      </c>
      <c r="F30" s="105">
        <v>80.260000000000005</v>
      </c>
      <c r="G30" s="388">
        <f>+F30</f>
        <v>80.260000000000005</v>
      </c>
      <c r="H30" s="39"/>
      <c r="I30" s="524">
        <v>91.85</v>
      </c>
      <c r="J30" s="511">
        <v>92.698999999999998</v>
      </c>
      <c r="K30" s="511">
        <v>86.350999999999999</v>
      </c>
      <c r="L30" s="515">
        <v>95.399000000000001</v>
      </c>
      <c r="M30" s="388">
        <f>+L30</f>
        <v>95.399000000000001</v>
      </c>
      <c r="N30" s="39"/>
      <c r="O30" s="524">
        <v>86.135000000000005</v>
      </c>
      <c r="P30" s="511">
        <v>96.542000000000002</v>
      </c>
      <c r="Q30" s="511">
        <v>107.953</v>
      </c>
      <c r="R30" s="515">
        <v>100.976</v>
      </c>
      <c r="S30" s="388">
        <f>+R30</f>
        <v>100.976</v>
      </c>
      <c r="T30" s="39"/>
      <c r="U30" s="524">
        <v>173.26900000000001</v>
      </c>
      <c r="V30" s="511">
        <v>187.602</v>
      </c>
      <c r="W30" s="511">
        <v>190.565</v>
      </c>
      <c r="X30" s="515">
        <v>190.22499999999999</v>
      </c>
      <c r="Y30" s="388">
        <f>+X30</f>
        <v>190.22499999999999</v>
      </c>
      <c r="Z30" s="39"/>
      <c r="AA30" s="524">
        <v>196.358</v>
      </c>
      <c r="AB30" s="511">
        <v>197.53800000000001</v>
      </c>
      <c r="AC30" s="511">
        <v>190.726</v>
      </c>
      <c r="AD30" s="515">
        <v>188.739</v>
      </c>
      <c r="AE30" s="388">
        <f>+AD30</f>
        <v>188.739</v>
      </c>
      <c r="AF30" s="39"/>
      <c r="AG30" s="524">
        <v>186.84399999999999</v>
      </c>
      <c r="AH30" s="511">
        <v>185.24700000000001</v>
      </c>
      <c r="AI30" s="511">
        <v>180.977</v>
      </c>
      <c r="AJ30" s="515">
        <v>196.81399999999999</v>
      </c>
      <c r="AK30" s="388">
        <f>+AJ30</f>
        <v>196.81399999999999</v>
      </c>
      <c r="AL30" s="39"/>
      <c r="AM30" s="524">
        <v>199.768</v>
      </c>
      <c r="AN30" s="511">
        <v>200.709</v>
      </c>
      <c r="AO30" s="511">
        <v>205.26300000000001</v>
      </c>
      <c r="AP30" s="515">
        <v>198.67400000000001</v>
      </c>
      <c r="AQ30" s="388">
        <f>+AP30</f>
        <v>198.67400000000001</v>
      </c>
      <c r="AR30" s="39"/>
      <c r="AS30" s="524">
        <v>287.15100000000001</v>
      </c>
      <c r="AT30" s="511">
        <v>278.45600000000002</v>
      </c>
      <c r="AU30" s="511">
        <v>264.68400000000003</v>
      </c>
      <c r="AV30" s="515">
        <v>253.11799999999999</v>
      </c>
      <c r="AW30" s="388">
        <f>+AV30</f>
        <v>253.11799999999999</v>
      </c>
      <c r="AX30" s="39"/>
      <c r="AY30" s="524">
        <v>248.44499999999999</v>
      </c>
      <c r="AZ30" s="511">
        <v>252.96899999999999</v>
      </c>
      <c r="BA30" s="511">
        <v>248.249</v>
      </c>
      <c r="BB30" s="515">
        <v>252.86199999999999</v>
      </c>
      <c r="BC30" s="388">
        <f>+BB30</f>
        <v>252.86199999999999</v>
      </c>
      <c r="BD30" s="39"/>
      <c r="BE30" s="238">
        <v>257.87700000000001</v>
      </c>
      <c r="BF30" s="204">
        <v>248.30799999999999</v>
      </c>
      <c r="BG30" s="204">
        <v>143.61199999999999</v>
      </c>
      <c r="BH30" s="515">
        <v>51.588999999999999</v>
      </c>
      <c r="BI30" s="388">
        <f>BH30</f>
        <v>51.588999999999999</v>
      </c>
      <c r="BJ30" s="39"/>
      <c r="BK30" s="238">
        <v>79.106999999999999</v>
      </c>
      <c r="BL30" s="204">
        <v>89.756</v>
      </c>
      <c r="BM30" s="204">
        <v>91.786000000000001</v>
      </c>
      <c r="BN30" s="515">
        <v>50.430999999999997</v>
      </c>
      <c r="BO30" s="388">
        <f>BN30</f>
        <v>50.430999999999997</v>
      </c>
      <c r="BP30" s="39"/>
      <c r="BQ30" s="537">
        <f>+BN30</f>
        <v>50.430999999999997</v>
      </c>
      <c r="BR30" s="206">
        <f>BQ30</f>
        <v>50.430999999999997</v>
      </c>
      <c r="BS30" s="206">
        <f>BR30</f>
        <v>50.430999999999997</v>
      </c>
      <c r="BT30" s="206">
        <f>BS30</f>
        <v>50.430999999999997</v>
      </c>
      <c r="BU30" s="388">
        <f>BT30</f>
        <v>50.430999999999997</v>
      </c>
      <c r="BV30" s="39"/>
      <c r="BW30" s="537">
        <f>+BT30</f>
        <v>50.430999999999997</v>
      </c>
      <c r="BX30" s="206">
        <f>BW30</f>
        <v>50.430999999999997</v>
      </c>
      <c r="BY30" s="206">
        <f>BX30</f>
        <v>50.430999999999997</v>
      </c>
      <c r="BZ30" s="206">
        <f>BY30</f>
        <v>50.430999999999997</v>
      </c>
      <c r="CA30" s="388">
        <f>BZ30</f>
        <v>50.430999999999997</v>
      </c>
      <c r="CB30" s="39"/>
      <c r="CC30" s="537">
        <f>+BZ30</f>
        <v>50.430999999999997</v>
      </c>
      <c r="CD30" s="206">
        <f>CC30</f>
        <v>50.430999999999997</v>
      </c>
      <c r="CE30" s="206">
        <f>CD30</f>
        <v>50.430999999999997</v>
      </c>
      <c r="CF30" s="206">
        <f>CE30</f>
        <v>50.430999999999997</v>
      </c>
      <c r="CG30" s="388">
        <f>CF30</f>
        <v>50.430999999999997</v>
      </c>
      <c r="CM30" s="124"/>
      <c r="CO30"/>
      <c r="CP30"/>
      <c r="CQ30"/>
      <c r="CR30"/>
      <c r="CS30"/>
      <c r="CT30"/>
      <c r="CU30" s="11"/>
    </row>
    <row r="31" spans="2:99" s="7" customFormat="1" ht="11.25" customHeight="1" x14ac:dyDescent="0.2">
      <c r="B31" s="755" t="s">
        <v>184</v>
      </c>
      <c r="C31" s="105">
        <v>61.290999999999997</v>
      </c>
      <c r="D31" s="105">
        <v>62.962000000000003</v>
      </c>
      <c r="E31" s="105">
        <v>62.206000000000003</v>
      </c>
      <c r="F31" s="105">
        <v>53.905999999999999</v>
      </c>
      <c r="G31" s="388">
        <f>+F31</f>
        <v>53.905999999999999</v>
      </c>
      <c r="H31" s="39"/>
      <c r="I31" s="524">
        <v>52.709000000000003</v>
      </c>
      <c r="J31" s="511">
        <v>54.643999999999998</v>
      </c>
      <c r="K31" s="511">
        <v>52.302999999999997</v>
      </c>
      <c r="L31" s="515">
        <v>58.109000000000002</v>
      </c>
      <c r="M31" s="388">
        <f>+L31</f>
        <v>58.109000000000002</v>
      </c>
      <c r="N31" s="39"/>
      <c r="O31" s="524">
        <v>56.131</v>
      </c>
      <c r="P31" s="511">
        <v>58.481999999999999</v>
      </c>
      <c r="Q31" s="511">
        <v>72.037999999999997</v>
      </c>
      <c r="R31" s="515">
        <v>75.304000000000002</v>
      </c>
      <c r="S31" s="388">
        <f>+R31</f>
        <v>75.304000000000002</v>
      </c>
      <c r="T31" s="39"/>
      <c r="U31" s="524">
        <v>74.504000000000005</v>
      </c>
      <c r="V31" s="511">
        <v>72.347999999999999</v>
      </c>
      <c r="W31" s="511">
        <v>75.581999999999994</v>
      </c>
      <c r="X31" s="515">
        <v>76.753</v>
      </c>
      <c r="Y31" s="388">
        <f>+X31</f>
        <v>76.753</v>
      </c>
      <c r="Z31" s="39"/>
      <c r="AA31" s="524">
        <v>82.710999999999999</v>
      </c>
      <c r="AB31" s="511">
        <v>77.367999999999995</v>
      </c>
      <c r="AC31" s="511">
        <v>76.731999999999999</v>
      </c>
      <c r="AD31" s="515">
        <v>80.567999999999998</v>
      </c>
      <c r="AE31" s="388">
        <f>+AD31</f>
        <v>80.567999999999998</v>
      </c>
      <c r="AF31" s="39"/>
      <c r="AG31" s="524">
        <v>84.081000000000003</v>
      </c>
      <c r="AH31" s="511">
        <v>82.98</v>
      </c>
      <c r="AI31" s="511">
        <v>96.402000000000001</v>
      </c>
      <c r="AJ31" s="515">
        <v>125.31399999999999</v>
      </c>
      <c r="AK31" s="388">
        <f>+AJ31</f>
        <v>125.31399999999999</v>
      </c>
      <c r="AL31" s="39"/>
      <c r="AM31" s="524">
        <v>119.71299999999999</v>
      </c>
      <c r="AN31" s="511">
        <v>119.291</v>
      </c>
      <c r="AO31" s="511">
        <v>128.93700000000001</v>
      </c>
      <c r="AP31" s="515">
        <v>139.52600000000001</v>
      </c>
      <c r="AQ31" s="388">
        <f>+AP31</f>
        <v>139.52600000000001</v>
      </c>
      <c r="AR31" s="39"/>
      <c r="AS31" s="524">
        <v>136.25299999999999</v>
      </c>
      <c r="AT31" s="511">
        <v>152.029</v>
      </c>
      <c r="AU31" s="511">
        <v>158.73599999999999</v>
      </c>
      <c r="AV31" s="515">
        <v>181.83</v>
      </c>
      <c r="AW31" s="388">
        <f>+AV31</f>
        <v>181.83</v>
      </c>
      <c r="AX31" s="39"/>
      <c r="AY31" s="524">
        <v>181.24600000000001</v>
      </c>
      <c r="AZ31" s="511">
        <v>193.70400000000001</v>
      </c>
      <c r="BA31" s="511">
        <v>202.38499999999999</v>
      </c>
      <c r="BB31" s="515">
        <v>212.12100000000001</v>
      </c>
      <c r="BC31" s="388">
        <f>+BB31</f>
        <v>212.12100000000001</v>
      </c>
      <c r="BD31" s="39"/>
      <c r="BE31" s="238">
        <v>242.67500000000001</v>
      </c>
      <c r="BF31" s="204">
        <v>250.018</v>
      </c>
      <c r="BG31" s="204">
        <v>257.755</v>
      </c>
      <c r="BH31" s="515">
        <v>264.26400000000001</v>
      </c>
      <c r="BI31" s="388">
        <f>BH31</f>
        <v>264.26400000000001</v>
      </c>
      <c r="BJ31" s="39"/>
      <c r="BK31" s="238">
        <v>256.875</v>
      </c>
      <c r="BL31" s="204">
        <v>288.47800000000001</v>
      </c>
      <c r="BM31" s="204">
        <v>292.17899999999997</v>
      </c>
      <c r="BN31" s="515">
        <v>420.28500000000003</v>
      </c>
      <c r="BO31" s="388">
        <f>BN31</f>
        <v>420.28500000000003</v>
      </c>
      <c r="BP31" s="39"/>
      <c r="BQ31" s="237">
        <f>+BN31+'Cash Flow'!BQ43</f>
        <v>420.28500000000003</v>
      </c>
      <c r="BR31" s="39">
        <f>+BQ31+'Cash Flow'!BR43</f>
        <v>420.28500000000003</v>
      </c>
      <c r="BS31" s="39">
        <f>+BR31+'Cash Flow'!BS43</f>
        <v>420.28500000000003</v>
      </c>
      <c r="BT31" s="39">
        <f>+BS31+'Cash Flow'!BT43</f>
        <v>420.28500000000003</v>
      </c>
      <c r="BU31" s="388">
        <f>BT31</f>
        <v>420.28500000000003</v>
      </c>
      <c r="BV31" s="39"/>
      <c r="BW31" s="237">
        <f>+BT31+'Cash Flow'!BW43</f>
        <v>420.28500000000003</v>
      </c>
      <c r="BX31" s="39">
        <f>+BW31+'Cash Flow'!BX43</f>
        <v>420.28500000000003</v>
      </c>
      <c r="BY31" s="39">
        <f>+BX31+'Cash Flow'!BY43</f>
        <v>420.28500000000003</v>
      </c>
      <c r="BZ31" s="39">
        <f>+BY31+'Cash Flow'!BZ43</f>
        <v>420.28500000000003</v>
      </c>
      <c r="CA31" s="388">
        <f>BZ31</f>
        <v>420.28500000000003</v>
      </c>
      <c r="CB31" s="39"/>
      <c r="CC31" s="237">
        <f>+BZ31+'Cash Flow'!CC43</f>
        <v>420.28500000000003</v>
      </c>
      <c r="CD31" s="39">
        <f>+CC31+'Cash Flow'!CD43</f>
        <v>420.28500000000003</v>
      </c>
      <c r="CE31" s="39">
        <f>+CD31+'Cash Flow'!CE43</f>
        <v>420.28500000000003</v>
      </c>
      <c r="CF31" s="39">
        <f>+CE31+'Cash Flow'!CF43</f>
        <v>420.28500000000003</v>
      </c>
      <c r="CG31" s="388">
        <f>CF31</f>
        <v>420.28500000000003</v>
      </c>
      <c r="CM31" s="124"/>
      <c r="CO31"/>
      <c r="CP31"/>
      <c r="CQ31"/>
      <c r="CR31"/>
      <c r="CS31"/>
      <c r="CT31"/>
      <c r="CU31" s="11"/>
    </row>
    <row r="32" spans="2:99" s="7" customFormat="1" ht="11.25" customHeight="1" x14ac:dyDescent="0.2">
      <c r="B32" s="492" t="s">
        <v>41</v>
      </c>
      <c r="C32" s="67">
        <f>+SUM(C29:C31)+C27</f>
        <v>1284.3320000000001</v>
      </c>
      <c r="D32" s="67">
        <f>+SUM(D29:D31)+D27</f>
        <v>1304.684</v>
      </c>
      <c r="E32" s="67">
        <f>+SUM(E29:E31)+E27</f>
        <v>1580.2919999999999</v>
      </c>
      <c r="F32" s="67">
        <f>+SUM(F29:F31)+F27</f>
        <v>1498.079</v>
      </c>
      <c r="G32" s="504">
        <f>+SUM(G29:G31)+G27</f>
        <v>1498.079</v>
      </c>
      <c r="H32" s="40"/>
      <c r="I32" s="529">
        <f>+SUM(I29:I31)+I27</f>
        <v>1462.62</v>
      </c>
      <c r="J32" s="67">
        <f>+SUM(J29:J31)+J27</f>
        <v>1493.6309999999999</v>
      </c>
      <c r="K32" s="67">
        <f>+SUM(K29:K31)+K27</f>
        <v>1508.3420000000001</v>
      </c>
      <c r="L32" s="519">
        <f>+SUM(L29:L31)+L27</f>
        <v>1593.8209999999999</v>
      </c>
      <c r="M32" s="504">
        <f>+SUM(M29:M31)+M27</f>
        <v>1593.8209999999999</v>
      </c>
      <c r="N32" s="40"/>
      <c r="O32" s="529">
        <f>+SUM(O29:O31)+O27</f>
        <v>1410.4839999999999</v>
      </c>
      <c r="P32" s="67">
        <f>+SUM(P29:P31)+P27</f>
        <v>1473.865</v>
      </c>
      <c r="Q32" s="67">
        <f>+SUM(Q29:Q31)+Q27</f>
        <v>1451.636</v>
      </c>
      <c r="R32" s="519">
        <f>+SUM(R29:R31)+R27</f>
        <v>1495.9069999999999</v>
      </c>
      <c r="S32" s="504">
        <f>+SUM(S29:S31)+S27</f>
        <v>1495.9069999999999</v>
      </c>
      <c r="T32" s="40"/>
      <c r="U32" s="529">
        <f>+SUM(U29:U31)+U27</f>
        <v>1784.5259999999998</v>
      </c>
      <c r="V32" s="67">
        <f>+SUM(V29:V31)+V27</f>
        <v>1809.5680000000002</v>
      </c>
      <c r="W32" s="67">
        <f>+SUM(W29:W31)+W27</f>
        <v>1937.2889999999998</v>
      </c>
      <c r="X32" s="519">
        <f>+SUM(X29:X31)+X27</f>
        <v>1830.374</v>
      </c>
      <c r="Y32" s="504">
        <f>+SUM(Y29:Y31)+Y27</f>
        <v>1830.374</v>
      </c>
      <c r="Z32" s="40"/>
      <c r="AA32" s="529">
        <f>+SUM(AA29:AA31)+AA27</f>
        <v>1920.7339999999999</v>
      </c>
      <c r="AB32" s="67">
        <f>+SUM(AB29:AB31)+AB27</f>
        <v>1884.7749999999999</v>
      </c>
      <c r="AC32" s="67">
        <f>+SUM(AC29:AC31)+AC27</f>
        <v>1840.674</v>
      </c>
      <c r="AD32" s="519">
        <f>+SUM(AD29:AD31)+AD27</f>
        <v>1904.471</v>
      </c>
      <c r="AE32" s="504">
        <f>+SUM(AE29:AE31)+AE27</f>
        <v>1904.471</v>
      </c>
      <c r="AF32" s="40"/>
      <c r="AG32" s="529">
        <f>+SUM(AG29:AG31)+AG27</f>
        <v>1863.1190000000001</v>
      </c>
      <c r="AH32" s="67">
        <f>+SUM(AH29:AH31)+AH27</f>
        <v>1986.098</v>
      </c>
      <c r="AI32" s="67">
        <f>+SUM(AI29:AI31)+AI27</f>
        <v>2162.7629999999999</v>
      </c>
      <c r="AJ32" s="519">
        <f>+SUM(AJ29:AJ31)+AJ27</f>
        <v>2282.9580000000001</v>
      </c>
      <c r="AK32" s="504">
        <f>+SUM(AK29:AK31)+AK27</f>
        <v>2282.9580000000001</v>
      </c>
      <c r="AL32" s="40"/>
      <c r="AM32" s="529">
        <f>+SUM(AM29:AM31)+AM27</f>
        <v>2162.6489999999999</v>
      </c>
      <c r="AN32" s="67">
        <f>+SUM(AN29:AN31)+AN27</f>
        <v>2081.0439999999999</v>
      </c>
      <c r="AO32" s="67">
        <f>+SUM(AO29:AO31)+AO27</f>
        <v>2092.1030000000001</v>
      </c>
      <c r="AP32" s="519">
        <f>+SUM(AP29:AP31)+AP27</f>
        <v>2339.096</v>
      </c>
      <c r="AQ32" s="504">
        <f>+SUM(AQ29:AQ31)+AQ27</f>
        <v>2339.096</v>
      </c>
      <c r="AR32" s="40"/>
      <c r="AS32" s="529">
        <f>+SUM(AS29:AS31)+AS27</f>
        <v>2578.3519999999999</v>
      </c>
      <c r="AT32" s="67">
        <f>+SUM(AT29:AT31)+AT27</f>
        <v>2640.2950000000001</v>
      </c>
      <c r="AU32" s="67">
        <f>+SUM(AU29:AU31)+AU27</f>
        <v>2760.0600000000004</v>
      </c>
      <c r="AV32" s="519">
        <f>+SUM(AV29:AV31)+AV27</f>
        <v>2757.835</v>
      </c>
      <c r="AW32" s="504">
        <f>+SUM(AW29:AW31)+AW27</f>
        <v>2757.835</v>
      </c>
      <c r="AX32" s="40"/>
      <c r="AY32" s="529">
        <f>+SUM(AY29:AY31)+AY27</f>
        <v>2630.248</v>
      </c>
      <c r="AZ32" s="67">
        <f>+SUM(AZ29:AZ31)+AZ27</f>
        <v>2671.9380000000001</v>
      </c>
      <c r="BA32" s="67">
        <f>+SUM(BA29:BA31)+BA27</f>
        <v>2845.0209999999997</v>
      </c>
      <c r="BB32" s="519">
        <f>+SUM(BB29:BB31)+BB27</f>
        <v>3075.732</v>
      </c>
      <c r="BC32" s="504">
        <f>+SUM(BC29:BC31)+BC27</f>
        <v>3075.732</v>
      </c>
      <c r="BD32" s="40"/>
      <c r="BE32" s="529">
        <f>+SUM(BE29:BE31)+BE27</f>
        <v>3154.3389999999999</v>
      </c>
      <c r="BF32" s="67">
        <f>+SUM(BF29:BF31)+BF27</f>
        <v>3109.29</v>
      </c>
      <c r="BG32" s="67">
        <f>+SUM(BG29:BG31)+BG27</f>
        <v>3159.0460000000003</v>
      </c>
      <c r="BH32" s="519">
        <f>+SUM(BH29:BH31)+BH27</f>
        <v>3321.9559999999997</v>
      </c>
      <c r="BI32" s="504">
        <f>+SUM(BI29:BI31)+BI27</f>
        <v>3321.9559999999997</v>
      </c>
      <c r="BJ32" s="40"/>
      <c r="BK32" s="529">
        <f>+SUM(BK29:BK31)+BK27</f>
        <v>3329.8360000000002</v>
      </c>
      <c r="BL32" s="67">
        <f>+SUM(BL29:BL31)+BL27</f>
        <v>3415.8039999999996</v>
      </c>
      <c r="BM32" s="67">
        <f>+SUM(BM29:BM31)+BM27</f>
        <v>3728.7039999999997</v>
      </c>
      <c r="BN32" s="519">
        <f>+SUM(BN29:BN31)+BN27</f>
        <v>4154.6869999999999</v>
      </c>
      <c r="BO32" s="504">
        <f>+SUM(BO29:BO31)+BO27</f>
        <v>4154.6869999999999</v>
      </c>
      <c r="BP32" s="40"/>
      <c r="BQ32" s="529">
        <f>+SUM(BQ29:BQ31)+BQ27</f>
        <v>3855.9070273811185</v>
      </c>
      <c r="BR32" s="67">
        <f>+SUM(BR29:BR31)+BR27</f>
        <v>3836.5438645685799</v>
      </c>
      <c r="BS32" s="67">
        <f>+SUM(BS29:BS31)+BS27</f>
        <v>3908.9057405199892</v>
      </c>
      <c r="BT32" s="67">
        <f>+SUM(BT29:BT31)+BT27</f>
        <v>4074.558697290583</v>
      </c>
      <c r="BU32" s="504">
        <f>+SUM(BU29:BU31)+BU27</f>
        <v>4074.558697290583</v>
      </c>
      <c r="BV32" s="40"/>
      <c r="BW32" s="529">
        <f>+SUM(BW29:BW31)+BW27</f>
        <v>3940.3342153681206</v>
      </c>
      <c r="BX32" s="67">
        <f>+SUM(BX29:BX31)+BX27</f>
        <v>3905.1813984240889</v>
      </c>
      <c r="BY32" s="67">
        <f>+SUM(BY29:BY31)+BY27</f>
        <v>3981.1247988271616</v>
      </c>
      <c r="BZ32" s="67">
        <f>+SUM(BZ29:BZ31)+BZ27</f>
        <v>4153.0476021674049</v>
      </c>
      <c r="CA32" s="504">
        <f>+SUM(CA29:CA31)+CA27</f>
        <v>4153.0476021674049</v>
      </c>
      <c r="CB32" s="40"/>
      <c r="CC32" s="529">
        <f>+SUM(CC29:CC31)+CC27</f>
        <v>4007.5430636062783</v>
      </c>
      <c r="CD32" s="67">
        <f>+SUM(CD29:CD31)+CD27</f>
        <v>3970.5967690975222</v>
      </c>
      <c r="CE32" s="67">
        <f>+SUM(CE29:CE31)+CE27</f>
        <v>3949.7759633768842</v>
      </c>
      <c r="CF32" s="67">
        <f>+SUM(CF29:CF31)+CF27</f>
        <v>4128.3029845798856</v>
      </c>
      <c r="CG32" s="504">
        <f>+SUM(CG29:CG31)+CG27</f>
        <v>4128.3029845798856</v>
      </c>
      <c r="CM32" s="124"/>
      <c r="CO32"/>
      <c r="CP32"/>
      <c r="CQ32"/>
      <c r="CR32"/>
      <c r="CS32"/>
      <c r="CT32"/>
      <c r="CU32" s="11"/>
    </row>
    <row r="33" spans="1:99" s="7" customFormat="1" ht="11.25" customHeight="1" x14ac:dyDescent="0.2">
      <c r="B33" s="426"/>
      <c r="C33" s="38"/>
      <c r="D33" s="38"/>
      <c r="E33" s="38"/>
      <c r="F33" s="38"/>
      <c r="G33" s="388"/>
      <c r="H33" s="116"/>
      <c r="I33" s="237"/>
      <c r="J33" s="39"/>
      <c r="K33" s="39"/>
      <c r="L33" s="514"/>
      <c r="M33" s="388"/>
      <c r="N33" s="116"/>
      <c r="O33" s="237"/>
      <c r="P33" s="39"/>
      <c r="Q33" s="39"/>
      <c r="R33" s="514"/>
      <c r="S33" s="388"/>
      <c r="T33" s="116"/>
      <c r="U33" s="237"/>
      <c r="V33" s="39"/>
      <c r="W33" s="39"/>
      <c r="X33" s="514"/>
      <c r="Y33" s="388"/>
      <c r="Z33" s="116"/>
      <c r="AA33" s="237"/>
      <c r="AB33" s="39"/>
      <c r="AC33" s="39"/>
      <c r="AD33" s="514"/>
      <c r="AE33" s="388"/>
      <c r="AF33" s="116"/>
      <c r="AG33" s="237"/>
      <c r="AH33" s="39"/>
      <c r="AI33" s="39"/>
      <c r="AJ33" s="514"/>
      <c r="AK33" s="388"/>
      <c r="AL33" s="116"/>
      <c r="AM33" s="237"/>
      <c r="AN33" s="39"/>
      <c r="AO33" s="39"/>
      <c r="AP33" s="514"/>
      <c r="AQ33" s="388"/>
      <c r="AR33" s="116"/>
      <c r="AS33" s="237"/>
      <c r="AT33" s="39"/>
      <c r="AU33" s="39"/>
      <c r="AV33" s="514"/>
      <c r="AW33" s="388"/>
      <c r="AX33" s="116"/>
      <c r="AY33" s="237"/>
      <c r="AZ33" s="39"/>
      <c r="BA33" s="39"/>
      <c r="BB33" s="514"/>
      <c r="BC33" s="388"/>
      <c r="BD33" s="116"/>
      <c r="BE33" s="237"/>
      <c r="BF33" s="39"/>
      <c r="BG33" s="39"/>
      <c r="BH33" s="514"/>
      <c r="BI33" s="388"/>
      <c r="BJ33" s="116"/>
      <c r="BK33" s="237"/>
      <c r="BL33" s="39"/>
      <c r="BM33" s="39"/>
      <c r="BN33" s="514"/>
      <c r="BO33" s="388"/>
      <c r="BP33" s="116"/>
      <c r="BQ33" s="237"/>
      <c r="BR33" s="39"/>
      <c r="BS33" s="39"/>
      <c r="BT33" s="39"/>
      <c r="BU33" s="388"/>
      <c r="BV33" s="116"/>
      <c r="BW33" s="237"/>
      <c r="BX33" s="39"/>
      <c r="BY33" s="39"/>
      <c r="BZ33" s="39"/>
      <c r="CA33" s="388"/>
      <c r="CB33" s="116"/>
      <c r="CC33" s="237"/>
      <c r="CD33" s="39"/>
      <c r="CE33" s="39"/>
      <c r="CF33" s="39"/>
      <c r="CG33" s="388"/>
      <c r="CM33" s="124"/>
      <c r="CO33"/>
      <c r="CP33"/>
      <c r="CQ33"/>
      <c r="CR33"/>
      <c r="CS33"/>
      <c r="CT33"/>
      <c r="CU33" s="11"/>
    </row>
    <row r="34" spans="1:99" s="7" customFormat="1" ht="11.25" customHeight="1" x14ac:dyDescent="0.2">
      <c r="B34" s="429" t="s">
        <v>273</v>
      </c>
      <c r="C34" s="105">
        <v>21.925999999999998</v>
      </c>
      <c r="D34" s="105">
        <v>24.687000000000001</v>
      </c>
      <c r="E34" s="105">
        <v>29.646000000000001</v>
      </c>
      <c r="F34" s="105">
        <v>35.923000000000002</v>
      </c>
      <c r="G34" s="388">
        <f>+F34</f>
        <v>35.923000000000002</v>
      </c>
      <c r="H34" s="39"/>
      <c r="I34" s="524">
        <v>40.052</v>
      </c>
      <c r="J34" s="511">
        <v>46.816000000000003</v>
      </c>
      <c r="K34" s="511">
        <v>50.71</v>
      </c>
      <c r="L34" s="515">
        <v>233.035</v>
      </c>
      <c r="M34" s="388">
        <f>+L34</f>
        <v>233.035</v>
      </c>
      <c r="N34" s="39"/>
      <c r="O34" s="524">
        <v>0</v>
      </c>
      <c r="P34" s="511">
        <v>0</v>
      </c>
      <c r="Q34" s="511">
        <v>177.51300000000001</v>
      </c>
      <c r="R34" s="515">
        <v>178.57</v>
      </c>
      <c r="S34" s="388">
        <f>+R34</f>
        <v>178.57</v>
      </c>
      <c r="T34" s="39"/>
      <c r="U34" s="524">
        <v>286.53500000000003</v>
      </c>
      <c r="V34" s="511">
        <v>341.09899999999999</v>
      </c>
      <c r="W34" s="511">
        <v>299.101</v>
      </c>
      <c r="X34" s="515">
        <v>304.14</v>
      </c>
      <c r="Y34" s="388">
        <f>+X34</f>
        <v>304.14</v>
      </c>
      <c r="Z34" s="39"/>
      <c r="AA34" s="524">
        <v>426.06</v>
      </c>
      <c r="AB34" s="511">
        <v>424.16399999999999</v>
      </c>
      <c r="AC34" s="511">
        <v>417.06</v>
      </c>
      <c r="AD34" s="515">
        <v>402.05</v>
      </c>
      <c r="AE34" s="388">
        <f>+AD34</f>
        <v>402.05</v>
      </c>
      <c r="AF34" s="39"/>
      <c r="AG34" s="524">
        <v>369.03899999999999</v>
      </c>
      <c r="AH34" s="511">
        <v>359.11399999999998</v>
      </c>
      <c r="AI34" s="511">
        <v>375.661</v>
      </c>
      <c r="AJ34" s="515">
        <v>435.17500000000001</v>
      </c>
      <c r="AK34" s="388">
        <f>+AJ34</f>
        <v>435.17500000000001</v>
      </c>
      <c r="AL34" s="39"/>
      <c r="AM34" s="524">
        <v>463.363</v>
      </c>
      <c r="AN34" s="511">
        <v>466.024</v>
      </c>
      <c r="AO34" s="511">
        <v>475.02100000000002</v>
      </c>
      <c r="AP34" s="515">
        <v>497.53899999999999</v>
      </c>
      <c r="AQ34" s="388">
        <f>+AP34</f>
        <v>497.53899999999999</v>
      </c>
      <c r="AR34" s="39"/>
      <c r="AS34" s="524">
        <v>482.70100000000002</v>
      </c>
      <c r="AT34" s="511">
        <v>497.92700000000002</v>
      </c>
      <c r="AU34" s="511">
        <v>549.43200000000002</v>
      </c>
      <c r="AV34" s="515">
        <v>564.52700000000004</v>
      </c>
      <c r="AW34" s="388">
        <f>+AV34</f>
        <v>564.52700000000004</v>
      </c>
      <c r="AX34" s="39"/>
      <c r="AY34" s="524">
        <v>573.13699999999994</v>
      </c>
      <c r="AZ34" s="511">
        <v>567.67200000000003</v>
      </c>
      <c r="BA34" s="511">
        <v>584.59100000000001</v>
      </c>
      <c r="BB34" s="515">
        <v>542.19399999999996</v>
      </c>
      <c r="BC34" s="388">
        <f>+BB34</f>
        <v>542.19399999999996</v>
      </c>
      <c r="BD34" s="39"/>
      <c r="BE34" s="238">
        <v>529.99699999999996</v>
      </c>
      <c r="BF34" s="204">
        <v>568.69299999999998</v>
      </c>
      <c r="BG34" s="204">
        <v>571.36900000000003</v>
      </c>
      <c r="BH34" s="515">
        <v>607.63599999999997</v>
      </c>
      <c r="BI34" s="388">
        <f>BH34</f>
        <v>607.63599999999997</v>
      </c>
      <c r="BJ34" s="39"/>
      <c r="BK34" s="238">
        <v>719.39</v>
      </c>
      <c r="BL34" s="204">
        <v>747.02200000000005</v>
      </c>
      <c r="BM34" s="204">
        <v>737.74699999999996</v>
      </c>
      <c r="BN34" s="515">
        <v>832.13800000000003</v>
      </c>
      <c r="BO34" s="388">
        <f>BN34</f>
        <v>832.13800000000003</v>
      </c>
      <c r="BP34" s="39"/>
      <c r="BQ34" s="537">
        <f>+BN34</f>
        <v>832.13800000000003</v>
      </c>
      <c r="BR34" s="206">
        <f>BQ34</f>
        <v>832.13800000000003</v>
      </c>
      <c r="BS34" s="206">
        <f>BR34</f>
        <v>832.13800000000003</v>
      </c>
      <c r="BT34" s="206">
        <f>BS34</f>
        <v>832.13800000000003</v>
      </c>
      <c r="BU34" s="388">
        <f>BT34</f>
        <v>832.13800000000003</v>
      </c>
      <c r="BV34" s="39"/>
      <c r="BW34" s="537">
        <f>+BT34</f>
        <v>832.13800000000003</v>
      </c>
      <c r="BX34" s="206">
        <f>BW34</f>
        <v>832.13800000000003</v>
      </c>
      <c r="BY34" s="206">
        <f>BX34</f>
        <v>832.13800000000003</v>
      </c>
      <c r="BZ34" s="206">
        <f>BY34</f>
        <v>832.13800000000003</v>
      </c>
      <c r="CA34" s="388">
        <f>BZ34</f>
        <v>832.13800000000003</v>
      </c>
      <c r="CB34" s="39"/>
      <c r="CC34" s="537">
        <f>+BZ34</f>
        <v>832.13800000000003</v>
      </c>
      <c r="CD34" s="206">
        <f>CC34</f>
        <v>832.13800000000003</v>
      </c>
      <c r="CE34" s="206">
        <f>CD34</f>
        <v>832.13800000000003</v>
      </c>
      <c r="CF34" s="206">
        <f>CE34</f>
        <v>832.13800000000003</v>
      </c>
      <c r="CG34" s="388">
        <f>CF34</f>
        <v>832.13800000000003</v>
      </c>
      <c r="CM34" s="124"/>
      <c r="CO34"/>
      <c r="CP34"/>
      <c r="CQ34"/>
      <c r="CR34"/>
      <c r="CS34"/>
      <c r="CT34"/>
      <c r="CU34" s="11"/>
    </row>
    <row r="35" spans="1:99" s="7" customFormat="1" ht="11.25" customHeight="1" x14ac:dyDescent="0.2">
      <c r="B35" s="426"/>
      <c r="C35" s="38"/>
      <c r="D35" s="38"/>
      <c r="E35" s="38"/>
      <c r="F35" s="38"/>
      <c r="G35" s="388"/>
      <c r="H35" s="116"/>
      <c r="I35" s="237"/>
      <c r="J35" s="39"/>
      <c r="K35" s="39"/>
      <c r="L35" s="514"/>
      <c r="M35" s="388"/>
      <c r="N35" s="116"/>
      <c r="O35" s="237"/>
      <c r="P35" s="39"/>
      <c r="Q35" s="39"/>
      <c r="R35" s="514"/>
      <c r="S35" s="388"/>
      <c r="T35" s="116"/>
      <c r="U35" s="237"/>
      <c r="V35" s="39"/>
      <c r="W35" s="39"/>
      <c r="X35" s="514"/>
      <c r="Y35" s="388"/>
      <c r="Z35" s="116"/>
      <c r="AA35" s="237"/>
      <c r="AB35" s="39"/>
      <c r="AC35" s="39"/>
      <c r="AD35" s="514"/>
      <c r="AE35" s="388"/>
      <c r="AF35" s="116"/>
      <c r="AG35" s="237"/>
      <c r="AH35" s="39"/>
      <c r="AI35" s="39"/>
      <c r="AJ35" s="514"/>
      <c r="AK35" s="388"/>
      <c r="AL35" s="116"/>
      <c r="AM35" s="237"/>
      <c r="AN35" s="39"/>
      <c r="AO35" s="39"/>
      <c r="AP35" s="514"/>
      <c r="AQ35" s="388"/>
      <c r="AR35" s="116"/>
      <c r="AS35" s="237"/>
      <c r="AT35" s="39"/>
      <c r="AU35" s="39"/>
      <c r="AV35" s="514"/>
      <c r="AW35" s="388"/>
      <c r="AX35" s="116"/>
      <c r="AY35" s="237"/>
      <c r="AZ35" s="39"/>
      <c r="BA35" s="39"/>
      <c r="BB35" s="514"/>
      <c r="BC35" s="388"/>
      <c r="BD35" s="116"/>
      <c r="BE35" s="237"/>
      <c r="BF35" s="39"/>
      <c r="BG35" s="39"/>
      <c r="BH35" s="514"/>
      <c r="BI35" s="388"/>
      <c r="BJ35" s="116"/>
      <c r="BK35" s="237"/>
      <c r="BL35" s="39"/>
      <c r="BM35" s="39"/>
      <c r="BN35" s="514"/>
      <c r="BO35" s="388"/>
      <c r="BP35" s="116"/>
      <c r="BQ35" s="237"/>
      <c r="BR35" s="39"/>
      <c r="BS35" s="39"/>
      <c r="BT35" s="39"/>
      <c r="BU35" s="388"/>
      <c r="BV35" s="116"/>
      <c r="BW35" s="237"/>
      <c r="BX35" s="39"/>
      <c r="BY35" s="39"/>
      <c r="BZ35" s="39"/>
      <c r="CA35" s="388"/>
      <c r="CB35" s="116"/>
      <c r="CC35" s="237"/>
      <c r="CD35" s="39"/>
      <c r="CE35" s="39"/>
      <c r="CF35" s="39"/>
      <c r="CG35" s="388"/>
      <c r="CM35" s="124"/>
      <c r="CO35"/>
      <c r="CP35"/>
      <c r="CQ35"/>
      <c r="CR35"/>
      <c r="CS35"/>
      <c r="CT35"/>
      <c r="CU35" s="11"/>
    </row>
    <row r="36" spans="1:99" s="7" customFormat="1" ht="11.25" customHeight="1" x14ac:dyDescent="0.2">
      <c r="B36" s="758" t="s">
        <v>454</v>
      </c>
      <c r="C36" s="16"/>
      <c r="D36" s="16"/>
      <c r="E36" s="16"/>
      <c r="F36" s="16"/>
      <c r="G36" s="460"/>
      <c r="H36" s="39"/>
      <c r="I36" s="530"/>
      <c r="J36" s="13"/>
      <c r="K36" s="13"/>
      <c r="L36" s="520"/>
      <c r="M36" s="460"/>
      <c r="N36" s="39"/>
      <c r="O36" s="530"/>
      <c r="P36" s="13"/>
      <c r="Q36" s="13"/>
      <c r="R36" s="520"/>
      <c r="S36" s="460"/>
      <c r="T36" s="39"/>
      <c r="U36" s="530"/>
      <c r="V36" s="13"/>
      <c r="W36" s="13"/>
      <c r="X36" s="520"/>
      <c r="Y36" s="460"/>
      <c r="Z36" s="39"/>
      <c r="AA36" s="530"/>
      <c r="AB36" s="13"/>
      <c r="AC36" s="13"/>
      <c r="AD36" s="520"/>
      <c r="AE36" s="460"/>
      <c r="AF36" s="39"/>
      <c r="AG36" s="530"/>
      <c r="AH36" s="13"/>
      <c r="AI36" s="13"/>
      <c r="AJ36" s="520"/>
      <c r="AK36" s="460"/>
      <c r="AL36" s="39"/>
      <c r="AM36" s="530"/>
      <c r="AN36" s="13"/>
      <c r="AO36" s="13"/>
      <c r="AP36" s="520"/>
      <c r="AQ36" s="460"/>
      <c r="AR36" s="39"/>
      <c r="AS36" s="530"/>
      <c r="AT36" s="13"/>
      <c r="AU36" s="13"/>
      <c r="AV36" s="520"/>
      <c r="AW36" s="460"/>
      <c r="AX36" s="39"/>
      <c r="AY36" s="530"/>
      <c r="AZ36" s="13"/>
      <c r="BA36" s="13"/>
      <c r="BB36" s="520"/>
      <c r="BC36" s="460"/>
      <c r="BD36" s="39"/>
      <c r="BE36" s="530"/>
      <c r="BF36" s="13"/>
      <c r="BG36" s="13"/>
      <c r="BH36" s="520"/>
      <c r="BI36" s="460"/>
      <c r="BJ36" s="39"/>
      <c r="BK36" s="530"/>
      <c r="BL36" s="13"/>
      <c r="BM36" s="13"/>
      <c r="BN36" s="520"/>
      <c r="BO36" s="460"/>
      <c r="BP36" s="39"/>
      <c r="BQ36" s="530"/>
      <c r="BR36" s="13"/>
      <c r="BS36" s="13"/>
      <c r="BT36" s="13"/>
      <c r="BU36" s="460"/>
      <c r="BV36" s="39"/>
      <c r="BW36" s="530"/>
      <c r="BX36" s="13"/>
      <c r="BY36" s="13"/>
      <c r="BZ36" s="13"/>
      <c r="CA36" s="460"/>
      <c r="CB36" s="39"/>
      <c r="CC36" s="530"/>
      <c r="CD36" s="13"/>
      <c r="CE36" s="13"/>
      <c r="CF36" s="13"/>
      <c r="CG36" s="460"/>
      <c r="CM36" s="124"/>
      <c r="CO36"/>
      <c r="CP36"/>
      <c r="CQ36"/>
      <c r="CR36"/>
      <c r="CS36"/>
      <c r="CT36"/>
      <c r="CU36" s="11"/>
    </row>
    <row r="37" spans="1:99" s="7" customFormat="1" ht="11.25" customHeight="1" x14ac:dyDescent="0.2">
      <c r="B37" s="491" t="s">
        <v>140</v>
      </c>
      <c r="C37" s="105">
        <v>0.88800000000000001</v>
      </c>
      <c r="D37" s="105">
        <v>0.89100000000000001</v>
      </c>
      <c r="E37" s="105">
        <v>0.89500000000000002</v>
      </c>
      <c r="F37" s="105">
        <v>0.89600000000000002</v>
      </c>
      <c r="G37" s="388">
        <f>+F37</f>
        <v>0.89600000000000002</v>
      </c>
      <c r="H37" s="39"/>
      <c r="I37" s="524">
        <v>0.90200000000000002</v>
      </c>
      <c r="J37" s="511">
        <v>0.89800000000000002</v>
      </c>
      <c r="K37" s="511">
        <v>0.89900000000000002</v>
      </c>
      <c r="L37" s="515">
        <v>0.89400000000000002</v>
      </c>
      <c r="M37" s="388">
        <f>+L37</f>
        <v>0.89400000000000002</v>
      </c>
      <c r="N37" s="39"/>
      <c r="O37" s="524">
        <v>0.90200000000000002</v>
      </c>
      <c r="P37" s="511">
        <v>0.90200000000000002</v>
      </c>
      <c r="Q37" s="511">
        <v>0.90400000000000003</v>
      </c>
      <c r="R37" s="515">
        <v>0.90600000000000003</v>
      </c>
      <c r="S37" s="388">
        <f>+R37</f>
        <v>0.90600000000000003</v>
      </c>
      <c r="T37" s="39"/>
      <c r="U37" s="524">
        <v>0.91300000000000003</v>
      </c>
      <c r="V37" s="511">
        <v>0.91500000000000004</v>
      </c>
      <c r="W37" s="511">
        <v>0.92400000000000004</v>
      </c>
      <c r="X37" s="515">
        <v>0.91900000000000004</v>
      </c>
      <c r="Y37" s="388">
        <f>+X37</f>
        <v>0.91900000000000004</v>
      </c>
      <c r="Z37" s="39"/>
      <c r="AA37" s="524">
        <v>0.92300000000000004</v>
      </c>
      <c r="AB37" s="511">
        <v>0.92400000000000004</v>
      </c>
      <c r="AC37" s="511">
        <v>0.90900000000000003</v>
      </c>
      <c r="AD37" s="515">
        <v>0.89900000000000002</v>
      </c>
      <c r="AE37" s="388">
        <f>+AD37</f>
        <v>0.89900000000000002</v>
      </c>
      <c r="AF37" s="39"/>
      <c r="AG37" s="524">
        <v>0.90200000000000002</v>
      </c>
      <c r="AH37" s="511">
        <v>0.88900000000000001</v>
      </c>
      <c r="AI37" s="511">
        <v>0.88300000000000001</v>
      </c>
      <c r="AJ37" s="515">
        <v>0.879</v>
      </c>
      <c r="AK37" s="388">
        <f>+AJ37</f>
        <v>0.879</v>
      </c>
      <c r="AL37" s="39"/>
      <c r="AM37" s="524">
        <v>0.874</v>
      </c>
      <c r="AN37" s="511">
        <v>0.86699999999999999</v>
      </c>
      <c r="AO37" s="511">
        <v>0.86</v>
      </c>
      <c r="AP37" s="515">
        <v>0.85599999999999998</v>
      </c>
      <c r="AQ37" s="388">
        <f>+AP37</f>
        <v>0.85599999999999998</v>
      </c>
      <c r="AR37" s="39"/>
      <c r="AS37" s="524">
        <v>0.85599999999999998</v>
      </c>
      <c r="AT37" s="511">
        <v>0.85</v>
      </c>
      <c r="AU37" s="511">
        <v>0.84499999999999997</v>
      </c>
      <c r="AV37" s="515">
        <v>0.84</v>
      </c>
      <c r="AW37" s="388">
        <f>+AV37</f>
        <v>0.84</v>
      </c>
      <c r="AX37" s="39"/>
      <c r="AY37" s="524">
        <v>0.83899999999999997</v>
      </c>
      <c r="AZ37" s="511">
        <v>0.83699999999999997</v>
      </c>
      <c r="BA37" s="511">
        <v>0.83399999999999996</v>
      </c>
      <c r="BB37" s="515">
        <v>0.82399999999999995</v>
      </c>
      <c r="BC37" s="388">
        <f>+BB37</f>
        <v>0.82399999999999995</v>
      </c>
      <c r="BD37" s="39"/>
      <c r="BE37" s="238">
        <v>0.82099999999999995</v>
      </c>
      <c r="BF37" s="204">
        <v>0.81799999999999995</v>
      </c>
      <c r="BG37" s="204">
        <v>0.80600000000000005</v>
      </c>
      <c r="BH37" s="515">
        <v>0.79400000000000004</v>
      </c>
      <c r="BI37" s="388">
        <f>BH37</f>
        <v>0.79400000000000004</v>
      </c>
      <c r="BJ37" s="39"/>
      <c r="BK37" s="238">
        <v>0.79500000000000004</v>
      </c>
      <c r="BL37" s="204">
        <v>0.79200000000000004</v>
      </c>
      <c r="BM37" s="204">
        <v>1.57</v>
      </c>
      <c r="BN37" s="515">
        <v>1.5369999999999999</v>
      </c>
      <c r="BO37" s="388">
        <f>BN37</f>
        <v>1.5369999999999999</v>
      </c>
      <c r="BP37" s="39"/>
      <c r="BQ37" s="537">
        <f>+BN37</f>
        <v>1.5369999999999999</v>
      </c>
      <c r="BR37" s="206">
        <f>BQ37</f>
        <v>1.5369999999999999</v>
      </c>
      <c r="BS37" s="206">
        <f>BR37</f>
        <v>1.5369999999999999</v>
      </c>
      <c r="BT37" s="206">
        <f>BS37</f>
        <v>1.5369999999999999</v>
      </c>
      <c r="BU37" s="388">
        <f>BT37</f>
        <v>1.5369999999999999</v>
      </c>
      <c r="BV37" s="39"/>
      <c r="BW37" s="537">
        <f>+BT37</f>
        <v>1.5369999999999999</v>
      </c>
      <c r="BX37" s="206">
        <f>BW37</f>
        <v>1.5369999999999999</v>
      </c>
      <c r="BY37" s="206">
        <f>BX37</f>
        <v>1.5369999999999999</v>
      </c>
      <c r="BZ37" s="206">
        <f>BY37</f>
        <v>1.5369999999999999</v>
      </c>
      <c r="CA37" s="388">
        <f>BZ37</f>
        <v>1.5369999999999999</v>
      </c>
      <c r="CB37" s="39"/>
      <c r="CC37" s="537">
        <f>+BZ37</f>
        <v>1.5369999999999999</v>
      </c>
      <c r="CD37" s="206">
        <f>CC37</f>
        <v>1.5369999999999999</v>
      </c>
      <c r="CE37" s="206">
        <f>CD37</f>
        <v>1.5369999999999999</v>
      </c>
      <c r="CF37" s="206">
        <f>CE37</f>
        <v>1.5369999999999999</v>
      </c>
      <c r="CG37" s="388">
        <f>CF37</f>
        <v>1.5369999999999999</v>
      </c>
      <c r="CM37" s="124"/>
      <c r="CO37"/>
      <c r="CP37"/>
      <c r="CQ37"/>
      <c r="CR37"/>
      <c r="CS37"/>
      <c r="CT37"/>
      <c r="CU37" s="11"/>
    </row>
    <row r="38" spans="1:99" s="7" customFormat="1" ht="11.25" customHeight="1" x14ac:dyDescent="0.2">
      <c r="B38" s="491" t="s">
        <v>272</v>
      </c>
      <c r="C38" s="105">
        <v>629.05100000000004</v>
      </c>
      <c r="D38" s="105">
        <v>643.03300000000002</v>
      </c>
      <c r="E38" s="105">
        <v>665.01300000000003</v>
      </c>
      <c r="F38" s="105">
        <v>673.76300000000003</v>
      </c>
      <c r="G38" s="388">
        <f>+F38</f>
        <v>673.76300000000003</v>
      </c>
      <c r="H38" s="116"/>
      <c r="I38" s="524">
        <v>693.36900000000003</v>
      </c>
      <c r="J38" s="511">
        <v>693.13300000000004</v>
      </c>
      <c r="K38" s="511">
        <v>712.67</v>
      </c>
      <c r="L38" s="515">
        <v>560.02300000000002</v>
      </c>
      <c r="M38" s="388">
        <f>+L38</f>
        <v>560.02300000000002</v>
      </c>
      <c r="N38" s="116"/>
      <c r="O38" s="524">
        <v>729.93899999999996</v>
      </c>
      <c r="P38" s="511">
        <v>740.18600000000004</v>
      </c>
      <c r="Q38" s="511">
        <v>533.50800000000004</v>
      </c>
      <c r="R38" s="515">
        <v>603.77200000000005</v>
      </c>
      <c r="S38" s="388">
        <f>+R38</f>
        <v>603.77200000000005</v>
      </c>
      <c r="T38" s="116"/>
      <c r="U38" s="524">
        <v>607.67899999999997</v>
      </c>
      <c r="V38" s="511">
        <v>632.24</v>
      </c>
      <c r="W38" s="511">
        <v>592.64599999999996</v>
      </c>
      <c r="X38" s="515">
        <v>601.01400000000001</v>
      </c>
      <c r="Y38" s="388">
        <f>+X38</f>
        <v>601.01400000000001</v>
      </c>
      <c r="Z38" s="116"/>
      <c r="AA38" s="524">
        <v>518.84199999999998</v>
      </c>
      <c r="AB38" s="511">
        <v>541.37300000000005</v>
      </c>
      <c r="AC38" s="511">
        <v>538.029</v>
      </c>
      <c r="AD38" s="515">
        <v>401.262</v>
      </c>
      <c r="AE38" s="388">
        <f>+AD38</f>
        <v>401.262</v>
      </c>
      <c r="AF38" s="116"/>
      <c r="AG38" s="524">
        <v>410.14</v>
      </c>
      <c r="AH38" s="511">
        <v>398.81900000000002</v>
      </c>
      <c r="AI38" s="511">
        <v>404.86700000000002</v>
      </c>
      <c r="AJ38" s="515">
        <v>375.94600000000003</v>
      </c>
      <c r="AK38" s="388">
        <f>+AJ38</f>
        <v>375.94600000000003</v>
      </c>
      <c r="AL38" s="116"/>
      <c r="AM38" s="524">
        <v>339.85599999999999</v>
      </c>
      <c r="AN38" s="511">
        <v>337.73099999999999</v>
      </c>
      <c r="AO38" s="511">
        <v>328.65699999999998</v>
      </c>
      <c r="AP38" s="515">
        <v>318.22500000000002</v>
      </c>
      <c r="AQ38" s="388">
        <f>+AP38</f>
        <v>318.22500000000002</v>
      </c>
      <c r="AR38" s="116"/>
      <c r="AS38" s="524">
        <v>297.05700000000002</v>
      </c>
      <c r="AT38" s="511">
        <v>265.46899999999999</v>
      </c>
      <c r="AU38" s="511">
        <v>269.91800000000001</v>
      </c>
      <c r="AV38" s="515">
        <v>265.363</v>
      </c>
      <c r="AW38" s="388">
        <f>+AV38</f>
        <v>265.363</v>
      </c>
      <c r="AX38" s="116"/>
      <c r="AY38" s="524">
        <v>244.74799999999999</v>
      </c>
      <c r="AZ38" s="511">
        <v>248.77199999999999</v>
      </c>
      <c r="BA38" s="511">
        <v>259.50400000000002</v>
      </c>
      <c r="BB38" s="515">
        <v>207.374</v>
      </c>
      <c r="BC38" s="388">
        <f>+BB38</f>
        <v>207.374</v>
      </c>
      <c r="BD38" s="116"/>
      <c r="BE38" s="238">
        <v>188.76900000000001</v>
      </c>
      <c r="BF38" s="204">
        <v>151.05600000000001</v>
      </c>
      <c r="BG38" s="204">
        <v>119.91800000000001</v>
      </c>
      <c r="BH38" s="515">
        <v>127.536</v>
      </c>
      <c r="BI38" s="388">
        <f>BH38</f>
        <v>127.536</v>
      </c>
      <c r="BJ38" s="116"/>
      <c r="BK38" s="238">
        <v>0</v>
      </c>
      <c r="BL38" s="204">
        <v>0</v>
      </c>
      <c r="BM38" s="204">
        <v>0</v>
      </c>
      <c r="BN38" s="515">
        <v>0</v>
      </c>
      <c r="BO38" s="388">
        <f>BN38</f>
        <v>0</v>
      </c>
      <c r="BP38" s="116"/>
      <c r="BQ38" s="237">
        <f>+BN38+'Cash Flow'!BQ11+'Cash Flow'!BQ16+'Cash Flow'!BQ38+'Cash Flow'!BQ39+'Cash Flow'!BQ40</f>
        <v>-93.243007314255891</v>
      </c>
      <c r="BR38" s="39">
        <f>+BQ38+'Cash Flow'!BR11+'Cash Flow'!BR16+'Cash Flow'!BR38+'Cash Flow'!BR39+'Cash Flow'!BR40</f>
        <v>-185.97432823123387</v>
      </c>
      <c r="BS38" s="39">
        <f>+BR38+'Cash Flow'!BS11+'Cash Flow'!BS16+'Cash Flow'!BS38+'Cash Flow'!BS39+'Cash Flow'!BS40</f>
        <v>-278.5476867689938</v>
      </c>
      <c r="BT38" s="39">
        <f>+BS38+'Cash Flow'!BT11+'Cash Flow'!BT16+'Cash Flow'!BT38+'Cash Flow'!BT39+'Cash Flow'!BT40</f>
        <v>-371.34909939252032</v>
      </c>
      <c r="BU38" s="388">
        <f>BT38</f>
        <v>-371.34909939252032</v>
      </c>
      <c r="BV38" s="116"/>
      <c r="BW38" s="237">
        <f>+BT38+'Cash Flow'!BW11+'Cash Flow'!BW16+'Cash Flow'!BW38+'Cash Flow'!BW39+'Cash Flow'!BW40</f>
        <v>-471.30574063907972</v>
      </c>
      <c r="BX38" s="39">
        <f>+BW38+'Cash Flow'!BX11+'Cash Flow'!BX16+'Cash Flow'!BX38+'Cash Flow'!BX39+'Cash Flow'!BX40</f>
        <v>-570.76421889571213</v>
      </c>
      <c r="BY38" s="39">
        <f>+BX38+'Cash Flow'!BY11+'Cash Flow'!BY16+'Cash Flow'!BY38+'Cash Flow'!BY39+'Cash Flow'!BY40</f>
        <v>-670.03476006174026</v>
      </c>
      <c r="BZ38" s="39">
        <f>+BY38+'Cash Flow'!BZ11+'Cash Flow'!BZ16+'Cash Flow'!BZ38+'Cash Flow'!BZ39+'Cash Flow'!BZ40</f>
        <v>-769.39266950382057</v>
      </c>
      <c r="CA38" s="388">
        <f>BZ38</f>
        <v>-769.39266950382057</v>
      </c>
      <c r="CB38" s="116"/>
      <c r="CC38" s="237">
        <f>+BZ38+'Cash Flow'!CC11+'Cash Flow'!CC16+'Cash Flow'!CC38+'Cash Flow'!CC39+'Cash Flow'!CC40</f>
        <v>-876.06668472389993</v>
      </c>
      <c r="CD38" s="39">
        <f>+CC38+'Cash Flow'!CD11+'Cash Flow'!CD16+'Cash Flow'!CD38+'Cash Flow'!CD39+'Cash Flow'!CD40</f>
        <v>-982.20258450876577</v>
      </c>
      <c r="CE38" s="39">
        <f>+CD38+'Cash Flow'!CE11+'Cash Flow'!CE16+'Cash Flow'!CE38+'Cash Flow'!CE39+'Cash Flow'!CE40</f>
        <v>-1088.1266018605147</v>
      </c>
      <c r="CF38" s="39">
        <f>+CE38+'Cash Flow'!CF11+'Cash Flow'!CF16+'Cash Flow'!CF38+'Cash Flow'!CF39+'Cash Flow'!CF40</f>
        <v>-1194.0259663835909</v>
      </c>
      <c r="CG38" s="388">
        <f>CF38</f>
        <v>-1194.0259663835909</v>
      </c>
      <c r="CM38" s="124"/>
      <c r="CO38"/>
      <c r="CP38"/>
      <c r="CQ38"/>
      <c r="CR38"/>
      <c r="CS38"/>
      <c r="CT38"/>
      <c r="CU38" s="11"/>
    </row>
    <row r="39" spans="1:99" s="7" customFormat="1" ht="11.25" customHeight="1" x14ac:dyDescent="0.2">
      <c r="B39" s="491" t="s">
        <v>19</v>
      </c>
      <c r="C39" s="105">
        <v>833.37599999999998</v>
      </c>
      <c r="D39" s="105">
        <v>867.21299999999997</v>
      </c>
      <c r="E39" s="105">
        <v>926.78599999999994</v>
      </c>
      <c r="F39" s="105">
        <v>1005.0549999999999</v>
      </c>
      <c r="G39" s="388">
        <f>+F39</f>
        <v>1005.0549999999999</v>
      </c>
      <c r="H39" s="13"/>
      <c r="I39" s="524">
        <v>1057.385</v>
      </c>
      <c r="J39" s="511">
        <v>1103.2059999999999</v>
      </c>
      <c r="K39" s="511">
        <v>1156.95</v>
      </c>
      <c r="L39" s="515">
        <v>1181.454</v>
      </c>
      <c r="M39" s="388">
        <f>+L39</f>
        <v>1181.454</v>
      </c>
      <c r="N39" s="13"/>
      <c r="O39" s="524">
        <v>1236.3050000000001</v>
      </c>
      <c r="P39" s="511">
        <v>1309.778</v>
      </c>
      <c r="Q39" s="511">
        <v>1406.1990000000001</v>
      </c>
      <c r="R39" s="515">
        <v>1492.607</v>
      </c>
      <c r="S39" s="388">
        <f>+R39</f>
        <v>1492.607</v>
      </c>
      <c r="T39" s="13"/>
      <c r="U39" s="524">
        <v>1553.5070000000001</v>
      </c>
      <c r="V39" s="511">
        <v>1637.508</v>
      </c>
      <c r="W39" s="511">
        <v>1722.146</v>
      </c>
      <c r="X39" s="515">
        <v>1779.1780000000001</v>
      </c>
      <c r="Y39" s="388">
        <f>+X39</f>
        <v>1779.1780000000001</v>
      </c>
      <c r="Z39" s="13"/>
      <c r="AA39" s="524">
        <v>1837.229</v>
      </c>
      <c r="AB39" s="511">
        <v>1928.1379999999999</v>
      </c>
      <c r="AC39" s="511">
        <v>1950.5930000000001</v>
      </c>
      <c r="AD39" s="515">
        <v>2007.4770000000001</v>
      </c>
      <c r="AE39" s="388">
        <f>+AD39</f>
        <v>2007.4770000000001</v>
      </c>
      <c r="AF39" s="13"/>
      <c r="AG39" s="524">
        <v>2061.2629999999999</v>
      </c>
      <c r="AH39" s="511">
        <v>2076.06</v>
      </c>
      <c r="AI39" s="511">
        <v>2130.4760000000001</v>
      </c>
      <c r="AJ39" s="515">
        <v>2183.9050000000002</v>
      </c>
      <c r="AK39" s="388">
        <f>+AJ39</f>
        <v>2183.9050000000002</v>
      </c>
      <c r="AL39" s="13"/>
      <c r="AM39" s="524">
        <v>2223.0369999999998</v>
      </c>
      <c r="AN39" s="511">
        <v>2275.5160000000001</v>
      </c>
      <c r="AO39" s="511">
        <v>2328.174</v>
      </c>
      <c r="AP39" s="515">
        <v>2398.2669999999998</v>
      </c>
      <c r="AQ39" s="388">
        <f>+AP39</f>
        <v>2398.2669999999998</v>
      </c>
      <c r="AR39" s="13"/>
      <c r="AS39" s="524">
        <v>2445.5360000000001</v>
      </c>
      <c r="AT39" s="511">
        <v>2505.721</v>
      </c>
      <c r="AU39" s="511">
        <v>2564.8820000000001</v>
      </c>
      <c r="AV39" s="515">
        <v>2642.5230000000001</v>
      </c>
      <c r="AW39" s="388">
        <f>+AV39</f>
        <v>2642.5230000000001</v>
      </c>
      <c r="AX39" s="13"/>
      <c r="AY39" s="524">
        <v>2689.62</v>
      </c>
      <c r="AZ39" s="511">
        <v>2779.5210000000002</v>
      </c>
      <c r="BA39" s="511">
        <v>2878.6959999999999</v>
      </c>
      <c r="BB39" s="515">
        <v>2895.9969999999998</v>
      </c>
      <c r="BC39" s="388">
        <f>+BB39</f>
        <v>2895.9969999999998</v>
      </c>
      <c r="BD39" s="13"/>
      <c r="BE39" s="238">
        <v>2933.8049999999998</v>
      </c>
      <c r="BF39" s="204">
        <v>3010.4560000000001</v>
      </c>
      <c r="BG39" s="204">
        <v>2996.7730000000001</v>
      </c>
      <c r="BH39" s="515">
        <v>2981.777</v>
      </c>
      <c r="BI39" s="388">
        <f>BH39</f>
        <v>2981.777</v>
      </c>
      <c r="BJ39" s="13"/>
      <c r="BK39" s="238">
        <v>3068.2489999999998</v>
      </c>
      <c r="BL39" s="204">
        <v>3134.989</v>
      </c>
      <c r="BM39" s="204">
        <v>3164.5410000000002</v>
      </c>
      <c r="BN39" s="515">
        <v>2940.029</v>
      </c>
      <c r="BO39" s="388">
        <f>BN39</f>
        <v>2940.029</v>
      </c>
      <c r="BP39" s="13"/>
      <c r="BQ39" s="237">
        <f>+BN39+'P&amp;L'!BQ67</f>
        <v>3080.9320838022509</v>
      </c>
      <c r="BR39" s="39">
        <f>+BQ39+'P&amp;L'!BR67</f>
        <v>3231.6852912600166</v>
      </c>
      <c r="BS39" s="39">
        <f>+BR39+'P&amp;L'!BS67</f>
        <v>3383.5396829250058</v>
      </c>
      <c r="BT39" s="39">
        <f>+BS39+'P&amp;L'!BT67</f>
        <v>3552.2341647352682</v>
      </c>
      <c r="BU39" s="388">
        <f>BT39</f>
        <v>3552.2341647352682</v>
      </c>
      <c r="BV39" s="13"/>
      <c r="BW39" s="237">
        <f>+BT39+'P&amp;L'!BW67</f>
        <v>3690.4899464308778</v>
      </c>
      <c r="BX39" s="39">
        <f>+BW39+'P&amp;L'!BX67</f>
        <v>3842.0780748427997</v>
      </c>
      <c r="BY39" s="39">
        <f>+BX39+'P&amp;L'!BY67</f>
        <v>3994.6070687191777</v>
      </c>
      <c r="BZ39" s="39">
        <f>+BY39+'P&amp;L'!BZ67</f>
        <v>4164.4619336826163</v>
      </c>
      <c r="CA39" s="388">
        <f>BZ39</f>
        <v>4164.4619336826163</v>
      </c>
      <c r="CB39" s="13"/>
      <c r="CC39" s="237">
        <f>+BZ39+'P&amp;L'!CC67</f>
        <v>4306.7870689083893</v>
      </c>
      <c r="CD39" s="39">
        <f>+CC39+'P&amp;L'!CD67</f>
        <v>4463.411788366674</v>
      </c>
      <c r="CE39" s="39">
        <f>+CD39+'P&amp;L'!CE67</f>
        <v>4620.0276509810647</v>
      </c>
      <c r="CF39" s="39">
        <f>+CE39+'P&amp;L'!CF67</f>
        <v>4793.6007682787213</v>
      </c>
      <c r="CG39" s="388">
        <f>CF39</f>
        <v>4793.6007682787213</v>
      </c>
      <c r="CM39" s="124"/>
      <c r="CO39"/>
      <c r="CP39"/>
      <c r="CQ39"/>
      <c r="CR39"/>
      <c r="CS39"/>
      <c r="CT39"/>
      <c r="CU39" s="11"/>
    </row>
    <row r="40" spans="1:99" s="7" customFormat="1" ht="11.25" customHeight="1" x14ac:dyDescent="0.2">
      <c r="B40" s="496" t="s">
        <v>348</v>
      </c>
      <c r="C40" s="105">
        <v>45.819000000000003</v>
      </c>
      <c r="D40" s="105">
        <v>56.143999999999998</v>
      </c>
      <c r="E40" s="105">
        <v>80.861000000000004</v>
      </c>
      <c r="F40" s="105">
        <v>100.268</v>
      </c>
      <c r="G40" s="388">
        <f>+F40</f>
        <v>100.268</v>
      </c>
      <c r="H40" s="13"/>
      <c r="I40" s="524">
        <v>134.14099999999999</v>
      </c>
      <c r="J40" s="511">
        <v>131.83099999999999</v>
      </c>
      <c r="K40" s="511">
        <v>77.003</v>
      </c>
      <c r="L40" s="515">
        <v>29.721</v>
      </c>
      <c r="M40" s="388">
        <f>+L40</f>
        <v>29.721</v>
      </c>
      <c r="N40" s="13"/>
      <c r="O40" s="524">
        <v>-15.58</v>
      </c>
      <c r="P40" s="511">
        <v>45.578000000000003</v>
      </c>
      <c r="Q40" s="511">
        <v>71.863</v>
      </c>
      <c r="R40" s="515">
        <v>64.194000000000003</v>
      </c>
      <c r="S40" s="388">
        <f>+R40</f>
        <v>64.194000000000003</v>
      </c>
      <c r="T40" s="13"/>
      <c r="U40" s="524">
        <v>29.306999999999999</v>
      </c>
      <c r="V40" s="511">
        <v>-3.8490000000000002</v>
      </c>
      <c r="W40" s="511">
        <v>50.932000000000002</v>
      </c>
      <c r="X40" s="515">
        <v>30.513999999999999</v>
      </c>
      <c r="Y40" s="388">
        <f>+X40</f>
        <v>30.513999999999999</v>
      </c>
      <c r="Z40" s="13"/>
      <c r="AA40" s="524">
        <v>89.835999999999999</v>
      </c>
      <c r="AB40" s="511">
        <v>102.92100000000001</v>
      </c>
      <c r="AC40" s="511">
        <v>49.622999999999998</v>
      </c>
      <c r="AD40" s="515">
        <v>22.584</v>
      </c>
      <c r="AE40" s="388">
        <f>+AD40</f>
        <v>22.584</v>
      </c>
      <c r="AF40" s="13"/>
      <c r="AG40" s="524">
        <v>53.744</v>
      </c>
      <c r="AH40" s="511">
        <v>12.88</v>
      </c>
      <c r="AI40" s="511">
        <v>35.475000000000001</v>
      </c>
      <c r="AJ40" s="515">
        <v>52.854999999999997</v>
      </c>
      <c r="AK40" s="388">
        <f>+AJ40</f>
        <v>52.854999999999997</v>
      </c>
      <c r="AL40" s="13"/>
      <c r="AM40" s="524">
        <v>14.462</v>
      </c>
      <c r="AN40" s="511">
        <v>1.2649999999999999</v>
      </c>
      <c r="AO40" s="511">
        <v>51.151000000000003</v>
      </c>
      <c r="AP40" s="515">
        <v>67.849000000000004</v>
      </c>
      <c r="AQ40" s="388">
        <f>+AP40</f>
        <v>67.849000000000004</v>
      </c>
      <c r="AR40" s="13"/>
      <c r="AS40" s="524">
        <v>72.861999999999995</v>
      </c>
      <c r="AT40" s="511">
        <v>78.703000000000003</v>
      </c>
      <c r="AU40" s="511">
        <v>-17.291</v>
      </c>
      <c r="AV40" s="515">
        <v>-95.132000000000005</v>
      </c>
      <c r="AW40" s="388">
        <f>+AV40</f>
        <v>-95.132000000000005</v>
      </c>
      <c r="AX40" s="13"/>
      <c r="AY40" s="524">
        <v>-201.86699999999999</v>
      </c>
      <c r="AZ40" s="511">
        <v>-165.73699999999999</v>
      </c>
      <c r="BA40" s="511">
        <v>-199.68199999999999</v>
      </c>
      <c r="BB40" s="515">
        <v>-219.93899999999999</v>
      </c>
      <c r="BC40" s="388">
        <f>+BB40</f>
        <v>-219.93899999999999</v>
      </c>
      <c r="BD40" s="13"/>
      <c r="BE40" s="238">
        <v>-209.697</v>
      </c>
      <c r="BF40" s="204">
        <v>-214.607</v>
      </c>
      <c r="BG40" s="204">
        <v>-222.18</v>
      </c>
      <c r="BH40" s="515">
        <v>-317.041</v>
      </c>
      <c r="BI40" s="388">
        <f>BH40</f>
        <v>-317.041</v>
      </c>
      <c r="BJ40" s="13"/>
      <c r="BK40" s="238">
        <v>-281.81900000000002</v>
      </c>
      <c r="BL40" s="204">
        <v>-209.52600000000001</v>
      </c>
      <c r="BM40" s="204">
        <v>-154.47200000000001</v>
      </c>
      <c r="BN40" s="515">
        <v>-130.06700000000001</v>
      </c>
      <c r="BO40" s="388">
        <f>BN40</f>
        <v>-130.06700000000001</v>
      </c>
      <c r="BP40" s="13"/>
      <c r="BQ40" s="237">
        <f>BN40+'Cash Flow'!BQ36+'Cash Flow'!BQ46</f>
        <v>-130.06700000000001</v>
      </c>
      <c r="BR40" s="39">
        <f>BQ40+'Cash Flow'!BR36+'Cash Flow'!BR46</f>
        <v>-130.06700000000001</v>
      </c>
      <c r="BS40" s="39">
        <f>BR40+'Cash Flow'!BS36+'Cash Flow'!BS46</f>
        <v>-130.06700000000001</v>
      </c>
      <c r="BT40" s="39">
        <f>BS40+'Cash Flow'!BT36+'Cash Flow'!BT46</f>
        <v>-130.06700000000001</v>
      </c>
      <c r="BU40" s="388">
        <f>BT40</f>
        <v>-130.06700000000001</v>
      </c>
      <c r="BV40" s="13"/>
      <c r="BW40" s="237">
        <f>BT40+'Cash Flow'!BW36+'Cash Flow'!BW46</f>
        <v>-130.06700000000001</v>
      </c>
      <c r="BX40" s="39">
        <f>BW40+'Cash Flow'!BX36+'Cash Flow'!BX46</f>
        <v>-130.06700000000001</v>
      </c>
      <c r="BY40" s="39">
        <f>BX40+'Cash Flow'!BY36+'Cash Flow'!BY46</f>
        <v>-130.06700000000001</v>
      </c>
      <c r="BZ40" s="39">
        <f>BY40+'Cash Flow'!BZ36+'Cash Flow'!BZ46</f>
        <v>-130.06700000000001</v>
      </c>
      <c r="CA40" s="388">
        <f>BZ40</f>
        <v>-130.06700000000001</v>
      </c>
      <c r="CB40" s="13"/>
      <c r="CC40" s="237">
        <f>BZ40+'Cash Flow'!CC36+'Cash Flow'!CC46</f>
        <v>-130.06700000000001</v>
      </c>
      <c r="CD40" s="39">
        <f>CC40+'Cash Flow'!CD36+'Cash Flow'!CD46</f>
        <v>-130.06700000000001</v>
      </c>
      <c r="CE40" s="39">
        <f>CD40+'Cash Flow'!CE36+'Cash Flow'!CE46</f>
        <v>-130.06700000000001</v>
      </c>
      <c r="CF40" s="39">
        <f>CE40+'Cash Flow'!CF36+'Cash Flow'!CF46</f>
        <v>-130.06700000000001</v>
      </c>
      <c r="CG40" s="388">
        <f>CF40</f>
        <v>-130.06700000000001</v>
      </c>
      <c r="CM40" s="124"/>
      <c r="CO40"/>
      <c r="CP40"/>
      <c r="CQ40"/>
      <c r="CR40"/>
      <c r="CS40"/>
      <c r="CT40"/>
      <c r="CU40" s="11"/>
    </row>
    <row r="41" spans="1:99" s="7" customFormat="1" ht="11.25" customHeight="1" x14ac:dyDescent="0.2">
      <c r="B41" s="494" t="s">
        <v>293</v>
      </c>
      <c r="C41" s="67">
        <f t="shared" ref="C41:AQ41" si="0">SUM(C37:C40)</f>
        <v>1509.134</v>
      </c>
      <c r="D41" s="67">
        <f t="shared" si="0"/>
        <v>1567.2809999999999</v>
      </c>
      <c r="E41" s="67">
        <f t="shared" si="0"/>
        <v>1673.5550000000001</v>
      </c>
      <c r="F41" s="67">
        <f t="shared" si="0"/>
        <v>1779.982</v>
      </c>
      <c r="G41" s="504">
        <f t="shared" si="0"/>
        <v>1779.982</v>
      </c>
      <c r="H41" s="26"/>
      <c r="I41" s="529">
        <f t="shared" si="0"/>
        <v>1885.797</v>
      </c>
      <c r="J41" s="67">
        <f t="shared" si="0"/>
        <v>1929.068</v>
      </c>
      <c r="K41" s="67">
        <f t="shared" si="0"/>
        <v>1947.5219999999999</v>
      </c>
      <c r="L41" s="519">
        <f t="shared" si="0"/>
        <v>1772.0920000000001</v>
      </c>
      <c r="M41" s="504">
        <f t="shared" si="0"/>
        <v>1772.0920000000001</v>
      </c>
      <c r="N41" s="26"/>
      <c r="O41" s="529">
        <f t="shared" si="0"/>
        <v>1951.5660000000003</v>
      </c>
      <c r="P41" s="67">
        <f t="shared" si="0"/>
        <v>2096.444</v>
      </c>
      <c r="Q41" s="67">
        <f t="shared" si="0"/>
        <v>2012.4740000000002</v>
      </c>
      <c r="R41" s="519">
        <f t="shared" si="0"/>
        <v>2161.4789999999998</v>
      </c>
      <c r="S41" s="504">
        <f t="shared" si="0"/>
        <v>2161.4789999999998</v>
      </c>
      <c r="T41" s="26"/>
      <c r="U41" s="529">
        <f t="shared" si="0"/>
        <v>2191.4059999999999</v>
      </c>
      <c r="V41" s="67">
        <f t="shared" si="0"/>
        <v>2266.8139999999999</v>
      </c>
      <c r="W41" s="67">
        <f t="shared" si="0"/>
        <v>2366.6479999999997</v>
      </c>
      <c r="X41" s="519">
        <f t="shared" si="0"/>
        <v>2411.625</v>
      </c>
      <c r="Y41" s="504">
        <f t="shared" si="0"/>
        <v>2411.625</v>
      </c>
      <c r="Z41" s="26"/>
      <c r="AA41" s="529">
        <f t="shared" si="0"/>
        <v>2446.83</v>
      </c>
      <c r="AB41" s="67">
        <f t="shared" si="0"/>
        <v>2573.3559999999998</v>
      </c>
      <c r="AC41" s="67">
        <f t="shared" si="0"/>
        <v>2539.154</v>
      </c>
      <c r="AD41" s="519">
        <f t="shared" si="0"/>
        <v>2432.2219999999998</v>
      </c>
      <c r="AE41" s="504">
        <f t="shared" si="0"/>
        <v>2432.2219999999998</v>
      </c>
      <c r="AF41" s="26"/>
      <c r="AG41" s="529">
        <f t="shared" si="0"/>
        <v>2526.049</v>
      </c>
      <c r="AH41" s="67">
        <f t="shared" si="0"/>
        <v>2488.6480000000001</v>
      </c>
      <c r="AI41" s="67">
        <f t="shared" si="0"/>
        <v>2571.701</v>
      </c>
      <c r="AJ41" s="519">
        <f t="shared" si="0"/>
        <v>2613.5850000000005</v>
      </c>
      <c r="AK41" s="504">
        <f t="shared" si="0"/>
        <v>2613.5850000000005</v>
      </c>
      <c r="AL41" s="26"/>
      <c r="AM41" s="529">
        <f t="shared" si="0"/>
        <v>2578.2289999999998</v>
      </c>
      <c r="AN41" s="67">
        <f t="shared" si="0"/>
        <v>2615.3789999999999</v>
      </c>
      <c r="AO41" s="67">
        <f t="shared" si="0"/>
        <v>2708.8419999999996</v>
      </c>
      <c r="AP41" s="519">
        <f t="shared" si="0"/>
        <v>2785.1970000000001</v>
      </c>
      <c r="AQ41" s="504">
        <f t="shared" si="0"/>
        <v>2785.1970000000001</v>
      </c>
      <c r="AR41" s="26"/>
      <c r="AS41" s="529">
        <f t="shared" ref="AS41:CG41" si="1">SUM(AS37:AS40)</f>
        <v>2816.3110000000001</v>
      </c>
      <c r="AT41" s="67">
        <f t="shared" si="1"/>
        <v>2850.7429999999999</v>
      </c>
      <c r="AU41" s="67">
        <f t="shared" si="1"/>
        <v>2818.3539999999998</v>
      </c>
      <c r="AV41" s="519">
        <f t="shared" si="1"/>
        <v>2813.5940000000001</v>
      </c>
      <c r="AW41" s="504">
        <f>SUM(AW37:AW40)</f>
        <v>2813.5940000000001</v>
      </c>
      <c r="AX41" s="26"/>
      <c r="AY41" s="529">
        <f t="shared" si="1"/>
        <v>2733.3399999999997</v>
      </c>
      <c r="AZ41" s="67">
        <f t="shared" si="1"/>
        <v>2863.393</v>
      </c>
      <c r="BA41" s="67">
        <f t="shared" si="1"/>
        <v>2939.3520000000003</v>
      </c>
      <c r="BB41" s="519">
        <f t="shared" si="1"/>
        <v>2884.2559999999999</v>
      </c>
      <c r="BC41" s="504">
        <f t="shared" si="1"/>
        <v>2884.2559999999999</v>
      </c>
      <c r="BD41" s="26"/>
      <c r="BE41" s="529">
        <f t="shared" si="1"/>
        <v>2913.6979999999999</v>
      </c>
      <c r="BF41" s="67">
        <f t="shared" si="1"/>
        <v>2947.723</v>
      </c>
      <c r="BG41" s="67">
        <f t="shared" si="1"/>
        <v>2895.3170000000005</v>
      </c>
      <c r="BH41" s="519">
        <f>SUM(BH37:BH40)</f>
        <v>2793.0659999999998</v>
      </c>
      <c r="BI41" s="504">
        <f t="shared" si="1"/>
        <v>2793.0659999999998</v>
      </c>
      <c r="BJ41" s="26"/>
      <c r="BK41" s="529">
        <f>SUM(BK37:BK40)</f>
        <v>2787.2249999999999</v>
      </c>
      <c r="BL41" s="67">
        <f t="shared" si="1"/>
        <v>2926.2550000000001</v>
      </c>
      <c r="BM41" s="67">
        <f t="shared" si="1"/>
        <v>3011.6390000000001</v>
      </c>
      <c r="BN41" s="519">
        <f>SUM(BN37:BN40)</f>
        <v>2811.4989999999998</v>
      </c>
      <c r="BO41" s="504">
        <f t="shared" si="1"/>
        <v>2811.4989999999998</v>
      </c>
      <c r="BP41" s="26"/>
      <c r="BQ41" s="529">
        <f t="shared" si="1"/>
        <v>2859.1590764879948</v>
      </c>
      <c r="BR41" s="67">
        <f t="shared" si="1"/>
        <v>2917.1809630287826</v>
      </c>
      <c r="BS41" s="67">
        <f t="shared" si="1"/>
        <v>2976.461996156012</v>
      </c>
      <c r="BT41" s="67">
        <f t="shared" si="1"/>
        <v>3052.3550653427478</v>
      </c>
      <c r="BU41" s="504">
        <f t="shared" si="1"/>
        <v>3052.3550653427478</v>
      </c>
      <c r="BV41" s="26"/>
      <c r="BW41" s="529">
        <f t="shared" si="1"/>
        <v>3090.6542057917982</v>
      </c>
      <c r="BX41" s="67">
        <f t="shared" si="1"/>
        <v>3142.7838559470874</v>
      </c>
      <c r="BY41" s="67">
        <f t="shared" si="1"/>
        <v>3196.0423086574374</v>
      </c>
      <c r="BZ41" s="67">
        <f t="shared" si="1"/>
        <v>3266.5392641787957</v>
      </c>
      <c r="CA41" s="504">
        <f t="shared" si="1"/>
        <v>3266.5392641787957</v>
      </c>
      <c r="CB41" s="26"/>
      <c r="CC41" s="529">
        <f t="shared" si="1"/>
        <v>3302.1903841844896</v>
      </c>
      <c r="CD41" s="67">
        <f t="shared" si="1"/>
        <v>3352.6792038579083</v>
      </c>
      <c r="CE41" s="67">
        <f t="shared" si="1"/>
        <v>3403.3710491205502</v>
      </c>
      <c r="CF41" s="67">
        <f t="shared" si="1"/>
        <v>3471.0448018951301</v>
      </c>
      <c r="CG41" s="504">
        <f t="shared" si="1"/>
        <v>3471.0448018951301</v>
      </c>
      <c r="CM41" s="124"/>
      <c r="CO41"/>
      <c r="CP41"/>
      <c r="CQ41"/>
      <c r="CR41"/>
      <c r="CS41"/>
      <c r="CT41"/>
      <c r="CU41" s="11"/>
    </row>
    <row r="42" spans="1:99" s="7" customFormat="1" ht="11.25" customHeight="1" x14ac:dyDescent="0.2">
      <c r="B42" s="429"/>
      <c r="C42" s="40"/>
      <c r="D42" s="40"/>
      <c r="E42" s="40"/>
      <c r="F42" s="40"/>
      <c r="G42" s="502"/>
      <c r="H42" s="13"/>
      <c r="I42" s="526"/>
      <c r="J42" s="40"/>
      <c r="K42" s="40"/>
      <c r="L42" s="513"/>
      <c r="M42" s="502"/>
      <c r="N42" s="13"/>
      <c r="O42" s="526"/>
      <c r="P42" s="40"/>
      <c r="Q42" s="40"/>
      <c r="R42" s="513"/>
      <c r="S42" s="502"/>
      <c r="T42" s="13"/>
      <c r="U42" s="526"/>
      <c r="V42" s="40"/>
      <c r="W42" s="40"/>
      <c r="X42" s="513"/>
      <c r="Y42" s="502"/>
      <c r="Z42" s="13"/>
      <c r="AA42" s="526"/>
      <c r="AB42" s="40"/>
      <c r="AC42" s="40"/>
      <c r="AD42" s="513"/>
      <c r="AE42" s="502"/>
      <c r="AF42" s="13"/>
      <c r="AG42" s="526"/>
      <c r="AH42" s="40"/>
      <c r="AI42" s="40"/>
      <c r="AJ42" s="513"/>
      <c r="AK42" s="502"/>
      <c r="AL42" s="13"/>
      <c r="AM42" s="526"/>
      <c r="AN42" s="40"/>
      <c r="AO42" s="40"/>
      <c r="AP42" s="513"/>
      <c r="AQ42" s="502"/>
      <c r="AR42" s="13"/>
      <c r="AS42" s="526"/>
      <c r="AT42" s="40"/>
      <c r="AU42" s="40"/>
      <c r="AV42" s="513"/>
      <c r="AW42" s="502"/>
      <c r="AX42" s="13"/>
      <c r="AY42" s="526"/>
      <c r="AZ42" s="40"/>
      <c r="BA42" s="40"/>
      <c r="BB42" s="513"/>
      <c r="BC42" s="502"/>
      <c r="BD42" s="13"/>
      <c r="BE42" s="526"/>
      <c r="BF42" s="40"/>
      <c r="BG42" s="40"/>
      <c r="BH42" s="513"/>
      <c r="BI42" s="502"/>
      <c r="BJ42" s="13"/>
      <c r="BK42" s="526"/>
      <c r="BL42" s="40"/>
      <c r="BM42" s="40"/>
      <c r="BN42" s="513"/>
      <c r="BO42" s="502"/>
      <c r="BP42" s="13"/>
      <c r="BQ42" s="526"/>
      <c r="BR42" s="40"/>
      <c r="BS42" s="40"/>
      <c r="BT42" s="40"/>
      <c r="BU42" s="502"/>
      <c r="BV42" s="13"/>
      <c r="BW42" s="526"/>
      <c r="BX42" s="40"/>
      <c r="BY42" s="40"/>
      <c r="BZ42" s="40"/>
      <c r="CA42" s="502"/>
      <c r="CB42" s="13"/>
      <c r="CC42" s="526"/>
      <c r="CD42" s="40"/>
      <c r="CE42" s="40"/>
      <c r="CF42" s="40"/>
      <c r="CG42" s="502"/>
      <c r="CM42" s="124"/>
      <c r="CO42"/>
      <c r="CP42"/>
      <c r="CQ42"/>
      <c r="CR42"/>
      <c r="CS42"/>
      <c r="CT42"/>
      <c r="CU42" s="11"/>
    </row>
    <row r="43" spans="1:99" s="7" customFormat="1" ht="11.25" customHeight="1" x14ac:dyDescent="0.2">
      <c r="B43" s="429" t="s">
        <v>185</v>
      </c>
      <c r="C43" s="105">
        <v>0</v>
      </c>
      <c r="D43" s="105">
        <v>0</v>
      </c>
      <c r="E43" s="105">
        <v>0</v>
      </c>
      <c r="F43" s="105">
        <v>0</v>
      </c>
      <c r="G43" s="388">
        <f>+F43</f>
        <v>0</v>
      </c>
      <c r="H43" s="13"/>
      <c r="I43" s="524">
        <v>0</v>
      </c>
      <c r="J43" s="511">
        <v>0</v>
      </c>
      <c r="K43" s="511">
        <v>0</v>
      </c>
      <c r="L43" s="515">
        <v>0.26200000000000001</v>
      </c>
      <c r="M43" s="388">
        <f>+L43</f>
        <v>0.26200000000000001</v>
      </c>
      <c r="N43" s="13"/>
      <c r="O43" s="524">
        <v>70.494</v>
      </c>
      <c r="P43" s="511">
        <v>75.180999999999997</v>
      </c>
      <c r="Q43" s="511">
        <v>61.716000000000001</v>
      </c>
      <c r="R43" s="515">
        <v>2.9000000000000001E-2</v>
      </c>
      <c r="S43" s="388">
        <f>+R43</f>
        <v>2.9000000000000001E-2</v>
      </c>
      <c r="T43" s="13"/>
      <c r="U43" s="524">
        <v>0.16400000000000001</v>
      </c>
      <c r="V43" s="511">
        <v>0.184</v>
      </c>
      <c r="W43" s="511">
        <v>1.421</v>
      </c>
      <c r="X43" s="515">
        <v>1.3320000000000001</v>
      </c>
      <c r="Y43" s="388">
        <f>+X43</f>
        <v>1.3320000000000001</v>
      </c>
      <c r="Z43" s="13"/>
      <c r="AA43" s="524">
        <v>1.37</v>
      </c>
      <c r="AB43" s="511">
        <v>1.464</v>
      </c>
      <c r="AC43" s="511">
        <v>1.4079999999999999</v>
      </c>
      <c r="AD43" s="515">
        <v>1.401</v>
      </c>
      <c r="AE43" s="388">
        <f>+AD43</f>
        <v>1.401</v>
      </c>
      <c r="AF43" s="13"/>
      <c r="AG43" s="524">
        <v>1.4259999999999999</v>
      </c>
      <c r="AH43" s="511">
        <v>1.3959999999999999</v>
      </c>
      <c r="AI43" s="511">
        <v>1.407</v>
      </c>
      <c r="AJ43" s="515">
        <v>2.2789999999999999</v>
      </c>
      <c r="AK43" s="388">
        <f>+AJ43</f>
        <v>2.2789999999999999</v>
      </c>
      <c r="AL43" s="13"/>
      <c r="AM43" s="524">
        <v>1.4450000000000001</v>
      </c>
      <c r="AN43" s="511">
        <v>2.0590000000000002</v>
      </c>
      <c r="AO43" s="511">
        <v>2.1230000000000002</v>
      </c>
      <c r="AP43" s="515">
        <v>2.8039999999999998</v>
      </c>
      <c r="AQ43" s="388">
        <f>+AP43</f>
        <v>2.8039999999999998</v>
      </c>
      <c r="AR43" s="13"/>
      <c r="AS43" s="524">
        <v>2.746</v>
      </c>
      <c r="AT43" s="511">
        <v>2.7890000000000001</v>
      </c>
      <c r="AU43" s="511">
        <v>2.7850000000000001</v>
      </c>
      <c r="AV43" s="515">
        <v>2.851</v>
      </c>
      <c r="AW43" s="388">
        <f>+AV43</f>
        <v>2.851</v>
      </c>
      <c r="AX43" s="13"/>
      <c r="AY43" s="524">
        <v>2.5390000000000001</v>
      </c>
      <c r="AZ43" s="511">
        <v>2.6230000000000002</v>
      </c>
      <c r="BA43" s="511">
        <v>2.5939999999999999</v>
      </c>
      <c r="BB43" s="515">
        <v>2.5579999999999998</v>
      </c>
      <c r="BC43" s="388">
        <f>+BB43</f>
        <v>2.5579999999999998</v>
      </c>
      <c r="BD43" s="13"/>
      <c r="BE43" s="238">
        <v>2.536</v>
      </c>
      <c r="BF43" s="204">
        <v>7.89</v>
      </c>
      <c r="BG43" s="204">
        <v>7.8609999999999998</v>
      </c>
      <c r="BH43" s="515">
        <v>7.7380000000000004</v>
      </c>
      <c r="BI43" s="388">
        <f>BH43</f>
        <v>7.7380000000000004</v>
      </c>
      <c r="BJ43" s="13"/>
      <c r="BK43" s="238">
        <v>8.1690000000000005</v>
      </c>
      <c r="BL43" s="204">
        <v>8.375</v>
      </c>
      <c r="BM43" s="204">
        <v>8.5709999999999997</v>
      </c>
      <c r="BN43" s="515">
        <v>12.911</v>
      </c>
      <c r="BO43" s="388">
        <f>BN43</f>
        <v>12.911</v>
      </c>
      <c r="BP43" s="13"/>
      <c r="BQ43" s="237">
        <f>+BN43+'P&amp;L'!BQ25+'Cash Flow'!BQ17+'Cash Flow'!BQ41</f>
        <v>28.706104755640247</v>
      </c>
      <c r="BR43" s="39">
        <f>+BQ43+'P&amp;L'!BR25+'Cash Flow'!BR17+'Cash Flow'!BR41</f>
        <v>46.958735255010964</v>
      </c>
      <c r="BS43" s="39">
        <f>+BR43+'P&amp;L'!BS25+'Cash Flow'!BS17+'Cash Flow'!BS41</f>
        <v>65.344692990233881</v>
      </c>
      <c r="BT43" s="39">
        <f>+BS43+'P&amp;L'!BT25+'Cash Flow'!BT17+'Cash Flow'!BT41</f>
        <v>85.769585406723053</v>
      </c>
      <c r="BU43" s="388">
        <f>BT43</f>
        <v>85.769585406723053</v>
      </c>
      <c r="BV43" s="13"/>
      <c r="BW43" s="237">
        <f>+BT43+'P&amp;L'!BW25+'Cash Flow'!BW17+'Cash Flow'!BW41</f>
        <v>102.50907467031706</v>
      </c>
      <c r="BX43" s="39">
        <f>+BW43+'P&amp;L'!BX25+'Cash Flow'!BX17+'Cash Flow'!BX41</f>
        <v>120.86279425382327</v>
      </c>
      <c r="BY43" s="39">
        <f>+BX43+'P&amp;L'!BY25+'Cash Flow'!BY17+'Cash Flow'!BY41</f>
        <v>139.3304302836986</v>
      </c>
      <c r="BZ43" s="39">
        <f>+BY43+'P&amp;L'!BZ25+'Cash Flow'!BZ17+'Cash Flow'!BZ41</f>
        <v>159.89581752142433</v>
      </c>
      <c r="CA43" s="388">
        <f>BZ43</f>
        <v>159.89581752142433</v>
      </c>
      <c r="CB43" s="13"/>
      <c r="CC43" s="237">
        <f>+BZ43+'P&amp;L'!CC25+'Cash Flow'!CC17+'Cash Flow'!CC41</f>
        <v>177.12800878194395</v>
      </c>
      <c r="CD43" s="39">
        <f>+CC43+'P&amp;L'!CD25+'Cash Flow'!CD17+'Cash Flow'!CD41</f>
        <v>196.09153983743136</v>
      </c>
      <c r="CE43" s="39">
        <f>+CD43+'P&amp;L'!CE25+'Cash Flow'!CE17+'Cash Flow'!CE41</f>
        <v>215.05399853962217</v>
      </c>
      <c r="CF43" s="39">
        <f>+CE43+'P&amp;L'!CF25+'Cash Flow'!CF17+'Cash Flow'!CF41</f>
        <v>236.06957776400216</v>
      </c>
      <c r="CG43" s="388">
        <f>CF43</f>
        <v>236.06957776400216</v>
      </c>
      <c r="CM43" s="124"/>
      <c r="CO43"/>
      <c r="CP43"/>
      <c r="CQ43"/>
      <c r="CR43"/>
      <c r="CS43"/>
      <c r="CT43"/>
      <c r="CU43" s="11"/>
    </row>
    <row r="44" spans="1:99" s="7" customFormat="1" ht="11.25" customHeight="1" x14ac:dyDescent="0.2">
      <c r="B44" s="495" t="s">
        <v>349</v>
      </c>
      <c r="C44" s="40">
        <f>C41+C43</f>
        <v>1509.134</v>
      </c>
      <c r="D44" s="40">
        <f>D41+D43</f>
        <v>1567.2809999999999</v>
      </c>
      <c r="E44" s="40">
        <f>E41+E43</f>
        <v>1673.5550000000001</v>
      </c>
      <c r="F44" s="40">
        <f>F41+F43</f>
        <v>1779.982</v>
      </c>
      <c r="G44" s="502">
        <f>G41+G43</f>
        <v>1779.982</v>
      </c>
      <c r="H44" s="26"/>
      <c r="I44" s="526">
        <f>I41+I43</f>
        <v>1885.797</v>
      </c>
      <c r="J44" s="40">
        <f>J41+J43</f>
        <v>1929.068</v>
      </c>
      <c r="K44" s="40">
        <f>K41+K43</f>
        <v>1947.5219999999999</v>
      </c>
      <c r="L44" s="513">
        <f>L41+L43</f>
        <v>1772.354</v>
      </c>
      <c r="M44" s="502">
        <f>M41+M43</f>
        <v>1772.354</v>
      </c>
      <c r="N44" s="26"/>
      <c r="O44" s="526">
        <f>O41+O43</f>
        <v>2022.0600000000002</v>
      </c>
      <c r="P44" s="40">
        <f>P41+P43</f>
        <v>2171.625</v>
      </c>
      <c r="Q44" s="40">
        <f>Q41+Q43</f>
        <v>2074.19</v>
      </c>
      <c r="R44" s="513">
        <f>R41+R43</f>
        <v>2161.5079999999998</v>
      </c>
      <c r="S44" s="502">
        <f>S41+S43</f>
        <v>2161.5079999999998</v>
      </c>
      <c r="T44" s="26"/>
      <c r="U44" s="526">
        <f>U41+U43</f>
        <v>2191.5700000000002</v>
      </c>
      <c r="V44" s="40">
        <f>V41+V43</f>
        <v>2266.998</v>
      </c>
      <c r="W44" s="40">
        <f>W41+W43</f>
        <v>2368.0689999999995</v>
      </c>
      <c r="X44" s="513">
        <f>X41+X43</f>
        <v>2412.9569999999999</v>
      </c>
      <c r="Y44" s="502">
        <f>Y41+Y43</f>
        <v>2412.9569999999999</v>
      </c>
      <c r="Z44" s="26"/>
      <c r="AA44" s="526">
        <f>AA41+AA43</f>
        <v>2448.1999999999998</v>
      </c>
      <c r="AB44" s="40">
        <f>AB41+AB43</f>
        <v>2574.8199999999997</v>
      </c>
      <c r="AC44" s="40">
        <f>AC41+AC43</f>
        <v>2540.5619999999999</v>
      </c>
      <c r="AD44" s="513">
        <f>AD41+AD43</f>
        <v>2433.6229999999996</v>
      </c>
      <c r="AE44" s="502">
        <f>AE41+AE43</f>
        <v>2433.6229999999996</v>
      </c>
      <c r="AF44" s="26"/>
      <c r="AG44" s="526">
        <f>AG41+AG43</f>
        <v>2527.4749999999999</v>
      </c>
      <c r="AH44" s="40">
        <f>AH41+AH43</f>
        <v>2490.0440000000003</v>
      </c>
      <c r="AI44" s="40">
        <f>AI41+AI43</f>
        <v>2573.1080000000002</v>
      </c>
      <c r="AJ44" s="513">
        <f>AJ41+AJ43</f>
        <v>2615.8640000000005</v>
      </c>
      <c r="AK44" s="502">
        <f>AK41+AK43</f>
        <v>2615.8640000000005</v>
      </c>
      <c r="AL44" s="26"/>
      <c r="AM44" s="526">
        <f>AM41+AM43</f>
        <v>2579.674</v>
      </c>
      <c r="AN44" s="40">
        <f>AN41+AN43</f>
        <v>2617.4380000000001</v>
      </c>
      <c r="AO44" s="40">
        <f>AO41+AO43</f>
        <v>2710.9649999999997</v>
      </c>
      <c r="AP44" s="513">
        <f>AP41+AP43</f>
        <v>2788.0010000000002</v>
      </c>
      <c r="AQ44" s="502">
        <f>AQ41+AQ43</f>
        <v>2788.0010000000002</v>
      </c>
      <c r="AR44" s="26"/>
      <c r="AS44" s="526">
        <f>AS41+AS43</f>
        <v>2819.0570000000002</v>
      </c>
      <c r="AT44" s="40">
        <f>AT41+AT43</f>
        <v>2853.5320000000002</v>
      </c>
      <c r="AU44" s="40">
        <f>AU41+AU43</f>
        <v>2821.1389999999997</v>
      </c>
      <c r="AV44" s="513">
        <f>AV41+AV43</f>
        <v>2816.4450000000002</v>
      </c>
      <c r="AW44" s="502">
        <f>AW41+AW43</f>
        <v>2816.4450000000002</v>
      </c>
      <c r="AX44" s="26"/>
      <c r="AY44" s="526">
        <f>AY41+AY43</f>
        <v>2735.8789999999999</v>
      </c>
      <c r="AZ44" s="40">
        <f>AZ41+AZ43</f>
        <v>2866.0160000000001</v>
      </c>
      <c r="BA44" s="40">
        <f>BA41+BA43</f>
        <v>2941.9460000000004</v>
      </c>
      <c r="BB44" s="513">
        <f>BB41+BB43</f>
        <v>2886.8139999999999</v>
      </c>
      <c r="BC44" s="502">
        <f>BC41+BC43</f>
        <v>2886.8139999999999</v>
      </c>
      <c r="BD44" s="26"/>
      <c r="BE44" s="526">
        <f>BE41+BE43</f>
        <v>2916.2339999999999</v>
      </c>
      <c r="BF44" s="40">
        <f>BF41+BF43</f>
        <v>2955.6129999999998</v>
      </c>
      <c r="BG44" s="40">
        <f>BG41+BG43</f>
        <v>2903.1780000000003</v>
      </c>
      <c r="BH44" s="513">
        <f>BH41+BH43</f>
        <v>2800.8039999999996</v>
      </c>
      <c r="BI44" s="502">
        <f>BI41+BI43</f>
        <v>2800.8039999999996</v>
      </c>
      <c r="BJ44" s="26"/>
      <c r="BK44" s="526">
        <f>BK41+BK43</f>
        <v>2795.3939999999998</v>
      </c>
      <c r="BL44" s="40">
        <f>BL41+BL43</f>
        <v>2934.63</v>
      </c>
      <c r="BM44" s="40">
        <f>BM41+BM43</f>
        <v>3020.21</v>
      </c>
      <c r="BN44" s="513">
        <f>BN41+BN43</f>
        <v>2824.41</v>
      </c>
      <c r="BO44" s="502">
        <f>BO41+BO43</f>
        <v>2824.41</v>
      </c>
      <c r="BP44" s="26"/>
      <c r="BQ44" s="526">
        <f>BQ41+BQ43</f>
        <v>2887.8651812436351</v>
      </c>
      <c r="BR44" s="40">
        <f>BR41+BR43</f>
        <v>2964.1396982837937</v>
      </c>
      <c r="BS44" s="40">
        <f>BS41+BS43</f>
        <v>3041.8066891462458</v>
      </c>
      <c r="BT44" s="40">
        <f>BT41+BT43</f>
        <v>3138.1246507494707</v>
      </c>
      <c r="BU44" s="502">
        <f>BU41+BU43</f>
        <v>3138.1246507494707</v>
      </c>
      <c r="BV44" s="26"/>
      <c r="BW44" s="526">
        <f>BW41+BW43</f>
        <v>3193.1632804621154</v>
      </c>
      <c r="BX44" s="40">
        <f>BX41+BX43</f>
        <v>3263.6466502009107</v>
      </c>
      <c r="BY44" s="40">
        <f>BY41+BY43</f>
        <v>3335.372738941136</v>
      </c>
      <c r="BZ44" s="40">
        <f>BZ41+BZ43</f>
        <v>3426.4350817002201</v>
      </c>
      <c r="CA44" s="502">
        <f>CA41+CA43</f>
        <v>3426.4350817002201</v>
      </c>
      <c r="CB44" s="26"/>
      <c r="CC44" s="526">
        <f>CC41+CC43</f>
        <v>3479.3183929664337</v>
      </c>
      <c r="CD44" s="40">
        <f>CD41+CD43</f>
        <v>3548.7707436953397</v>
      </c>
      <c r="CE44" s="40">
        <f>CE41+CE43</f>
        <v>3618.4250476601724</v>
      </c>
      <c r="CF44" s="40">
        <f>CF41+CF43</f>
        <v>3707.1143796591323</v>
      </c>
      <c r="CG44" s="502">
        <f>CG41+CG43</f>
        <v>3707.1143796591323</v>
      </c>
      <c r="CM44" s="124"/>
      <c r="CO44"/>
      <c r="CP44"/>
      <c r="CQ44"/>
      <c r="CR44"/>
      <c r="CS44"/>
      <c r="CT44"/>
      <c r="CU44" s="11"/>
    </row>
    <row r="45" spans="1:99" s="7" customFormat="1" ht="11.25" customHeight="1" x14ac:dyDescent="0.2">
      <c r="B45" s="493"/>
      <c r="C45" s="40"/>
      <c r="D45" s="40"/>
      <c r="E45" s="40"/>
      <c r="F45" s="40"/>
      <c r="G45" s="502"/>
      <c r="H45" s="13"/>
      <c r="I45" s="526"/>
      <c r="J45" s="40"/>
      <c r="K45" s="40"/>
      <c r="L45" s="513"/>
      <c r="M45" s="502"/>
      <c r="N45" s="13"/>
      <c r="O45" s="526"/>
      <c r="P45" s="40"/>
      <c r="Q45" s="40"/>
      <c r="R45" s="513"/>
      <c r="S45" s="502"/>
      <c r="T45" s="13"/>
      <c r="U45" s="526"/>
      <c r="V45" s="40"/>
      <c r="W45" s="40"/>
      <c r="X45" s="513"/>
      <c r="Y45" s="502"/>
      <c r="Z45" s="13"/>
      <c r="AA45" s="526"/>
      <c r="AB45" s="40"/>
      <c r="AC45" s="40"/>
      <c r="AD45" s="513"/>
      <c r="AE45" s="502"/>
      <c r="AF45" s="13"/>
      <c r="AG45" s="526"/>
      <c r="AH45" s="40"/>
      <c r="AI45" s="40"/>
      <c r="AJ45" s="513"/>
      <c r="AK45" s="502"/>
      <c r="AL45" s="13"/>
      <c r="AM45" s="526"/>
      <c r="AN45" s="40"/>
      <c r="AO45" s="40"/>
      <c r="AP45" s="513"/>
      <c r="AQ45" s="502"/>
      <c r="AR45" s="13"/>
      <c r="AS45" s="526"/>
      <c r="AT45" s="40"/>
      <c r="AU45" s="40"/>
      <c r="AV45" s="513"/>
      <c r="AW45" s="502"/>
      <c r="AX45" s="13"/>
      <c r="AY45" s="526"/>
      <c r="AZ45" s="40"/>
      <c r="BA45" s="40"/>
      <c r="BB45" s="513"/>
      <c r="BC45" s="502"/>
      <c r="BD45" s="13"/>
      <c r="BE45" s="526"/>
      <c r="BF45" s="40"/>
      <c r="BG45" s="40"/>
      <c r="BH45" s="40"/>
      <c r="BI45" s="502"/>
      <c r="BJ45" s="13"/>
      <c r="BK45" s="526"/>
      <c r="BL45" s="40"/>
      <c r="BM45" s="40"/>
      <c r="BN45" s="40"/>
      <c r="BO45" s="502"/>
      <c r="BP45" s="13"/>
      <c r="BQ45" s="526"/>
      <c r="BR45" s="40"/>
      <c r="BS45" s="40"/>
      <c r="BT45" s="40"/>
      <c r="BU45" s="502"/>
      <c r="BV45" s="13"/>
      <c r="BW45" s="526"/>
      <c r="BX45" s="40"/>
      <c r="BY45" s="40"/>
      <c r="BZ45" s="40"/>
      <c r="CA45" s="502"/>
      <c r="CB45" s="13"/>
      <c r="CC45" s="526"/>
      <c r="CD45" s="40"/>
      <c r="CE45" s="40"/>
      <c r="CF45" s="40"/>
      <c r="CG45" s="502"/>
      <c r="CM45" s="124"/>
      <c r="CO45"/>
      <c r="CP45"/>
      <c r="CQ45"/>
      <c r="CR45"/>
      <c r="CS45"/>
      <c r="CT45"/>
      <c r="CU45" s="11"/>
    </row>
    <row r="46" spans="1:99" s="7" customFormat="1" ht="11.25" customHeight="1" thickBot="1" x14ac:dyDescent="0.25">
      <c r="B46" s="497" t="s">
        <v>294</v>
      </c>
      <c r="C46" s="68">
        <f>C32+C44+C34</f>
        <v>2815.3920000000003</v>
      </c>
      <c r="D46" s="68">
        <f>D32+D44+D34</f>
        <v>2896.652</v>
      </c>
      <c r="E46" s="68">
        <f>E32+E44+E34</f>
        <v>3283.4929999999999</v>
      </c>
      <c r="F46" s="68">
        <f>F32+F44+F34</f>
        <v>3313.9839999999995</v>
      </c>
      <c r="G46" s="503">
        <f>G32+G44+G34</f>
        <v>3313.9839999999995</v>
      </c>
      <c r="H46" s="26"/>
      <c r="I46" s="527">
        <f>I32+I44+I34</f>
        <v>3388.4690000000001</v>
      </c>
      <c r="J46" s="68">
        <f>J32+J44+J34</f>
        <v>3469.5149999999994</v>
      </c>
      <c r="K46" s="68">
        <f>K32+K44+K34</f>
        <v>3506.5740000000001</v>
      </c>
      <c r="L46" s="516">
        <f>L32+L44+L34</f>
        <v>3599.21</v>
      </c>
      <c r="M46" s="503">
        <f>M32+M44+M34</f>
        <v>3599.21</v>
      </c>
      <c r="N46" s="26"/>
      <c r="O46" s="527">
        <f>O32+O44+O34</f>
        <v>3432.5439999999999</v>
      </c>
      <c r="P46" s="68">
        <f>P32+P44+P34</f>
        <v>3645.49</v>
      </c>
      <c r="Q46" s="68">
        <f>Q32+Q44+Q34</f>
        <v>3703.3389999999999</v>
      </c>
      <c r="R46" s="516">
        <f>R32+R44+R34</f>
        <v>3835.9850000000001</v>
      </c>
      <c r="S46" s="503">
        <f>S32+S44+S34</f>
        <v>3835.9850000000001</v>
      </c>
      <c r="T46" s="26"/>
      <c r="U46" s="527">
        <f>U32+U44+U34</f>
        <v>4262.6310000000003</v>
      </c>
      <c r="V46" s="68">
        <f>V32+V44+V34</f>
        <v>4417.665</v>
      </c>
      <c r="W46" s="68">
        <f>W32+W44+W34</f>
        <v>4604.4589999999989</v>
      </c>
      <c r="X46" s="516">
        <f>X32+X44+X34</f>
        <v>4547.4710000000005</v>
      </c>
      <c r="Y46" s="503">
        <f>Y32+Y44+Y34</f>
        <v>4547.4710000000005</v>
      </c>
      <c r="Z46" s="26"/>
      <c r="AA46" s="527">
        <f>AA32+AA44+AA34</f>
        <v>4794.9939999999997</v>
      </c>
      <c r="AB46" s="68">
        <f>AB32+AB44+AB34</f>
        <v>4883.7589999999991</v>
      </c>
      <c r="AC46" s="68">
        <f>AC32+AC44+AC34</f>
        <v>4798.2960000000003</v>
      </c>
      <c r="AD46" s="516">
        <f>AD32+AD44+AD34</f>
        <v>4740.1439999999993</v>
      </c>
      <c r="AE46" s="503">
        <f>AE32+AE44+AE34</f>
        <v>4740.1439999999993</v>
      </c>
      <c r="AF46" s="26"/>
      <c r="AG46" s="527">
        <f>AG32+AG44+AG34</f>
        <v>4759.6329999999998</v>
      </c>
      <c r="AH46" s="68">
        <f>AH32+AH44+AH34</f>
        <v>4835.2559999999994</v>
      </c>
      <c r="AI46" s="68">
        <f>AI32+AI44+AI34</f>
        <v>5111.5320000000002</v>
      </c>
      <c r="AJ46" s="516">
        <f>AJ32+AJ44+AJ34</f>
        <v>5333.9970000000003</v>
      </c>
      <c r="AK46" s="503">
        <f>AK32+AK44+AK34</f>
        <v>5333.9970000000003</v>
      </c>
      <c r="AL46" s="26"/>
      <c r="AM46" s="527">
        <f>AM32+AM44+AM34</f>
        <v>5205.6860000000006</v>
      </c>
      <c r="AN46" s="68">
        <f>AN32+AN44+AN34</f>
        <v>5164.5060000000003</v>
      </c>
      <c r="AO46" s="68">
        <f>AO32+AO44+AO34</f>
        <v>5278.088999999999</v>
      </c>
      <c r="AP46" s="516">
        <f>AP32+AP44+AP34</f>
        <v>5624.6359999999995</v>
      </c>
      <c r="AQ46" s="503">
        <f>AQ32+AQ44+AQ34</f>
        <v>5624.6359999999995</v>
      </c>
      <c r="AR46" s="26"/>
      <c r="AS46" s="527">
        <f>AS32+AS44+AS34</f>
        <v>5880.11</v>
      </c>
      <c r="AT46" s="68">
        <f>AT32+AT44+AT34</f>
        <v>5991.7539999999999</v>
      </c>
      <c r="AU46" s="68">
        <f>AU32+AU44+AU34</f>
        <v>6130.6310000000003</v>
      </c>
      <c r="AV46" s="516">
        <f>AV32+AV44+AV34</f>
        <v>6138.8070000000007</v>
      </c>
      <c r="AW46" s="503">
        <f>AW32+AW44+AW34</f>
        <v>6138.8070000000007</v>
      </c>
      <c r="AX46" s="26"/>
      <c r="AY46" s="527">
        <f>AY32+AY44+AY34</f>
        <v>5939.2640000000001</v>
      </c>
      <c r="AZ46" s="68">
        <f>AZ32+AZ44+AZ34</f>
        <v>6105.6260000000002</v>
      </c>
      <c r="BA46" s="68">
        <f>BA32+BA44+BA34</f>
        <v>6371.5580000000009</v>
      </c>
      <c r="BB46" s="516">
        <f>BB32+BB44+BB34</f>
        <v>6504.74</v>
      </c>
      <c r="BC46" s="503">
        <f>BC32+BC44+BC34</f>
        <v>6504.74</v>
      </c>
      <c r="BD46" s="26"/>
      <c r="BE46" s="527">
        <f>BE32+BE44+BE34</f>
        <v>6600.5700000000006</v>
      </c>
      <c r="BF46" s="68">
        <f>BF32+BF44+BF34</f>
        <v>6633.5960000000005</v>
      </c>
      <c r="BG46" s="68">
        <f>BG32+BG44+BG34</f>
        <v>6633.5929999999998</v>
      </c>
      <c r="BH46" s="68">
        <f>BH32+BH44+BH34</f>
        <v>6730.3959999999988</v>
      </c>
      <c r="BI46" s="503">
        <f>BI32+BI44+BI34</f>
        <v>6730.3959999999988</v>
      </c>
      <c r="BJ46" s="26"/>
      <c r="BK46" s="527">
        <f>BK32+BK44+BK34</f>
        <v>6844.62</v>
      </c>
      <c r="BL46" s="68">
        <f>BL32+BL44+BL34</f>
        <v>7097.4559999999992</v>
      </c>
      <c r="BM46" s="68">
        <f>BM32+BM44+BM34</f>
        <v>7486.6610000000001</v>
      </c>
      <c r="BN46" s="68">
        <f>BN32+BN44+BN34</f>
        <v>7811.2349999999997</v>
      </c>
      <c r="BO46" s="503">
        <f>BO32+BO44+BO34</f>
        <v>7811.2349999999997</v>
      </c>
      <c r="BP46" s="26"/>
      <c r="BQ46" s="527">
        <f>BQ32+BQ44+BQ34</f>
        <v>7575.910208624754</v>
      </c>
      <c r="BR46" s="68">
        <f>BR32+BR44+BR34</f>
        <v>7632.8215628523731</v>
      </c>
      <c r="BS46" s="68">
        <f>BS32+BS44+BS34</f>
        <v>7782.850429666235</v>
      </c>
      <c r="BT46" s="68">
        <f>BT32+BT44+BT34</f>
        <v>8044.8213480400536</v>
      </c>
      <c r="BU46" s="503">
        <f>BU32+BU44+BU34</f>
        <v>8044.8213480400536</v>
      </c>
      <c r="BV46" s="26"/>
      <c r="BW46" s="527">
        <f>BW32+BW44+BW34</f>
        <v>7965.6354958302354</v>
      </c>
      <c r="BX46" s="68">
        <f>BX32+BX44+BX34</f>
        <v>8000.9660486249995</v>
      </c>
      <c r="BY46" s="68">
        <f>BY32+BY44+BY34</f>
        <v>8148.6355377682976</v>
      </c>
      <c r="BZ46" s="68">
        <f>BZ32+BZ44+BZ34</f>
        <v>8411.6206838676262</v>
      </c>
      <c r="CA46" s="503">
        <f>CA32+CA44+CA34</f>
        <v>8411.6206838676262</v>
      </c>
      <c r="CB46" s="26"/>
      <c r="CC46" s="527">
        <f>CC32+CC44+CC34</f>
        <v>8318.999456572712</v>
      </c>
      <c r="CD46" s="68">
        <f>CD32+CD44+CD34</f>
        <v>8351.5055127928626</v>
      </c>
      <c r="CE46" s="68">
        <f>CE32+CE44+CE34</f>
        <v>8400.3390110370565</v>
      </c>
      <c r="CF46" s="68">
        <f>CF32+CF44+CF34</f>
        <v>8667.5553642390187</v>
      </c>
      <c r="CG46" s="503">
        <f>CG32+CG44+CG34</f>
        <v>8667.5553642390187</v>
      </c>
      <c r="CM46" s="124"/>
      <c r="CO46"/>
      <c r="CP46"/>
      <c r="CQ46"/>
      <c r="CR46"/>
      <c r="CS46"/>
      <c r="CT46"/>
      <c r="CU46" s="11"/>
    </row>
    <row r="47" spans="1:99" s="7" customFormat="1" ht="11.25" customHeight="1" outlineLevel="1" thickTop="1" x14ac:dyDescent="0.2">
      <c r="B47" s="33"/>
      <c r="C47" s="135"/>
      <c r="D47" s="135"/>
      <c r="E47" s="135"/>
      <c r="F47" s="135"/>
      <c r="G47" s="135"/>
      <c r="H47" s="80"/>
      <c r="I47" s="135"/>
      <c r="J47" s="135"/>
      <c r="K47" s="135"/>
      <c r="L47" s="135"/>
      <c r="M47" s="135"/>
      <c r="N47" s="80"/>
      <c r="O47" s="135"/>
      <c r="P47" s="135"/>
      <c r="Q47" s="135"/>
      <c r="R47" s="135"/>
      <c r="S47" s="135"/>
      <c r="T47" s="80"/>
      <c r="U47" s="135"/>
      <c r="V47" s="135"/>
      <c r="W47" s="135"/>
      <c r="X47" s="135"/>
      <c r="Y47" s="135"/>
      <c r="Z47" s="80"/>
      <c r="AA47" s="135"/>
      <c r="AB47" s="135"/>
      <c r="AC47" s="135"/>
      <c r="AD47" s="135"/>
      <c r="AE47" s="135"/>
      <c r="AF47" s="80"/>
      <c r="AG47" s="135"/>
      <c r="AH47" s="135"/>
      <c r="AI47" s="135"/>
      <c r="AJ47" s="135"/>
      <c r="AK47" s="135"/>
      <c r="AL47" s="80"/>
      <c r="AM47" s="135"/>
      <c r="AN47" s="135"/>
      <c r="AO47" s="135"/>
      <c r="AP47" s="135"/>
      <c r="AQ47" s="135"/>
      <c r="AR47" s="80"/>
      <c r="AS47" s="135"/>
      <c r="AT47" s="135"/>
      <c r="AU47" s="135"/>
      <c r="AV47" s="135"/>
      <c r="AW47" s="135"/>
      <c r="AX47" s="80"/>
      <c r="AY47" s="135"/>
      <c r="AZ47" s="135"/>
      <c r="BA47" s="135"/>
      <c r="BB47" s="135"/>
      <c r="BC47" s="135"/>
      <c r="BD47" s="80"/>
      <c r="BE47" s="135"/>
      <c r="BF47" s="135"/>
      <c r="BG47" s="135"/>
      <c r="BH47" s="135"/>
      <c r="BI47" s="135"/>
      <c r="BJ47" s="80"/>
      <c r="BK47" s="135"/>
      <c r="BL47" s="135"/>
      <c r="BM47" s="135"/>
      <c r="BN47" s="135"/>
      <c r="BO47" s="135"/>
      <c r="BP47" s="80"/>
      <c r="BQ47" s="135"/>
      <c r="BR47" s="135"/>
      <c r="BS47" s="135"/>
      <c r="BT47" s="135"/>
      <c r="BU47" s="135"/>
      <c r="BV47" s="80"/>
      <c r="BW47" s="135"/>
      <c r="BX47" s="135"/>
      <c r="BY47" s="135"/>
      <c r="BZ47" s="135"/>
      <c r="CA47" s="135"/>
      <c r="CB47" s="80"/>
      <c r="CC47" s="135"/>
      <c r="CD47" s="135"/>
      <c r="CE47" s="135"/>
      <c r="CF47" s="135"/>
      <c r="CG47" s="135"/>
      <c r="CM47" s="124"/>
      <c r="CO47"/>
      <c r="CP47"/>
      <c r="CQ47"/>
      <c r="CR47"/>
      <c r="CS47"/>
      <c r="CT47"/>
      <c r="CU47" s="11"/>
    </row>
    <row r="48" spans="1:99" ht="11.25" customHeight="1" outlineLevel="1" x14ac:dyDescent="0.2">
      <c r="A48" s="78"/>
      <c r="B48" s="626" t="s">
        <v>44</v>
      </c>
      <c r="C48" s="626">
        <f>C46-C20</f>
        <v>0</v>
      </c>
      <c r="D48" s="626">
        <f>D46-D20</f>
        <v>0</v>
      </c>
      <c r="E48" s="626">
        <f>E46-E20</f>
        <v>0</v>
      </c>
      <c r="F48" s="626">
        <f>F46-F20</f>
        <v>0</v>
      </c>
      <c r="G48" s="626">
        <f>G46-G20</f>
        <v>0</v>
      </c>
      <c r="H48" s="626"/>
      <c r="I48" s="626">
        <f>I46-I20</f>
        <v>0</v>
      </c>
      <c r="J48" s="626">
        <f>J46-J20</f>
        <v>0</v>
      </c>
      <c r="K48" s="626">
        <f>K46-K20</f>
        <v>0</v>
      </c>
      <c r="L48" s="626">
        <f>L46-L20</f>
        <v>0</v>
      </c>
      <c r="M48" s="626">
        <f>M46-M20</f>
        <v>0</v>
      </c>
      <c r="N48" s="626"/>
      <c r="O48" s="626">
        <f>O46-O20</f>
        <v>0</v>
      </c>
      <c r="P48" s="626">
        <f>P46-P20</f>
        <v>0</v>
      </c>
      <c r="Q48" s="626">
        <f>Q46-Q20</f>
        <v>0</v>
      </c>
      <c r="R48" s="626">
        <f>R46-R20</f>
        <v>0</v>
      </c>
      <c r="S48" s="626">
        <f>S46-S20</f>
        <v>0</v>
      </c>
      <c r="T48" s="626"/>
      <c r="U48" s="626">
        <f>U46-U20</f>
        <v>0</v>
      </c>
      <c r="V48" s="626">
        <f>V46-V20</f>
        <v>0</v>
      </c>
      <c r="W48" s="626">
        <f>W46-W20</f>
        <v>0</v>
      </c>
      <c r="X48" s="626">
        <f>X46-X20</f>
        <v>0</v>
      </c>
      <c r="Y48" s="626">
        <f>Y46-Y20</f>
        <v>0</v>
      </c>
      <c r="Z48" s="626"/>
      <c r="AA48" s="626">
        <f>AA46-AA20</f>
        <v>0</v>
      </c>
      <c r="AB48" s="626">
        <f>AB46-AB20</f>
        <v>0</v>
      </c>
      <c r="AC48" s="626">
        <f>AC46-AC20</f>
        <v>0</v>
      </c>
      <c r="AD48" s="626">
        <f>AD46-AD20</f>
        <v>0</v>
      </c>
      <c r="AE48" s="626">
        <f>AE46-AE20</f>
        <v>0</v>
      </c>
      <c r="AF48" s="626"/>
      <c r="AG48" s="626">
        <f>AG46-AG20</f>
        <v>0</v>
      </c>
      <c r="AH48" s="626">
        <f>AH46-AH20</f>
        <v>0</v>
      </c>
      <c r="AI48" s="626">
        <f>AI46-AI20</f>
        <v>0</v>
      </c>
      <c r="AJ48" s="626">
        <f>AJ46-AJ20</f>
        <v>0</v>
      </c>
      <c r="AK48" s="626">
        <f>AK46-AK20</f>
        <v>0</v>
      </c>
      <c r="AL48" s="626"/>
      <c r="AM48" s="626">
        <f>AM46-AM20</f>
        <v>0</v>
      </c>
      <c r="AN48" s="626">
        <f>AN46-AN20</f>
        <v>0</v>
      </c>
      <c r="AO48" s="626">
        <f>AO46-AO20</f>
        <v>0</v>
      </c>
      <c r="AP48" s="626">
        <f>AP46-AP20</f>
        <v>0</v>
      </c>
      <c r="AQ48" s="626">
        <f>AQ46-AQ20</f>
        <v>0</v>
      </c>
      <c r="AR48" s="626"/>
      <c r="AS48" s="626">
        <f>AS46-AS20</f>
        <v>0</v>
      </c>
      <c r="AT48" s="626">
        <f>AT46-AT20</f>
        <v>0</v>
      </c>
      <c r="AU48" s="626">
        <f>AU46-AU20</f>
        <v>0</v>
      </c>
      <c r="AV48" s="626">
        <f>AV46-AV20</f>
        <v>0</v>
      </c>
      <c r="AW48" s="626">
        <f>AW46-AW20</f>
        <v>0</v>
      </c>
      <c r="AX48" s="626"/>
      <c r="AY48" s="626">
        <f>AY46-AY20</f>
        <v>0</v>
      </c>
      <c r="AZ48" s="626">
        <f>AZ46-AZ20</f>
        <v>0</v>
      </c>
      <c r="BA48" s="626">
        <f>BA46-BA20</f>
        <v>0</v>
      </c>
      <c r="BB48" s="626">
        <f>BB46-BB20</f>
        <v>0</v>
      </c>
      <c r="BC48" s="626">
        <f>BC46-BC20</f>
        <v>0</v>
      </c>
      <c r="BD48" s="626"/>
      <c r="BE48" s="626">
        <f>BE46-BE20</f>
        <v>0</v>
      </c>
      <c r="BF48" s="626">
        <f>BF46-BF20</f>
        <v>0</v>
      </c>
      <c r="BG48" s="626">
        <f>BG46-BG20</f>
        <v>0</v>
      </c>
      <c r="BH48" s="626">
        <f>BH46-BH20</f>
        <v>0</v>
      </c>
      <c r="BI48" s="626">
        <f>BI46-BI20</f>
        <v>0</v>
      </c>
      <c r="BJ48" s="626"/>
      <c r="BK48" s="626">
        <f>BK46-BK20</f>
        <v>0</v>
      </c>
      <c r="BL48" s="626">
        <f>BL46-BL20</f>
        <v>0</v>
      </c>
      <c r="BM48" s="626">
        <f>BM46-BM20</f>
        <v>0</v>
      </c>
      <c r="BN48" s="626">
        <f>BN46-BN20</f>
        <v>0</v>
      </c>
      <c r="BO48" s="626">
        <f>BO46-BO20</f>
        <v>0</v>
      </c>
      <c r="BP48" s="626"/>
      <c r="BQ48" s="626">
        <f>BQ46-BQ20</f>
        <v>0</v>
      </c>
      <c r="BR48" s="626">
        <f>BR46-BR20</f>
        <v>0</v>
      </c>
      <c r="BS48" s="626">
        <f>BS46-BS20</f>
        <v>0</v>
      </c>
      <c r="BT48" s="626">
        <f>BT46-BT20</f>
        <v>0</v>
      </c>
      <c r="BU48" s="626">
        <f>BU46-BU20</f>
        <v>0</v>
      </c>
      <c r="BV48" s="626"/>
      <c r="BW48" s="626">
        <f>BW46-BW20</f>
        <v>0</v>
      </c>
      <c r="BX48" s="626">
        <f>BX46-BX20</f>
        <v>0</v>
      </c>
      <c r="BY48" s="626">
        <f>BY46-BY20</f>
        <v>0</v>
      </c>
      <c r="BZ48" s="626">
        <f>BZ46-BZ20</f>
        <v>0</v>
      </c>
      <c r="CA48" s="626">
        <f>CA46-CA20</f>
        <v>0</v>
      </c>
      <c r="CB48" s="626"/>
      <c r="CC48" s="626">
        <f>CC46-CC20</f>
        <v>0</v>
      </c>
      <c r="CD48" s="626">
        <f>CD46-CD20</f>
        <v>0</v>
      </c>
      <c r="CE48" s="626">
        <f>CE46-CE20</f>
        <v>0</v>
      </c>
      <c r="CF48" s="626">
        <f>CF46-CF20</f>
        <v>0</v>
      </c>
      <c r="CG48" s="626">
        <f>CG46-CG20</f>
        <v>0</v>
      </c>
      <c r="CM48" s="123"/>
      <c r="CU48" s="15"/>
    </row>
    <row r="49" spans="2:99" s="7" customFormat="1" ht="11.25" customHeight="1" x14ac:dyDescent="0.2">
      <c r="C49" s="136"/>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O49"/>
      <c r="CP49"/>
      <c r="CQ49"/>
      <c r="CR49"/>
      <c r="CS49"/>
      <c r="CT49"/>
      <c r="CU49" s="11"/>
    </row>
    <row r="50" spans="2:99" s="7" customFormat="1" ht="11.25" customHeight="1" outlineLevel="1" x14ac:dyDescent="0.2">
      <c r="B50" s="815" t="s">
        <v>45</v>
      </c>
      <c r="C50" s="816"/>
      <c r="D50" s="816"/>
      <c r="E50" s="816"/>
      <c r="F50" s="816"/>
      <c r="G50" s="816"/>
      <c r="H50" s="816"/>
      <c r="I50" s="816"/>
      <c r="J50" s="816"/>
      <c r="K50" s="816"/>
      <c r="L50" s="816"/>
      <c r="M50" s="816"/>
      <c r="N50" s="816"/>
      <c r="O50" s="816"/>
      <c r="P50" s="816"/>
      <c r="Q50" s="816"/>
      <c r="R50" s="816"/>
      <c r="S50" s="816"/>
      <c r="T50" s="816"/>
      <c r="U50" s="816"/>
      <c r="V50" s="816"/>
      <c r="W50" s="816"/>
      <c r="X50" s="816"/>
      <c r="Y50" s="816"/>
      <c r="Z50" s="816"/>
      <c r="AA50" s="816"/>
      <c r="AB50" s="816"/>
      <c r="AC50" s="816"/>
      <c r="AD50" s="816"/>
      <c r="AE50" s="816"/>
      <c r="AF50" s="816"/>
      <c r="AG50" s="816"/>
      <c r="AH50" s="816"/>
      <c r="AI50" s="816"/>
      <c r="AJ50" s="816"/>
      <c r="AK50" s="816"/>
      <c r="AL50" s="816"/>
      <c r="AM50" s="816"/>
      <c r="AN50" s="816"/>
      <c r="AO50" s="816"/>
      <c r="AP50" s="816"/>
      <c r="AQ50" s="816"/>
      <c r="AR50" s="816"/>
      <c r="AS50" s="816"/>
      <c r="AT50" s="816"/>
      <c r="AU50" s="816"/>
      <c r="AV50" s="816"/>
      <c r="AW50" s="816"/>
      <c r="AX50" s="816"/>
      <c r="AY50" s="816"/>
      <c r="AZ50" s="816"/>
      <c r="BA50" s="816"/>
      <c r="BB50" s="816"/>
      <c r="BC50" s="816"/>
      <c r="BD50" s="816"/>
      <c r="BE50" s="816"/>
      <c r="BF50" s="816"/>
      <c r="BG50" s="816"/>
      <c r="BH50" s="816"/>
      <c r="BI50" s="816"/>
      <c r="BJ50" s="816"/>
      <c r="BK50" s="816"/>
      <c r="BL50" s="816"/>
      <c r="BM50" s="816"/>
      <c r="BN50" s="816"/>
      <c r="BO50" s="816"/>
      <c r="BP50" s="816"/>
      <c r="BQ50" s="816"/>
      <c r="BR50" s="816"/>
      <c r="BS50" s="816"/>
      <c r="BT50" s="816"/>
      <c r="BU50" s="816"/>
      <c r="BV50" s="816"/>
      <c r="BW50" s="816"/>
      <c r="BX50" s="816"/>
      <c r="BY50" s="816"/>
      <c r="BZ50" s="816"/>
      <c r="CA50" s="816"/>
      <c r="CB50" s="816"/>
      <c r="CC50" s="816"/>
      <c r="CD50" s="816"/>
      <c r="CE50" s="816"/>
      <c r="CF50" s="816"/>
      <c r="CG50" s="816"/>
      <c r="CH50" s="16"/>
      <c r="CI50" s="16"/>
      <c r="CJ50" s="16"/>
      <c r="CK50" s="16"/>
      <c r="CL50" s="16"/>
      <c r="CM50" s="16"/>
      <c r="CN50" s="16"/>
      <c r="CO50"/>
      <c r="CP50"/>
      <c r="CQ50"/>
      <c r="CR50"/>
      <c r="CS50"/>
      <c r="CT50"/>
    </row>
    <row r="51" spans="2:99" s="7" customFormat="1" ht="11.25" customHeight="1" outlineLevel="1" x14ac:dyDescent="0.2">
      <c r="B51" s="428" t="s">
        <v>46</v>
      </c>
      <c r="C51" s="530">
        <f>+C24+C25+C29</f>
        <v>497.17199999999997</v>
      </c>
      <c r="D51" s="13">
        <f>+D24+D25+D29</f>
        <v>480.45699999999999</v>
      </c>
      <c r="E51" s="13">
        <f>+E24+E25+E29</f>
        <v>464.185</v>
      </c>
      <c r="F51" s="13">
        <f>+F24+F25+F29</f>
        <v>456.57</v>
      </c>
      <c r="G51" s="460">
        <f>+G24+G25+G29</f>
        <v>456.57</v>
      </c>
      <c r="H51" s="16"/>
      <c r="I51" s="530">
        <f>+I24+I25+I29</f>
        <v>458.58499999999998</v>
      </c>
      <c r="J51" s="13">
        <f>+J24+J25+J29</f>
        <v>454.30100000000004</v>
      </c>
      <c r="K51" s="13">
        <f>+K24+K25+K29</f>
        <v>429.01800000000003</v>
      </c>
      <c r="L51" s="13">
        <f>+L24+L25+L29</f>
        <v>417.98900000000003</v>
      </c>
      <c r="M51" s="460">
        <f>+M24+M25+M29</f>
        <v>417.98900000000003</v>
      </c>
      <c r="N51" s="16"/>
      <c r="O51" s="530">
        <f>+O24+O25+O29</f>
        <v>413.28800000000001</v>
      </c>
      <c r="P51" s="13">
        <f>+P24+P25+P29</f>
        <v>417.49400000000003</v>
      </c>
      <c r="Q51" s="13">
        <f>+Q24+Q25+Q29</f>
        <v>268.17500000000001</v>
      </c>
      <c r="R51" s="13">
        <f>+R24+R25+R29</f>
        <v>267.86500000000001</v>
      </c>
      <c r="S51" s="460">
        <f>+S24+S25+S29</f>
        <v>267.86500000000001</v>
      </c>
      <c r="T51" s="16"/>
      <c r="U51" s="530">
        <f>+U24+U25+U29</f>
        <v>548.52099999999996</v>
      </c>
      <c r="V51" s="13">
        <f>+V24+V25+V29</f>
        <v>548.89100000000008</v>
      </c>
      <c r="W51" s="13">
        <f>+W24+W25+W29</f>
        <v>609.75900000000001</v>
      </c>
      <c r="X51" s="13">
        <f>+X24+X25+X29</f>
        <v>441.30400000000003</v>
      </c>
      <c r="Y51" s="460">
        <f>+Y24+Y25+Y29</f>
        <v>441.30400000000003</v>
      </c>
      <c r="Z51" s="16"/>
      <c r="AA51" s="530">
        <f>+AA24+AA25+AA29</f>
        <v>513.01300000000003</v>
      </c>
      <c r="AB51" s="13">
        <f>+AB24+AB25+AB29</f>
        <v>443.346</v>
      </c>
      <c r="AC51" s="13">
        <f>+AC24+AC25+AC29</f>
        <v>431.95499999999998</v>
      </c>
      <c r="AD51" s="13">
        <f>+AD24+AD25+AD29</f>
        <v>441.35699999999997</v>
      </c>
      <c r="AE51" s="460">
        <f>+AE24+AE25+AE29</f>
        <v>441.35699999999997</v>
      </c>
      <c r="AF51" s="16"/>
      <c r="AG51" s="530">
        <f>+AG24+AG25+AG29</f>
        <v>481.09</v>
      </c>
      <c r="AH51" s="13">
        <f>+AH24+AH25+AH29</f>
        <v>535</v>
      </c>
      <c r="AI51" s="13">
        <f>+AI24+AI25+AI29</f>
        <v>609.38400000000001</v>
      </c>
      <c r="AJ51" s="13">
        <f>+AJ24+AJ25+AJ29</f>
        <v>533.279</v>
      </c>
      <c r="AK51" s="460">
        <f>+AK24+AK25+AK29</f>
        <v>533.279</v>
      </c>
      <c r="AL51" s="16"/>
      <c r="AM51" s="530">
        <f>+AM24+AM25+AM29</f>
        <v>652.58000000000004</v>
      </c>
      <c r="AN51" s="13">
        <f>+AN24+AN25+AN29</f>
        <v>468.19100000000003</v>
      </c>
      <c r="AO51" s="13">
        <f>+AO24+AO25+AO29</f>
        <v>407.79700000000003</v>
      </c>
      <c r="AP51" s="13">
        <f>+AP24+AP25+AP29</f>
        <v>485.18200000000002</v>
      </c>
      <c r="AQ51" s="460">
        <f>+AQ24+AQ25+AQ29</f>
        <v>485.18200000000002</v>
      </c>
      <c r="AR51" s="16"/>
      <c r="AS51" s="530">
        <f>+AS24+AS25+AS29</f>
        <v>791.71299999999997</v>
      </c>
      <c r="AT51" s="13">
        <f>+AT24+AT25+AT29</f>
        <v>755.88200000000006</v>
      </c>
      <c r="AU51" s="13">
        <f>+AU24+AU25+AU29</f>
        <v>825.40300000000002</v>
      </c>
      <c r="AV51" s="13">
        <f>+AV24+AV25+AV29</f>
        <v>731.49</v>
      </c>
      <c r="AW51" s="460">
        <f>+AW24+AW25+AW29</f>
        <v>731.49</v>
      </c>
      <c r="AX51" s="16"/>
      <c r="AY51" s="530">
        <f>+AY24+AY25+AY29</f>
        <v>831.37099999999998</v>
      </c>
      <c r="AZ51" s="13">
        <f>+AZ24+AZ25+AZ29</f>
        <v>735.66700000000003</v>
      </c>
      <c r="BA51" s="13">
        <f>+BA24+BA25+BA29</f>
        <v>798.44799999999998</v>
      </c>
      <c r="BB51" s="13">
        <f>+BB24+BB25+BB29</f>
        <v>809.71399999999994</v>
      </c>
      <c r="BC51" s="460">
        <f>+BC24+BC25+BC29</f>
        <v>809.71399999999994</v>
      </c>
      <c r="BD51" s="16"/>
      <c r="BE51" s="530">
        <f>+BE24+BE25+BE29</f>
        <v>1107.646</v>
      </c>
      <c r="BF51" s="13">
        <f>+BF24+BF25+BF29</f>
        <v>955.05</v>
      </c>
      <c r="BG51" s="13">
        <f>+BG24+BG25+BG29</f>
        <v>1068.607</v>
      </c>
      <c r="BH51" s="13">
        <f>+BH24+BH25+BH29</f>
        <v>1218.856</v>
      </c>
      <c r="BI51" s="460">
        <f>+BI24+BI25+BI29</f>
        <v>1218.856</v>
      </c>
      <c r="BJ51" s="16"/>
      <c r="BK51" s="530">
        <f>+BK24+BK25+BK29</f>
        <v>1398.75</v>
      </c>
      <c r="BL51" s="13">
        <f>+BL24+BL25+BL29</f>
        <v>1402.3429999999998</v>
      </c>
      <c r="BM51" s="13">
        <f>+BM24+BM25+BM29</f>
        <v>1556.704</v>
      </c>
      <c r="BN51" s="13">
        <f>+BN24+BN25+BN29</f>
        <v>1666.068</v>
      </c>
      <c r="BO51" s="460">
        <f>+BO24+BO25+BO29</f>
        <v>1666.068</v>
      </c>
      <c r="BP51" s="16"/>
      <c r="BQ51" s="530">
        <f>+BQ24+BQ25+BQ29</f>
        <v>1666.068</v>
      </c>
      <c r="BR51" s="13">
        <f>+BR24+BR25+BR29</f>
        <v>1666.068</v>
      </c>
      <c r="BS51" s="13">
        <f>+BS24+BS25+BS29</f>
        <v>1666.068</v>
      </c>
      <c r="BT51" s="13">
        <f>+BT24+BT25+BT29</f>
        <v>1666.068</v>
      </c>
      <c r="BU51" s="460">
        <f>+BU24+BU25+BU29</f>
        <v>1666.068</v>
      </c>
      <c r="BV51" s="16"/>
      <c r="BW51" s="530">
        <f>+BW24+BW25+BW29</f>
        <v>1666.068</v>
      </c>
      <c r="BX51" s="13">
        <f>+BX24+BX25+BX29</f>
        <v>1666.068</v>
      </c>
      <c r="BY51" s="13">
        <f>+BY24+BY25+BY29</f>
        <v>1666.068</v>
      </c>
      <c r="BZ51" s="13">
        <f>+BZ24+BZ25+BZ29</f>
        <v>1666.068</v>
      </c>
      <c r="CA51" s="460">
        <f>+CA24+CA25+CA29</f>
        <v>1666.068</v>
      </c>
      <c r="CB51" s="16"/>
      <c r="CC51" s="530">
        <f>+CC24+CC25+CC29</f>
        <v>1666.068</v>
      </c>
      <c r="CD51" s="13">
        <f>+CD24+CD25+CD29</f>
        <v>1666.068</v>
      </c>
      <c r="CE51" s="13">
        <f>+CE24+CE25+CE29</f>
        <v>1566.0680000000002</v>
      </c>
      <c r="CF51" s="13">
        <f>+CF24+CF25+CF29</f>
        <v>1566.0680000000002</v>
      </c>
      <c r="CG51" s="460">
        <f>+CG24+CG25+CG29</f>
        <v>1566.0680000000002</v>
      </c>
      <c r="CH51" s="16"/>
      <c r="CI51" s="16"/>
      <c r="CJ51" s="16"/>
      <c r="CK51" s="16"/>
      <c r="CL51" s="16"/>
      <c r="CM51" s="16"/>
      <c r="CN51" s="16"/>
      <c r="CO51"/>
      <c r="CP51"/>
      <c r="CQ51"/>
      <c r="CR51"/>
      <c r="CS51"/>
      <c r="CT51"/>
    </row>
    <row r="52" spans="2:99" s="7" customFormat="1" ht="11.25" customHeight="1" outlineLevel="1" x14ac:dyDescent="0.2">
      <c r="B52" s="426" t="s">
        <v>47</v>
      </c>
      <c r="C52" s="530">
        <f>C51-C9</f>
        <v>342.71600000000001</v>
      </c>
      <c r="D52" s="13">
        <f>D51-D9</f>
        <v>289.48599999999999</v>
      </c>
      <c r="E52" s="13">
        <f>E51-E9</f>
        <v>256.72699999999998</v>
      </c>
      <c r="F52" s="13">
        <f>F51-F9</f>
        <v>208.98</v>
      </c>
      <c r="G52" s="460">
        <f>G51-G9</f>
        <v>208.98</v>
      </c>
      <c r="H52" s="16"/>
      <c r="I52" s="530">
        <f>I51-I9</f>
        <v>255.54899999999998</v>
      </c>
      <c r="J52" s="13">
        <f>J51-J9</f>
        <v>182.86900000000003</v>
      </c>
      <c r="K52" s="13">
        <f>K51-K9</f>
        <v>140.65400000000005</v>
      </c>
      <c r="L52" s="13">
        <f>L51-L9</f>
        <v>48.41900000000004</v>
      </c>
      <c r="M52" s="460">
        <f>M51-M9</f>
        <v>48.41900000000004</v>
      </c>
      <c r="N52" s="16"/>
      <c r="O52" s="530">
        <f>O51-O9</f>
        <v>105.13200000000001</v>
      </c>
      <c r="P52" s="13">
        <f>P51-P9</f>
        <v>23.621000000000038</v>
      </c>
      <c r="Q52" s="13">
        <f>Q51-Q9</f>
        <v>-49.432000000000016</v>
      </c>
      <c r="R52" s="13">
        <f>R51-R9</f>
        <v>-203.28899999999999</v>
      </c>
      <c r="S52" s="460">
        <f>S51-S9</f>
        <v>-203.28899999999999</v>
      </c>
      <c r="T52" s="16"/>
      <c r="U52" s="530">
        <f>U51-U9</f>
        <v>193.13299999999998</v>
      </c>
      <c r="V52" s="13">
        <f>V51-V9</f>
        <v>227.77500000000009</v>
      </c>
      <c r="W52" s="13">
        <f>W51-W9</f>
        <v>406.029</v>
      </c>
      <c r="X52" s="13">
        <f>X51-X9</f>
        <v>290.95600000000002</v>
      </c>
      <c r="Y52" s="460">
        <f>Y51-Y9</f>
        <v>290.95600000000002</v>
      </c>
      <c r="Z52" s="16"/>
      <c r="AA52" s="530">
        <f>AA51-AA9</f>
        <v>396.30100000000004</v>
      </c>
      <c r="AB52" s="13">
        <f>AB51-AB9</f>
        <v>281.55700000000002</v>
      </c>
      <c r="AC52" s="13">
        <f>AC51-AC9</f>
        <v>325.08299999999997</v>
      </c>
      <c r="AD52" s="13">
        <f>AD51-AD9</f>
        <v>294.07299999999998</v>
      </c>
      <c r="AE52" s="460">
        <f>AE51-AE9</f>
        <v>294.07299999999998</v>
      </c>
      <c r="AF52" s="16"/>
      <c r="AG52" s="530">
        <f>AG51-AG9</f>
        <v>379.27699999999999</v>
      </c>
      <c r="AH52" s="13">
        <f>AH51-AH9</f>
        <v>447.10399999999998</v>
      </c>
      <c r="AI52" s="13">
        <f>AI51-AI9</f>
        <v>520.048</v>
      </c>
      <c r="AJ52" s="13">
        <f>AJ51-AJ9</f>
        <v>411.19900000000001</v>
      </c>
      <c r="AK52" s="460">
        <f>AK51-AK9</f>
        <v>411.19900000000001</v>
      </c>
      <c r="AL52" s="16"/>
      <c r="AM52" s="530">
        <f>AM51-AM9</f>
        <v>562.01800000000003</v>
      </c>
      <c r="AN52" s="13">
        <f>AN51-AN9</f>
        <v>389.35200000000003</v>
      </c>
      <c r="AO52" s="13">
        <f>AO51-AO9</f>
        <v>337.88200000000001</v>
      </c>
      <c r="AP52" s="13">
        <f>AP51-AP9</f>
        <v>296.56600000000003</v>
      </c>
      <c r="AQ52" s="460">
        <f>AQ51-AQ9</f>
        <v>296.56600000000003</v>
      </c>
      <c r="AR52" s="16"/>
      <c r="AS52" s="530">
        <f>AS51-AS9</f>
        <v>662.59799999999996</v>
      </c>
      <c r="AT52" s="13">
        <f>AT51-AT9</f>
        <v>666.18400000000008</v>
      </c>
      <c r="AU52" s="13">
        <f>AU51-AU9</f>
        <v>748.86099999999999</v>
      </c>
      <c r="AV52" s="13">
        <f>AV51-AV9</f>
        <v>642.01599999999996</v>
      </c>
      <c r="AW52" s="460">
        <f>AW51-AW9</f>
        <v>642.01599999999996</v>
      </c>
      <c r="AX52" s="16"/>
      <c r="AY52" s="530">
        <f>AY51-AY9</f>
        <v>772.16899999999998</v>
      </c>
      <c r="AZ52" s="13">
        <f>AZ51-AZ9</f>
        <v>688.59900000000005</v>
      </c>
      <c r="BA52" s="13">
        <f>BA51-BA9</f>
        <v>737.96699999999998</v>
      </c>
      <c r="BB52" s="13">
        <f>BB51-BB9</f>
        <v>737.62799999999993</v>
      </c>
      <c r="BC52" s="460">
        <f>BC51-BC9</f>
        <v>737.62799999999993</v>
      </c>
      <c r="BD52" s="16"/>
      <c r="BE52" s="530">
        <f>BE51-BE9</f>
        <v>1036.0319999999999</v>
      </c>
      <c r="BF52" s="13">
        <f>BF51-BF9</f>
        <v>891.49</v>
      </c>
      <c r="BG52" s="13">
        <f>BG51-BG9</f>
        <v>992.41499999999996</v>
      </c>
      <c r="BH52" s="13">
        <f>BH51-BH9</f>
        <v>1156.4749999999999</v>
      </c>
      <c r="BI52" s="460">
        <f>BI51-BI9</f>
        <v>1156.4749999999999</v>
      </c>
      <c r="BJ52" s="16"/>
      <c r="BK52" s="530">
        <f>BK51-BK9</f>
        <v>1335.8620000000001</v>
      </c>
      <c r="BL52" s="13">
        <f>BL51-BL9</f>
        <v>1327.6889999999999</v>
      </c>
      <c r="BM52" s="13">
        <f>BM51-BM9</f>
        <v>1476.825</v>
      </c>
      <c r="BN52" s="13">
        <f>BN51-BN9</f>
        <v>1491.41</v>
      </c>
      <c r="BO52" s="460">
        <f>BO51-BO9</f>
        <v>1491.41</v>
      </c>
      <c r="BP52" s="16"/>
      <c r="BQ52" s="530">
        <f>BQ51-BQ9</f>
        <v>1503.6179862864051</v>
      </c>
      <c r="BR52" s="13">
        <f>BR51-BR9</f>
        <v>1540.7132643892974</v>
      </c>
      <c r="BS52" s="13">
        <f>BS51-BS9</f>
        <v>1467.8196238749483</v>
      </c>
      <c r="BT52" s="13">
        <f>BT51-BT9</f>
        <v>1384.0819844323914</v>
      </c>
      <c r="BU52" s="460">
        <f>BU51-BU9</f>
        <v>1384.0819844323914</v>
      </c>
      <c r="BV52" s="16"/>
      <c r="BW52" s="530">
        <f>BW51-BW9</f>
        <v>1336.8986643156704</v>
      </c>
      <c r="BX52" s="13">
        <f>BX51-BX9</f>
        <v>1388.3424561623342</v>
      </c>
      <c r="BY52" s="13">
        <f>BY51-BY9</f>
        <v>1327.1034792694034</v>
      </c>
      <c r="BZ52" s="13">
        <f>BZ51-BZ9</f>
        <v>1254.8710142233826</v>
      </c>
      <c r="CA52" s="460">
        <f>CA51-CA9</f>
        <v>1254.8710142233826</v>
      </c>
      <c r="CB52" s="16"/>
      <c r="CC52" s="530">
        <f>CC51-CC9</f>
        <v>1198.068481339101</v>
      </c>
      <c r="CD52" s="13">
        <f>CD51-CD9</f>
        <v>1267.6519608300373</v>
      </c>
      <c r="CE52" s="13">
        <f>CE51-CE9</f>
        <v>1214.4429760597941</v>
      </c>
      <c r="CF52" s="13">
        <f>CF51-CF9</f>
        <v>1152.0636299445318</v>
      </c>
      <c r="CG52" s="460">
        <f>CG51-CG9</f>
        <v>1152.0636299445318</v>
      </c>
      <c r="CH52" s="16"/>
      <c r="CI52" s="16"/>
      <c r="CJ52" s="16"/>
      <c r="CK52" s="16"/>
      <c r="CL52" s="16"/>
      <c r="CM52" s="16"/>
      <c r="CN52" s="16"/>
      <c r="CO52"/>
      <c r="CP52"/>
      <c r="CQ52"/>
      <c r="CR52"/>
      <c r="CS52"/>
      <c r="CT52"/>
    </row>
    <row r="53" spans="2:99" s="7" customFormat="1" ht="11.25" customHeight="1" outlineLevel="1" x14ac:dyDescent="0.2">
      <c r="B53" s="427" t="s">
        <v>48</v>
      </c>
      <c r="C53" s="558">
        <f>C52/'P&amp;L'!C30</f>
        <v>1.9043163229018494</v>
      </c>
      <c r="D53" s="559">
        <f>D52/'P&amp;L'!D30</f>
        <v>1.5977635747480434</v>
      </c>
      <c r="E53" s="559">
        <f>E52/'P&amp;L'!E30</f>
        <v>1.404430026586724</v>
      </c>
      <c r="F53" s="559">
        <f>F52/'P&amp;L'!F30</f>
        <v>1.1353782964435895</v>
      </c>
      <c r="G53" s="560">
        <f>G52/'P&amp;L'!G30</f>
        <v>1.1461886949749349</v>
      </c>
      <c r="H53" s="23"/>
      <c r="I53" s="558">
        <f>I52/'P&amp;L'!I30</f>
        <v>1.3849543134003186</v>
      </c>
      <c r="J53" s="559">
        <f>J52/'P&amp;L'!J30</f>
        <v>0.99372364474199038</v>
      </c>
      <c r="K53" s="559">
        <f>K52/'P&amp;L'!K30</f>
        <v>0.76964410786202087</v>
      </c>
      <c r="L53" s="559">
        <f>L52/'P&amp;L'!L30</f>
        <v>0.27078463173200623</v>
      </c>
      <c r="M53" s="560">
        <f>M52/'P&amp;L'!M30</f>
        <v>0.26539393341445522</v>
      </c>
      <c r="N53" s="23"/>
      <c r="O53" s="558">
        <f>O52/'P&amp;L'!O30</f>
        <v>0.58674614070923892</v>
      </c>
      <c r="P53" s="559">
        <f>P52/'P&amp;L'!P30</f>
        <v>0.13045375218150107</v>
      </c>
      <c r="Q53" s="559">
        <f>Q52/'P&amp;L'!Q30</f>
        <v>-0.27008184629506199</v>
      </c>
      <c r="R53" s="559">
        <f>R52/'P&amp;L'!R30</f>
        <v>-1.1047114444082164</v>
      </c>
      <c r="S53" s="560">
        <f>S52/'P&amp;L'!S30</f>
        <v>-1.1224490922743937</v>
      </c>
      <c r="T53" s="23"/>
      <c r="U53" s="558">
        <f>U52/'P&amp;L'!U30</f>
        <v>1.0414738840176443</v>
      </c>
      <c r="V53" s="559">
        <f>V52/'P&amp;L'!V30</f>
        <v>1.2199792184420264</v>
      </c>
      <c r="W53" s="559">
        <f>W52/'P&amp;L'!W30</f>
        <v>2.1766323576712772</v>
      </c>
      <c r="X53" s="559">
        <f>X52/'P&amp;L'!X30</f>
        <v>1.5662331510270877</v>
      </c>
      <c r="Y53" s="560">
        <f>Y52/'P&amp;L'!Y30</f>
        <v>1.5597847064373633</v>
      </c>
      <c r="Z53" s="23"/>
      <c r="AA53" s="558">
        <f>AA52/'P&amp;L'!AA30</f>
        <v>2.1269683665911705</v>
      </c>
      <c r="AB53" s="559">
        <f>AB52/'P&amp;L'!AB30</f>
        <v>1.5065224835734008</v>
      </c>
      <c r="AC53" s="559">
        <f>AC52/'P&amp;L'!AC30</f>
        <v>1.750223433007785</v>
      </c>
      <c r="AD53" s="559">
        <f>AD52/'P&amp;L'!AD30</f>
        <v>1.6115001863177043</v>
      </c>
      <c r="AE53" s="560">
        <f>AE52/'P&amp;L'!AE30</f>
        <v>1.5875242928093283</v>
      </c>
      <c r="AF53" s="23"/>
      <c r="AG53" s="558">
        <f>AG52/'P&amp;L'!AG30</f>
        <v>2.0916164824741359</v>
      </c>
      <c r="AH53" s="559">
        <f>AH52/'P&amp;L'!AH30</f>
        <v>2.468742062659437</v>
      </c>
      <c r="AI53" s="559">
        <f>AI52/'P&amp;L'!AI30</f>
        <v>2.9005320869633113</v>
      </c>
      <c r="AJ53" s="559">
        <f>AJ52/'P&amp;L'!AJ30</f>
        <v>2.302758612965369</v>
      </c>
      <c r="AK53" s="560">
        <f>AK52/'P&amp;L'!AK30</f>
        <v>2.2889404718167956</v>
      </c>
      <c r="AL53" s="23"/>
      <c r="AM53" s="558">
        <f>AM52/'P&amp;L'!AM30</f>
        <v>3.164800882962429</v>
      </c>
      <c r="AN53" s="559">
        <f>AN52/'P&amp;L'!AN30</f>
        <v>2.2130320116405966</v>
      </c>
      <c r="AO53" s="559">
        <f>AO52/'P&amp;L'!AO30</f>
        <v>1.9328749256326943</v>
      </c>
      <c r="AP53" s="559">
        <f>AP52/'P&amp;L'!AP30</f>
        <v>1.7080146516771104</v>
      </c>
      <c r="AQ53" s="560">
        <f>AQ52/'P&amp;L'!AQ30</f>
        <v>1.692303302823492</v>
      </c>
      <c r="AR53" s="23"/>
      <c r="AS53" s="558">
        <f>AS52/'P&amp;L'!AS30</f>
        <v>3.8292494047481447</v>
      </c>
      <c r="AT53" s="559">
        <f>AT52/'P&amp;L'!AT30</f>
        <v>3.8740637357525007</v>
      </c>
      <c r="AU53" s="559">
        <f>AU52/'P&amp;L'!AU30</f>
        <v>4.3818665886483323</v>
      </c>
      <c r="AV53" s="559">
        <f>AV52/'P&amp;L'!AV30</f>
        <v>3.7753654721441423</v>
      </c>
      <c r="AW53" s="560">
        <f>AW52/'P&amp;L'!AW30</f>
        <v>3.743970142290646</v>
      </c>
      <c r="AX53" s="23"/>
      <c r="AY53" s="558">
        <f>AY52/'P&amp;L'!AY30</f>
        <v>4.5574514548781204</v>
      </c>
      <c r="AZ53" s="559">
        <f>AZ52/'P&amp;L'!AZ30</f>
        <v>4.0866894562546738</v>
      </c>
      <c r="BA53" s="559">
        <f>BA52/'P&amp;L'!BA30</f>
        <v>4.3882724418438706</v>
      </c>
      <c r="BB53" s="559">
        <f>BB52/'P&amp;L'!BB30</f>
        <v>4.4294533051498846</v>
      </c>
      <c r="BC53" s="560">
        <f>BC52/'P&amp;L'!BC30</f>
        <v>4.3841188707280825</v>
      </c>
      <c r="BD53" s="23"/>
      <c r="BE53" s="558">
        <f>BE52/'P&amp;L'!BE30</f>
        <v>6.2608443418460453</v>
      </c>
      <c r="BF53" s="559">
        <f>BF52/'P&amp;L'!BF30</f>
        <v>5.4099206252882492</v>
      </c>
      <c r="BG53" s="559">
        <f>BG52/'P&amp;L'!BG30</f>
        <v>6.0620304196444925</v>
      </c>
      <c r="BH53" s="559">
        <f>BH52/'P&amp;L'!BH30</f>
        <v>7.1807552840076498</v>
      </c>
      <c r="BI53" s="560">
        <f>BI52/'P&amp;L'!BI30</f>
        <v>7.0621408550474172</v>
      </c>
      <c r="BJ53" s="23"/>
      <c r="BK53" s="558">
        <f>BK52/'P&amp;L'!BK30</f>
        <v>8.3617846993577789</v>
      </c>
      <c r="BL53" s="559">
        <f>BL52/'P&amp;L'!BL30</f>
        <v>8.3462558776936806</v>
      </c>
      <c r="BM53" s="559">
        <f>BM52/'P&amp;L'!BM30</f>
        <v>9.3309892526110296</v>
      </c>
      <c r="BN53" s="559">
        <f>BN52/'P&amp;L'!BN30</f>
        <v>9.615548277284919</v>
      </c>
      <c r="BO53" s="560">
        <f>BO52/'P&amp;L'!BO30</f>
        <v>9.4361832874887881</v>
      </c>
      <c r="BP53" s="23"/>
      <c r="BQ53" s="558">
        <f>BQ52/'P&amp;L'!BQ30</f>
        <v>9.8234797287539326</v>
      </c>
      <c r="BR53" s="559">
        <f>BR52/'P&amp;L'!BR30</f>
        <v>10.16432038043351</v>
      </c>
      <c r="BS53" s="559">
        <f>BS52/'P&amp;L'!BS30</f>
        <v>9.7791811422311028</v>
      </c>
      <c r="BT53" s="559">
        <f>BT52/'P&amp;L'!BT30</f>
        <v>9.3136683972507974</v>
      </c>
      <c r="BU53" s="560">
        <f>BU52/'P&amp;L'!BU30</f>
        <v>9.1760078391806275</v>
      </c>
      <c r="BV53" s="23"/>
      <c r="BW53" s="558">
        <f>BW52/'P&amp;L'!BW30</f>
        <v>9.0903541867519397</v>
      </c>
      <c r="BX53" s="559">
        <f>BX52/'P&amp;L'!BX30</f>
        <v>9.5431381200521059</v>
      </c>
      <c r="BY53" s="559">
        <f>BY52/'P&amp;L'!BY30</f>
        <v>9.2228633484277402</v>
      </c>
      <c r="BZ53" s="559">
        <f>BZ52/'P&amp;L'!BZ30</f>
        <v>8.8184049639790469</v>
      </c>
      <c r="CA53" s="560">
        <f>CA52/'P&amp;L'!CA30</f>
        <v>8.6730843483226163</v>
      </c>
      <c r="CB53" s="23"/>
      <c r="CC53" s="558">
        <f>CC52/'P&amp;L'!CC30</f>
        <v>8.5175289297104406</v>
      </c>
      <c r="CD53" s="559">
        <f>CD52/'P&amp;L'!CD30</f>
        <v>9.1218333430748988</v>
      </c>
      <c r="CE53" s="559">
        <f>CE52/'P&amp;L'!CE30</f>
        <v>8.8465822726866623</v>
      </c>
      <c r="CF53" s="559">
        <f>CF52/'P&amp;L'!CF30</f>
        <v>8.4969996996254196</v>
      </c>
      <c r="CG53" s="560">
        <f>CG52/'P&amp;L'!CG30</f>
        <v>8.3408662673413527</v>
      </c>
      <c r="CH53" s="23"/>
      <c r="CI53" s="23"/>
      <c r="CJ53" s="23"/>
      <c r="CK53" s="23"/>
      <c r="CL53" s="23"/>
      <c r="CM53" s="23"/>
      <c r="CN53" s="23"/>
      <c r="CO53"/>
      <c r="CP53"/>
      <c r="CQ53"/>
      <c r="CR53"/>
      <c r="CS53"/>
      <c r="CT53"/>
    </row>
    <row r="54" spans="2:99" s="7" customFormat="1" ht="11.25" customHeight="1" outlineLevel="1" x14ac:dyDescent="0.2">
      <c r="B54" s="11"/>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c r="CP54"/>
      <c r="CQ54"/>
      <c r="CR54"/>
      <c r="CS54"/>
      <c r="CT54"/>
    </row>
    <row r="55" spans="2:99" s="7" customFormat="1" ht="11.25" customHeight="1" outlineLevel="1" x14ac:dyDescent="0.2">
      <c r="B55" s="815" t="s">
        <v>49</v>
      </c>
      <c r="C55" s="816"/>
      <c r="D55" s="816"/>
      <c r="E55" s="816"/>
      <c r="F55" s="816"/>
      <c r="G55" s="816"/>
      <c r="H55" s="816"/>
      <c r="I55" s="816"/>
      <c r="J55" s="816"/>
      <c r="K55" s="816"/>
      <c r="L55" s="816"/>
      <c r="M55" s="816"/>
      <c r="N55" s="816"/>
      <c r="O55" s="816"/>
      <c r="P55" s="816"/>
      <c r="Q55" s="816"/>
      <c r="R55" s="816"/>
      <c r="S55" s="816"/>
      <c r="T55" s="816"/>
      <c r="U55" s="816"/>
      <c r="V55" s="816"/>
      <c r="W55" s="816"/>
      <c r="X55" s="816"/>
      <c r="Y55" s="816"/>
      <c r="Z55" s="816"/>
      <c r="AA55" s="816"/>
      <c r="AB55" s="816"/>
      <c r="AC55" s="816"/>
      <c r="AD55" s="816"/>
      <c r="AE55" s="816"/>
      <c r="AF55" s="816"/>
      <c r="AG55" s="816"/>
      <c r="AH55" s="816"/>
      <c r="AI55" s="816"/>
      <c r="AJ55" s="816"/>
      <c r="AK55" s="816"/>
      <c r="AL55" s="816"/>
      <c r="AM55" s="816"/>
      <c r="AN55" s="816"/>
      <c r="AO55" s="816"/>
      <c r="AP55" s="816"/>
      <c r="AQ55" s="816"/>
      <c r="AR55" s="816"/>
      <c r="AS55" s="816"/>
      <c r="AT55" s="816"/>
      <c r="AU55" s="816"/>
      <c r="AV55" s="816"/>
      <c r="AW55" s="816"/>
      <c r="AX55" s="816"/>
      <c r="AY55" s="816"/>
      <c r="AZ55" s="816"/>
      <c r="BA55" s="816"/>
      <c r="BB55" s="816"/>
      <c r="BC55" s="816"/>
      <c r="BD55" s="816"/>
      <c r="BE55" s="816"/>
      <c r="BF55" s="816"/>
      <c r="BG55" s="816"/>
      <c r="BH55" s="816"/>
      <c r="BI55" s="816"/>
      <c r="BJ55" s="816"/>
      <c r="BK55" s="816"/>
      <c r="BL55" s="816"/>
      <c r="BM55" s="816"/>
      <c r="BN55" s="816"/>
      <c r="BO55" s="816"/>
      <c r="BP55" s="816"/>
      <c r="BQ55" s="816"/>
      <c r="BR55" s="816"/>
      <c r="BS55" s="816"/>
      <c r="BT55" s="816"/>
      <c r="BU55" s="816"/>
      <c r="BV55" s="816"/>
      <c r="BW55" s="816"/>
      <c r="BX55" s="816"/>
      <c r="BY55" s="816"/>
      <c r="BZ55" s="816"/>
      <c r="CA55" s="816"/>
      <c r="CB55" s="816"/>
      <c r="CC55" s="816"/>
      <c r="CD55" s="816"/>
      <c r="CE55" s="816"/>
      <c r="CF55" s="816"/>
      <c r="CG55" s="816"/>
      <c r="CH55" s="16"/>
      <c r="CI55" s="16"/>
      <c r="CJ55" s="16"/>
      <c r="CK55" s="16"/>
      <c r="CL55" s="16"/>
      <c r="CM55" s="16"/>
      <c r="CN55" s="16"/>
      <c r="CO55"/>
      <c r="CP55"/>
      <c r="CQ55"/>
      <c r="CR55"/>
      <c r="CS55"/>
      <c r="CT55"/>
    </row>
    <row r="56" spans="2:99" s="7" customFormat="1" ht="11.25" customHeight="1" outlineLevel="1" x14ac:dyDescent="0.2">
      <c r="B56" s="539" t="s">
        <v>50</v>
      </c>
      <c r="C56" s="235"/>
      <c r="D56" s="43">
        <f>'P&amp;L'!D27/(AVERAGE(C44,D44)*('P&amp;L'!D7/'P&amp;L'!G7))</f>
        <v>0.14273151854199936</v>
      </c>
      <c r="E56" s="43">
        <f>'P&amp;L'!E27/(AVERAGE(D44,E44)*('P&amp;L'!E7/'P&amp;L'!G7))</f>
        <v>0.14935193586925835</v>
      </c>
      <c r="F56" s="43">
        <f>'P&amp;L'!F27/(AVERAGE(E44,F44)*('P&amp;L'!F7/'P&amp;L'!G7))</f>
        <v>0.17932702038518833</v>
      </c>
      <c r="G56" s="386"/>
      <c r="H56" s="42"/>
      <c r="I56" s="235">
        <f>'P&amp;L'!I27/(AVERAGE(F44,I44)*('P&amp;L'!I7/'P&amp;L'!M7))</f>
        <v>0.1130566527051151</v>
      </c>
      <c r="J56" s="43">
        <f>'P&amp;L'!J27/(AVERAGE(I44,J44)*('P&amp;L'!J7/'P&amp;L'!M7))</f>
        <v>0.13702620761586182</v>
      </c>
      <c r="K56" s="43">
        <f>'P&amp;L'!K27/(AVERAGE(J44,K44)*('P&amp;L'!K7/'P&amp;L'!M7))</f>
        <v>0.14488886860112501</v>
      </c>
      <c r="L56" s="43">
        <f>'P&amp;L'!L27/(AVERAGE(K44,L44)*('P&amp;L'!L7/'P&amp;L'!M7))</f>
        <v>0.16958009165990048</v>
      </c>
      <c r="M56" s="386">
        <f>'P&amp;L'!M27/(AVERAGE(G44,M44))</f>
        <v>0.14997624098621251</v>
      </c>
      <c r="N56" s="42"/>
      <c r="O56" s="235">
        <f>'P&amp;L'!O27/(AVERAGE(L44,O44)*('P&amp;L'!O7/'P&amp;L'!S7))</f>
        <v>0.12303858601969413</v>
      </c>
      <c r="P56" s="43">
        <f>'P&amp;L'!P27/(AVERAGE(O44,P44)*('P&amp;L'!P7/'P&amp;L'!S7))</f>
        <v>0.14025934625121239</v>
      </c>
      <c r="Q56" s="43">
        <f>'P&amp;L'!Q27/(AVERAGE(P44,Q44)*('P&amp;L'!Q7/'P&amp;L'!S7))</f>
        <v>0.13627639165297764</v>
      </c>
      <c r="R56" s="43">
        <f>'P&amp;L'!R27/(AVERAGE(Q44,R44)*('P&amp;L'!R7/'P&amp;L'!S7))</f>
        <v>0.1604978529589732</v>
      </c>
      <c r="S56" s="386">
        <f>'P&amp;L'!S27/(AVERAGE(M44,S44))</f>
        <v>0.14717242241847867</v>
      </c>
      <c r="T56" s="42"/>
      <c r="U56" s="235">
        <f>'P&amp;L'!U27/(AVERAGE(R44,U44)*('P&amp;L'!U7/'P&amp;L'!Y7))</f>
        <v>0.12884752658540299</v>
      </c>
      <c r="V56" s="43">
        <f>'P&amp;L'!V27/(AVERAGE(U44,V44)*('P&amp;L'!V7/'P&amp;L'!Y7))</f>
        <v>0.15113690669833363</v>
      </c>
      <c r="W56" s="43">
        <f>'P&amp;L'!W27/(AVERAGE(V44,W44)*('P&amp;L'!W7/'P&amp;L'!Y7))</f>
        <v>0.15046424308992434</v>
      </c>
      <c r="X56" s="43">
        <f>'P&amp;L'!X27/(AVERAGE(W44,X44)*('P&amp;L'!X7/'P&amp;L'!Y7))</f>
        <v>0.15433823382170575</v>
      </c>
      <c r="Y56" s="386">
        <f>'P&amp;L'!Y27/(AVERAGE(S44,Y44))</f>
        <v>0.14604505663503828</v>
      </c>
      <c r="Z56" s="42"/>
      <c r="AA56" s="235">
        <f>'P&amp;L'!AA27/(AVERAGE(X44,AA44)*('P&amp;L'!AA7/'P&amp;L'!AE7))</f>
        <v>0.12763616654315915</v>
      </c>
      <c r="AB56" s="43">
        <f>'P&amp;L'!AB27/(AVERAGE(AA44,AB44)*('P&amp;L'!AB7/'P&amp;L'!AE7))</f>
        <v>0.15088062034918695</v>
      </c>
      <c r="AC56" s="43">
        <f>'P&amp;L'!AC27/(AVERAGE(AB44,AC44)*('P&amp;L'!AC7/'P&amp;L'!AE7))</f>
        <v>0.14264634458937053</v>
      </c>
      <c r="AD56" s="43">
        <f>'P&amp;L'!AD27/(AVERAGE(AC44,AD44)*('P&amp;L'!AD7/'P&amp;L'!AE7))</f>
        <v>0.16706451058991495</v>
      </c>
      <c r="AE56" s="386">
        <f>'P&amp;L'!AE27/(AVERAGE(Y44,AE44))</f>
        <v>0.1517197694044049</v>
      </c>
      <c r="AF56" s="42"/>
      <c r="AG56" s="235">
        <f>'P&amp;L'!AG27/(AVERAGE(AD44,AG44)*('P&amp;L'!AG7/'P&amp;L'!AK7))</f>
        <v>0.14439110406253119</v>
      </c>
      <c r="AH56" s="43">
        <f>'P&amp;L'!AH27/(AVERAGE(AG44,AH44)*('P&amp;L'!AH7/'P&amp;L'!AK7))</f>
        <v>0.16083362280078256</v>
      </c>
      <c r="AI56" s="43">
        <f>'P&amp;L'!AI27/(AVERAGE(AH44,AI44)*('P&amp;L'!AI7/'P&amp;L'!AK7))</f>
        <v>0.15207139055224725</v>
      </c>
      <c r="AJ56" s="43">
        <f>'P&amp;L'!AJ27/(AVERAGE(AI44,AJ44)*('P&amp;L'!AJ7/'P&amp;L'!AK7))</f>
        <v>0.17245152420070831</v>
      </c>
      <c r="AK56" s="386">
        <f>'P&amp;L'!AK27/(AVERAGE(AE44,AK44))</f>
        <v>0.15788257302177464</v>
      </c>
      <c r="AL56" s="42"/>
      <c r="AM56" s="235">
        <f>'P&amp;L'!AM27/(AVERAGE(AJ44,AM44)*('P&amp;L'!AM7/'P&amp;L'!AQ7))</f>
        <v>0.1469949577673936</v>
      </c>
      <c r="AN56" s="43">
        <f>'P&amp;L'!AN27/(AVERAGE(AM44,AN44)*('P&amp;L'!AN7/'P&amp;L'!AQ7))</f>
        <v>0.16736662148575535</v>
      </c>
      <c r="AO56" s="43">
        <f>'P&amp;L'!AO27/(AVERAGE(AN44,AO44)*('P&amp;L'!AO7/'P&amp;L'!AQ7))</f>
        <v>0.15861663796173422</v>
      </c>
      <c r="AP56" s="43">
        <f>'P&amp;L'!AP27/(AVERAGE(AO44,AP44)*('P&amp;L'!AP7/'P&amp;L'!AQ7))</f>
        <v>0.17931363191141797</v>
      </c>
      <c r="AQ56" s="386">
        <f>'P&amp;L'!AQ27/(AVERAGE(AK44,AQ44))</f>
        <v>0.16039260788343193</v>
      </c>
      <c r="AR56" s="42"/>
      <c r="AS56" s="235">
        <f>'P&amp;L'!AS27/(AVERAGE(AP44,AS44)*('P&amp;L'!AS7/'P&amp;L'!AW7))</f>
        <v>0.1476953392194863</v>
      </c>
      <c r="AT56" s="43">
        <f>'P&amp;L'!AT27/(AVERAGE(AS44,AT44)*('P&amp;L'!AT7/'P&amp;L'!AW7))</f>
        <v>0.16437690750425191</v>
      </c>
      <c r="AU56" s="43">
        <f>'P&amp;L'!AU27/(AVERAGE(AT44,AU44)*('P&amp;L'!AU7/'P&amp;L'!AW7))</f>
        <v>0.16048905895965596</v>
      </c>
      <c r="AV56" s="43">
        <f>'P&amp;L'!AV27/(AVERAGE(AU44,AV44)*('P&amp;L'!AV7/'P&amp;L'!AW7))</f>
        <v>0.187146888516043</v>
      </c>
      <c r="AW56" s="386">
        <f>'P&amp;L'!AW27/(AVERAGE(AQ44,AW44))</f>
        <v>0.16632402203536256</v>
      </c>
      <c r="AX56" s="42"/>
      <c r="AY56" s="235">
        <f>'P&amp;L'!AY27/(AVERAGE(AV44,AY44)*('P&amp;L'!AY7/'P&amp;L'!BC7))</f>
        <v>0.15842769422117484</v>
      </c>
      <c r="AZ56" s="43">
        <f>'P&amp;L'!AZ27/(AVERAGE(AY44,AZ44)*('P&amp;L'!AZ7/'P&amp;L'!BC7))</f>
        <v>0.17641951988989918</v>
      </c>
      <c r="BA56" s="43">
        <f>'P&amp;L'!BA27/(AVERAGE(AZ44,BA44)*('P&amp;L'!BA7/'P&amp;L'!BC7))</f>
        <v>0.17836027059285936</v>
      </c>
      <c r="BB56" s="43">
        <f>'P&amp;L'!BB27/(AVERAGE(BA44,BB44)*('P&amp;L'!BB7/'P&amp;L'!BC7))</f>
        <v>0.18957002041152821</v>
      </c>
      <c r="BC56" s="386">
        <f>'P&amp;L'!BC27/(AVERAGE(AW44,BC44))</f>
        <v>0.17584822993309576</v>
      </c>
      <c r="BD56" s="42"/>
      <c r="BE56" s="235">
        <f>'P&amp;L'!BE27/(AVERAGE(BB44,BE44)*('P&amp;L'!BE7/'P&amp;L'!BI7))</f>
        <v>0.16189800430909596</v>
      </c>
      <c r="BF56" s="43">
        <f>'P&amp;L'!BF27/(AVERAGE(BE44,BF44)*('P&amp;L'!BF7/'P&amp;L'!BI7))</f>
        <v>0.18546514325985455</v>
      </c>
      <c r="BG56" s="43">
        <f>'P&amp;L'!BG27/(AVERAGE(BF44,BG44)*('P&amp;L'!BG7/'P&amp;L'!BI7))</f>
        <v>0.18705758651363841</v>
      </c>
      <c r="BH56" s="43">
        <f>'P&amp;L'!BH27/(AVERAGE(BG44,BH44)*('P&amp;L'!BH7/'P&amp;L'!BI7))</f>
        <v>0.21101588024097825</v>
      </c>
      <c r="BI56" s="386">
        <f>'P&amp;L'!BI27/(AVERAGE(BC44,BI44))</f>
        <v>0.19030673297679282</v>
      </c>
      <c r="BJ56" s="42"/>
      <c r="BK56" s="235">
        <f>'P&amp;L'!BK27/(AVERAGE(BH44,BK44)*('P&amp;L'!BK7/'P&amp;L'!BO7))</f>
        <v>0.20399969169544532</v>
      </c>
      <c r="BL56" s="43">
        <f>'P&amp;L'!BL27/(AVERAGE(BK44,BL44)*('P&amp;L'!BL7/'P&amp;L'!BO7))</f>
        <v>0.19494864935302922</v>
      </c>
      <c r="BM56" s="43">
        <f>'P&amp;L'!BM27/(AVERAGE(BL44,BM44)*('P&amp;L'!BM7/'P&amp;L'!BO7))</f>
        <v>0.18392534111090644</v>
      </c>
      <c r="BN56" s="43">
        <f>'P&amp;L'!BN27/(AVERAGE(BM44,BN44)*('P&amp;L'!BN7/'P&amp;L'!BO7))</f>
        <v>0.20643044372431418</v>
      </c>
      <c r="BO56" s="386">
        <f>'P&amp;L'!BO27/(AVERAGE(BI44,BO44))</f>
        <v>0.20268811106564139</v>
      </c>
      <c r="BP56" s="42"/>
      <c r="BQ56" s="235">
        <f>'P&amp;L'!BQ27/(AVERAGE(BN44,BQ44)*('P&amp;L'!BQ7/'P&amp;L'!BU7))</f>
        <v>0.20007449437501346</v>
      </c>
      <c r="BR56" s="43">
        <f>'P&amp;L'!BR27/(AVERAGE(BQ44,BR44)*('P&amp;L'!BR7/'P&amp;L'!BU7))</f>
        <v>0.20665377795558962</v>
      </c>
      <c r="BS56" s="43">
        <f>'P&amp;L'!BS27/(AVERAGE(BR44,BS44)*('P&amp;L'!BS7/'P&amp;L'!BU7))</f>
        <v>0.20062310055901253</v>
      </c>
      <c r="BT56" s="43">
        <f>'P&amp;L'!BT27/(AVERAGE(BS44,BT44)*('P&amp;L'!BT7/'P&amp;L'!BU7))</f>
        <v>0.21659691132969497</v>
      </c>
      <c r="BU56" s="386">
        <f>'P&amp;L'!BU27/(AVERAGE(BO44,BU44))</f>
        <v>0.20535064384349255</v>
      </c>
      <c r="BV56" s="42"/>
      <c r="BW56" s="235">
        <f>'P&amp;L'!BW27/(AVERAGE(BT44,BW44)*('P&amp;L'!BW7/'P&amp;L'!CA7))</f>
        <v>0.17712162505804949</v>
      </c>
      <c r="BX56" s="43">
        <f>'P&amp;L'!BX27/(AVERAGE(BW44,BX44)*('P&amp;L'!BX7/'P&amp;L'!CA7))</f>
        <v>0.18833396794573873</v>
      </c>
      <c r="BY56" s="43">
        <f>'P&amp;L'!BY27/(AVERAGE(BX44,BY44)*('P&amp;L'!BY7/'P&amp;L'!CA7))</f>
        <v>0.18340367508595559</v>
      </c>
      <c r="BZ56" s="43">
        <f>'P&amp;L'!BZ27/(AVERAGE(BY44,BZ44)*('P&amp;L'!BZ7/'P&amp;L'!CA7))</f>
        <v>0.19931968850105614</v>
      </c>
      <c r="CA56" s="386">
        <f>'P&amp;L'!CA27/(AVERAGE(BU44,CA44))</f>
        <v>0.18652515748192727</v>
      </c>
      <c r="CB56" s="42"/>
      <c r="CC56" s="235">
        <f>'P&amp;L'!CC27/(AVERAGE(BZ44,CC44)*('P&amp;L'!CC7/'P&amp;L'!CG7))</f>
        <v>0.16716712954713225</v>
      </c>
      <c r="CD56" s="43">
        <f>'P&amp;L'!CD27/(AVERAGE(CC44,CD44)*('P&amp;L'!CD7/'P&amp;L'!CG7))</f>
        <v>0.17877406401103563</v>
      </c>
      <c r="CE56" s="43">
        <f>'P&amp;L'!CE27/(AVERAGE(CD44,CE44)*('P&amp;L'!CE7/'P&amp;L'!CG7))</f>
        <v>0.17338898770107464</v>
      </c>
      <c r="CF56" s="43">
        <f>'P&amp;L'!CF27/(AVERAGE(CE44,CF44)*('P&amp;L'!CF7/'P&amp;L'!CG7))</f>
        <v>0.18800867378233913</v>
      </c>
      <c r="CG56" s="386">
        <f>'P&amp;L'!CG27/(AVERAGE(CA44,CG44))</f>
        <v>0.1763887214924332</v>
      </c>
      <c r="CH56" s="42"/>
      <c r="CI56" s="42"/>
      <c r="CJ56" s="42"/>
      <c r="CK56" s="42"/>
      <c r="CL56" s="42"/>
      <c r="CM56" s="42"/>
      <c r="CN56" s="42"/>
      <c r="CO56"/>
      <c r="CP56"/>
      <c r="CQ56"/>
      <c r="CR56"/>
      <c r="CS56"/>
      <c r="CT56"/>
    </row>
    <row r="57" spans="2:99" s="7" customFormat="1" ht="11.25" customHeight="1" outlineLevel="1" x14ac:dyDescent="0.2">
      <c r="B57" s="540" t="s">
        <v>51</v>
      </c>
      <c r="C57" s="235"/>
      <c r="D57" s="43">
        <f>'P&amp;L'!D27/(AVERAGE(C20,D20)*('P&amp;L'!D7/'P&amp;L'!G7))</f>
        <v>7.6872899546184328E-2</v>
      </c>
      <c r="E57" s="43">
        <f>'P&amp;L'!E27/(AVERAGE(D20,E20)*('P&amp;L'!E7/'P&amp;L'!G7))</f>
        <v>7.8319380926302501E-2</v>
      </c>
      <c r="F57" s="43">
        <f>'P&amp;L'!F27/(AVERAGE(E20,F20)*('P&amp;L'!F7/'P&amp;L'!G7))</f>
        <v>9.3871111638585802E-2</v>
      </c>
      <c r="G57" s="386"/>
      <c r="H57" s="42"/>
      <c r="I57" s="235">
        <f>'P&amp;L'!I27/(AVERAGE(F20,I20)*('P&amp;L'!I7/'P&amp;L'!M7))</f>
        <v>6.1834182693515947E-2</v>
      </c>
      <c r="J57" s="43">
        <f>'P&amp;L'!J27/(AVERAGE(I20,J20)*('P&amp;L'!J7/'P&amp;L'!M7))</f>
        <v>7.6223053818218978E-2</v>
      </c>
      <c r="K57" s="43">
        <f>'P&amp;L'!K27/(AVERAGE(J20,K20)*('P&amp;L'!K7/'P&amp;L'!M7))</f>
        <v>8.0514273704139272E-2</v>
      </c>
      <c r="L57" s="43">
        <f>'P&amp;L'!L27/(AVERAGE(K20,L20)*('P&amp;L'!L7/'P&amp;L'!M7))</f>
        <v>8.8775132067547238E-2</v>
      </c>
      <c r="M57" s="386">
        <f>'P&amp;L'!M27/(AVERAGE(G20,M20))</f>
        <v>7.7065101890674295E-2</v>
      </c>
      <c r="N57" s="42"/>
      <c r="O57" s="235">
        <f>'P&amp;L'!O27/(AVERAGE(L20,O20)*('P&amp;L'!O7/'P&amp;L'!S7))</f>
        <v>6.6393012800694068E-2</v>
      </c>
      <c r="P57" s="43">
        <f>'P&amp;L'!P27/(AVERAGE(O20,P20)*('P&amp;L'!P7/'P&amp;L'!S7))</f>
        <v>8.310266897326514E-2</v>
      </c>
      <c r="Q57" s="43">
        <f>'P&amp;L'!Q27/(AVERAGE(P20,Q20)*('P&amp;L'!Q7/'P&amp;L'!S7))</f>
        <v>7.8734223891464519E-2</v>
      </c>
      <c r="R57" s="43">
        <f>'P&amp;L'!R27/(AVERAGE(Q20,R20)*('P&amp;L'!R7/'P&amp;L'!S7))</f>
        <v>9.0169945579022318E-2</v>
      </c>
      <c r="S57" s="386">
        <f>'P&amp;L'!S27/(AVERAGE(M20,S20))</f>
        <v>7.7866955742250388E-2</v>
      </c>
      <c r="T57" s="42"/>
      <c r="U57" s="235">
        <f>'P&amp;L'!U27/(AVERAGE(R20,U20)*('P&amp;L'!U7/'P&amp;L'!Y7))</f>
        <v>6.9256689455745632E-2</v>
      </c>
      <c r="V57" s="43">
        <f>'P&amp;L'!V27/(AVERAGE(U20,V20)*('P&amp;L'!V7/'P&amp;L'!Y7))</f>
        <v>7.7630322263685034E-2</v>
      </c>
      <c r="W57" s="43">
        <f>'P&amp;L'!W27/(AVERAGE(V20,W20)*('P&amp;L'!W7/'P&amp;L'!Y7))</f>
        <v>7.7300184283222675E-2</v>
      </c>
      <c r="X57" s="43">
        <f>'P&amp;L'!X27/(AVERAGE(W20,X20)*('P&amp;L'!X7/'P&amp;L'!Y7))</f>
        <v>8.0627267548555814E-2</v>
      </c>
      <c r="Y57" s="386">
        <f>'P&amp;L'!Y27/(AVERAGE(S20,Y20))</f>
        <v>7.9690046682418386E-2</v>
      </c>
      <c r="Z57" s="42"/>
      <c r="AA57" s="235">
        <f>'P&amp;L'!AA27/(AVERAGE(X20,AA20)*('P&amp;L'!AA7/'P&amp;L'!AE7))</f>
        <v>6.6412819790541769E-2</v>
      </c>
      <c r="AB57" s="43">
        <f>'P&amp;L'!AB27/(AVERAGE(AA20,AB20)*('P&amp;L'!AB7/'P&amp;L'!AE7))</f>
        <v>7.8303100991044289E-2</v>
      </c>
      <c r="AC57" s="43">
        <f>'P&amp;L'!AC27/(AVERAGE(AB20,AC20)*('P&amp;L'!AC7/'P&amp;L'!AE7))</f>
        <v>7.5365254946213711E-2</v>
      </c>
      <c r="AD57" s="43">
        <f>'P&amp;L'!AD27/(AVERAGE(AC20,AD20)*('P&amp;L'!AD7/'P&amp;L'!AE7))</f>
        <v>8.7122190065534399E-2</v>
      </c>
      <c r="AE57" s="386">
        <f>'P&amp;L'!AE27/(AVERAGE(Y20,AE20))</f>
        <v>7.9172317112628024E-2</v>
      </c>
      <c r="AF57" s="42"/>
      <c r="AG57" s="235">
        <f>'P&amp;L'!AG27/(AVERAGE(AD20,AG20)*('P&amp;L'!AG7/'P&amp;L'!AK7))</f>
        <v>7.5405814008309383E-2</v>
      </c>
      <c r="AH57" s="43">
        <f>'P&amp;L'!AH27/(AVERAGE(AG20,AH20)*('P&amp;L'!AH7/'P&amp;L'!AK7))</f>
        <v>8.4105794057832237E-2</v>
      </c>
      <c r="AI57" s="43">
        <f>'P&amp;L'!AI27/(AVERAGE(AH20,AI20)*('P&amp;L'!AI7/'P&amp;L'!AK7))</f>
        <v>7.7407959757199177E-2</v>
      </c>
      <c r="AJ57" s="43">
        <f>'P&amp;L'!AJ27/(AVERAGE(AI20,AJ20)*('P&amp;L'!AJ7/'P&amp;L'!AK7))</f>
        <v>8.5667861382108815E-2</v>
      </c>
      <c r="AK57" s="386">
        <f>'P&amp;L'!AK27/(AVERAGE(AE20,AK20))</f>
        <v>7.913587868186496E-2</v>
      </c>
      <c r="AL57" s="42"/>
      <c r="AM57" s="235">
        <f>'P&amp;L'!AM27/(AVERAGE(AJ20,AM20)*('P&amp;L'!AM7/'P&amp;L'!AQ7))</f>
        <v>7.2461182076243524E-2</v>
      </c>
      <c r="AN57" s="43">
        <f>'P&amp;L'!AN27/(AVERAGE(AM20,AN20)*('P&amp;L'!AN7/'P&amp;L'!AQ7))</f>
        <v>8.387723939181424E-2</v>
      </c>
      <c r="AO57" s="43">
        <f>'P&amp;L'!AO27/(AVERAGE(AN20,AO20)*('P&amp;L'!AO7/'P&amp;L'!AQ7))</f>
        <v>8.0935186087865957E-2</v>
      </c>
      <c r="AP57" s="43">
        <f>'P&amp;L'!AP27/(AVERAGE(AO20,AP20)*('P&amp;L'!AP7/'P&amp;L'!AQ7))</f>
        <v>9.04397354989145E-2</v>
      </c>
      <c r="AQ57" s="386">
        <f>'P&amp;L'!AQ27/(AVERAGE(AK20,AQ20))</f>
        <v>7.90919816367609E-2</v>
      </c>
      <c r="AR57" s="42"/>
      <c r="AS57" s="235">
        <f>'P&amp;L'!AS27/(AVERAGE(AP20,AS20)*('P&amp;L'!AS7/'P&amp;L'!AW7))</f>
        <v>7.1982148352804545E-2</v>
      </c>
      <c r="AT57" s="43">
        <f>'P&amp;L'!AT27/(AVERAGE(AS20,AT20)*('P&amp;L'!AT7/'P&amp;L'!AW7))</f>
        <v>7.8542227013604332E-2</v>
      </c>
      <c r="AU57" s="43">
        <f>'P&amp;L'!AU27/(AVERAGE(AT20,AU20)*('P&amp;L'!AU7/'P&amp;L'!AW7))</f>
        <v>7.5127345707602072E-2</v>
      </c>
      <c r="AV57" s="43">
        <f>'P&amp;L'!AV27/(AVERAGE(AU20,AV20)*('P&amp;L'!AV7/'P&amp;L'!AW7))</f>
        <v>8.5990597478696862E-2</v>
      </c>
      <c r="AW57" s="386">
        <f>'P&amp;L'!AW27/(AVERAGE(AQ20,AW20))</f>
        <v>7.9241596189142893E-2</v>
      </c>
      <c r="AX57" s="42"/>
      <c r="AY57" s="235">
        <f>'P&amp;L'!AY27/(AVERAGE(AV20,AY20)*('P&amp;L'!AY7/'P&amp;L'!BC7))</f>
        <v>7.2829666996401199E-2</v>
      </c>
      <c r="AZ57" s="43">
        <f>'P&amp;L'!AZ27/(AVERAGE(AY20,AZ20)*('P&amp;L'!AZ7/'P&amp;L'!BC7))</f>
        <v>8.2050033364657285E-2</v>
      </c>
      <c r="BA57" s="43">
        <f>'P&amp;L'!BA27/(AVERAGE(AZ20,BA20)*('P&amp;L'!BA7/'P&amp;L'!BC7))</f>
        <v>8.3024316537533213E-2</v>
      </c>
      <c r="BB57" s="43">
        <f>'P&amp;L'!BB27/(AVERAGE(BA20,BB20)*('P&amp;L'!BB7/'P&amp;L'!BC7))</f>
        <v>8.5813341084052211E-2</v>
      </c>
      <c r="BC57" s="386">
        <f>'P&amp;L'!BC27/(AVERAGE(AW20,BC20))</f>
        <v>7.9321728309310502E-2</v>
      </c>
      <c r="BD57" s="42"/>
      <c r="BE57" s="235">
        <f>'P&amp;L'!BE27/(AVERAGE(BB20,BE20)*('P&amp;L'!BE7/'P&amp;L'!BI7))</f>
        <v>7.1688643008817846E-2</v>
      </c>
      <c r="BF57" s="43">
        <f>'P&amp;L'!BF27/(AVERAGE(BE20,BF20)*('P&amp;L'!BF7/'P&amp;L'!BI7))</f>
        <v>8.2288747553487487E-2</v>
      </c>
      <c r="BG57" s="43">
        <f>'P&amp;L'!BG27/(AVERAGE(BF20,BG20)*('P&amp;L'!BG7/'P&amp;L'!BI7))</f>
        <v>8.2604634964333901E-2</v>
      </c>
      <c r="BH57" s="43">
        <f>'P&amp;L'!BH27/(AVERAGE(BG20,BH20)*('P&amp;L'!BH7/'P&amp;L'!BI7))</f>
        <v>9.0065232963652972E-2</v>
      </c>
      <c r="BI57" s="386">
        <f>'P&amp;L'!BI27/(AVERAGE(BC20,BI20))</f>
        <v>8.1781705907668825E-2</v>
      </c>
      <c r="BJ57" s="42"/>
      <c r="BK57" s="235">
        <f>'P&amp;L'!BK27/(AVERAGE(BH20,BK20)*('P&amp;L'!BK7/'P&amp;L'!BO7))</f>
        <v>8.409733488834692E-2</v>
      </c>
      <c r="BL57" s="43">
        <f>'P&amp;L'!BL27/(AVERAGE(BK20,BL20)*('P&amp;L'!BL7/'P&amp;L'!BO7))</f>
        <v>8.0121528498370093E-2</v>
      </c>
      <c r="BM57" s="43">
        <f>'P&amp;L'!BM27/(AVERAGE(BL20,BM20)*('P&amp;L'!BM7/'P&amp;L'!BO7))</f>
        <v>7.5098545785176454E-2</v>
      </c>
      <c r="BN57" s="43">
        <f>'P&amp;L'!BN27/(AVERAGE(BM20,BN20)*('P&amp;L'!BN7/'P&amp;L'!BO7))</f>
        <v>7.8867544922517532E-2</v>
      </c>
      <c r="BO57" s="386">
        <f>'P&amp;L'!BO27/(AVERAGE(BI20,BO20))</f>
        <v>7.8406885720040675E-2</v>
      </c>
      <c r="BP57" s="42"/>
      <c r="BQ57" s="235">
        <f>'P&amp;L'!BQ27/(AVERAGE(BN20,BQ20)*('P&amp;L'!BQ7/'P&amp;L'!BU7))</f>
        <v>7.4275023282269065E-2</v>
      </c>
      <c r="BR57" s="43">
        <f>'P&amp;L'!BR27/(AVERAGE(BQ20,BR20)*('P&amp;L'!BR7/'P&amp;L'!BU7))</f>
        <v>7.9516092146283732E-2</v>
      </c>
      <c r="BS57" s="43">
        <f>'P&amp;L'!BS27/(AVERAGE(BR20,BS20)*('P&amp;L'!BS7/'P&amp;L'!BU7))</f>
        <v>7.8162767514914772E-2</v>
      </c>
      <c r="BT57" s="43">
        <f>'P&amp;L'!BT27/(AVERAGE(BS20,BT20)*('P&amp;L'!BT7/'P&amp;L'!BU7))</f>
        <v>8.4570495221943237E-2</v>
      </c>
      <c r="BU57" s="386">
        <f>'P&amp;L'!BU27/(AVERAGE(BO20,BU20))</f>
        <v>7.7220356852596927E-2</v>
      </c>
      <c r="BV57" s="42"/>
      <c r="BW57" s="235">
        <f>'P&amp;L'!BW27/(AVERAGE(BT20,BW20)*('P&amp;L'!BW7/'P&amp;L'!CA7))</f>
        <v>7.0042224155268298E-2</v>
      </c>
      <c r="BX57" s="43">
        <f>'P&amp;L'!BX27/(AVERAGE(BW20,BX20)*('P&amp;L'!BX7/'P&amp;L'!CA7))</f>
        <v>7.6161268954288791E-2</v>
      </c>
      <c r="BY57" s="43">
        <f>'P&amp;L'!BY27/(AVERAGE(BX20,BY20)*('P&amp;L'!BY7/'P&amp;L'!CA7))</f>
        <v>7.4942059806097222E-2</v>
      </c>
      <c r="BZ57" s="43">
        <f>'P&amp;L'!BZ27/(AVERAGE(BY20,BZ20)*('P&amp;L'!BZ7/'P&amp;L'!CA7))</f>
        <v>8.1385300473394512E-2</v>
      </c>
      <c r="CA57" s="386">
        <f>'P&amp;L'!CA27/(AVERAGE(BU20,CA20))</f>
        <v>7.4405848817173173E-2</v>
      </c>
      <c r="CB57" s="42"/>
      <c r="CC57" s="235">
        <f>'P&amp;L'!CC27/(AVERAGE(BZ20,CC20)*('P&amp;L'!CC7/'P&amp;L'!CG7))</f>
        <v>6.9000131258121794E-2</v>
      </c>
      <c r="CD57" s="43">
        <f>'P&amp;L'!CD27/(AVERAGE(CC20,CD20)*('P&amp;L'!CD7/'P&amp;L'!CG7))</f>
        <v>7.5369046078791455E-2</v>
      </c>
      <c r="CE57" s="43">
        <f>'P&amp;L'!CE27/(AVERAGE(CD20,CE20)*('P&amp;L'!CE7/'P&amp;L'!CG7))</f>
        <v>7.4183641159679153E-2</v>
      </c>
      <c r="CF57" s="43">
        <f>'P&amp;L'!CF27/(AVERAGE(CE20,CF20)*('P&amp;L'!CF7/'P&amp;L'!CG7))</f>
        <v>8.0693313550474877E-2</v>
      </c>
      <c r="CG57" s="386">
        <f>'P&amp;L'!CG27/(AVERAGE(CA20,CG20))</f>
        <v>7.3673206813258493E-2</v>
      </c>
      <c r="CH57" s="42"/>
      <c r="CI57" s="42"/>
      <c r="CJ57" s="42"/>
      <c r="CK57" s="42"/>
      <c r="CL57" s="42"/>
      <c r="CM57" s="42"/>
      <c r="CN57" s="42"/>
      <c r="CO57"/>
      <c r="CP57"/>
      <c r="CQ57"/>
      <c r="CR57"/>
      <c r="CS57"/>
      <c r="CT57"/>
    </row>
    <row r="58" spans="2:99" s="7" customFormat="1" ht="11.25" customHeight="1" outlineLevel="1" x14ac:dyDescent="0.2">
      <c r="B58" s="426" t="s">
        <v>624</v>
      </c>
      <c r="C58" s="235">
        <f>C180</f>
        <v>0.17483647127140117</v>
      </c>
      <c r="D58" s="43">
        <f>D180</f>
        <v>0.2164100074840152</v>
      </c>
      <c r="E58" s="43">
        <f>E180</f>
        <v>0.23779094986294144</v>
      </c>
      <c r="F58" s="43">
        <f>F180</f>
        <v>0.30899913232354148</v>
      </c>
      <c r="G58" s="386">
        <f>G180</f>
        <v>0.23465561520781766</v>
      </c>
      <c r="H58" s="42"/>
      <c r="I58" s="235">
        <f>I180</f>
        <v>0.18415242178864222</v>
      </c>
      <c r="J58" s="43">
        <f>J180</f>
        <v>0.25530685818021087</v>
      </c>
      <c r="K58" s="43">
        <f>K180</f>
        <v>0.26862458515857007</v>
      </c>
      <c r="L58" s="43">
        <f>L180</f>
        <v>0.31638078675803077</v>
      </c>
      <c r="M58" s="386">
        <f>M180</f>
        <v>0.25442392713014844</v>
      </c>
      <c r="N58" s="42"/>
      <c r="O58" s="235">
        <f>O180</f>
        <v>0.21337334418554263</v>
      </c>
      <c r="P58" s="43">
        <f>P180</f>
        <v>0.26934326310150902</v>
      </c>
      <c r="Q58" s="43">
        <f>Q180</f>
        <v>0.26120589390627674</v>
      </c>
      <c r="R58" s="43">
        <f>R180</f>
        <v>0.33573537438795137</v>
      </c>
      <c r="S58" s="386">
        <f>S180</f>
        <v>0.26867679003370198</v>
      </c>
      <c r="T58" s="42"/>
      <c r="U58" s="235">
        <f>U180</f>
        <v>0.21772116219717969</v>
      </c>
      <c r="V58" s="43">
        <f>V180</f>
        <v>0.2527170977436663</v>
      </c>
      <c r="W58" s="43">
        <f>W180</f>
        <v>0.23299961509411729</v>
      </c>
      <c r="X58" s="43">
        <f>X180</f>
        <v>0.25666140986889541</v>
      </c>
      <c r="Y58" s="386">
        <f>Y180</f>
        <v>0.24018567279585226</v>
      </c>
      <c r="Z58" s="42"/>
      <c r="AA58" s="235">
        <f>AA180</f>
        <v>0.19799854723033222</v>
      </c>
      <c r="AB58" s="43">
        <f>AB180</f>
        <v>0.24448899465543283</v>
      </c>
      <c r="AC58" s="43">
        <f>AC180</f>
        <v>0.23043399621583704</v>
      </c>
      <c r="AD58" s="43">
        <f>AD180</f>
        <v>0.29168351671157206</v>
      </c>
      <c r="AE58" s="386">
        <f>AE180</f>
        <v>0.24001960165703962</v>
      </c>
      <c r="AF58" s="42"/>
      <c r="AG58" s="235">
        <f>AG180</f>
        <v>0.23071549203818154</v>
      </c>
      <c r="AH58" s="43">
        <f>AH180</f>
        <v>0.25877909343482147</v>
      </c>
      <c r="AI58" s="43">
        <f>AI180</f>
        <v>0.22888931145461511</v>
      </c>
      <c r="AJ58" s="43">
        <f>AJ180</f>
        <v>0.27552620350234114</v>
      </c>
      <c r="AK58" s="386">
        <f>AK180</f>
        <v>0.24858929531195412</v>
      </c>
      <c r="AL58" s="42"/>
      <c r="AM58" s="235">
        <f>AM180</f>
        <v>0.2107678828926943</v>
      </c>
      <c r="AN58" s="43">
        <f>AN180</f>
        <v>0.26390472124096287</v>
      </c>
      <c r="AO58" s="43">
        <f>AO180</f>
        <v>0.24331313289676662</v>
      </c>
      <c r="AP58" s="43">
        <f>AP180</f>
        <v>0.29824782001869232</v>
      </c>
      <c r="AQ58" s="386">
        <f>AQ180</f>
        <v>0.25291827257191468</v>
      </c>
      <c r="AR58" s="42"/>
      <c r="AS58" s="235">
        <f>AS180</f>
        <v>0.19854036239497641</v>
      </c>
      <c r="AT58" s="43">
        <f>AT180</f>
        <v>0.22865209269512771</v>
      </c>
      <c r="AU58" s="43">
        <f>AU180</f>
        <v>0.21863449849229369</v>
      </c>
      <c r="AV58" s="43">
        <f>AV180</f>
        <v>0.26780023366209116</v>
      </c>
      <c r="AW58" s="386">
        <f>AW180</f>
        <v>0.22811247995957612</v>
      </c>
      <c r="AX58" s="42"/>
      <c r="AY58" s="235">
        <f>AY180</f>
        <v>0.21025110128638996</v>
      </c>
      <c r="AZ58" s="43">
        <f>AZ180</f>
        <v>0.24036574679411349</v>
      </c>
      <c r="BA58" s="43">
        <f>BA180</f>
        <v>0.24222471189396527</v>
      </c>
      <c r="BB58" s="43">
        <f>BB180</f>
        <v>0.2706112966076108</v>
      </c>
      <c r="BC58" s="386">
        <f>BC180</f>
        <v>0.24086837365603772</v>
      </c>
      <c r="BD58" s="42"/>
      <c r="BE58" s="235">
        <f>BE180</f>
        <v>0.19916891561339256</v>
      </c>
      <c r="BF58" s="43">
        <f>BF180</f>
        <v>0.24192131543927542</v>
      </c>
      <c r="BG58" s="43">
        <f>BG180</f>
        <v>0.24091300371189434</v>
      </c>
      <c r="BH58" s="43">
        <f>BH180</f>
        <v>0.2732691196949445</v>
      </c>
      <c r="BI58" s="386">
        <f>BI180</f>
        <v>0.23838312609963982</v>
      </c>
      <c r="BJ58" s="42"/>
      <c r="BK58" s="235">
        <f>BK180</f>
        <v>0.23050192661217464</v>
      </c>
      <c r="BL58" s="43">
        <f>BL180</f>
        <v>0.22399704218499925</v>
      </c>
      <c r="BM58" s="43">
        <f>BM180</f>
        <v>0.20609219461346326</v>
      </c>
      <c r="BN58" s="43">
        <f>BN180</f>
        <v>0.26183216870031523</v>
      </c>
      <c r="BO58" s="386">
        <f>BO180</f>
        <v>0.23033524560626845</v>
      </c>
      <c r="BP58" s="42"/>
      <c r="BQ58" s="235">
        <f>BQ180</f>
        <v>0.22104675479664171</v>
      </c>
      <c r="BR58" s="43">
        <f>BR180</f>
        <v>0.22821669846777684</v>
      </c>
      <c r="BS58" s="43">
        <f>BS180</f>
        <v>0.22960215001010703</v>
      </c>
      <c r="BT58" s="43">
        <f>BT180</f>
        <v>0.2528278623973621</v>
      </c>
      <c r="BU58" s="386">
        <f>BU180</f>
        <v>0.23303820267312805</v>
      </c>
      <c r="BV58" s="42"/>
      <c r="BW58" s="235">
        <f>BW180</f>
        <v>0.20802364249921762</v>
      </c>
      <c r="BX58" s="43">
        <f>BX180</f>
        <v>0.21854190409213883</v>
      </c>
      <c r="BY58" s="43">
        <f>BY180</f>
        <v>0.21931966264485503</v>
      </c>
      <c r="BZ58" s="43">
        <f>BZ180</f>
        <v>0.24173445133255958</v>
      </c>
      <c r="CA58" s="386">
        <f>CA180</f>
        <v>0.22208038758409046</v>
      </c>
      <c r="CB58" s="42"/>
      <c r="CC58" s="235">
        <f>CC180</f>
        <v>0.19520001499381218</v>
      </c>
      <c r="CD58" s="43">
        <f>CD180</f>
        <v>0.20479877744536712</v>
      </c>
      <c r="CE58" s="43">
        <f>CE180</f>
        <v>0.20498801043590273</v>
      </c>
      <c r="CF58" s="43">
        <f>CF180</f>
        <v>0.2262499992692823</v>
      </c>
      <c r="CG58" s="386">
        <f>CG180</f>
        <v>0.20799452335067303</v>
      </c>
      <c r="CH58" s="42"/>
      <c r="CI58" s="42"/>
      <c r="CJ58" s="42"/>
      <c r="CK58" s="42"/>
      <c r="CL58" s="42"/>
      <c r="CM58" s="42"/>
      <c r="CN58" s="42"/>
      <c r="CO58"/>
      <c r="CP58"/>
      <c r="CQ58"/>
      <c r="CR58"/>
      <c r="CS58"/>
      <c r="CT58"/>
    </row>
    <row r="59" spans="2:99" s="7" customFormat="1" ht="11.25" customHeight="1" outlineLevel="1" x14ac:dyDescent="0.2">
      <c r="B59" s="427" t="s">
        <v>334</v>
      </c>
      <c r="C59" s="561">
        <f>+C10+C11+C12+C13+C16+C17+C18-C23-C26-C30-C31</f>
        <v>1776.2889999999998</v>
      </c>
      <c r="D59" s="80">
        <f>+D10+D11+D12+D13+D16+D17+D18-D23-D26-D30-D31</f>
        <v>1784.3439999999998</v>
      </c>
      <c r="E59" s="80">
        <f>+E10+E11+E12+E13+E16+E17+E18-E23-E26-E30-E31</f>
        <v>1856.8870000000004</v>
      </c>
      <c r="F59" s="80">
        <f>+F10+F11+F12+F13+F16+F17+F18-F23-F26-F30-F31</f>
        <v>1916.9849999999999</v>
      </c>
      <c r="G59" s="562">
        <f>+G10+G11+G12+G13+G16+G17+G18-G23-G26-G30-G31</f>
        <v>1916.9849999999999</v>
      </c>
      <c r="H59" s="16"/>
      <c r="I59" s="561">
        <f>+I10+I11+I12+I13+I16+I17+I18-I23-I26-I30-I31</f>
        <v>2063.0310000000009</v>
      </c>
      <c r="J59" s="80">
        <f>+J10+J11+J12+J13+J16+J17+J18-J23-J26-J30-J31</f>
        <v>2019.7129999999995</v>
      </c>
      <c r="K59" s="80">
        <f>+K10+K11+K12+K13+K16+K17+K18-K23-K26-K30-K31</f>
        <v>1985.9490000000005</v>
      </c>
      <c r="L59" s="80">
        <f>+L10+L11+L12+L13+L16+L17+L18-L23-L26-L30-L31</f>
        <v>1905.5440000000003</v>
      </c>
      <c r="M59" s="562">
        <f>+M10+M11+M12+M13+M16+M17+M18-M23-M26-M30-M31</f>
        <v>1905.5440000000003</v>
      </c>
      <c r="N59" s="16"/>
      <c r="O59" s="561">
        <f>+O10+O11+O12+O13+O16+O17+O18-O23-O26-O30-O31</f>
        <v>1980.1860000000001</v>
      </c>
      <c r="P59" s="80">
        <f>+P10+P11+P12+P13+P16+P17+P18-P23-P26-P30-P31</f>
        <v>2048.3449999999998</v>
      </c>
      <c r="Q59" s="80">
        <f>+Q10+Q11+Q12+Q13+Q16+Q17+Q18-Q23-Q26-Q30-Q31</f>
        <v>2025.3830000000003</v>
      </c>
      <c r="R59" s="80">
        <f>+R10+R11+R12+R13+R16+R17+R18-R23-R26-R30-R31</f>
        <v>1954.7530000000002</v>
      </c>
      <c r="S59" s="562">
        <f>+S10+S11+S12+S13+S16+S17+S18-S23-S26-S30-S31</f>
        <v>1954.7530000000002</v>
      </c>
      <c r="T59" s="16"/>
      <c r="U59" s="561">
        <f>+U10+U11+U12+U13+U16+U17+U18-U23-U26-U30-U31</f>
        <v>2486.0779999999995</v>
      </c>
      <c r="V59" s="80">
        <f>+V10+V11+V12+V13+V16+V17+V18-V23-V26-V30-V31</f>
        <v>2653.9189999999999</v>
      </c>
      <c r="W59" s="80">
        <f>+W10+W11+W12+W13+W16+W17+W18-W23-W26-W30-W31</f>
        <v>2809.87</v>
      </c>
      <c r="X59" s="80">
        <f>+X10+X11+X12+X13+X16+X17+X18-X23-X26-X30-X31</f>
        <v>2712.7189999999996</v>
      </c>
      <c r="Y59" s="562">
        <f>+Y10+Y11+Y12+Y13+Y16+Y17+Y18-Y23-Y26-Y30-Y31</f>
        <v>2712.7189999999996</v>
      </c>
      <c r="Z59" s="16"/>
      <c r="AA59" s="561">
        <f>+AA10+AA11+AA12+AA13+AA16+AA17+AA18-AA23-AA26-AA30-AA31</f>
        <v>2966.9970000000008</v>
      </c>
      <c r="AB59" s="80">
        <f>+AB10+AB11+AB12+AB13+AB16+AB17+AB18-AB23-AB26-AB30-AB31</f>
        <v>2976.016000000001</v>
      </c>
      <c r="AC59" s="80">
        <f>+AC10+AC11+AC12+AC13+AC16+AC17+AC18-AC23-AC26-AC30-AC31</f>
        <v>2985.3599999999992</v>
      </c>
      <c r="AD59" s="80">
        <f>+AD10+AD11+AD12+AD13+AD16+AD17+AD18-AD23-AD26-AD30-AD31</f>
        <v>2830.9180000000001</v>
      </c>
      <c r="AE59" s="562">
        <f>+AE10+AE11+AE12+AE13+AE16+AE17+AE18-AE23-AE26-AE30-AE31</f>
        <v>2830.9180000000001</v>
      </c>
      <c r="AF59" s="16"/>
      <c r="AG59" s="561">
        <f>+AG10+AG11+AG12+AG13+AG16+AG17+AG18-AG23-AG26-AG30-AG31</f>
        <v>2975.1640000000002</v>
      </c>
      <c r="AH59" s="80">
        <f>+AH10+AH11+AH12+AH13+AH16+AH17+AH18-AH23-AH26-AH30-AH31</f>
        <v>2996.3490000000002</v>
      </c>
      <c r="AI59" s="80">
        <f>+AI10+AI11+AI12+AI13+AI16+AI17+AI18-AI23-AI26-AI30-AI31</f>
        <v>3190.7719999999999</v>
      </c>
      <c r="AJ59" s="80">
        <f>+AJ10+AJ11+AJ12+AJ13+AJ16+AJ17+AJ18-AJ23-AJ26-AJ30-AJ31</f>
        <v>3169.3040000000001</v>
      </c>
      <c r="AK59" s="562">
        <f>+AK10+AK11+AK12+AK13+AK16+AK17+AK18-AK23-AK26-AK30-AK31</f>
        <v>3169.3040000000001</v>
      </c>
      <c r="AL59" s="16"/>
      <c r="AM59" s="561">
        <f>+AM10+AM11+AM12+AM13+AM16+AM17+AM18-AM23-AM26-AM30-AM31</f>
        <v>3312.107</v>
      </c>
      <c r="AN59" s="80">
        <f>+AN10+AN11+AN12+AN13+AN16+AN17+AN18-AN23-AN26-AN30-AN31</f>
        <v>3181.4920000000002</v>
      </c>
      <c r="AO59" s="80">
        <f>+AO10+AO11+AO12+AO13+AO16+AO17+AO18-AO23-AO26-AO30-AO31</f>
        <v>3212.4560000000001</v>
      </c>
      <c r="AP59" s="80">
        <f>+AP10+AP11+AP12+AP13+AP16+AP17+AP18-AP23-AP26-AP30-AP31</f>
        <v>3120.1609999999991</v>
      </c>
      <c r="AQ59" s="562">
        <f>+AQ10+AQ11+AQ12+AQ13+AQ16+AQ17+AQ18-AQ23-AQ26-AQ30-AQ31</f>
        <v>3120.1609999999991</v>
      </c>
      <c r="AR59" s="16"/>
      <c r="AS59" s="561">
        <f>+AS10+AS11+AS12+AS13+AS16+AS17+AS18-AS23-AS26-AS30-AS31</f>
        <v>3636.7870000000003</v>
      </c>
      <c r="AT59" s="80">
        <f>+AT10+AT11+AT12+AT13+AT16+AT17+AT18-AT23-AT26-AT30-AT31</f>
        <v>3657.5990000000006</v>
      </c>
      <c r="AU59" s="80">
        <f>+AU10+AU11+AU12+AU13+AU16+AU17+AU18-AU23-AU26-AU30-AU31</f>
        <v>3760.5459999999994</v>
      </c>
      <c r="AV59" s="80">
        <f>+AV10+AV11+AV12+AV13+AV16+AV17+AV18-AV23-AV26-AV30-AV31</f>
        <v>3636.7019999999998</v>
      </c>
      <c r="AW59" s="562">
        <f>+AW10+AW11+AW12+AW13+AW16+AW17+AW18-AW23-AW26-AW30-AW31</f>
        <v>3636.7019999999998</v>
      </c>
      <c r="AX59" s="16"/>
      <c r="AY59" s="561">
        <f>+AY10+AY11+AY12+AY13+AY16+AY17+AY18-AY23-AY26-AY30-AY31</f>
        <v>3693.4049999999984</v>
      </c>
      <c r="AZ59" s="80">
        <f>+AZ10+AZ11+AZ12+AZ13+AZ16+AZ17+AZ18-AZ23-AZ26-AZ30-AZ31</f>
        <v>3705.2930000000001</v>
      </c>
      <c r="BA59" s="80">
        <f>+BA10+BA11+BA12+BA13+BA16+BA17+BA18-BA23-BA26-BA30-BA31</f>
        <v>3841.7880000000005</v>
      </c>
      <c r="BB59" s="80">
        <f>+BB10+BB11+BB12+BB13+BB16+BB17+BB18-BB23-BB26-BB30-BB31</f>
        <v>3712.0360000000001</v>
      </c>
      <c r="BC59" s="562">
        <f>+BC10+BC11+BC12+BC13+BC16+BC17+BC18-BC23-BC26-BC30-BC31</f>
        <v>3712.0360000000001</v>
      </c>
      <c r="BD59" s="16"/>
      <c r="BE59" s="561">
        <f>+BE10+BE11+BE12+BE13+BE16+BE17+BE18-BE23-BE26-BE30-BE31</f>
        <v>4005.3389999999999</v>
      </c>
      <c r="BF59" s="80">
        <f>+BF10+BF11+BF12+BF13+BF16+BF17+BF18-BF23-BF26-BF30-BF31</f>
        <v>3928.3919999999989</v>
      </c>
      <c r="BG59" s="80">
        <f>+BG10+BG11+BG12+BG13+BG16+BG17+BG18-BG23-BG26-BG30-BG31</f>
        <v>4012.2579999999998</v>
      </c>
      <c r="BH59" s="80">
        <f>+BH10+BH11+BH12+BH13+BH16+BH17+BH18-BH23-BH26-BH30-BH31</f>
        <v>4122.1250000000009</v>
      </c>
      <c r="BI59" s="562">
        <f>+BI10+BI11+BI12+BI13+BI16+BI17+BI18-BI23-BI26-BI30-BI31</f>
        <v>4122.1250000000009</v>
      </c>
      <c r="BJ59" s="16"/>
      <c r="BK59" s="561">
        <f>+BK10+BK11+BK12+BK13+BK16+BK17+BK18-BK23-BK26-BK30-BK31</f>
        <v>4392.6180000000004</v>
      </c>
      <c r="BL59" s="80">
        <f>+BL10+BL11+BL12+BL13+BL16+BL17+BL18-BL23-BL26-BL30-BL31</f>
        <v>4536.4189999999999</v>
      </c>
      <c r="BM59" s="80">
        <f>+BM10+BM11+BM12+BM13+BM16+BM17+BM18-BM23-BM26-BM30-BM31</f>
        <v>4784.0120000000006</v>
      </c>
      <c r="BN59" s="80">
        <f>+BN10+BN11+BN12+BN13+BN16+BN17+BN18-BN23-BN26-BN30-BN31</f>
        <v>4715.956000000001</v>
      </c>
      <c r="BO59" s="562">
        <f>+BO10+BO11+BO12+BO13+BO16+BO17+BO18-BO23-BO26-BO30-BO31</f>
        <v>4715.956000000001</v>
      </c>
      <c r="BP59" s="16"/>
      <c r="BQ59" s="561">
        <f>+BQ10+BQ11+BQ12+BQ13+BQ16+BQ17+BQ18-BQ23-BQ26-BQ30-BQ31</f>
        <v>4791.6191675300415</v>
      </c>
      <c r="BR59" s="80">
        <f>+BR10+BR11+BR12+BR13+BR16+BR17+BR18-BR23-BR26-BR30-BR31</f>
        <v>4904.9889626730919</v>
      </c>
      <c r="BS59" s="80">
        <f>+BS10+BS11+BS12+BS13+BS16+BS17+BS18-BS23-BS26-BS30-BS31</f>
        <v>4909.762313021195</v>
      </c>
      <c r="BT59" s="80">
        <f>+BT10+BT11+BT12+BT13+BT16+BT17+BT18-BT23-BT26-BT30-BT31</f>
        <v>4922.3426351818634</v>
      </c>
      <c r="BU59" s="562">
        <f>+BU10+BU11+BU12+BU13+BU16+BU17+BU18-BU23-BU26-BU30-BU31</f>
        <v>4922.3426351818634</v>
      </c>
      <c r="BV59" s="16"/>
      <c r="BW59" s="561">
        <f>+BW10+BW11+BW12+BW13+BW16+BW17+BW18-BW23-BW26-BW30-BW31</f>
        <v>4930.1979447777858</v>
      </c>
      <c r="BX59" s="80">
        <f>+BX10+BX11+BX12+BX13+BX16+BX17+BX18-BX23-BX26-BX30-BX31</f>
        <v>5052.1251063632453</v>
      </c>
      <c r="BY59" s="80">
        <f>+BY10+BY11+BY12+BY13+BY16+BY17+BY18-BY23-BY26-BY30-BY31</f>
        <v>5062.61221821054</v>
      </c>
      <c r="BZ59" s="80">
        <f>+BZ10+BZ11+BZ12+BZ13+BZ16+BZ17+BZ18-BZ23-BZ26-BZ30-BZ31</f>
        <v>5081.4420959236031</v>
      </c>
      <c r="CA59" s="562">
        <f>+CA10+CA11+CA12+CA13+CA16+CA17+CA18-CA23-CA26-CA30-CA31</f>
        <v>5081.4420959236031</v>
      </c>
      <c r="CB59" s="16"/>
      <c r="CC59" s="561">
        <f>+CC10+CC11+CC12+CC13+CC16+CC17+CC18-CC23-CC26-CC30-CC31</f>
        <v>5077.5228743055341</v>
      </c>
      <c r="CD59" s="80">
        <f>+CD10+CD11+CD12+CD13+CD16+CD17+CD18-CD23-CD26-CD30-CD31</f>
        <v>5216.5587045253769</v>
      </c>
      <c r="CE59" s="80">
        <f>+CE10+CE11+CE12+CE13+CE16+CE17+CE18-CE23-CE26-CE30-CE31</f>
        <v>5233.0040237199673</v>
      </c>
      <c r="CF59" s="80">
        <f>+CF10+CF11+CF12+CF13+CF16+CF17+CF18-CF23-CF26-CF30-CF31</f>
        <v>5259.314009603665</v>
      </c>
      <c r="CG59" s="562">
        <f>+CG10+CG11+CG12+CG13+CG16+CG17+CG18-CG23-CG26-CG30-CG31</f>
        <v>5259.314009603665</v>
      </c>
      <c r="CH59" s="16"/>
      <c r="CI59" s="16"/>
      <c r="CJ59" s="16"/>
      <c r="CK59" s="16"/>
      <c r="CL59" s="16"/>
      <c r="CM59" s="16"/>
      <c r="CN59" s="16"/>
      <c r="CO59"/>
      <c r="CP59"/>
      <c r="CQ59"/>
      <c r="CR59"/>
      <c r="CS59"/>
      <c r="CT59"/>
    </row>
    <row r="60" spans="2:99" s="7" customFormat="1" ht="11.25" customHeight="1" x14ac:dyDescent="0.2">
      <c r="B60" s="11"/>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c r="CP60"/>
      <c r="CQ60"/>
      <c r="CR60"/>
      <c r="CS60"/>
      <c r="CT60"/>
    </row>
    <row r="61" spans="2:99" s="7" customFormat="1" ht="11.25" customHeight="1" x14ac:dyDescent="0.2">
      <c r="B61" s="815" t="s">
        <v>52</v>
      </c>
      <c r="C61" s="816"/>
      <c r="D61" s="816"/>
      <c r="E61" s="816"/>
      <c r="F61" s="816"/>
      <c r="G61" s="816"/>
      <c r="H61" s="816"/>
      <c r="I61" s="816"/>
      <c r="J61" s="816"/>
      <c r="K61" s="816"/>
      <c r="L61" s="816"/>
      <c r="M61" s="816"/>
      <c r="N61" s="816"/>
      <c r="O61" s="816"/>
      <c r="P61" s="816"/>
      <c r="Q61" s="816"/>
      <c r="R61" s="816"/>
      <c r="S61" s="816"/>
      <c r="T61" s="816"/>
      <c r="U61" s="816"/>
      <c r="V61" s="816"/>
      <c r="W61" s="816"/>
      <c r="X61" s="816"/>
      <c r="Y61" s="816"/>
      <c r="Z61" s="816"/>
      <c r="AA61" s="816"/>
      <c r="AB61" s="816"/>
      <c r="AC61" s="816"/>
      <c r="AD61" s="816"/>
      <c r="AE61" s="816"/>
      <c r="AF61" s="816"/>
      <c r="AG61" s="816"/>
      <c r="AH61" s="816"/>
      <c r="AI61" s="816"/>
      <c r="AJ61" s="816"/>
      <c r="AK61" s="816"/>
      <c r="AL61" s="816"/>
      <c r="AM61" s="816"/>
      <c r="AN61" s="816"/>
      <c r="AO61" s="816"/>
      <c r="AP61" s="816"/>
      <c r="AQ61" s="816"/>
      <c r="AR61" s="816"/>
      <c r="AS61" s="816"/>
      <c r="AT61" s="816"/>
      <c r="AU61" s="816"/>
      <c r="AV61" s="816"/>
      <c r="AW61" s="816"/>
      <c r="AX61" s="816"/>
      <c r="AY61" s="816"/>
      <c r="AZ61" s="816"/>
      <c r="BA61" s="816"/>
      <c r="BB61" s="816"/>
      <c r="BC61" s="816"/>
      <c r="BD61" s="816"/>
      <c r="BE61" s="816"/>
      <c r="BF61" s="816"/>
      <c r="BG61" s="816"/>
      <c r="BH61" s="816"/>
      <c r="BI61" s="816"/>
      <c r="BJ61" s="816"/>
      <c r="BK61" s="816"/>
      <c r="BL61" s="816"/>
      <c r="BM61" s="816"/>
      <c r="BN61" s="816"/>
      <c r="BO61" s="816"/>
      <c r="BP61" s="816"/>
      <c r="BQ61" s="816"/>
      <c r="BR61" s="816"/>
      <c r="BS61" s="816"/>
      <c r="BT61" s="816"/>
      <c r="BU61" s="816"/>
      <c r="BV61" s="816"/>
      <c r="BW61" s="816"/>
      <c r="BX61" s="816"/>
      <c r="BY61" s="816"/>
      <c r="BZ61" s="816"/>
      <c r="CA61" s="816"/>
      <c r="CB61" s="816"/>
      <c r="CC61" s="816"/>
      <c r="CD61" s="816"/>
      <c r="CE61" s="816"/>
      <c r="CF61" s="816"/>
      <c r="CG61" s="816"/>
      <c r="CH61" s="16"/>
      <c r="CI61" s="16"/>
      <c r="CJ61" s="16"/>
      <c r="CK61" s="16"/>
      <c r="CL61" s="16"/>
      <c r="CM61" s="16"/>
      <c r="CN61" s="16"/>
      <c r="CO61"/>
      <c r="CP61"/>
      <c r="CQ61"/>
      <c r="CR61"/>
      <c r="CS61"/>
      <c r="CT61"/>
    </row>
    <row r="62" spans="2:99" s="7" customFormat="1" ht="11.25" customHeight="1" x14ac:dyDescent="0.2">
      <c r="B62" s="541" t="s">
        <v>53</v>
      </c>
      <c r="C62" s="563">
        <f>IF('P&amp;L'!C13&lt;0,"NM",'P&amp;L'!C13/-'P&amp;L'!C18)</f>
        <v>15.361494446314364</v>
      </c>
      <c r="D62" s="181">
        <f>IF('P&amp;L'!D13&lt;0,"NM",'P&amp;L'!D13/-'P&amp;L'!D18)</f>
        <v>17.438855857303558</v>
      </c>
      <c r="E62" s="181">
        <f>IF('P&amp;L'!E13&lt;0,"NM",'P&amp;L'!E13/-'P&amp;L'!E18)</f>
        <v>18.419240669240693</v>
      </c>
      <c r="F62" s="181">
        <f>IF('P&amp;L'!F13&lt;0,"NM",'P&amp;L'!F13/-'P&amp;L'!F18)</f>
        <v>22.863051897753731</v>
      </c>
      <c r="G62" s="566">
        <f>IF('P&amp;L'!G13&lt;0,"NM",'P&amp;L'!G13/-'P&amp;L'!G18)</f>
        <v>18.596996295699814</v>
      </c>
      <c r="H62" s="100"/>
      <c r="I62" s="563">
        <f>IF('P&amp;L'!I13&lt;0,"NM",'P&amp;L'!I13/-'P&amp;L'!I18)</f>
        <v>12.821476674421463</v>
      </c>
      <c r="J62" s="181">
        <f>IF('P&amp;L'!J13&lt;0,"NM",'P&amp;L'!J13/-'P&amp;L'!J18)</f>
        <v>13.995830292921937</v>
      </c>
      <c r="K62" s="181">
        <f>IF('P&amp;L'!K13&lt;0,"NM",'P&amp;L'!K13/-'P&amp;L'!K18)</f>
        <v>14.598376623376627</v>
      </c>
      <c r="L62" s="181">
        <f>IF('P&amp;L'!L13&lt;0,"NM",'P&amp;L'!L13/-'P&amp;L'!L18)</f>
        <v>19.301643655489585</v>
      </c>
      <c r="M62" s="566">
        <f>IF('P&amp;L'!M13&lt;0,"NM",'P&amp;L'!M13/-'P&amp;L'!M18)</f>
        <v>15.045600346770673</v>
      </c>
      <c r="N62" s="100"/>
      <c r="O62" s="563">
        <f>IF('P&amp;L'!O13&lt;0,"NM",'P&amp;L'!O13/-'P&amp;L'!O18)</f>
        <v>16.965639810426509</v>
      </c>
      <c r="P62" s="181">
        <f>IF('P&amp;L'!P13&lt;0,"NM",'P&amp;L'!P13/-'P&amp;L'!P18)</f>
        <v>22.288947861379942</v>
      </c>
      <c r="Q62" s="181">
        <f>IF('P&amp;L'!Q13&lt;0,"NM",'P&amp;L'!Q13/-'P&amp;L'!Q18)</f>
        <v>25.929414039837564</v>
      </c>
      <c r="R62" s="181">
        <f>IF('P&amp;L'!R13&lt;0,"NM",'P&amp;L'!R13/-'P&amp;L'!R18)</f>
        <v>31.180718111486019</v>
      </c>
      <c r="S62" s="566">
        <f>IF('P&amp;L'!S13&lt;0,"NM",'P&amp;L'!S13/-'P&amp;L'!S18)</f>
        <v>23.474454428754839</v>
      </c>
      <c r="T62" s="100"/>
      <c r="U62" s="563">
        <f>IF('P&amp;L'!U13&lt;0,"NM",'P&amp;L'!U13/-'P&amp;L'!U18)</f>
        <v>15.474413998019141</v>
      </c>
      <c r="V62" s="181">
        <f>IF('P&amp;L'!V13&lt;0,"NM",'P&amp;L'!V13/-'P&amp;L'!V18)</f>
        <v>17.831028851388133</v>
      </c>
      <c r="W62" s="181">
        <f>IF('P&amp;L'!W13&lt;0,"NM",'P&amp;L'!W13/-'P&amp;L'!W18)</f>
        <v>20.773773006134956</v>
      </c>
      <c r="X62" s="181">
        <f>IF('P&amp;L'!X13&lt;0,"NM",'P&amp;L'!X13/-'P&amp;L'!X18)</f>
        <v>22.226905235255167</v>
      </c>
      <c r="Y62" s="566">
        <f>IF('P&amp;L'!Y13&lt;0,"NM",'P&amp;L'!Y13/-'P&amp;L'!Y18)</f>
        <v>18.864778098154041</v>
      </c>
      <c r="Z62" s="100"/>
      <c r="AA62" s="563">
        <f>IF('P&amp;L'!AA13&lt;0,"NM",'P&amp;L'!AA13/-'P&amp;L'!AA18)</f>
        <v>18.880395794681498</v>
      </c>
      <c r="AB62" s="181">
        <f>IF('P&amp;L'!AB13&lt;0,"NM",'P&amp;L'!AB13/-'P&amp;L'!AB18)</f>
        <v>22.821564160971896</v>
      </c>
      <c r="AC62" s="181">
        <f>IF('P&amp;L'!AC13&lt;0,"NM",'P&amp;L'!AC13/-'P&amp;L'!AC18)</f>
        <v>25.22119477469548</v>
      </c>
      <c r="AD62" s="181">
        <f>IF('P&amp;L'!AD13&lt;0,"NM",'P&amp;L'!AD13/-'P&amp;L'!AD18)</f>
        <v>25.502045664511034</v>
      </c>
      <c r="AE62" s="566">
        <f>IF('P&amp;L'!AE13&lt;0,"NM",'P&amp;L'!AE13/-'P&amp;L'!AE18)</f>
        <v>22.979392303387442</v>
      </c>
      <c r="AF62" s="100"/>
      <c r="AG62" s="563">
        <f>IF('P&amp;L'!AG13&lt;0,"NM",'P&amp;L'!AG13/-'P&amp;L'!AG18)</f>
        <v>22.977356020942377</v>
      </c>
      <c r="AH62" s="181">
        <f>IF('P&amp;L'!AH13&lt;0,"NM",'P&amp;L'!AH13/-'P&amp;L'!AH18)</f>
        <v>24.514459862534064</v>
      </c>
      <c r="AI62" s="181">
        <f>IF('P&amp;L'!AI13&lt;0,"NM",'P&amp;L'!AI13/-'P&amp;L'!AI18)</f>
        <v>24.660919540229894</v>
      </c>
      <c r="AJ62" s="181">
        <f>IF('P&amp;L'!AJ13&lt;0,"NM",'P&amp;L'!AJ13/-'P&amp;L'!AJ18)</f>
        <v>26.043309474706035</v>
      </c>
      <c r="AK62" s="566">
        <f>IF('P&amp;L'!AK13&lt;0,"NM",'P&amp;L'!AK13/-'P&amp;L'!AK18)</f>
        <v>24.576888227299232</v>
      </c>
      <c r="AL62" s="100"/>
      <c r="AM62" s="563">
        <f>IF('P&amp;L'!AM13&lt;0,"NM",'P&amp;L'!AM13/-'P&amp;L'!AM18)</f>
        <v>28.500383024360342</v>
      </c>
      <c r="AN62" s="181">
        <f>IF('P&amp;L'!AN13&lt;0,"NM",'P&amp;L'!AN13/-'P&amp;L'!AN18)</f>
        <v>42.516973415132931</v>
      </c>
      <c r="AO62" s="181">
        <f>IF('P&amp;L'!AO13&lt;0,"NM",'P&amp;L'!AO13/-'P&amp;L'!AO18)</f>
        <v>38.076024549594166</v>
      </c>
      <c r="AP62" s="181">
        <f>IF('P&amp;L'!AP13&lt;0,"NM",'P&amp;L'!AP13/-'P&amp;L'!AP18)</f>
        <v>44.935728952772365</v>
      </c>
      <c r="AQ62" s="566">
        <f>IF('P&amp;L'!AQ13&lt;0,"NM",'P&amp;L'!AQ13/-'P&amp;L'!AQ18)</f>
        <v>37.730293373324628</v>
      </c>
      <c r="AR62" s="100"/>
      <c r="AS62" s="563">
        <f>IF('P&amp;L'!AS13&lt;0,"NM",'P&amp;L'!AS13/-'P&amp;L'!AS18)</f>
        <v>36.782807151008015</v>
      </c>
      <c r="AT62" s="181">
        <f>IF('P&amp;L'!AT13&lt;0,"NM",'P&amp;L'!AT13/-'P&amp;L'!AT18)</f>
        <v>38.482716049382709</v>
      </c>
      <c r="AU62" s="181">
        <f>IF('P&amp;L'!AU13&lt;0,"NM",'P&amp;L'!AU13/-'P&amp;L'!AU18)</f>
        <v>33.959713375796134</v>
      </c>
      <c r="AV62" s="181">
        <f>IF('P&amp;L'!AV13&lt;0,"NM",'P&amp;L'!AV13/-'P&amp;L'!AV18)</f>
        <v>35.408380785516187</v>
      </c>
      <c r="AW62" s="566">
        <f>IF('P&amp;L'!AW13&lt;0,"NM",'P&amp;L'!AW13/-'P&amp;L'!AW18)</f>
        <v>36.055202228041729</v>
      </c>
      <c r="AX62" s="100"/>
      <c r="AY62" s="563">
        <f>IF('P&amp;L'!AY13&lt;0,"NM",'P&amp;L'!AY13/-'P&amp;L'!AY18)</f>
        <v>32.792272074085929</v>
      </c>
      <c r="AZ62" s="181">
        <f>IF('P&amp;L'!AZ13&lt;0,"NM",'P&amp;L'!AZ13/-'P&amp;L'!AZ18)</f>
        <v>36.451192368839436</v>
      </c>
      <c r="BA62" s="181">
        <f>IF('P&amp;L'!BA13&lt;0,"NM",'P&amp;L'!BA13/-'P&amp;L'!BA18)</f>
        <v>38.119104335397836</v>
      </c>
      <c r="BB62" s="181">
        <f>IF('P&amp;L'!BB13&lt;0,"NM",'P&amp;L'!BB13/-'P&amp;L'!BB18)</f>
        <v>35.392288348700525</v>
      </c>
      <c r="BC62" s="566">
        <f>IF('P&amp;L'!BC13&lt;0,"NM",'P&amp;L'!BC13/-'P&amp;L'!BC18)</f>
        <v>35.682482313134379</v>
      </c>
      <c r="BD62" s="100"/>
      <c r="BE62" s="563">
        <f>IF('P&amp;L'!BE13&lt;0,"NM",'P&amp;L'!BE13/-'P&amp;L'!BE18)</f>
        <v>31.039567840606153</v>
      </c>
      <c r="BF62" s="181">
        <f>IF('P&amp;L'!BF13&lt;0,"NM",'P&amp;L'!BF13/-'P&amp;L'!BF18)</f>
        <v>33.051581376408343</v>
      </c>
      <c r="BG62" s="181">
        <f>IF('P&amp;L'!BG13&lt;0,"NM",'P&amp;L'!BG13/-'P&amp;L'!BG18)</f>
        <v>33.189369658119652</v>
      </c>
      <c r="BH62" s="181">
        <f>IF('P&amp;L'!BH13&lt;0,"NM",'P&amp;L'!BH13/-'P&amp;L'!BH18)</f>
        <v>27.647361517505807</v>
      </c>
      <c r="BI62" s="566">
        <f>IF('P&amp;L'!BI13&lt;0,"NM",'P&amp;L'!BI13/-'P&amp;L'!BI18)</f>
        <v>30.954911736117648</v>
      </c>
      <c r="BJ62" s="100"/>
      <c r="BK62" s="563">
        <f>IF('P&amp;L'!BK13&lt;0,"NM",'P&amp;L'!BK13/-'P&amp;L'!BK18)</f>
        <v>20.885126859142613</v>
      </c>
      <c r="BL62" s="181">
        <f>IF('P&amp;L'!BL13&lt;0,"NM",'P&amp;L'!BL13/-'P&amp;L'!BL18)</f>
        <v>21.187981636333845</v>
      </c>
      <c r="BM62" s="181">
        <f>IF('P&amp;L'!BM13&lt;0,"NM",'P&amp;L'!BM13/-'P&amp;L'!BM18)</f>
        <v>19.532916294310404</v>
      </c>
      <c r="BN62" s="181">
        <f>IF('P&amp;L'!BN13&lt;0,"NM",'P&amp;L'!BN13/-'P&amp;L'!BN18)</f>
        <v>17.651825521147135</v>
      </c>
      <c r="BO62" s="566">
        <f>IF('P&amp;L'!BO13&lt;0,"NM",'P&amp;L'!BO13/-'P&amp;L'!BO18)</f>
        <v>19.615331568941752</v>
      </c>
      <c r="BP62" s="100"/>
      <c r="BQ62" s="563">
        <f>IF('P&amp;L'!BQ13&lt;0,"NM",'P&amp;L'!BQ13/-'P&amp;L'!BQ18)</f>
        <v>17.608561823357036</v>
      </c>
      <c r="BR62" s="181">
        <f>IF('P&amp;L'!BR13&lt;0,"NM",'P&amp;L'!BR13/-'P&amp;L'!BR18)</f>
        <v>19.357536388501284</v>
      </c>
      <c r="BS62" s="181">
        <f>IF('P&amp;L'!BS13&lt;0,"NM",'P&amp;L'!BS13/-'P&amp;L'!BS18)</f>
        <v>19.427335170353821</v>
      </c>
      <c r="BT62" s="181">
        <f>IF('P&amp;L'!BT13&lt;0,"NM",'P&amp;L'!BT13/-'P&amp;L'!BT18)</f>
        <v>21.062519147728608</v>
      </c>
      <c r="BU62" s="566">
        <f>IF('P&amp;L'!BU13&lt;0,"NM",'P&amp;L'!BU13/-'P&amp;L'!BU18)</f>
        <v>19.363988132485197</v>
      </c>
      <c r="BV62" s="100"/>
      <c r="BW62" s="563">
        <f>IF('P&amp;L'!BW13&lt;0,"NM",'P&amp;L'!BW13/-'P&amp;L'!BW18)</f>
        <v>17.937780705986093</v>
      </c>
      <c r="BX62" s="181">
        <f>IF('P&amp;L'!BX13&lt;0,"NM",'P&amp;L'!BX13/-'P&amp;L'!BX18)</f>
        <v>19.195975078252921</v>
      </c>
      <c r="BY62" s="181">
        <f>IF('P&amp;L'!BY13&lt;0,"NM",'P&amp;L'!BY13/-'P&amp;L'!BY18)</f>
        <v>19.251679901250728</v>
      </c>
      <c r="BZ62" s="181">
        <f>IF('P&amp;L'!BZ13&lt;0,"NM",'P&amp;L'!BZ13/-'P&amp;L'!BZ18)</f>
        <v>20.916107568517127</v>
      </c>
      <c r="CA62" s="566">
        <f>IF('P&amp;L'!CA13&lt;0,"NM",'P&amp;L'!CA13/-'P&amp;L'!CA18)</f>
        <v>19.325385813501729</v>
      </c>
      <c r="CB62" s="100"/>
      <c r="CC62" s="563">
        <f>IF('P&amp;L'!CC13&lt;0,"NM",'P&amp;L'!CC13/-'P&amp;L'!CC18)</f>
        <v>17.652222408651951</v>
      </c>
      <c r="CD62" s="181">
        <f>IF('P&amp;L'!CD13&lt;0,"NM",'P&amp;L'!CD13/-'P&amp;L'!CD18)</f>
        <v>18.921921181220988</v>
      </c>
      <c r="CE62" s="181">
        <f>IF('P&amp;L'!CE13&lt;0,"NM",'P&amp;L'!CE13/-'P&amp;L'!CE18)</f>
        <v>19.589923041106346</v>
      </c>
      <c r="CF62" s="181">
        <f>IF('P&amp;L'!CF13&lt;0,"NM",'P&amp;L'!CF13/-'P&amp;L'!CF18)</f>
        <v>22.0722991599661</v>
      </c>
      <c r="CG62" s="566">
        <f>IF('P&amp;L'!CG13&lt;0,"NM",'P&amp;L'!CG13/-'P&amp;L'!CG18)</f>
        <v>19.517654175203642</v>
      </c>
      <c r="CH62" s="100"/>
      <c r="CI62" s="100"/>
      <c r="CJ62" s="100"/>
      <c r="CK62" s="100"/>
      <c r="CL62" s="100"/>
      <c r="CM62" s="100"/>
      <c r="CN62" s="100"/>
      <c r="CO62"/>
      <c r="CP62"/>
      <c r="CQ62"/>
      <c r="CR62"/>
      <c r="CS62"/>
      <c r="CT62"/>
    </row>
    <row r="63" spans="2:99" s="7" customFormat="1" ht="11.25" customHeight="1" x14ac:dyDescent="0.2">
      <c r="B63" s="542" t="s">
        <v>54</v>
      </c>
      <c r="C63" s="563">
        <f>IF('P&amp;L'!C14&lt;0,"NM",'P&amp;L'!C14/-'P&amp;L'!C18)</f>
        <v>12.406765398855596</v>
      </c>
      <c r="D63" s="181">
        <f>IF('P&amp;L'!D14&lt;0,"NM",'P&amp;L'!D14/-'P&amp;L'!D18)</f>
        <v>14.599389362044036</v>
      </c>
      <c r="E63" s="181">
        <f>IF('P&amp;L'!E14&lt;0,"NM",'P&amp;L'!E14/-'P&amp;L'!E18)</f>
        <v>15.556628056628082</v>
      </c>
      <c r="F63" s="181">
        <f>IF('P&amp;L'!F14&lt;0,"NM",'P&amp;L'!F14/-'P&amp;L'!F18)</f>
        <v>19.622927962819567</v>
      </c>
      <c r="G63" s="566">
        <f>IF('P&amp;L'!G14&lt;0,"NM",'P&amp;L'!G14/-'P&amp;L'!G18)</f>
        <v>15.620027379610265</v>
      </c>
      <c r="H63" s="100"/>
      <c r="I63" s="563">
        <f>IF('P&amp;L'!I14&lt;0,"NM",'P&amp;L'!I14/-'P&amp;L'!I18)</f>
        <v>10.441410554671249</v>
      </c>
      <c r="J63" s="181">
        <f>IF('P&amp;L'!J14&lt;0,"NM",'P&amp;L'!J14/-'P&amp;L'!J18)</f>
        <v>11.882831231106028</v>
      </c>
      <c r="K63" s="181">
        <f>IF('P&amp;L'!K14&lt;0,"NM",'P&amp;L'!K14/-'P&amp;L'!K18)</f>
        <v>12.490692640692645</v>
      </c>
      <c r="L63" s="181">
        <f>IF('P&amp;L'!L14&lt;0,"NM",'P&amp;L'!L14/-'P&amp;L'!L18)</f>
        <v>16.810650887573736</v>
      </c>
      <c r="M63" s="566">
        <f>IF('P&amp;L'!M14&lt;0,"NM",'P&amp;L'!M14/-'P&amp;L'!M18)</f>
        <v>12.787920820690628</v>
      </c>
      <c r="N63" s="100"/>
      <c r="O63" s="563">
        <f>IF('P&amp;L'!O14&lt;0,"NM",'P&amp;L'!O14/-'P&amp;L'!O18)</f>
        <v>14.015254739336465</v>
      </c>
      <c r="P63" s="181">
        <f>IF('P&amp;L'!P14&lt;0,"NM",'P&amp;L'!P14/-'P&amp;L'!P18)</f>
        <v>19.039962535123308</v>
      </c>
      <c r="Q63" s="181">
        <f>IF('P&amp;L'!Q14&lt;0,"NM",'P&amp;L'!Q14/-'P&amp;L'!Q18)</f>
        <v>22.023786501643791</v>
      </c>
      <c r="R63" s="181">
        <f>IF('P&amp;L'!R14&lt;0,"NM",'P&amp;L'!R14/-'P&amp;L'!R18)</f>
        <v>27.101567149375331</v>
      </c>
      <c r="S63" s="566">
        <f>IF('P&amp;L'!S14&lt;0,"NM",'P&amp;L'!S14/-'P&amp;L'!S18)</f>
        <v>19.987376979032977</v>
      </c>
      <c r="T63" s="100"/>
      <c r="U63" s="563">
        <f>IF('P&amp;L'!U14&lt;0,"NM",'P&amp;L'!U14/-'P&amp;L'!U18)</f>
        <v>12.770331242434239</v>
      </c>
      <c r="V63" s="181">
        <f>IF('P&amp;L'!V14&lt;0,"NM",'P&amp;L'!V14/-'P&amp;L'!V18)</f>
        <v>15.025149700598805</v>
      </c>
      <c r="W63" s="181">
        <f>IF('P&amp;L'!W14&lt;0,"NM",'P&amp;L'!W14/-'P&amp;L'!W18)</f>
        <v>17.557259713701416</v>
      </c>
      <c r="X63" s="181">
        <f>IF('P&amp;L'!X14&lt;0,"NM",'P&amp;L'!X14/-'P&amp;L'!X18)</f>
        <v>18.820145791915209</v>
      </c>
      <c r="Y63" s="566">
        <f>IF('P&amp;L'!Y14&lt;0,"NM",'P&amp;L'!Y14/-'P&amp;L'!Y18)</f>
        <v>15.85612793912191</v>
      </c>
      <c r="Z63" s="100"/>
      <c r="AA63" s="563">
        <f>IF('P&amp;L'!AA14&lt;0,"NM",'P&amp;L'!AA14/-'P&amp;L'!AA18)</f>
        <v>15.374149659863932</v>
      </c>
      <c r="AB63" s="181">
        <f>IF('P&amp;L'!AB14&lt;0,"NM",'P&amp;L'!AB14/-'P&amp;L'!AB18)</f>
        <v>19.136294608959748</v>
      </c>
      <c r="AC63" s="181">
        <f>IF('P&amp;L'!AC14&lt;0,"NM",'P&amp;L'!AC14/-'P&amp;L'!AC18)</f>
        <v>21.027594305005184</v>
      </c>
      <c r="AD63" s="181">
        <f>IF('P&amp;L'!AD14&lt;0,"NM",'P&amp;L'!AD14/-'P&amp;L'!AD18)</f>
        <v>21.561699881219493</v>
      </c>
      <c r="AE63" s="566">
        <f>IF('P&amp;L'!AE14&lt;0,"NM",'P&amp;L'!AE14/-'P&amp;L'!AE18)</f>
        <v>19.164137340751239</v>
      </c>
      <c r="AF63" s="100"/>
      <c r="AG63" s="563">
        <f>IF('P&amp;L'!AG14&lt;0,"NM",'P&amp;L'!AG14/-'P&amp;L'!AG18)</f>
        <v>18.995680628272215</v>
      </c>
      <c r="AH63" s="181">
        <f>IF('P&amp;L'!AH14&lt;0,"NM",'P&amp;L'!AH14/-'P&amp;L'!AH18)</f>
        <v>20.498249254312043</v>
      </c>
      <c r="AI63" s="181">
        <f>IF('P&amp;L'!AI14&lt;0,"NM",'P&amp;L'!AI14/-'P&amp;L'!AI18)</f>
        <v>20.473727422003293</v>
      </c>
      <c r="AJ63" s="181">
        <f>IF('P&amp;L'!AJ14&lt;0,"NM",'P&amp;L'!AJ14/-'P&amp;L'!AJ18)</f>
        <v>21.999514739779432</v>
      </c>
      <c r="AK63" s="566">
        <f>IF('P&amp;L'!AK14&lt;0,"NM",'P&amp;L'!AK14/-'P&amp;L'!AK18)</f>
        <v>20.521422561646524</v>
      </c>
      <c r="AL63" s="100"/>
      <c r="AM63" s="563">
        <f>IF('P&amp;L'!AM14&lt;0,"NM",'P&amp;L'!AM14/-'P&amp;L'!AM18)</f>
        <v>23.537459782442156</v>
      </c>
      <c r="AN63" s="181">
        <f>IF('P&amp;L'!AN14&lt;0,"NM",'P&amp;L'!AN14/-'P&amp;L'!AN18)</f>
        <v>36.005112474437631</v>
      </c>
      <c r="AO63" s="181">
        <f>IF('P&amp;L'!AO14&lt;0,"NM",'P&amp;L'!AO14/-'P&amp;L'!AO18)</f>
        <v>31.771332409423906</v>
      </c>
      <c r="AP63" s="181">
        <f>IF('P&amp;L'!AP14&lt;0,"NM",'P&amp;L'!AP14/-'P&amp;L'!AP18)</f>
        <v>38.374332648870926</v>
      </c>
      <c r="AQ63" s="566">
        <f>IF('P&amp;L'!AQ14&lt;0,"NM",'P&amp;L'!AQ14/-'P&amp;L'!AQ18)</f>
        <v>31.729965320086276</v>
      </c>
      <c r="AR63" s="100"/>
      <c r="AS63" s="563">
        <f>IF('P&amp;L'!AS14&lt;0,"NM",'P&amp;L'!AS14/-'P&amp;L'!AS18)</f>
        <v>29.910232027386865</v>
      </c>
      <c r="AT63" s="181">
        <f>IF('P&amp;L'!AT14&lt;0,"NM",'P&amp;L'!AT14/-'P&amp;L'!AT18)</f>
        <v>31.894885361552017</v>
      </c>
      <c r="AU63" s="181">
        <f>IF('P&amp;L'!AU14&lt;0,"NM",'P&amp;L'!AU14/-'P&amp;L'!AU18)</f>
        <v>27.721019108280213</v>
      </c>
      <c r="AV63" s="181">
        <f>IF('P&amp;L'!AV14&lt;0,"NM",'P&amp;L'!AV14/-'P&amp;L'!AV18)</f>
        <v>29.630895021171021</v>
      </c>
      <c r="AW63" s="566">
        <f>IF('P&amp;L'!AW14&lt;0,"NM",'P&amp;L'!AW14/-'P&amp;L'!AW18)</f>
        <v>29.726981751673105</v>
      </c>
      <c r="AX63" s="100"/>
      <c r="AY63" s="563">
        <f>IF('P&amp;L'!AY14&lt;0,"NM",'P&amp;L'!AY14/-'P&amp;L'!AY18)</f>
        <v>26.86076959923362</v>
      </c>
      <c r="AZ63" s="181">
        <f>IF('P&amp;L'!AZ14&lt;0,"NM",'P&amp;L'!AZ14/-'P&amp;L'!AZ18)</f>
        <v>30.246740858505575</v>
      </c>
      <c r="BA63" s="181">
        <f>IF('P&amp;L'!BA14&lt;0,"NM",'P&amp;L'!BA14/-'P&amp;L'!BA18)</f>
        <v>31.335556614260785</v>
      </c>
      <c r="BB63" s="181">
        <f>IF('P&amp;L'!BB14&lt;0,"NM",'P&amp;L'!BB14/-'P&amp;L'!BB18)</f>
        <v>29.771165129924327</v>
      </c>
      <c r="BC63" s="566">
        <f>IF('P&amp;L'!BC14&lt;0,"NM",'P&amp;L'!BC14/-'P&amp;L'!BC18)</f>
        <v>29.564095662872919</v>
      </c>
      <c r="BD63" s="100"/>
      <c r="BE63" s="563">
        <f>IF('P&amp;L'!BE14&lt;0,"NM",'P&amp;L'!BE14/-'P&amp;L'!BE18)</f>
        <v>25.291426967868677</v>
      </c>
      <c r="BF63" s="181">
        <f>IF('P&amp;L'!BF14&lt;0,"NM",'P&amp;L'!BF14/-'P&amp;L'!BF18)</f>
        <v>27.291977738563904</v>
      </c>
      <c r="BG63" s="181">
        <f>IF('P&amp;L'!BG14&lt;0,"NM",'P&amp;L'!BG14/-'P&amp;L'!BG18)</f>
        <v>27.522836538461537</v>
      </c>
      <c r="BH63" s="181">
        <f>IF('P&amp;L'!BH14&lt;0,"NM",'P&amp;L'!BH14/-'P&amp;L'!BH18)</f>
        <v>23.21279386540208</v>
      </c>
      <c r="BI63" s="566">
        <f>IF('P&amp;L'!BI14&lt;0,"NM",'P&amp;L'!BI14/-'P&amp;L'!BI18)</f>
        <v>25.631486533095039</v>
      </c>
      <c r="BJ63" s="100"/>
      <c r="BK63" s="563">
        <f>IF('P&amp;L'!BK14&lt;0,"NM",'P&amp;L'!BK14/-'P&amp;L'!BK18)</f>
        <v>16.970078740157486</v>
      </c>
      <c r="BL63" s="181">
        <f>IF('P&amp;L'!BL14&lt;0,"NM",'P&amp;L'!BL14/-'P&amp;L'!BL18)</f>
        <v>17.270208230857538</v>
      </c>
      <c r="BM63" s="181">
        <f>IF('P&amp;L'!BM14&lt;0,"NM",'P&amp;L'!BM14/-'P&amp;L'!BM18)</f>
        <v>15.903187369675313</v>
      </c>
      <c r="BN63" s="181">
        <f>IF('P&amp;L'!BN14&lt;0,"NM",'P&amp;L'!BN14/-'P&amp;L'!BN18)</f>
        <v>14.531329075792273</v>
      </c>
      <c r="BO63" s="566">
        <f>IF('P&amp;L'!BO14&lt;0,"NM",'P&amp;L'!BO14/-'P&amp;L'!BO18)</f>
        <v>16.016867335147438</v>
      </c>
      <c r="BP63" s="100"/>
      <c r="BQ63" s="563">
        <f>IF('P&amp;L'!BQ14&lt;0,"NM",'P&amp;L'!BQ14/-'P&amp;L'!BQ18)</f>
        <v>13.985486412558412</v>
      </c>
      <c r="BR63" s="181">
        <f>IF('P&amp;L'!BR14&lt;0,"NM",'P&amp;L'!BR14/-'P&amp;L'!BR18)</f>
        <v>15.791535217028299</v>
      </c>
      <c r="BS63" s="181">
        <f>IF('P&amp;L'!BS14&lt;0,"NM",'P&amp;L'!BS14/-'P&amp;L'!BS18)</f>
        <v>15.912069206838114</v>
      </c>
      <c r="BT63" s="181">
        <f>IF('P&amp;L'!BT14&lt;0,"NM",'P&amp;L'!BT14/-'P&amp;L'!BT18)</f>
        <v>17.593263293997698</v>
      </c>
      <c r="BU63" s="566">
        <f>IF('P&amp;L'!BU14&lt;0,"NM",'P&amp;L'!BU14/-'P&amp;L'!BU18)</f>
        <v>15.82058853260564</v>
      </c>
      <c r="BV63" s="100"/>
      <c r="BW63" s="563">
        <f>IF('P&amp;L'!BW14&lt;0,"NM",'P&amp;L'!BW14/-'P&amp;L'!BW18)</f>
        <v>14.321347137428029</v>
      </c>
      <c r="BX63" s="181">
        <f>IF('P&amp;L'!BX14&lt;0,"NM",'P&amp;L'!BX14/-'P&amp;L'!BX18)</f>
        <v>15.637313151734515</v>
      </c>
      <c r="BY63" s="181">
        <f>IF('P&amp;L'!BY14&lt;0,"NM",'P&amp;L'!BY14/-'P&amp;L'!BY18)</f>
        <v>15.744049992685017</v>
      </c>
      <c r="BZ63" s="181">
        <f>IF('P&amp;L'!BZ14&lt;0,"NM",'P&amp;L'!BZ14/-'P&amp;L'!BZ18)</f>
        <v>17.454215466692258</v>
      </c>
      <c r="CA63" s="566">
        <f>IF('P&amp;L'!CA14&lt;0,"NM",'P&amp;L'!CA14/-'P&amp;L'!CA18)</f>
        <v>15.789231437134966</v>
      </c>
      <c r="CB63" s="100"/>
      <c r="CC63" s="563">
        <f>IF('P&amp;L'!CC14&lt;0,"NM",'P&amp;L'!CC14/-'P&amp;L'!CC18)</f>
        <v>14.077246834694131</v>
      </c>
      <c r="CD63" s="181">
        <f>IF('P&amp;L'!CD14&lt;0,"NM",'P&amp;L'!CD14/-'P&amp;L'!CD18)</f>
        <v>15.401925046272099</v>
      </c>
      <c r="CE63" s="181">
        <f>IF('P&amp;L'!CE14&lt;0,"NM",'P&amp;L'!CE14/-'P&amp;L'!CE18)</f>
        <v>16.002937920985985</v>
      </c>
      <c r="CF63" s="181">
        <f>IF('P&amp;L'!CF14&lt;0,"NM",'P&amp;L'!CF14/-'P&amp;L'!CF18)</f>
        <v>18.407682926595047</v>
      </c>
      <c r="CG63" s="566">
        <f>IF('P&amp;L'!CG14&lt;0,"NM",'P&amp;L'!CG14/-'P&amp;L'!CG18)</f>
        <v>15.932291475834626</v>
      </c>
      <c r="CH63" s="100"/>
      <c r="CI63" s="100"/>
      <c r="CJ63" s="100"/>
      <c r="CK63" s="100"/>
      <c r="CL63" s="100"/>
      <c r="CM63" s="100"/>
      <c r="CN63" s="100"/>
      <c r="CO63"/>
      <c r="CP63"/>
      <c r="CQ63"/>
      <c r="CR63"/>
      <c r="CS63"/>
      <c r="CT63"/>
    </row>
    <row r="64" spans="2:99" s="7" customFormat="1" ht="11.25" customHeight="1" x14ac:dyDescent="0.2">
      <c r="B64" s="542" t="s">
        <v>55</v>
      </c>
      <c r="C64" s="563">
        <f>IF(OR(C52&lt;0,'P&amp;L'!C13&lt;0)=TRUE,"NM",C52/('P&amp;L'!C13*4))</f>
        <v>0.93865991805254334</v>
      </c>
      <c r="D64" s="181">
        <f>IF(OR(D52&lt;0,'P&amp;L'!D13&lt;0)=TRUE,"NM",D52/('P&amp;L'!D13*4))</f>
        <v>0.66688321262048222</v>
      </c>
      <c r="E64" s="181">
        <f>IF(OR(E52&lt;0,'P&amp;L'!E13&lt;0)=TRUE,"NM",E52/('P&amp;L'!E13*4))</f>
        <v>0.56056867608782912</v>
      </c>
      <c r="F64" s="181">
        <f>IF(OR(F52&lt;0,'P&amp;L'!F13&lt;0)=TRUE,"NM",F52/('P&amp;L'!F13*4))</f>
        <v>0.35400898489642901</v>
      </c>
      <c r="G64" s="566">
        <f>IF(OR(G52&lt;0,'P&amp;L'!G13&lt;0)=TRUE,"NM",G52/'P&amp;L'!G13)</f>
        <v>0.45246008119079778</v>
      </c>
      <c r="H64" s="100"/>
      <c r="I64" s="563">
        <f>IF(OR(I52&lt;0,'P&amp;L'!I13&lt;0)=TRUE,"NM",I52/('P&amp;L'!I13*4))</f>
        <v>0.61011765492345682</v>
      </c>
      <c r="J64" s="181">
        <f>IF(OR(J52&lt;0,'P&amp;L'!J13&lt;0)=TRUE,"NM",J52/('P&amp;L'!J13*4))</f>
        <v>0.3405077386006462</v>
      </c>
      <c r="K64" s="181">
        <f>IF(OR(K52&lt;0,'P&amp;L'!K13&lt;0)=TRUE,"NM",K52/('P&amp;L'!K13*4))</f>
        <v>0.26068471113285741</v>
      </c>
      <c r="L64" s="181">
        <f>IF(OR(L52&lt;0,'P&amp;L'!L13&lt;0)=TRUE,"NM",L52/('P&amp;L'!L13*4))</f>
        <v>8.2463604221025805E-2</v>
      </c>
      <c r="M64" s="566">
        <f>IF(OR(M52&lt;0,'P&amp;L'!M13&lt;0)=TRUE,"NM",M52/'P&amp;L'!M13)</f>
        <v>9.299667917019612E-2</v>
      </c>
      <c r="N64" s="100"/>
      <c r="O64" s="563">
        <f>IF(OR(O52&lt;0,'P&amp;L'!O13&lt;0)=TRUE,"NM",O52/('P&amp;L'!O13*4))</f>
        <v>0.22944165095327929</v>
      </c>
      <c r="P64" s="181">
        <f>IF(OR(P52&lt;0,'P&amp;L'!P13&lt;0)=TRUE,"NM",P52/('P&amp;L'!P13*4))</f>
        <v>4.135821491354022E-2</v>
      </c>
      <c r="Q64" s="181" t="str">
        <f>IF(OR(Q52&lt;0,'P&amp;L'!Q13&lt;0)=TRUE,"NM",Q52/('P&amp;L'!Q13*4))</f>
        <v>NM</v>
      </c>
      <c r="R64" s="181" t="str">
        <f>IF(OR(R52&lt;0,'P&amp;L'!R13&lt;0)=TRUE,"NM",R52/('P&amp;L'!R13*4))</f>
        <v>NM</v>
      </c>
      <c r="S64" s="566" t="str">
        <f>IF(OR(S52&lt;0,'P&amp;L'!S13&lt;0)=TRUE,"NM",S52/'P&amp;L'!S13)</f>
        <v>NM</v>
      </c>
      <c r="T64" s="100"/>
      <c r="U64" s="563">
        <f>IF(OR(U52&lt;0,'P&amp;L'!U13&lt;0)=TRUE,"NM",U52/('P&amp;L'!U13*4))</f>
        <v>0.34336953120555286</v>
      </c>
      <c r="V64" s="181">
        <f>IF(OR(V52&lt;0,'P&amp;L'!V13&lt;0)=TRUE,"NM",V52/('P&amp;L'!V13*4))</f>
        <v>0.34768863949981083</v>
      </c>
      <c r="W64" s="181">
        <f>IF(OR(W52&lt;0,'P&amp;L'!W13&lt;0)=TRUE,"NM",W52/('P&amp;L'!W13*4))</f>
        <v>0.62452932924803473</v>
      </c>
      <c r="X64" s="181">
        <f>IF(OR(X52&lt;0,'P&amp;L'!X13&lt;0)=TRUE,"NM",X52/('P&amp;L'!X13*4))</f>
        <v>0.43373960954550261</v>
      </c>
      <c r="Y64" s="566">
        <f>IF(OR(Y52&lt;0,'P&amp;L'!Y13&lt;0)=TRUE,"NM",Y52/'P&amp;L'!Y13)</f>
        <v>0.45846556261128524</v>
      </c>
      <c r="Z64" s="100"/>
      <c r="AA64" s="563">
        <f>IF(OR(AA52&lt;0,'P&amp;L'!AA13&lt;0)=TRUE,"NM",AA52/('P&amp;L'!AA13*4))</f>
        <v>0.64904387872753044</v>
      </c>
      <c r="AB64" s="181">
        <f>IF(OR(AB52&lt;0,'P&amp;L'!AB13&lt;0)=TRUE,"NM",AB52/('P&amp;L'!AB13*4))</f>
        <v>0.39032278635436091</v>
      </c>
      <c r="AC64" s="181">
        <f>IF(OR(AC52&lt;0,'P&amp;L'!AC13&lt;0)=TRUE,"NM",AC52/('P&amp;L'!AC13*4))</f>
        <v>0.47296632757577078</v>
      </c>
      <c r="AD64" s="181">
        <f>IF(OR(AD52&lt;0,'P&amp;L'!AD13&lt;0)=TRUE,"NM",AD52/('P&amp;L'!AD13*4))</f>
        <v>0.38047213409995384</v>
      </c>
      <c r="AE64" s="566">
        <f>IF(OR(AE52&lt;0,'P&amp;L'!AE13&lt;0)=TRUE,"NM",AE52/'P&amp;L'!AE13)</f>
        <v>0.42128086298161271</v>
      </c>
      <c r="AF64" s="100"/>
      <c r="AG64" s="563">
        <f>IF(OR(AG52&lt;0,'P&amp;L'!AG13&lt;0)=TRUE,"NM",AG52/('P&amp;L'!AG13*4))</f>
        <v>0.54013597498106003</v>
      </c>
      <c r="AH64" s="181">
        <f>IF(OR(AH52&lt;0,'P&amp;L'!AH13&lt;0)=TRUE,"NM",AH52/('P&amp;L'!AH13*4))</f>
        <v>0.59131041998402323</v>
      </c>
      <c r="AI64" s="181">
        <f>IF(OR(AI52&lt;0,'P&amp;L'!AI13&lt;0)=TRUE,"NM",AI52/('P&amp;L'!AI13*4))</f>
        <v>0.72139916325420839</v>
      </c>
      <c r="AJ64" s="181">
        <f>IF(OR(AJ52&lt;0,'P&amp;L'!AJ13&lt;0)=TRUE,"NM",AJ52/('P&amp;L'!AJ13*4))</f>
        <v>0.47886223360893948</v>
      </c>
      <c r="AK64" s="566">
        <f>IF(OR(AK52&lt;0,'P&amp;L'!AK13&lt;0)=TRUE,"NM",AK52/'P&amp;L'!AK13)</f>
        <v>0.54142532670594756</v>
      </c>
      <c r="AL64" s="100"/>
      <c r="AM64" s="563">
        <f>IF(OR(AM52&lt;0,'P&amp;L'!AM13&lt;0)=TRUE,"NM",AM52/('P&amp;L'!AM13*4))</f>
        <v>0.75531119975056737</v>
      </c>
      <c r="AN64" s="181">
        <f>IF(OR(AN52&lt;0,'P&amp;L'!AN13&lt;0)=TRUE,"NM",AN52/('P&amp;L'!AN13*4))</f>
        <v>0.46817823267983916</v>
      </c>
      <c r="AO64" s="181">
        <f>IF(OR(AO52&lt;0,'P&amp;L'!AO13&lt;0)=TRUE,"NM",AO52/('P&amp;L'!AO13*4))</f>
        <v>0.43921392248416685</v>
      </c>
      <c r="AP64" s="181">
        <f>IF(OR(AP52&lt;0,'P&amp;L'!AP13&lt;0)=TRUE,"NM",AP52/('P&amp;L'!AP13*4))</f>
        <v>0.33879782669292458</v>
      </c>
      <c r="AQ64" s="566">
        <f>IF(OR(AQ52&lt;0,'P&amp;L'!AQ13&lt;0)=TRUE,"NM",AQ52/'P&amp;L'!AQ13)</f>
        <v>0.36836424295947362</v>
      </c>
      <c r="AR64" s="100"/>
      <c r="AS64" s="563">
        <f>IF(OR(AS52&lt;0,'P&amp;L'!AS13&lt;0)=TRUE,"NM",AS52/('P&amp;L'!AS13*4))</f>
        <v>0.85649469504250109</v>
      </c>
      <c r="AT64" s="181">
        <f>IF(OR(AT52&lt;0,'P&amp;L'!AT13&lt;0)=TRUE,"NM",AT52/('P&amp;L'!AT13*4))</f>
        <v>0.76328272157729049</v>
      </c>
      <c r="AU64" s="181">
        <f>IF(OR(AU52&lt;0,'P&amp;L'!AU13&lt;0)=TRUE,"NM",AU52/('P&amp;L'!AU13*4))</f>
        <v>0.87784443913029309</v>
      </c>
      <c r="AV64" s="181">
        <f>IF(OR(AV52&lt;0,'P&amp;L'!AV13&lt;0)=TRUE,"NM",AV52/('P&amp;L'!AV13*4))</f>
        <v>0.66183941413208347</v>
      </c>
      <c r="AW64" s="566">
        <f>IF(OR(AW52&lt;0,'P&amp;L'!AW13&lt;0)=TRUE,"NM",AW52/'P&amp;L'!AW13)</f>
        <v>0.74017846849131874</v>
      </c>
      <c r="AX64" s="100"/>
      <c r="AY64" s="563">
        <f>IF(OR(AY52&lt;0,'P&amp;L'!AY13&lt;0)=TRUE,"NM",AY52/('P&amp;L'!AY13*4))</f>
        <v>0.93993636124609181</v>
      </c>
      <c r="AZ64" s="181">
        <f>IF(OR(AZ52&lt;0,'P&amp;L'!AZ13&lt;0)=TRUE,"NM",AZ52/('P&amp;L'!AZ13*4))</f>
        <v>0.75083414021406303</v>
      </c>
      <c r="BA64" s="181">
        <f>IF(OR(BA52&lt;0,'P&amp;L'!BA13&lt;0)=TRUE,"NM",BA52/('P&amp;L'!BA13*4))</f>
        <v>0.76860033494975699</v>
      </c>
      <c r="BB64" s="181">
        <f>IF(OR(BB52&lt;0,'P&amp;L'!BB13&lt;0)=TRUE,"NM",BB52/('P&amp;L'!BB13*4))</f>
        <v>0.72790895957180224</v>
      </c>
      <c r="BC64" s="566">
        <f>IF(OR(BC52&lt;0,'P&amp;L'!BC13&lt;0)=TRUE,"NM",BC52/'P&amp;L'!BC13)</f>
        <v>0.7948320636186339</v>
      </c>
      <c r="BD64" s="100"/>
      <c r="BE64" s="563">
        <f>IF(OR(BE52&lt;0,'P&amp;L'!BE13&lt;0)=TRUE,"NM",BE52/('P&amp;L'!BE13*4))</f>
        <v>1.170821674449301</v>
      </c>
      <c r="BF64" s="181">
        <f>IF(OR(BF52&lt;0,'P&amp;L'!BF13&lt;0)=TRUE,"NM",BF52/('P&amp;L'!BF13*4))</f>
        <v>0.91532130551026425</v>
      </c>
      <c r="BG64" s="181">
        <f>IF(OR(BG52&lt;0,'P&amp;L'!BG13&lt;0)=TRUE,"NM",BG52/('P&amp;L'!BG13*4))</f>
        <v>0.99831705040197649</v>
      </c>
      <c r="BH64" s="181">
        <f>IF(OR(BH52&lt;0,'P&amp;L'!BH13&lt;0)=TRUE,"NM",BH52/('P&amp;L'!BH13*4))</f>
        <v>1.0551278588972053</v>
      </c>
      <c r="BI64" s="566">
        <f>IF(OR(BI52&lt;0,'P&amp;L'!BI13&lt;0)=TRUE,"NM",BI52/'P&amp;L'!BI13)</f>
        <v>1.1714164163910679</v>
      </c>
      <c r="BJ64" s="100"/>
      <c r="BK64" s="563">
        <f>IF(OR(BK52&lt;0,'P&amp;L'!BK13&lt;0)=TRUE,"NM",BK52/('P&amp;L'!BK13*4))</f>
        <v>1.399001746838306</v>
      </c>
      <c r="BL64" s="181">
        <f>IF(OR(BL52&lt;0,'P&amp;L'!BL13&lt;0)=TRUE,"NM",BL52/('P&amp;L'!BL13*4))</f>
        <v>1.2842753558701636</v>
      </c>
      <c r="BM64" s="181">
        <f>IF(OR(BM52&lt;0,'P&amp;L'!BM13&lt;0)=TRUE,"NM",BM52/('P&amp;L'!BM13*4))</f>
        <v>1.407636834319526</v>
      </c>
      <c r="BN64" s="181">
        <f>IF(OR(BN52&lt;0,'P&amp;L'!BN13&lt;0)=TRUE,"NM",BN52/('P&amp;L'!BN13*4))</f>
        <v>1.2725992798266117</v>
      </c>
      <c r="BO64" s="566">
        <f>IF(OR(BO52&lt;0,'P&amp;L'!BO13&lt;0)=TRUE,"NM",BO52/'P&amp;L'!BO13)</f>
        <v>1.4170960652426112</v>
      </c>
      <c r="BP64" s="100"/>
      <c r="BQ64" s="563">
        <f>IF(OR(BQ52&lt;0,'P&amp;L'!BQ13&lt;0)=TRUE,"NM",BQ52/('P&amp;L'!BQ13*4))</f>
        <v>1.441435223796262</v>
      </c>
      <c r="BR64" s="181">
        <f>IF(OR(BR52&lt;0,'P&amp;L'!BR13&lt;0)=TRUE,"NM",BR52/('P&amp;L'!BR13*4))</f>
        <v>1.3435481711963158</v>
      </c>
      <c r="BS64" s="181">
        <f>IF(OR(BS52&lt;0,'P&amp;L'!BS13&lt;0)=TRUE,"NM",BS52/('P&amp;L'!BS13*4))</f>
        <v>1.2753839920896877</v>
      </c>
      <c r="BT64" s="181">
        <f>IF(OR(BT52&lt;0,'P&amp;L'!BT13&lt;0)=TRUE,"NM",BT52/('P&amp;L'!BT13*4))</f>
        <v>1.1092591190676719</v>
      </c>
      <c r="BU64" s="566">
        <f>IF(OR(BU52&lt;0,'P&amp;L'!BU13&lt;0)=TRUE,"NM",BU52/'P&amp;L'!BU13)</f>
        <v>1.206558859430414</v>
      </c>
      <c r="BV64" s="100"/>
      <c r="BW64" s="563">
        <f>IF(OR(BW52&lt;0,'P&amp;L'!BW13&lt;0)=TRUE,"NM",BW52/('P&amp;L'!BW13*4))</f>
        <v>1.2580887647878367</v>
      </c>
      <c r="BX64" s="181">
        <f>IF(OR(BX52&lt;0,'P&amp;L'!BX13&lt;0)=TRUE,"NM",BX52/('P&amp;L'!BX13*4))</f>
        <v>1.220865811877567</v>
      </c>
      <c r="BY64" s="181">
        <f>IF(OR(BY52&lt;0,'P&amp;L'!BY13&lt;0)=TRUE,"NM",BY52/('P&amp;L'!BY13*4))</f>
        <v>1.1636373715144617</v>
      </c>
      <c r="BZ64" s="181">
        <f>IF(OR(BZ52&lt;0,'P&amp;L'!BZ13&lt;0)=TRUE,"NM",BZ52/('P&amp;L'!BZ13*4))</f>
        <v>1.0127441099895935</v>
      </c>
      <c r="CA64" s="566">
        <f>IF(OR(CA52&lt;0,'P&amp;L'!CA13&lt;0)=TRUE,"NM",CA52/'P&amp;L'!CA13)</f>
        <v>1.0961056585543125</v>
      </c>
      <c r="CB64" s="100"/>
      <c r="CC64" s="563">
        <f>IF(OR(CC52&lt;0,'P&amp;L'!CC13&lt;0)=TRUE,"NM",CC52/('P&amp;L'!CC13*4))</f>
        <v>1.1456811223065064</v>
      </c>
      <c r="CD64" s="181">
        <f>IF(OR(CD52&lt;0,'P&amp;L'!CD13&lt;0)=TRUE,"NM",CD52/('P&amp;L'!CD13*4))</f>
        <v>1.130879439764521</v>
      </c>
      <c r="CE64" s="181">
        <f>IF(OR(CE52&lt;0,'P&amp;L'!CE13&lt;0)=TRUE,"NM",CE52/('P&amp;L'!CE13*4))</f>
        <v>1.0810487560250843</v>
      </c>
      <c r="CF64" s="181">
        <f>IF(OR(CF52&lt;0,'P&amp;L'!CF13&lt;0)=TRUE,"NM",CF52/('P&amp;L'!CF13*4))</f>
        <v>0.94129046927043791</v>
      </c>
      <c r="CG64" s="566">
        <f>IF(OR(CG52&lt;0,'P&amp;L'!CG13&lt;0)=TRUE,"NM",CG52/'P&amp;L'!CG13)</f>
        <v>1.0208845223149139</v>
      </c>
      <c r="CH64" s="100"/>
      <c r="CI64" s="100"/>
      <c r="CJ64" s="100"/>
      <c r="CK64" s="100"/>
      <c r="CL64" s="100"/>
      <c r="CM64" s="100"/>
      <c r="CN64" s="100"/>
      <c r="CO64"/>
      <c r="CP64"/>
      <c r="CQ64"/>
      <c r="CR64"/>
      <c r="CS64"/>
      <c r="CT64"/>
    </row>
    <row r="65" spans="2:98" s="7" customFormat="1" ht="11.25" customHeight="1" x14ac:dyDescent="0.2">
      <c r="B65" s="543" t="s">
        <v>56</v>
      </c>
      <c r="C65" s="564">
        <f>C51/(C44+C51)</f>
        <v>0.24780467186959515</v>
      </c>
      <c r="D65" s="565">
        <f>D51/(D44+D51)</f>
        <v>0.2346281604384936</v>
      </c>
      <c r="E65" s="565">
        <f>E51/(E44+E51)</f>
        <v>0.21713819267076442</v>
      </c>
      <c r="F65" s="565">
        <f>F51/(F44+F51)</f>
        <v>0.20414012283193056</v>
      </c>
      <c r="G65" s="567">
        <f>G51/(G44+G51)</f>
        <v>0.20414012283193056</v>
      </c>
      <c r="H65" s="100"/>
      <c r="I65" s="564">
        <f>I51/(I44+I51)</f>
        <v>0.19561018639453809</v>
      </c>
      <c r="J65" s="565">
        <f>J51/(J44+J51)</f>
        <v>0.19061295166631773</v>
      </c>
      <c r="K65" s="565">
        <f>K51/(K44+K51)</f>
        <v>0.18052210356232171</v>
      </c>
      <c r="L65" s="565">
        <f>L51/(L44+L51)</f>
        <v>0.19083266867335394</v>
      </c>
      <c r="M65" s="567">
        <f>M51/(M44+M51)</f>
        <v>0.19083266867335394</v>
      </c>
      <c r="N65" s="100"/>
      <c r="O65" s="564">
        <f>O51/(O44+O51)</f>
        <v>0.16970387804946152</v>
      </c>
      <c r="P65" s="565">
        <f>P51/(P44+P51)</f>
        <v>0.16124944430904875</v>
      </c>
      <c r="Q65" s="565">
        <f>Q51/(Q44+Q51)</f>
        <v>0.11448898869305167</v>
      </c>
      <c r="R65" s="565">
        <f>R51/(R44+R51)</f>
        <v>0.110260960338326</v>
      </c>
      <c r="S65" s="567">
        <f>S51/(S44+S51)</f>
        <v>0.110260960338326</v>
      </c>
      <c r="T65" s="100"/>
      <c r="U65" s="564">
        <f>U51/(U44+U51)</f>
        <v>0.20018349755537312</v>
      </c>
      <c r="V65" s="565">
        <f>V51/(V44+V51)</f>
        <v>0.19492636250931769</v>
      </c>
      <c r="W65" s="565">
        <f>W51/(W44+W51)</f>
        <v>0.20476635991064632</v>
      </c>
      <c r="X65" s="565">
        <f>X51/(X44+X51)</f>
        <v>0.1546123497465719</v>
      </c>
      <c r="Y65" s="567">
        <f>Y51/(Y44+Y51)</f>
        <v>0.1546123497465719</v>
      </c>
      <c r="Z65" s="100"/>
      <c r="AA65" s="564">
        <f>AA51/(AA44+AA51)</f>
        <v>0.17324420769461707</v>
      </c>
      <c r="AB65" s="565">
        <f>AB51/(AB44+AB51)</f>
        <v>0.14689251684632323</v>
      </c>
      <c r="AC65" s="565">
        <f>AC51/(AC44+AC51)</f>
        <v>0.14531624209382149</v>
      </c>
      <c r="AD65" s="565">
        <f>AD51/(AD44+AD51)</f>
        <v>0.15351654620206054</v>
      </c>
      <c r="AE65" s="567">
        <f>AE51/(AE44+AE51)</f>
        <v>0.15351654620206054</v>
      </c>
      <c r="AF65" s="100"/>
      <c r="AG65" s="564">
        <f>AG51/(AG44+AG51)</f>
        <v>0.1599067994209864</v>
      </c>
      <c r="AH65" s="565">
        <f>AH51/(AH44+AH51)</f>
        <v>0.17685693166777075</v>
      </c>
      <c r="AI65" s="565">
        <f>AI51/(AI44+AI51)</f>
        <v>0.19148013569240707</v>
      </c>
      <c r="AJ65" s="565">
        <f>AJ51/(AJ44+AJ51)</f>
        <v>0.16934099213659079</v>
      </c>
      <c r="AK65" s="567">
        <f>AK51/(AK44+AK51)</f>
        <v>0.16934099213659079</v>
      </c>
      <c r="AL65" s="100"/>
      <c r="AM65" s="564">
        <f>AM51/(AM44+AM51)</f>
        <v>0.20189626186555884</v>
      </c>
      <c r="AN65" s="565">
        <f>AN51/(AN44+AN51)</f>
        <v>0.15173275853966892</v>
      </c>
      <c r="AO65" s="565">
        <f>AO51/(AO44+AO51)</f>
        <v>0.13075604999676155</v>
      </c>
      <c r="AP65" s="565">
        <f>AP51/(AP44+AP51)</f>
        <v>0.14822941460957118</v>
      </c>
      <c r="AQ65" s="567">
        <f>AQ51/(AQ44+AQ51)</f>
        <v>0.14822941460957118</v>
      </c>
      <c r="AR65" s="100"/>
      <c r="AS65" s="564">
        <f>AS51/(AS44+AS51)</f>
        <v>0.21926431204424537</v>
      </c>
      <c r="AT65" s="565">
        <f>AT51/(AT44+AT51)</f>
        <v>0.2094195899943869</v>
      </c>
      <c r="AU65" s="565">
        <f>AU51/(AU44+AU51)</f>
        <v>0.22635225372421328</v>
      </c>
      <c r="AV65" s="565">
        <f>AV51/(AV44+AV51)</f>
        <v>0.2061734501900401</v>
      </c>
      <c r="AW65" s="567">
        <f>AW51/(AW44+AW51)</f>
        <v>0.2061734501900401</v>
      </c>
      <c r="AX65" s="100"/>
      <c r="AY65" s="564">
        <f>AY51/(AY44+AY51)</f>
        <v>0.23305655617071974</v>
      </c>
      <c r="AZ65" s="565">
        <f>AZ51/(AZ44+AZ51)</f>
        <v>0.20425645455194141</v>
      </c>
      <c r="BA65" s="565">
        <f>BA51/(BA44+BA51)</f>
        <v>0.21346628189436725</v>
      </c>
      <c r="BB65" s="565">
        <f>BB51/(BB44+BB51)</f>
        <v>0.21904717075049884</v>
      </c>
      <c r="BC65" s="567">
        <f>BC51/(BC44+BC51)</f>
        <v>0.21904717075049884</v>
      </c>
      <c r="BD65" s="100"/>
      <c r="BE65" s="564">
        <f>BE51/(BE44+BE51)</f>
        <v>0.27526814914957703</v>
      </c>
      <c r="BF65" s="565">
        <f>BF51/(BF44+BF51)</f>
        <v>0.24421690132849597</v>
      </c>
      <c r="BG65" s="565">
        <f>BG51/(BG44+BG51)</f>
        <v>0.26904955832201388</v>
      </c>
      <c r="BH65" s="565">
        <f>BH51/(BH44+BH51)</f>
        <v>0.30322365573207682</v>
      </c>
      <c r="BI65" s="567">
        <f>BI51/(BI44+BI51)</f>
        <v>0.30322365573207682</v>
      </c>
      <c r="BJ65" s="100"/>
      <c r="BK65" s="564">
        <f>BK51/(BK44+BK51)</f>
        <v>0.333500709560759</v>
      </c>
      <c r="BL65" s="565">
        <f>BL51/(BL44+BL51)</f>
        <v>0.32334602959252912</v>
      </c>
      <c r="BM65" s="565">
        <f>BM51/(BM44+BM51)</f>
        <v>0.34012087620610743</v>
      </c>
      <c r="BN65" s="565">
        <f>BN51/(BN44+BN51)</f>
        <v>0.37102241676721276</v>
      </c>
      <c r="BO65" s="567">
        <f>BO51/(BO44+BO51)</f>
        <v>0.37102241676721276</v>
      </c>
      <c r="BP65" s="100"/>
      <c r="BQ65" s="564">
        <f>BQ51/(BQ44+BQ51)</f>
        <v>0.36585253531212619</v>
      </c>
      <c r="BR65" s="565">
        <f>BR51/(BR44+BR51)</f>
        <v>0.3598257591376593</v>
      </c>
      <c r="BS65" s="565">
        <f>BS51/(BS44+BS51)</f>
        <v>0.35388962323934214</v>
      </c>
      <c r="BT65" s="565">
        <f>BT51/(BT44+BT51)</f>
        <v>0.34679458571256244</v>
      </c>
      <c r="BU65" s="567">
        <f>BU51/(BU44+BU51)</f>
        <v>0.34679458571256244</v>
      </c>
      <c r="BV65" s="100"/>
      <c r="BW65" s="564">
        <f>BW51/(BW44+BW51)</f>
        <v>0.34286657782659735</v>
      </c>
      <c r="BX65" s="565">
        <f>BX51/(BX44+BX51)</f>
        <v>0.33796438906095694</v>
      </c>
      <c r="BY65" s="565">
        <f>BY51/(BY44+BY51)</f>
        <v>0.33311761289662428</v>
      </c>
      <c r="BZ65" s="565">
        <f>BZ51/(BZ44+BZ51)</f>
        <v>0.3271609213133268</v>
      </c>
      <c r="CA65" s="567">
        <f>CA51/(CA44+CA51)</f>
        <v>0.3271609213133268</v>
      </c>
      <c r="CB65" s="100"/>
      <c r="CC65" s="564">
        <f>CC51/(CC44+CC51)</f>
        <v>0.32379842304505208</v>
      </c>
      <c r="CD65" s="565">
        <f>CD51/(CD44+CD51)</f>
        <v>0.31948600558631857</v>
      </c>
      <c r="CE65" s="565">
        <f>CE51/(CE44+CE51)</f>
        <v>0.30206772110665409</v>
      </c>
      <c r="CF65" s="565">
        <f>CF51/(CF44+CF51)</f>
        <v>0.29698726257619662</v>
      </c>
      <c r="CG65" s="567">
        <f>CG51/(CG44+CG51)</f>
        <v>0.29698726257619662</v>
      </c>
      <c r="CH65" s="100"/>
      <c r="CI65" s="100"/>
      <c r="CJ65" s="100"/>
      <c r="CK65" s="100"/>
      <c r="CL65" s="100"/>
      <c r="CM65" s="100"/>
      <c r="CN65" s="100"/>
      <c r="CO65"/>
      <c r="CP65"/>
      <c r="CQ65"/>
      <c r="CR65"/>
      <c r="CS65"/>
      <c r="CT65"/>
    </row>
    <row r="66" spans="2:98" s="7" customFormat="1" ht="11.25" customHeight="1" outlineLevel="1" x14ac:dyDescent="0.2">
      <c r="B66" s="127"/>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c r="CP66"/>
      <c r="CQ66"/>
      <c r="CR66"/>
      <c r="CS66"/>
      <c r="CT66"/>
    </row>
    <row r="67" spans="2:98" s="7" customFormat="1" ht="11.25" customHeight="1" outlineLevel="1" x14ac:dyDescent="0.2">
      <c r="B67" s="815" t="s">
        <v>57</v>
      </c>
      <c r="C67" s="816"/>
      <c r="D67" s="816"/>
      <c r="E67" s="816"/>
      <c r="F67" s="816"/>
      <c r="G67" s="816"/>
      <c r="H67" s="816"/>
      <c r="I67" s="816"/>
      <c r="J67" s="816"/>
      <c r="K67" s="816"/>
      <c r="L67" s="816"/>
      <c r="M67" s="816"/>
      <c r="N67" s="816"/>
      <c r="O67" s="816"/>
      <c r="P67" s="816"/>
      <c r="Q67" s="816"/>
      <c r="R67" s="816"/>
      <c r="S67" s="816"/>
      <c r="T67" s="816"/>
      <c r="U67" s="816"/>
      <c r="V67" s="816"/>
      <c r="W67" s="816"/>
      <c r="X67" s="816"/>
      <c r="Y67" s="816"/>
      <c r="Z67" s="816"/>
      <c r="AA67" s="816"/>
      <c r="AB67" s="816"/>
      <c r="AC67" s="816"/>
      <c r="AD67" s="816"/>
      <c r="AE67" s="816"/>
      <c r="AF67" s="816"/>
      <c r="AG67" s="816"/>
      <c r="AH67" s="816"/>
      <c r="AI67" s="816"/>
      <c r="AJ67" s="816"/>
      <c r="AK67" s="816"/>
      <c r="AL67" s="816"/>
      <c r="AM67" s="816"/>
      <c r="AN67" s="816"/>
      <c r="AO67" s="816"/>
      <c r="AP67" s="816"/>
      <c r="AQ67" s="816"/>
      <c r="AR67" s="816"/>
      <c r="AS67" s="816"/>
      <c r="AT67" s="816"/>
      <c r="AU67" s="816"/>
      <c r="AV67" s="816"/>
      <c r="AW67" s="816"/>
      <c r="AX67" s="816"/>
      <c r="AY67" s="816"/>
      <c r="AZ67" s="816"/>
      <c r="BA67" s="816"/>
      <c r="BB67" s="816"/>
      <c r="BC67" s="816"/>
      <c r="BD67" s="816"/>
      <c r="BE67" s="816"/>
      <c r="BF67" s="816"/>
      <c r="BG67" s="816"/>
      <c r="BH67" s="816"/>
      <c r="BI67" s="816"/>
      <c r="BJ67" s="816"/>
      <c r="BK67" s="816"/>
      <c r="BL67" s="816"/>
      <c r="BM67" s="816"/>
      <c r="BN67" s="816"/>
      <c r="BO67" s="816"/>
      <c r="BP67" s="816"/>
      <c r="BQ67" s="816"/>
      <c r="BR67" s="816"/>
      <c r="BS67" s="816"/>
      <c r="BT67" s="816"/>
      <c r="BU67" s="816"/>
      <c r="BV67" s="816"/>
      <c r="BW67" s="816"/>
      <c r="BX67" s="816"/>
      <c r="BY67" s="816"/>
      <c r="BZ67" s="816"/>
      <c r="CA67" s="816"/>
      <c r="CB67" s="816"/>
      <c r="CC67" s="816"/>
      <c r="CD67" s="816"/>
      <c r="CE67" s="816"/>
      <c r="CF67" s="816"/>
      <c r="CG67" s="816"/>
      <c r="CH67" s="16"/>
      <c r="CI67" s="16"/>
      <c r="CJ67" s="16"/>
      <c r="CK67" s="16"/>
      <c r="CL67" s="16"/>
      <c r="CM67" s="16"/>
      <c r="CN67" s="16"/>
      <c r="CO67"/>
      <c r="CP67"/>
      <c r="CQ67"/>
      <c r="CR67"/>
      <c r="CS67"/>
      <c r="CT67"/>
    </row>
    <row r="68" spans="2:98" s="7" customFormat="1" ht="11.25" customHeight="1" outlineLevel="1" x14ac:dyDescent="0.2">
      <c r="B68" s="544" t="s">
        <v>58</v>
      </c>
      <c r="C68" s="563">
        <f>C14/C27</f>
        <v>2.2226313859621984</v>
      </c>
      <c r="D68" s="181">
        <f>D14/D27</f>
        <v>2.2479165104532348</v>
      </c>
      <c r="E68" s="181">
        <f>E14/E27</f>
        <v>1.8280752072954589</v>
      </c>
      <c r="F68" s="181">
        <f>F14/F27</f>
        <v>1.9654713444796568</v>
      </c>
      <c r="G68" s="566">
        <f>G14/G27</f>
        <v>1.9654713444796568</v>
      </c>
      <c r="H68" s="100"/>
      <c r="I68" s="563">
        <f>I14/I27</f>
        <v>2.1059695116467312</v>
      </c>
      <c r="J68" s="181">
        <f>J14/J27</f>
        <v>2.09490702069172</v>
      </c>
      <c r="K68" s="181">
        <f>K14/K27</f>
        <v>1.8299860633888674</v>
      </c>
      <c r="L68" s="181">
        <f>L14/L27</f>
        <v>1.7454820409490859</v>
      </c>
      <c r="M68" s="566">
        <f>M14/M27</f>
        <v>1.7454820409490859</v>
      </c>
      <c r="N68" s="100"/>
      <c r="O68" s="563">
        <f>O14/O27</f>
        <v>1.9175262010999272</v>
      </c>
      <c r="P68" s="181">
        <f>P14/P27</f>
        <v>1.9754787199842663</v>
      </c>
      <c r="Q68" s="181">
        <f>Q14/Q27</f>
        <v>2.020876776007789</v>
      </c>
      <c r="R68" s="181">
        <f>R14/R27</f>
        <v>2.0474098121818827</v>
      </c>
      <c r="S68" s="566">
        <f>S14/S27</f>
        <v>2.0474098121818827</v>
      </c>
      <c r="T68" s="100"/>
      <c r="U68" s="563">
        <f>U14/U27</f>
        <v>2.1890082663376305</v>
      </c>
      <c r="V68" s="181">
        <f>V14/V27</f>
        <v>2.1560626273512784</v>
      </c>
      <c r="W68" s="181">
        <f>W14/W27</f>
        <v>1.7456445749495009</v>
      </c>
      <c r="X68" s="181">
        <f>X14/X27</f>
        <v>1.8571407780413618</v>
      </c>
      <c r="Y68" s="566">
        <f>Y14/Y27</f>
        <v>1.8571407780413618</v>
      </c>
      <c r="Z68" s="100"/>
      <c r="AA68" s="563">
        <f>AA14/AA27</f>
        <v>1.8323655022715064</v>
      </c>
      <c r="AB68" s="181">
        <f>AB14/AB27</f>
        <v>1.8990415903698223</v>
      </c>
      <c r="AC68" s="181">
        <f>AC14/AC27</f>
        <v>1.9287702521825414</v>
      </c>
      <c r="AD68" s="181">
        <f>AD14/AD27</f>
        <v>1.7870686672328651</v>
      </c>
      <c r="AE68" s="566">
        <f>AE14/AE27</f>
        <v>1.7870686672328651</v>
      </c>
      <c r="AF68" s="100"/>
      <c r="AG68" s="563">
        <f>AG14/AG27</f>
        <v>2.0252278920164057</v>
      </c>
      <c r="AH68" s="181">
        <f>AH14/AH27</f>
        <v>1.8163050643030449</v>
      </c>
      <c r="AI68" s="181">
        <f>AI14/AI27</f>
        <v>1.7337831738394076</v>
      </c>
      <c r="AJ68" s="181">
        <f>AJ14/AJ27</f>
        <v>1.8363281544419161</v>
      </c>
      <c r="AK68" s="566">
        <f>AK14/AK27</f>
        <v>1.8363281544419161</v>
      </c>
      <c r="AL68" s="100"/>
      <c r="AM68" s="563">
        <f>AM14/AM27</f>
        <v>2.0807013534057264</v>
      </c>
      <c r="AN68" s="181">
        <f>AN14/AN27</f>
        <v>1.9578463633700693</v>
      </c>
      <c r="AO68" s="181">
        <f>AO14/AO27</f>
        <v>1.8219980711330193</v>
      </c>
      <c r="AP68" s="181">
        <f>AP14/AP27</f>
        <v>1.8280342021445017</v>
      </c>
      <c r="AQ68" s="566">
        <f>AQ14/AQ27</f>
        <v>1.8280342021445017</v>
      </c>
      <c r="AR68" s="100"/>
      <c r="AS68" s="563">
        <f>AS14/AS27</f>
        <v>1.7832861514658818</v>
      </c>
      <c r="AT68" s="181">
        <f>AT14/AT27</f>
        <v>1.8861332429993889</v>
      </c>
      <c r="AU68" s="181">
        <f>AU14/AU27</f>
        <v>1.7166013809081069</v>
      </c>
      <c r="AV68" s="181">
        <f>AV14/AV27</f>
        <v>1.63650806045241</v>
      </c>
      <c r="AW68" s="566">
        <f>AW14/AW27</f>
        <v>1.63650806045241</v>
      </c>
      <c r="AX68" s="100"/>
      <c r="AY68" s="563">
        <f>AY14/AY27</f>
        <v>1.8116003022939042</v>
      </c>
      <c r="AZ68" s="181">
        <f>AZ14/AZ27</f>
        <v>1.7750732858324645</v>
      </c>
      <c r="BA68" s="181">
        <f>BA14/BA27</f>
        <v>1.7360518472069753</v>
      </c>
      <c r="BB68" s="181">
        <f>BB14/BB27</f>
        <v>1.50493922441438</v>
      </c>
      <c r="BC68" s="566">
        <f>BC14/BC27</f>
        <v>1.50493922441438</v>
      </c>
      <c r="BD68" s="100"/>
      <c r="BE68" s="563">
        <f>BE14/BE27</f>
        <v>1.6457843606855633</v>
      </c>
      <c r="BF68" s="181">
        <f>BF14/BF27</f>
        <v>1.7151972461316898</v>
      </c>
      <c r="BG68" s="181">
        <f>BG14/BG27</f>
        <v>1.611034709301328</v>
      </c>
      <c r="BH68" s="181">
        <f>BH14/BH27</f>
        <v>1.4462208477433878</v>
      </c>
      <c r="BI68" s="566">
        <f>BI14/BI27</f>
        <v>1.4462208477433878</v>
      </c>
      <c r="BJ68" s="100"/>
      <c r="BK68" s="563">
        <f>BK14/BK27</f>
        <v>1.4842957480248808</v>
      </c>
      <c r="BL68" s="181">
        <f>BL14/BL27</f>
        <v>1.5533015388271911</v>
      </c>
      <c r="BM68" s="181">
        <f>BM14/BM27</f>
        <v>1.5520315352336154</v>
      </c>
      <c r="BN68" s="181">
        <f>BN14/BN27</f>
        <v>1.4527909401829469</v>
      </c>
      <c r="BO68" s="566">
        <f>BO14/BO27</f>
        <v>1.4527909401829469</v>
      </c>
      <c r="BP68" s="100"/>
      <c r="BQ68" s="563">
        <f>BQ14/BQ27</f>
        <v>1.5459893837359346</v>
      </c>
      <c r="BR68" s="181">
        <f>BR14/BR27</f>
        <v>1.5934944039855876</v>
      </c>
      <c r="BS68" s="181">
        <f>BS14/BS27</f>
        <v>1.6185496248386895</v>
      </c>
      <c r="BT68" s="181">
        <f>BT14/BT27</f>
        <v>1.62633484493877</v>
      </c>
      <c r="BU68" s="566">
        <f>BU14/BU27</f>
        <v>1.62633484493877</v>
      </c>
      <c r="BV68" s="100"/>
      <c r="BW68" s="563">
        <f>BW14/BW27</f>
        <v>1.6927169271466354</v>
      </c>
      <c r="BX68" s="181">
        <f>BX14/BX27</f>
        <v>1.7416585366839732</v>
      </c>
      <c r="BY68" s="181">
        <f>BY14/BY27</f>
        <v>1.758163522803909</v>
      </c>
      <c r="BZ68" s="181">
        <f>BZ14/BZ27</f>
        <v>1.7533747185207875</v>
      </c>
      <c r="CA68" s="566">
        <f>CA14/CA27</f>
        <v>1.7533747185207875</v>
      </c>
      <c r="CB68" s="100"/>
      <c r="CC68" s="563">
        <f>CC14/CC27</f>
        <v>1.8263846531731549</v>
      </c>
      <c r="CD68" s="181">
        <f>CD14/CD27</f>
        <v>1.8754899371533389</v>
      </c>
      <c r="CE68" s="181">
        <f>CE14/CE27</f>
        <v>1.8479354102381094</v>
      </c>
      <c r="CF68" s="181">
        <f>CF14/CF27</f>
        <v>1.8345455135218471</v>
      </c>
      <c r="CG68" s="566">
        <f>CG14/CG27</f>
        <v>1.8345455135218471</v>
      </c>
      <c r="CH68" s="100"/>
      <c r="CI68" s="100"/>
      <c r="CJ68" s="100"/>
      <c r="CK68" s="100"/>
      <c r="CL68" s="100"/>
      <c r="CM68" s="100"/>
      <c r="CN68" s="100"/>
      <c r="CO68"/>
      <c r="CP68"/>
      <c r="CQ68"/>
      <c r="CR68"/>
      <c r="CS68"/>
      <c r="CT68"/>
    </row>
    <row r="69" spans="2:98" s="7" customFormat="1" ht="11.25" customHeight="1" outlineLevel="1" x14ac:dyDescent="0.2">
      <c r="B69" s="545" t="s">
        <v>59</v>
      </c>
      <c r="C69" s="563">
        <f>(C9+C10)/C27</f>
        <v>1.1055771357201378</v>
      </c>
      <c r="D69" s="181">
        <f>(D9+D10)/D27</f>
        <v>1.1290993244763159</v>
      </c>
      <c r="E69" s="181">
        <f>(E9+E10)/E27</f>
        <v>0.95873027771229846</v>
      </c>
      <c r="F69" s="181">
        <f>(F9+F10)/F27</f>
        <v>1.016220888140934</v>
      </c>
      <c r="G69" s="566">
        <f>(G9+G10)/G27</f>
        <v>1.016220888140934</v>
      </c>
      <c r="H69" s="100"/>
      <c r="I69" s="563">
        <f>(I9+I10)/I27</f>
        <v>1.018026576130947</v>
      </c>
      <c r="J69" s="181">
        <f>(J9+J10)/J27</f>
        <v>1.0879924236671448</v>
      </c>
      <c r="K69" s="181">
        <f>(K9+K10)/K27</f>
        <v>0.95908959587461762</v>
      </c>
      <c r="L69" s="181">
        <f>(L9+L10)/L27</f>
        <v>0.93235586082210764</v>
      </c>
      <c r="M69" s="566">
        <f>(M9+M10)/M27</f>
        <v>0.93235586082210764</v>
      </c>
      <c r="N69" s="100"/>
      <c r="O69" s="563">
        <f>(O9+O10)/O27</f>
        <v>0.97377567608967419</v>
      </c>
      <c r="P69" s="181">
        <f>(P9+P10)/P27</f>
        <v>1.0635932648267983</v>
      </c>
      <c r="Q69" s="181">
        <f>(Q9+Q10)/Q27</f>
        <v>1.051264461187756</v>
      </c>
      <c r="R69" s="181">
        <f>(R9+R10)/R27</f>
        <v>1.1117738006084066</v>
      </c>
      <c r="S69" s="566">
        <f>(S9+S10)/S27</f>
        <v>1.1117738006084066</v>
      </c>
      <c r="T69" s="100"/>
      <c r="U69" s="563">
        <f>(U9+U10)/U27</f>
        <v>1.1425832280438044</v>
      </c>
      <c r="V69" s="181">
        <f>(V9+V10)/V27</f>
        <v>1.121649157033201</v>
      </c>
      <c r="W69" s="181">
        <f>(W9+W10)/W27</f>
        <v>0.87505038259709367</v>
      </c>
      <c r="X69" s="181">
        <f>(X9+X10)/X27</f>
        <v>0.88703324324301192</v>
      </c>
      <c r="Y69" s="566">
        <f>(Y9+Y10)/Y27</f>
        <v>0.88703324324301192</v>
      </c>
      <c r="Z69" s="100"/>
      <c r="AA69" s="563">
        <f>(AA9+AA10)/AA27</f>
        <v>0.85209969510688277</v>
      </c>
      <c r="AB69" s="181">
        <f>(AB9+AB10)/AB27</f>
        <v>0.90938724033809115</v>
      </c>
      <c r="AC69" s="181">
        <f>(AC9+AC10)/AC27</f>
        <v>0.90725449327091467</v>
      </c>
      <c r="AD69" s="181">
        <f>(AD9+AD10)/AD27</f>
        <v>0.81432795445251815</v>
      </c>
      <c r="AE69" s="566">
        <f>(AE9+AE10)/AE27</f>
        <v>0.81432795445251815</v>
      </c>
      <c r="AF69" s="100"/>
      <c r="AG69" s="563">
        <f>(AG9+AG10)/AG27</f>
        <v>0.92990038063936187</v>
      </c>
      <c r="AH69" s="181">
        <f>(AH9+AH10)/AH27</f>
        <v>0.82604284999696143</v>
      </c>
      <c r="AI69" s="181">
        <f>(AI9+AI10)/AI27</f>
        <v>0.77632685005362478</v>
      </c>
      <c r="AJ69" s="181">
        <f>(AJ9+AJ10)/AJ27</f>
        <v>0.77223266782507605</v>
      </c>
      <c r="AK69" s="566">
        <f>(AK9+AK10)/AK27</f>
        <v>0.77223266782507605</v>
      </c>
      <c r="AL69" s="100"/>
      <c r="AM69" s="563">
        <f>(AM9+AM10)/AM27</f>
        <v>0.90033229542987148</v>
      </c>
      <c r="AN69" s="181">
        <f>(AN9+AN10)/AN27</f>
        <v>0.85119318895106644</v>
      </c>
      <c r="AO69" s="181">
        <f>(AO9+AO10)/AO27</f>
        <v>0.81108303461244635</v>
      </c>
      <c r="AP69" s="181">
        <f>(AP9+AP10)/AP27</f>
        <v>0.80212915378776684</v>
      </c>
      <c r="AQ69" s="566">
        <f>(AQ9+AQ10)/AQ27</f>
        <v>0.80212915378776684</v>
      </c>
      <c r="AR69" s="100"/>
      <c r="AS69" s="563">
        <f>(AS9+AS10)/AS27</f>
        <v>0.77211127027802695</v>
      </c>
      <c r="AT69" s="181">
        <f>(AT9+AT10)/AT27</f>
        <v>0.82767029751259946</v>
      </c>
      <c r="AU69" s="181">
        <f>(AU9+AU10)/AU27</f>
        <v>0.73612848612467552</v>
      </c>
      <c r="AV69" s="181">
        <f>(AV9+AV10)/AV27</f>
        <v>0.68366017624743625</v>
      </c>
      <c r="AW69" s="566">
        <f>(AW9+AW10)/AW27</f>
        <v>0.68366017624743625</v>
      </c>
      <c r="AX69" s="100"/>
      <c r="AY69" s="563">
        <f>(AY9+AY10)/AY27</f>
        <v>0.74893056096982291</v>
      </c>
      <c r="AZ69" s="181">
        <f>(AZ9+AZ10)/AZ27</f>
        <v>0.74015819231131108</v>
      </c>
      <c r="BA69" s="181">
        <f>(BA9+BA10)/BA27</f>
        <v>0.71447759142838541</v>
      </c>
      <c r="BB69" s="181">
        <f>(BB9+BB10)/BB27</f>
        <v>0.60638277556978426</v>
      </c>
      <c r="BC69" s="566">
        <f>(BC9+BC10)/BC27</f>
        <v>0.60638277556978426</v>
      </c>
      <c r="BD69" s="100"/>
      <c r="BE69" s="563">
        <f>(BE9+BE10)/BE27</f>
        <v>0.6775151144349898</v>
      </c>
      <c r="BF69" s="181">
        <f>(BF9+BF10)/BF27</f>
        <v>0.71158954467814306</v>
      </c>
      <c r="BG69" s="181">
        <f>(BG9+BG10)/BG27</f>
        <v>0.70786284935442512</v>
      </c>
      <c r="BH69" s="181">
        <f>(BH9+BH10)/BH27</f>
        <v>0.5747374321479618</v>
      </c>
      <c r="BI69" s="566">
        <f>(BI9+BI10)/BI27</f>
        <v>0.5747374321479618</v>
      </c>
      <c r="BJ69" s="100"/>
      <c r="BK69" s="563">
        <f>(BK9+BK10)/BK27</f>
        <v>0.62382954294855408</v>
      </c>
      <c r="BL69" s="181">
        <f>(BL9+BL10)/BL27</f>
        <v>0.66535901109668627</v>
      </c>
      <c r="BM69" s="181">
        <f>(BM9+BM10)/BM27</f>
        <v>0.66654206742555955</v>
      </c>
      <c r="BN69" s="181">
        <f>(BN9+BN10)/BN27</f>
        <v>0.59242709948617089</v>
      </c>
      <c r="BO69" s="566">
        <f>(BO9+BO10)/BO27</f>
        <v>0.59242709948617089</v>
      </c>
      <c r="BP69" s="100"/>
      <c r="BQ69" s="563">
        <f>(BQ9+BQ10)/BQ27</f>
        <v>0.62758452403299947</v>
      </c>
      <c r="BR69" s="181">
        <f>(BR9+BR10)/BR27</f>
        <v>0.66090892039299232</v>
      </c>
      <c r="BS69" s="181">
        <f>(BS9+BS10)/BS27</f>
        <v>0.70221716394981271</v>
      </c>
      <c r="BT69" s="181">
        <f>(BT9+BT10)/BT27</f>
        <v>0.69513849312225484</v>
      </c>
      <c r="BU69" s="566">
        <f>(BU9+BU10)/BU27</f>
        <v>0.69513849312225484</v>
      </c>
      <c r="BV69" s="100"/>
      <c r="BW69" s="563">
        <f>(BW9+BW10)/BW27</f>
        <v>0.7068087586113565</v>
      </c>
      <c r="BX69" s="181">
        <f>(BX9+BX10)/BX27</f>
        <v>0.73630336447472367</v>
      </c>
      <c r="BY69" s="181">
        <f>(BY9+BY10)/BY27</f>
        <v>0.77033173963742674</v>
      </c>
      <c r="BZ69" s="181">
        <f>(BZ9+BZ10)/BZ27</f>
        <v>0.7535153755557904</v>
      </c>
      <c r="CA69" s="566">
        <f>(CA9+CA10)/CA27</f>
        <v>0.7535153755557904</v>
      </c>
      <c r="CB69" s="100"/>
      <c r="CC69" s="563">
        <f>(CC9+CC10)/CC27</f>
        <v>0.77092845526277087</v>
      </c>
      <c r="CD69" s="181">
        <f>(CD9+CD10)/CD27</f>
        <v>0.79613052601955658</v>
      </c>
      <c r="CE69" s="181">
        <f>(CE9+CE10)/CE27</f>
        <v>0.78746765698616017</v>
      </c>
      <c r="CF69" s="181">
        <f>(CF9+CF10)/CF27</f>
        <v>0.76496888337482338</v>
      </c>
      <c r="CG69" s="566">
        <f>(CG9+CG10)/CG27</f>
        <v>0.76496888337482338</v>
      </c>
      <c r="CH69" s="100"/>
      <c r="CI69" s="100"/>
      <c r="CJ69" s="100"/>
      <c r="CK69" s="100"/>
      <c r="CL69" s="100"/>
      <c r="CM69" s="100"/>
      <c r="CN69" s="100"/>
      <c r="CO69"/>
      <c r="CP69"/>
      <c r="CQ69"/>
      <c r="CR69"/>
      <c r="CS69"/>
      <c r="CT69"/>
    </row>
    <row r="70" spans="2:98" s="7" customFormat="1" ht="11.25" customHeight="1" outlineLevel="1" x14ac:dyDescent="0.2">
      <c r="B70" s="545" t="s">
        <v>60</v>
      </c>
      <c r="C70" s="563">
        <f>C9/C27</f>
        <v>0.22122915270162652</v>
      </c>
      <c r="D70" s="181">
        <f>D9/D27</f>
        <v>0.26035405348293467</v>
      </c>
      <c r="E70" s="181">
        <f>E9/E27</f>
        <v>0.20461568353994661</v>
      </c>
      <c r="F70" s="181">
        <f>F9/F27</f>
        <v>0.26321468703721618</v>
      </c>
      <c r="G70" s="566">
        <f>G9/G27</f>
        <v>0.26321468703721618</v>
      </c>
      <c r="H70" s="100"/>
      <c r="I70" s="563">
        <f>I9/I27</f>
        <v>0.22825344005755913</v>
      </c>
      <c r="J70" s="181">
        <f>J9/J27</f>
        <v>0.2944529180380509</v>
      </c>
      <c r="K70" s="181">
        <f>K9/K27</f>
        <v>0.26198285088189488</v>
      </c>
      <c r="L70" s="181">
        <f>L9/L27</f>
        <v>0.3122251650593707</v>
      </c>
      <c r="M70" s="566">
        <f>M9/M27</f>
        <v>0.3122251650593707</v>
      </c>
      <c r="N70" s="100"/>
      <c r="O70" s="563">
        <f>O9/O27</f>
        <v>0.3045365827144389</v>
      </c>
      <c r="P70" s="181">
        <f>P9/P27</f>
        <v>0.37241729481132962</v>
      </c>
      <c r="Q70" s="181">
        <f>Q9/Q27</f>
        <v>0.30861578764281428</v>
      </c>
      <c r="R70" s="181">
        <f>R9/R27</f>
        <v>0.43777212442416014</v>
      </c>
      <c r="S70" s="566">
        <f>S9/S27</f>
        <v>0.43777212442416014</v>
      </c>
      <c r="T70" s="100"/>
      <c r="U70" s="563">
        <f>U9/U27</f>
        <v>0.35052585585345669</v>
      </c>
      <c r="V70" s="181">
        <f>V9/V27</f>
        <v>0.31291847471781731</v>
      </c>
      <c r="W70" s="181">
        <f>W9/W27</f>
        <v>0.15821882860752987</v>
      </c>
      <c r="X70" s="181">
        <f>X9/X27</f>
        <v>0.12871301538327198</v>
      </c>
      <c r="Y70" s="566">
        <f>Y9/Y27</f>
        <v>0.12871301538327198</v>
      </c>
      <c r="Z70" s="100"/>
      <c r="AA70" s="563">
        <f>AA9/AA27</f>
        <v>9.4564670479653681E-2</v>
      </c>
      <c r="AB70" s="181">
        <f>AB9/AB27</f>
        <v>0.13079724644183857</v>
      </c>
      <c r="AC70" s="181">
        <f>AC9/AC27</f>
        <v>8.895977199022434E-2</v>
      </c>
      <c r="AD70" s="181">
        <f>AD9/AD27</f>
        <v>0.11582208801233054</v>
      </c>
      <c r="AE70" s="566">
        <f>AE9/AE27</f>
        <v>0.11582208801233054</v>
      </c>
      <c r="AF70" s="100"/>
      <c r="AG70" s="563">
        <f>AG9/AG27</f>
        <v>8.9377387774594086E-2</v>
      </c>
      <c r="AH70" s="181">
        <f>AH9/AH27</f>
        <v>6.848395034025373E-2</v>
      </c>
      <c r="AI70" s="181">
        <f>AI9/AI27</f>
        <v>6.1655341286634954E-2</v>
      </c>
      <c r="AJ70" s="181">
        <f>AJ9/AJ27</f>
        <v>8.2894855670740106E-2</v>
      </c>
      <c r="AK70" s="566">
        <f>AK9/AK27</f>
        <v>8.2894855670740106E-2</v>
      </c>
      <c r="AL70" s="100"/>
      <c r="AM70" s="563">
        <f>AM9/AM27</f>
        <v>7.2882874110009183E-2</v>
      </c>
      <c r="AN70" s="181">
        <f>AN9/AN27</f>
        <v>5.9983946254189381E-2</v>
      </c>
      <c r="AO70" s="181">
        <f>AO9/AO27</f>
        <v>4.8335747297685021E-2</v>
      </c>
      <c r="AP70" s="181">
        <f>AP9/AP27</f>
        <v>0.1216357132400786</v>
      </c>
      <c r="AQ70" s="566">
        <f>AQ9/AQ27</f>
        <v>0.1216357132400786</v>
      </c>
      <c r="AR70" s="100"/>
      <c r="AS70" s="563">
        <f>AS9/AS27</f>
        <v>8.0033546958613644E-2</v>
      </c>
      <c r="AT70" s="181">
        <f>AT9/AT27</f>
        <v>5.8098284799349163E-2</v>
      </c>
      <c r="AU70" s="181">
        <f>AU9/AU27</f>
        <v>4.4870720128687779E-2</v>
      </c>
      <c r="AV70" s="181">
        <f>AV9/AV27</f>
        <v>5.0263157746904548E-2</v>
      </c>
      <c r="AW70" s="566">
        <f>AW9/AW27</f>
        <v>5.0263157746904548E-2</v>
      </c>
      <c r="AX70" s="100"/>
      <c r="AY70" s="563">
        <f>AY9/AY27</f>
        <v>3.8272890714547536E-2</v>
      </c>
      <c r="AZ70" s="181">
        <f>AZ9/AZ27</f>
        <v>2.8757128490623441E-2</v>
      </c>
      <c r="BA70" s="181">
        <f>BA9/BA27</f>
        <v>3.365138784641912E-2</v>
      </c>
      <c r="BB70" s="181">
        <f>BB9/BB27</f>
        <v>3.3575268153611768E-2</v>
      </c>
      <c r="BC70" s="566">
        <f>BC9/BC27</f>
        <v>3.3575268153611768E-2</v>
      </c>
      <c r="BD70" s="100"/>
      <c r="BE70" s="563">
        <f>BE9/BE27</f>
        <v>3.6032128740369831E-2</v>
      </c>
      <c r="BF70" s="181">
        <f>BF9/BF27</f>
        <v>3.3261604930002006E-2</v>
      </c>
      <c r="BG70" s="181">
        <f>BG9/BG27</f>
        <v>3.7355337054550887E-2</v>
      </c>
      <c r="BH70" s="181">
        <f>BH9/BH27</f>
        <v>2.7232929051455357E-2</v>
      </c>
      <c r="BI70" s="566">
        <f>BI9/BI27</f>
        <v>2.7232929051455357E-2</v>
      </c>
      <c r="BJ70" s="100"/>
      <c r="BK70" s="563">
        <f>BK9/BK27</f>
        <v>2.7516898336944609E-2</v>
      </c>
      <c r="BL70" s="181">
        <f>BL9/BL27</f>
        <v>3.3477955734334257E-2</v>
      </c>
      <c r="BM70" s="181">
        <f>BM9/BM27</f>
        <v>3.2775618376733123E-2</v>
      </c>
      <c r="BN70" s="181">
        <f>BN9/BN27</f>
        <v>6.2912274445603086E-2</v>
      </c>
      <c r="BO70" s="566">
        <f>BO9/BO27</f>
        <v>6.2912274445603086E-2</v>
      </c>
      <c r="BP70" s="100"/>
      <c r="BQ70" s="563">
        <f>BQ9/BQ27</f>
        <v>6.5571856342614143E-2</v>
      </c>
      <c r="BR70" s="181">
        <f>BR9/BR27</f>
        <v>5.0997180927704014E-2</v>
      </c>
      <c r="BS70" s="181">
        <f>BS9/BS27</f>
        <v>7.8345610458194714E-2</v>
      </c>
      <c r="BT70" s="181">
        <f>BT9/BT27</f>
        <v>0.1045908560177196</v>
      </c>
      <c r="BU70" s="566">
        <f>BU9/BU27</f>
        <v>0.1045908560177196</v>
      </c>
      <c r="BV70" s="100"/>
      <c r="BW70" s="563">
        <f>BW9/BW27</f>
        <v>0.12848830577605064</v>
      </c>
      <c r="BX70" s="181">
        <f>BX9/BX27</f>
        <v>0.10991590248205171</v>
      </c>
      <c r="BY70" s="181">
        <f>BY9/BY27</f>
        <v>0.13023808664887798</v>
      </c>
      <c r="BZ70" s="181">
        <f>BZ9/BZ27</f>
        <v>0.14820175938093164</v>
      </c>
      <c r="CA70" s="566">
        <f>CA9/CA27</f>
        <v>0.14820175938093164</v>
      </c>
      <c r="CB70" s="100"/>
      <c r="CC70" s="563">
        <f>CC9/CC27</f>
        <v>0.17800945936354692</v>
      </c>
      <c r="CD70" s="181">
        <f>CD9/CD27</f>
        <v>0.15370249299715455</v>
      </c>
      <c r="CE70" s="181">
        <f>CE9/CE27</f>
        <v>0.13163048037996591</v>
      </c>
      <c r="CF70" s="181">
        <f>CF9/CF27</f>
        <v>0.14527330648575282</v>
      </c>
      <c r="CG70" s="566">
        <f>CG9/CG27</f>
        <v>0.14527330648575282</v>
      </c>
      <c r="CH70" s="100"/>
      <c r="CI70" s="100"/>
      <c r="CJ70" s="100"/>
      <c r="CK70" s="100"/>
      <c r="CL70" s="100"/>
      <c r="CM70" s="100"/>
      <c r="CN70" s="100"/>
      <c r="CO70"/>
      <c r="CP70"/>
      <c r="CQ70"/>
      <c r="CR70"/>
      <c r="CS70"/>
      <c r="CT70"/>
    </row>
    <row r="71" spans="2:98" s="7" customFormat="1" ht="11.25" customHeight="1" outlineLevel="1" x14ac:dyDescent="0.2">
      <c r="B71" s="546" t="s">
        <v>61</v>
      </c>
      <c r="C71" s="564">
        <f>(C14-C11)/C27</f>
        <v>1.3872555759898706</v>
      </c>
      <c r="D71" s="565">
        <f>(D14-D11)/D27</f>
        <v>1.4579096257012563</v>
      </c>
      <c r="E71" s="565">
        <f>(E14-E11)/E27</f>
        <v>1.1607875008260258</v>
      </c>
      <c r="F71" s="565">
        <f>(F14-F11)/F27</f>
        <v>1.2566064132998949</v>
      </c>
      <c r="G71" s="567">
        <f>(G14-G11)/G27</f>
        <v>1.2566064132998949</v>
      </c>
      <c r="H71" s="100"/>
      <c r="I71" s="564">
        <f>(I14-I11)/I27</f>
        <v>1.3170417753395092</v>
      </c>
      <c r="J71" s="565">
        <f>(J14-J11)/J27</f>
        <v>1.3425285685460688</v>
      </c>
      <c r="K71" s="565">
        <f>(K14-K11)/K27</f>
        <v>1.1653950493232472</v>
      </c>
      <c r="L71" s="565">
        <f>(L14-L11)/L27</f>
        <v>1.1273561353930377</v>
      </c>
      <c r="M71" s="567">
        <f>(M14-M11)/M27</f>
        <v>1.1273561353930377</v>
      </c>
      <c r="N71" s="100"/>
      <c r="O71" s="564">
        <f>(O14-O11)/O27</f>
        <v>1.1852819243293455</v>
      </c>
      <c r="P71" s="565">
        <f>(P14-P11)/P27</f>
        <v>1.277721886665431</v>
      </c>
      <c r="Q71" s="565">
        <f>(Q14-Q11)/Q27</f>
        <v>1.2723153641799807</v>
      </c>
      <c r="R71" s="565">
        <f>(R14-R11)/R27</f>
        <v>1.327134672670206</v>
      </c>
      <c r="S71" s="567">
        <f>(S14-S11)/S27</f>
        <v>1.327134672670206</v>
      </c>
      <c r="T71" s="100"/>
      <c r="U71" s="564">
        <f>(U14-U11)/U27</f>
        <v>1.393921909197521</v>
      </c>
      <c r="V71" s="565">
        <f>(V14-V11)/V27</f>
        <v>1.3788210255925517</v>
      </c>
      <c r="W71" s="565">
        <f>(W14-W11)/W27</f>
        <v>1.085882233251815</v>
      </c>
      <c r="X71" s="565">
        <f>(X14-X11)/X27</f>
        <v>1.1121568855744479</v>
      </c>
      <c r="Y71" s="567">
        <f>(Y14-Y11)/Y27</f>
        <v>1.1121568855744479</v>
      </c>
      <c r="Z71" s="100"/>
      <c r="AA71" s="564">
        <f>(AA14-AA11)/AA27</f>
        <v>1.0785664918980105</v>
      </c>
      <c r="AB71" s="565">
        <f>(AB14-AB11)/AB27</f>
        <v>1.1498393218776906</v>
      </c>
      <c r="AC71" s="565">
        <f>(AC14-AC11)/AC27</f>
        <v>1.1598973489868085</v>
      </c>
      <c r="AD71" s="565">
        <f>(AD14-AD11)/AD27</f>
        <v>1.0416934037935266</v>
      </c>
      <c r="AE71" s="567">
        <f>(AE14-AE11)/AE27</f>
        <v>1.0416934037935266</v>
      </c>
      <c r="AF71" s="100"/>
      <c r="AG71" s="564">
        <f>(AG14-AG11)/AG27</f>
        <v>1.1686163899657287</v>
      </c>
      <c r="AH71" s="565">
        <f>(AH14-AH11)/AH27</f>
        <v>1.0550810547164138</v>
      </c>
      <c r="AI71" s="565">
        <f>(AI14-AI11)/AI27</f>
        <v>0.99473207643009676</v>
      </c>
      <c r="AJ71" s="565">
        <f>(AJ14-AJ11)/AJ27</f>
        <v>1.0191219039199189</v>
      </c>
      <c r="AK71" s="567">
        <f>(AK14-AK11)/AK27</f>
        <v>1.0191219039199189</v>
      </c>
      <c r="AL71" s="100"/>
      <c r="AM71" s="564">
        <f>(AM14-AM11)/AM27</f>
        <v>1.1664318037871539</v>
      </c>
      <c r="AN71" s="565">
        <f>(AN14-AN11)/AN27</f>
        <v>1.1216729372648526</v>
      </c>
      <c r="AO71" s="565">
        <f>(AO14-AO11)/AO27</f>
        <v>1.0455378531503101</v>
      </c>
      <c r="AP71" s="565">
        <f>(AP14-AP11)/AP27</f>
        <v>1.0216675060925549</v>
      </c>
      <c r="AQ71" s="567">
        <f>(AQ14-AQ11)/AQ27</f>
        <v>1.0216675060925549</v>
      </c>
      <c r="AR71" s="100"/>
      <c r="AS71" s="564">
        <f>(AS14-AS11)/AS27</f>
        <v>1.0103963338852175</v>
      </c>
      <c r="AT71" s="565">
        <f>(AT14-AT11)/AT27</f>
        <v>1.0718096561890951</v>
      </c>
      <c r="AU71" s="565">
        <f>(AU14-AU11)/AU27</f>
        <v>0.96406742977335413</v>
      </c>
      <c r="AV71" s="565">
        <f>(AV14-AV11)/AV27</f>
        <v>0.89060176584493889</v>
      </c>
      <c r="AW71" s="567">
        <f>(AW14-AW11)/AW27</f>
        <v>0.89060176584493889</v>
      </c>
      <c r="AX71" s="100"/>
      <c r="AY71" s="564">
        <f>(AY14-AY11)/AY27</f>
        <v>0.97258279627032962</v>
      </c>
      <c r="AZ71" s="565">
        <f>(AZ14-AZ11)/AZ27</f>
        <v>0.97212450099038195</v>
      </c>
      <c r="BA71" s="565">
        <f>(BA14-BA11)/BA27</f>
        <v>0.94323035741211303</v>
      </c>
      <c r="BB71" s="565">
        <f>(BB14-BB11)/BB27</f>
        <v>0.80165132974102915</v>
      </c>
      <c r="BC71" s="567">
        <f>(BC14-BC11)/BC27</f>
        <v>0.80165132974102915</v>
      </c>
      <c r="BD71" s="100"/>
      <c r="BE71" s="564">
        <f>(BE14-BE11)/BE27</f>
        <v>0.89088323847398554</v>
      </c>
      <c r="BF71" s="565">
        <f>(BF14-BF11)/BF27</f>
        <v>0.93938601044946057</v>
      </c>
      <c r="BG71" s="565">
        <f>(BG14-BG11)/BG27</f>
        <v>0.89115218014811326</v>
      </c>
      <c r="BH71" s="565">
        <f>(BH14-BH11)/BH27</f>
        <v>0.73212098246520851</v>
      </c>
      <c r="BI71" s="567">
        <f>(BI14-BI11)/BI27</f>
        <v>0.73212098246520851</v>
      </c>
      <c r="BJ71" s="100"/>
      <c r="BK71" s="564">
        <f>(BK14-BK11)/BK27</f>
        <v>0.77371542885546363</v>
      </c>
      <c r="BL71" s="565">
        <f>(BL14-BL11)/BL27</f>
        <v>0.85052232229942903</v>
      </c>
      <c r="BM71" s="565">
        <f>(BM14-BM11)/BM27</f>
        <v>0.85767210595011301</v>
      </c>
      <c r="BN71" s="565">
        <f>(BN14-BN11)/BN27</f>
        <v>0.75622997498392575</v>
      </c>
      <c r="BO71" s="567">
        <f>(BO14-BO11)/BO27</f>
        <v>0.75622997498392575</v>
      </c>
      <c r="BP71" s="100"/>
      <c r="BQ71" s="564">
        <f>(BQ14-BQ11)/BQ27</f>
        <v>0.80119254733388034</v>
      </c>
      <c r="BR71" s="565">
        <f>(BR14-BR11)/BR27</f>
        <v>0.8471422141377809</v>
      </c>
      <c r="BS71" s="565">
        <f>(BS14-BS11)/BS27</f>
        <v>0.8870198540624985</v>
      </c>
      <c r="BT71" s="565">
        <f>(BT14-BT11)/BT27</f>
        <v>0.87498319770362987</v>
      </c>
      <c r="BU71" s="567">
        <f>(BU14-BU11)/BU27</f>
        <v>0.87498319770362987</v>
      </c>
      <c r="BV71" s="100"/>
      <c r="BW71" s="564">
        <f>(BW14-BW11)/BW27</f>
        <v>0.88329098704050457</v>
      </c>
      <c r="BX71" s="565">
        <f>(BX14-BX11)/BX27</f>
        <v>0.92530252303045046</v>
      </c>
      <c r="BY71" s="565">
        <f>(BY14-BY11)/BY27</f>
        <v>0.95778417483233702</v>
      </c>
      <c r="BZ71" s="565">
        <f>(BZ14-BZ11)/BZ27</f>
        <v>0.93570304269419013</v>
      </c>
      <c r="CA71" s="567">
        <f>(CA14-CA11)/CA27</f>
        <v>0.93570304269419013</v>
      </c>
      <c r="CB71" s="100"/>
      <c r="CC71" s="564">
        <f>(CC14-CC11)/CC27</f>
        <v>0.94970075311688462</v>
      </c>
      <c r="CD71" s="565">
        <f>(CD14-CD11)/CD27</f>
        <v>0.98770104927595159</v>
      </c>
      <c r="CE71" s="565">
        <f>(CE14-CE11)/CE27</f>
        <v>0.97737169112794342</v>
      </c>
      <c r="CF71" s="565">
        <f>(CF14-CF11)/CF27</f>
        <v>0.94933114768302163</v>
      </c>
      <c r="CG71" s="567">
        <f>(CG14-CG11)/CG27</f>
        <v>0.94933114768302163</v>
      </c>
      <c r="CH71" s="100"/>
      <c r="CI71" s="100"/>
      <c r="CJ71" s="100"/>
      <c r="CK71" s="100"/>
      <c r="CL71" s="100"/>
      <c r="CM71" s="100"/>
      <c r="CN71" s="100"/>
      <c r="CO71"/>
      <c r="CP71"/>
      <c r="CQ71"/>
      <c r="CR71"/>
      <c r="CS71"/>
      <c r="CT71"/>
    </row>
    <row r="72" spans="2:98" s="7" customFormat="1" ht="11.25" customHeight="1" outlineLevel="1" x14ac:dyDescent="0.2">
      <c r="B72" s="79"/>
      <c r="C72" s="36"/>
      <c r="D72" s="36"/>
      <c r="E72" s="36"/>
      <c r="F72" s="36"/>
      <c r="G72" s="36"/>
      <c r="H72" s="17"/>
      <c r="I72" s="36"/>
      <c r="J72" s="36"/>
      <c r="K72" s="36"/>
      <c r="L72" s="36"/>
      <c r="M72" s="36"/>
      <c r="N72" s="17"/>
      <c r="O72" s="36"/>
      <c r="P72" s="36"/>
      <c r="Q72" s="36"/>
      <c r="R72" s="36"/>
      <c r="S72" s="36"/>
      <c r="T72" s="17"/>
      <c r="U72" s="36"/>
      <c r="V72" s="36"/>
      <c r="W72" s="36"/>
      <c r="X72" s="36"/>
      <c r="Y72" s="36"/>
      <c r="Z72" s="17"/>
      <c r="AA72" s="36"/>
      <c r="AB72" s="36"/>
      <c r="AC72" s="36"/>
      <c r="AD72" s="36"/>
      <c r="AE72" s="36"/>
      <c r="AF72" s="17"/>
      <c r="AG72" s="36"/>
      <c r="AH72" s="36"/>
      <c r="AI72" s="36"/>
      <c r="AJ72" s="36"/>
      <c r="AK72" s="36"/>
      <c r="AL72" s="17"/>
      <c r="AM72" s="36"/>
      <c r="AN72" s="36"/>
      <c r="AO72" s="36"/>
      <c r="AP72" s="36"/>
      <c r="AQ72" s="36"/>
      <c r="AR72" s="17"/>
      <c r="AS72" s="36"/>
      <c r="AT72" s="36"/>
      <c r="AU72" s="36"/>
      <c r="AV72" s="36"/>
      <c r="AW72" s="36"/>
      <c r="AX72" s="17"/>
      <c r="AY72" s="36"/>
      <c r="AZ72" s="36"/>
      <c r="BA72" s="36"/>
      <c r="BB72" s="36"/>
      <c r="BC72" s="36"/>
      <c r="BD72" s="17"/>
      <c r="BE72" s="36"/>
      <c r="BF72" s="36"/>
      <c r="BG72" s="36"/>
      <c r="BH72" s="36"/>
      <c r="BI72" s="36"/>
      <c r="BJ72" s="17"/>
      <c r="BK72" s="36"/>
      <c r="BL72" s="36"/>
      <c r="BM72" s="36"/>
      <c r="BN72" s="36"/>
      <c r="BO72" s="36"/>
      <c r="BP72" s="17"/>
      <c r="BQ72" s="36"/>
      <c r="BR72" s="36"/>
      <c r="BS72" s="36"/>
      <c r="BT72" s="36"/>
      <c r="BU72" s="36"/>
      <c r="BV72" s="17"/>
      <c r="BW72" s="36"/>
      <c r="BX72" s="36"/>
      <c r="BY72" s="36"/>
      <c r="BZ72" s="36"/>
      <c r="CA72" s="36"/>
      <c r="CB72" s="17"/>
      <c r="CC72" s="36"/>
      <c r="CD72" s="36"/>
      <c r="CE72" s="36"/>
      <c r="CF72" s="36"/>
      <c r="CG72" s="36"/>
      <c r="CH72" s="36"/>
      <c r="CI72" s="36"/>
      <c r="CJ72" s="36"/>
      <c r="CK72" s="36"/>
      <c r="CL72" s="36"/>
      <c r="CM72" s="36"/>
      <c r="CN72" s="36"/>
      <c r="CO72"/>
      <c r="CP72"/>
      <c r="CQ72"/>
      <c r="CR72"/>
      <c r="CS72"/>
      <c r="CT72"/>
    </row>
    <row r="73" spans="2:98" s="7" customFormat="1" ht="11.25" customHeight="1" x14ac:dyDescent="0.2">
      <c r="B73" s="815" t="s">
        <v>62</v>
      </c>
      <c r="C73" s="816"/>
      <c r="D73" s="816"/>
      <c r="E73" s="816"/>
      <c r="F73" s="816"/>
      <c r="G73" s="816"/>
      <c r="H73" s="816"/>
      <c r="I73" s="816"/>
      <c r="J73" s="816"/>
      <c r="K73" s="816"/>
      <c r="L73" s="816"/>
      <c r="M73" s="816"/>
      <c r="N73" s="816"/>
      <c r="O73" s="816"/>
      <c r="P73" s="816"/>
      <c r="Q73" s="816"/>
      <c r="R73" s="816"/>
      <c r="S73" s="816"/>
      <c r="T73" s="816"/>
      <c r="U73" s="816"/>
      <c r="V73" s="816"/>
      <c r="W73" s="816"/>
      <c r="X73" s="816"/>
      <c r="Y73" s="816"/>
      <c r="Z73" s="816"/>
      <c r="AA73" s="816"/>
      <c r="AB73" s="816"/>
      <c r="AC73" s="816"/>
      <c r="AD73" s="816"/>
      <c r="AE73" s="816"/>
      <c r="AF73" s="816"/>
      <c r="AG73" s="816"/>
      <c r="AH73" s="816"/>
      <c r="AI73" s="816"/>
      <c r="AJ73" s="816"/>
      <c r="AK73" s="816"/>
      <c r="AL73" s="816"/>
      <c r="AM73" s="816"/>
      <c r="AN73" s="816"/>
      <c r="AO73" s="816"/>
      <c r="AP73" s="816"/>
      <c r="AQ73" s="816"/>
      <c r="AR73" s="816"/>
      <c r="AS73" s="816"/>
      <c r="AT73" s="816"/>
      <c r="AU73" s="816"/>
      <c r="AV73" s="816"/>
      <c r="AW73" s="816"/>
      <c r="AX73" s="816"/>
      <c r="AY73" s="816"/>
      <c r="AZ73" s="816"/>
      <c r="BA73" s="816"/>
      <c r="BB73" s="816"/>
      <c r="BC73" s="816"/>
      <c r="BD73" s="816"/>
      <c r="BE73" s="816"/>
      <c r="BF73" s="816"/>
      <c r="BG73" s="816"/>
      <c r="BH73" s="816"/>
      <c r="BI73" s="816"/>
      <c r="BJ73" s="816"/>
      <c r="BK73" s="816"/>
      <c r="BL73" s="816"/>
      <c r="BM73" s="816"/>
      <c r="BN73" s="816"/>
      <c r="BO73" s="816"/>
      <c r="BP73" s="816"/>
      <c r="BQ73" s="816"/>
      <c r="BR73" s="816"/>
      <c r="BS73" s="816"/>
      <c r="BT73" s="816"/>
      <c r="BU73" s="816"/>
      <c r="BV73" s="816"/>
      <c r="BW73" s="816"/>
      <c r="BX73" s="816"/>
      <c r="BY73" s="816"/>
      <c r="BZ73" s="816"/>
      <c r="CA73" s="816"/>
      <c r="CB73" s="816"/>
      <c r="CC73" s="816"/>
      <c r="CD73" s="816"/>
      <c r="CE73" s="816"/>
      <c r="CF73" s="816"/>
      <c r="CG73" s="816"/>
      <c r="CH73" s="16"/>
      <c r="CI73" s="16"/>
      <c r="CJ73" s="16"/>
      <c r="CK73" s="16"/>
      <c r="CL73" s="16"/>
      <c r="CM73" s="16"/>
      <c r="CN73" s="16"/>
      <c r="CO73"/>
      <c r="CP73"/>
      <c r="CQ73"/>
      <c r="CR73"/>
      <c r="CS73"/>
      <c r="CT73"/>
    </row>
    <row r="74" spans="2:98" s="7" customFormat="1" ht="11.25" customHeight="1" x14ac:dyDescent="0.2">
      <c r="B74" s="547" t="s">
        <v>171</v>
      </c>
      <c r="C74" s="237"/>
      <c r="D74" s="39">
        <f>+AVERAGE(D10,C10)/('P&amp;L'!D8/'P&amp;L'!D7)</f>
        <v>41.158001668328502</v>
      </c>
      <c r="E74" s="39">
        <f>+AVERAGE(E10,D10)/('P&amp;L'!E8/'P&amp;L'!E7)</f>
        <v>42.829931421549908</v>
      </c>
      <c r="F74" s="39">
        <f>+AVERAGE(F10,E10)/('P&amp;L'!F8/'P&amp;L'!F7)</f>
        <v>39.81513854413479</v>
      </c>
      <c r="G74" s="388"/>
      <c r="H74" s="62"/>
      <c r="I74" s="237">
        <f>+AVERAGE(I10,F10)/('P&amp;L'!I8/'P&amp;L'!I7)</f>
        <v>42.182647654682654</v>
      </c>
      <c r="J74" s="39">
        <f>+AVERAGE(J10,I10)/('P&amp;L'!J8/'P&amp;L'!J7)</f>
        <v>39.764621528706748</v>
      </c>
      <c r="K74" s="39">
        <f>+AVERAGE(K10,J10)/('P&amp;L'!K8/'P&amp;L'!K7)</f>
        <v>41.931979450301021</v>
      </c>
      <c r="L74" s="39">
        <f>+AVERAGE(L10,K10)/('P&amp;L'!L8/'P&amp;L'!L7)</f>
        <v>43.888077855788374</v>
      </c>
      <c r="M74" s="388">
        <f>+AVERAGE(M10,G10)/('P&amp;L'!M8/'P&amp;L'!M7)</f>
        <v>41.368344337584418</v>
      </c>
      <c r="N74" s="62"/>
      <c r="O74" s="237">
        <f>+AVERAGE(O10,L10)/('P&amp;L'!O8/'P&amp;L'!O7)</f>
        <v>42.753071924641915</v>
      </c>
      <c r="P74" s="39">
        <f>+AVERAGE(P10,O10)/('P&amp;L'!P8/'P&amp;L'!P7)</f>
        <v>39.860174352415086</v>
      </c>
      <c r="Q74" s="39">
        <f>+AVERAGE(Q10,P10)/('P&amp;L'!Q8/'P&amp;L'!Q7)</f>
        <v>41.449655394342528</v>
      </c>
      <c r="R74" s="39">
        <f>+AVERAGE(R10,Q10)/('P&amp;L'!R8/'P&amp;L'!R7)</f>
        <v>38.366329410592236</v>
      </c>
      <c r="S74" s="388">
        <f>+AVERAGE(S10,M10)/('P&amp;L'!S8/'P&amp;L'!S7)</f>
        <v>40.735881423040965</v>
      </c>
      <c r="T74" s="62"/>
      <c r="U74" s="237">
        <f>+AVERAGE(U10,R10)/('P&amp;L'!U8/'P&amp;L'!U7)</f>
        <v>39.072575285035022</v>
      </c>
      <c r="V74" s="39">
        <f>+AVERAGE(V10,U10)/('P&amp;L'!V8/'P&amp;L'!V7)</f>
        <v>40.175021804357193</v>
      </c>
      <c r="W74" s="39">
        <f>+AVERAGE(W10,V10)/('P&amp;L'!W8/'P&amp;L'!W7)</f>
        <v>42.585111995652518</v>
      </c>
      <c r="X74" s="39">
        <f>+AVERAGE(X10,W10)/('P&amp;L'!X8/'P&amp;L'!X7)</f>
        <v>41.118094375874691</v>
      </c>
      <c r="Y74" s="388">
        <f>+AVERAGE(Y10,S10)/('P&amp;L'!Y8/'P&amp;L'!Y7)</f>
        <v>39.065861077564271</v>
      </c>
      <c r="Z74" s="62"/>
      <c r="AA74" s="237">
        <f>+AVERAGE(AA10,X10)/('P&amp;L'!AA8/'P&amp;L'!AA7)</f>
        <v>42.065284190411447</v>
      </c>
      <c r="AB74" s="39">
        <f>+AVERAGE(AB10,AA10)/('P&amp;L'!AB8/'P&amp;L'!AB7)</f>
        <v>40.532486717605984</v>
      </c>
      <c r="AC74" s="39">
        <f>+AVERAGE(AC10,AB10)/('P&amp;L'!AC8/'P&amp;L'!AC7)</f>
        <v>42.393528794194978</v>
      </c>
      <c r="AD74" s="39">
        <f>+AVERAGE(AD10,AC10)/('P&amp;L'!AD8/'P&amp;L'!AD7)</f>
        <v>36.78407006736326</v>
      </c>
      <c r="AE74" s="388">
        <f>+AVERAGE(AE10,Y10)/('P&amp;L'!AE8/'P&amp;L'!AE7)</f>
        <v>37.954473038396799</v>
      </c>
      <c r="AF74" s="62"/>
      <c r="AG74" s="237">
        <f>+AVERAGE(AG10,AD10)/('P&amp;L'!AG8/'P&amp;L'!AG7)</f>
        <v>40.009246700482471</v>
      </c>
      <c r="AH74" s="39">
        <f>+AVERAGE(AH10,AG10)/('P&amp;L'!AH8/'P&amp;L'!AH7)</f>
        <v>39.884662940640993</v>
      </c>
      <c r="AI74" s="39">
        <f>+AVERAGE(AI10,AH10)/('P&amp;L'!AI8/'P&amp;L'!AI7)</f>
        <v>41.397294915685741</v>
      </c>
      <c r="AJ74" s="39">
        <f>+AVERAGE(AJ10,AI10)/('P&amp;L'!AJ8/'P&amp;L'!AJ7)</f>
        <v>39.167816651290153</v>
      </c>
      <c r="AK74" s="388">
        <f>+AVERAGE(AK10,AE10)/('P&amp;L'!AK8/'P&amp;L'!AK7)</f>
        <v>38.96321832060454</v>
      </c>
      <c r="AL74" s="62"/>
      <c r="AM74" s="237">
        <f>+AVERAGE(AM10,AJ10)/('P&amp;L'!AM8/'P&amp;L'!AM7)</f>
        <v>40.091835181954657</v>
      </c>
      <c r="AN74" s="39">
        <f>+AVERAGE(AN10,AM10)/('P&amp;L'!AN8/'P&amp;L'!AN7)</f>
        <v>39.341546151241118</v>
      </c>
      <c r="AO74" s="39">
        <f>+AVERAGE(AO10,AN10)/('P&amp;L'!AO8/'P&amp;L'!AO7)</f>
        <v>41.970371518240441</v>
      </c>
      <c r="AP74" s="39">
        <f>+AVERAGE(AP10,AO10)/('P&amp;L'!AP8/'P&amp;L'!AP7)</f>
        <v>39.301625652616188</v>
      </c>
      <c r="AQ74" s="388">
        <f>+AVERAGE(AQ10,AK10)/('P&amp;L'!AQ8/'P&amp;L'!AQ7)</f>
        <v>39.521365551933876</v>
      </c>
      <c r="AR74" s="62"/>
      <c r="AS74" s="237">
        <f>+AVERAGE(AS10,AP10)/('P&amp;L'!AS8/'P&amp;L'!AS7)</f>
        <v>40.214368689456116</v>
      </c>
      <c r="AT74" s="39">
        <f>+AVERAGE(AT10,AS10)/('P&amp;L'!AT8/'P&amp;L'!AT7)</f>
        <v>40.093716807256691</v>
      </c>
      <c r="AU74" s="39">
        <f>+AVERAGE(AU10,AT10)/('P&amp;L'!AU8/'P&amp;L'!AU7)</f>
        <v>41.504455681207936</v>
      </c>
      <c r="AV74" s="39">
        <f>+AVERAGE(AV10,AU10)/('P&amp;L'!AV8/'P&amp;L'!AV7)</f>
        <v>39.268644785381433</v>
      </c>
      <c r="AW74" s="388">
        <f>+AVERAGE(AW10,AQ10)/('P&amp;L'!AW8/'P&amp;L'!AW7)</f>
        <v>38.408426691118549</v>
      </c>
      <c r="AX74" s="62"/>
      <c r="AY74" s="237">
        <f>+AVERAGE(AY10,AV10)/('P&amp;L'!AY8/'P&amp;L'!AY7)</f>
        <v>40.673680390770421</v>
      </c>
      <c r="AZ74" s="39">
        <f>+AVERAGE(AZ10,AY10)/('P&amp;L'!AZ8/'P&amp;L'!AZ7)</f>
        <v>39.172185774268634</v>
      </c>
      <c r="BA74" s="39">
        <f>+AVERAGE(BA10,AZ10)/('P&amp;L'!BA8/'P&amp;L'!BA7)</f>
        <v>40.899286813970328</v>
      </c>
      <c r="BB74" s="39">
        <f>+AVERAGE(BB10,BA10)/('P&amp;L'!BB8/'P&amp;L'!BB7)</f>
        <v>39.586825015661638</v>
      </c>
      <c r="BC74" s="388">
        <f>+AVERAGE(BC10,AW10)/('P&amp;L'!BC8/'P&amp;L'!BC7)</f>
        <v>40.47268535508794</v>
      </c>
      <c r="BD74" s="62"/>
      <c r="BE74" s="237">
        <f>+AVERAGE(BE10,BB10)/('P&amp;L'!BE8/'P&amp;L'!BE7)</f>
        <v>42.008367625571516</v>
      </c>
      <c r="BF74" s="39">
        <f>+AVERAGE(BF10,BE10)/('P&amp;L'!BF8/'P&amp;L'!BF7)</f>
        <v>40.725210869481977</v>
      </c>
      <c r="BG74" s="39">
        <f>+AVERAGE(BG10,BF10)/('P&amp;L'!BG8/'P&amp;L'!BG7)</f>
        <v>42.76782002186274</v>
      </c>
      <c r="BH74" s="39">
        <f>+AVERAGE(BH10,BG10)/('P&amp;L'!BH8/'P&amp;L'!BH7)</f>
        <v>38.642335275273361</v>
      </c>
      <c r="BI74" s="388">
        <f>+AVERAGE(BI10,BC10)/('P&amp;L'!BI8/'P&amp;L'!BI7)</f>
        <v>39.282475525568131</v>
      </c>
      <c r="BJ74" s="62"/>
      <c r="BK74" s="237">
        <f>+AVERAGE(BK10,BH10)/('P&amp;L'!BK8/'P&amp;L'!BK7)</f>
        <v>40.289356841106994</v>
      </c>
      <c r="BL74" s="39">
        <f>+AVERAGE(BL10,BK10)/('P&amp;L'!BL8/'P&amp;L'!BL7)</f>
        <v>41.223342827389686</v>
      </c>
      <c r="BM74" s="39">
        <f>+AVERAGE(BM10,BL10)/('P&amp;L'!BM8/'P&amp;L'!BM7)</f>
        <v>42.98132380579694</v>
      </c>
      <c r="BN74" s="39">
        <f>+AVERAGE(BN10,BM10)/('P&amp;L'!BN8/'P&amp;L'!BN7)</f>
        <v>41.793453029998908</v>
      </c>
      <c r="BO74" s="388">
        <f>+AVERAGE(BO10,BI10)/('P&amp;L'!BO8/'P&amp;L'!BO7)</f>
        <v>39.895857599656793</v>
      </c>
      <c r="BP74" s="62"/>
      <c r="BQ74" s="537">
        <f t="shared" ref="BQ74:BT74" si="2">+BK74+0.5</f>
        <v>40.789356841106994</v>
      </c>
      <c r="BR74" s="206">
        <f t="shared" si="2"/>
        <v>41.723342827389686</v>
      </c>
      <c r="BS74" s="206">
        <f t="shared" si="2"/>
        <v>43.48132380579694</v>
      </c>
      <c r="BT74" s="206">
        <f t="shared" si="2"/>
        <v>42.293453029998908</v>
      </c>
      <c r="BU74" s="388">
        <f>+AVERAGE(BU10,BO10)/('P&amp;L'!BU8/'P&amp;L'!BU7)</f>
        <v>42.512610781713349</v>
      </c>
      <c r="BV74" s="62"/>
      <c r="BW74" s="537">
        <f>+BQ74+0.5</f>
        <v>41.289356841106994</v>
      </c>
      <c r="BX74" s="206">
        <f t="shared" ref="BX74:BZ74" si="3">+BR74+0.5</f>
        <v>42.223342827389686</v>
      </c>
      <c r="BY74" s="206">
        <f t="shared" si="3"/>
        <v>43.98132380579694</v>
      </c>
      <c r="BZ74" s="206">
        <f t="shared" si="3"/>
        <v>42.793453029998908</v>
      </c>
      <c r="CA74" s="388">
        <f>+AVERAGE(CA10,BU10)/('P&amp;L'!CA8/'P&amp;L'!CA7)</f>
        <v>43.468143165396512</v>
      </c>
      <c r="CB74" s="62"/>
      <c r="CC74" s="537">
        <f t="shared" ref="CC74" si="4">+BW74+0.5</f>
        <v>41.789356841106994</v>
      </c>
      <c r="CD74" s="206">
        <f t="shared" ref="CD74" si="5">+BX74+0.5</f>
        <v>42.723342827389686</v>
      </c>
      <c r="CE74" s="206">
        <f t="shared" ref="CE74" si="6">+BY74+0.5</f>
        <v>44.48132380579694</v>
      </c>
      <c r="CF74" s="206">
        <f t="shared" ref="CF74" si="7">+BZ74+0.5</f>
        <v>43.293453029998908</v>
      </c>
      <c r="CG74" s="388">
        <f>+AVERAGE(CG10,CA10)/('P&amp;L'!CG8/'P&amp;L'!CG7)</f>
        <v>44.032485069173795</v>
      </c>
      <c r="CH74" s="38"/>
      <c r="CI74" s="38"/>
      <c r="CJ74" s="38"/>
      <c r="CK74" s="38"/>
      <c r="CL74" s="38"/>
      <c r="CM74" s="38"/>
      <c r="CN74" s="38"/>
      <c r="CO74"/>
      <c r="CP74"/>
      <c r="CQ74"/>
      <c r="CR74"/>
      <c r="CS74"/>
      <c r="CT74"/>
    </row>
    <row r="75" spans="2:98" s="7" customFormat="1" ht="11.25" customHeight="1" x14ac:dyDescent="0.2">
      <c r="B75" s="545" t="s">
        <v>63</v>
      </c>
      <c r="C75" s="237"/>
      <c r="D75" s="39">
        <f>+AVERAGE(D11,C11)/('P&amp;L'!D9/'P&amp;L'!D7)</f>
        <v>54.357923020015619</v>
      </c>
      <c r="E75" s="39">
        <f>+AVERAGE(E11,D11)/('P&amp;L'!E9/'P&amp;L'!E7)</f>
        <v>53.684268916464198</v>
      </c>
      <c r="F75" s="39">
        <f>+AVERAGE(F11,E11)/('P&amp;L'!F9/'P&amp;L'!F7)</f>
        <v>50.680755366918874</v>
      </c>
      <c r="G75" s="388"/>
      <c r="H75" s="62"/>
      <c r="I75" s="237">
        <f>+AVERAGE(I11,F11)/('P&amp;L'!I9/'P&amp;L'!I7)</f>
        <v>58.133215733429431</v>
      </c>
      <c r="J75" s="39">
        <f>+AVERAGE(J11,I11)/('P&amp;L'!J9/'P&amp;L'!J7)</f>
        <v>55.074987789971907</v>
      </c>
      <c r="K75" s="39">
        <f>+AVERAGE(K11,J11)/('P&amp;L'!K9/'P&amp;L'!K7)</f>
        <v>56.094795976433652</v>
      </c>
      <c r="L75" s="39">
        <f>+AVERAGE(L11,K11)/('P&amp;L'!L9/'P&amp;L'!L7)</f>
        <v>60.43890173991749</v>
      </c>
      <c r="M75" s="388">
        <f>+AVERAGE(M11,G11)/('P&amp;L'!M9/'P&amp;L'!M7)</f>
        <v>56.792680529005231</v>
      </c>
      <c r="N75" s="62"/>
      <c r="O75" s="237">
        <f>+AVERAGE(O11,L11)/('P&amp;L'!O9/'P&amp;L'!O7)</f>
        <v>63.290795348726157</v>
      </c>
      <c r="P75" s="39">
        <f>+AVERAGE(P11,O11)/('P&amp;L'!P9/'P&amp;L'!P7)</f>
        <v>59.468965971316351</v>
      </c>
      <c r="Q75" s="39">
        <f>+AVERAGE(Q11,P11)/('P&amp;L'!Q9/'P&amp;L'!Q7)</f>
        <v>58.641810194004897</v>
      </c>
      <c r="R75" s="39">
        <f>+AVERAGE(R11,Q11)/('P&amp;L'!R9/'P&amp;L'!R7)</f>
        <v>56.434089611996775</v>
      </c>
      <c r="S75" s="388">
        <f>+AVERAGE(S11,M11)/('P&amp;L'!S9/'P&amp;L'!S7)</f>
        <v>59.504429390702107</v>
      </c>
      <c r="T75" s="62"/>
      <c r="U75" s="237">
        <f>+AVERAGE(U11,R11)/('P&amp;L'!U9/'P&amp;L'!U7)</f>
        <v>57.051585173141163</v>
      </c>
      <c r="V75" s="39">
        <f>+AVERAGE(V11,U11)/('P&amp;L'!V9/'P&amp;L'!V7)</f>
        <v>55.968381377818098</v>
      </c>
      <c r="W75" s="39">
        <f>+AVERAGE(W11,V11)/('P&amp;L'!W9/'P&amp;L'!W7)</f>
        <v>55.874300083698671</v>
      </c>
      <c r="X75" s="39">
        <f>+AVERAGE(X11,W11)/('P&amp;L'!X9/'P&amp;L'!X7)</f>
        <v>54.601737269856613</v>
      </c>
      <c r="Y75" s="388">
        <f>+AVERAGE(Y11,S11)/('P&amp;L'!Y9/'P&amp;L'!Y7)</f>
        <v>56.066324533963765</v>
      </c>
      <c r="Z75" s="62"/>
      <c r="AA75" s="237">
        <f>+AVERAGE(AA11,X11)/('P&amp;L'!AA9/'P&amp;L'!AA7)</f>
        <v>58.631108174818138</v>
      </c>
      <c r="AB75" s="39">
        <f>+AVERAGE(AB11,AA11)/('P&amp;L'!AB9/'P&amp;L'!AB7)</f>
        <v>55.64770556948821</v>
      </c>
      <c r="AC75" s="39">
        <f>+AVERAGE(AC11,AB11)/('P&amp;L'!AC9/'P&amp;L'!AC7)</f>
        <v>55.842236922126169</v>
      </c>
      <c r="AD75" s="39">
        <f>+AVERAGE(AD11,AC11)/('P&amp;L'!AD9/'P&amp;L'!AD7)</f>
        <v>51.014901404928651</v>
      </c>
      <c r="AE75" s="388">
        <f>+AVERAGE(AE11,Y11)/('P&amp;L'!AE9/'P&amp;L'!AE7)</f>
        <v>54.284176433083609</v>
      </c>
      <c r="AF75" s="62"/>
      <c r="AG75" s="237">
        <f>+AVERAGE(AG11,AD11)/('P&amp;L'!AG9/'P&amp;L'!AG7)</f>
        <v>58.803776437075058</v>
      </c>
      <c r="AH75" s="39">
        <f>+AVERAGE(AH11,AG11)/('P&amp;L'!AH9/'P&amp;L'!AH7)</f>
        <v>56.340437599909201</v>
      </c>
      <c r="AI75" s="39">
        <f>+AVERAGE(AI11,AH11)/('P&amp;L'!AI9/'P&amp;L'!AI7)</f>
        <v>58.076625725795211</v>
      </c>
      <c r="AJ75" s="39">
        <f>+AVERAGE(AJ11,AI11)/('P&amp;L'!AJ9/'P&amp;L'!AJ7)</f>
        <v>59.956460468909327</v>
      </c>
      <c r="AK75" s="388">
        <f>+AVERAGE(AK11,AE11)/('P&amp;L'!AK9/'P&amp;L'!AK7)</f>
        <v>61.204969052246625</v>
      </c>
      <c r="AL75" s="62"/>
      <c r="AM75" s="237">
        <f>+AVERAGE(AM11,AJ11)/('P&amp;L'!AM9/'P&amp;L'!AM7)</f>
        <v>63.940765979156041</v>
      </c>
      <c r="AN75" s="39">
        <f>+AVERAGE(AN11,AM11)/('P&amp;L'!AN9/'P&amp;L'!AN7)</f>
        <v>59.057908922073416</v>
      </c>
      <c r="AO75" s="39">
        <f>+AVERAGE(AO11,AN11)/('P&amp;L'!AO9/'P&amp;L'!AO7)</f>
        <v>59.80046556825009</v>
      </c>
      <c r="AP75" s="39">
        <f>+AVERAGE(AP11,AO11)/('P&amp;L'!AP9/'P&amp;L'!AP7)</f>
        <v>59.764873963379614</v>
      </c>
      <c r="AQ75" s="388">
        <f>+AVERAGE(AQ11,AK11)/('P&amp;L'!AQ9/'P&amp;L'!AQ7)</f>
        <v>64.860590707717549</v>
      </c>
      <c r="AR75" s="62"/>
      <c r="AS75" s="237">
        <f>+AVERAGE(AS11,AP11)/('P&amp;L'!AS9/'P&amp;L'!AS7)</f>
        <v>64.828913043729074</v>
      </c>
      <c r="AT75" s="39">
        <f>+AVERAGE(AT11,AS11)/('P&amp;L'!AT9/'P&amp;L'!AT7)</f>
        <v>60.382034559767334</v>
      </c>
      <c r="AU75" s="39">
        <f>+AVERAGE(AU11,AT11)/('P&amp;L'!AU9/'P&amp;L'!AU7)</f>
        <v>61.450602845436762</v>
      </c>
      <c r="AV75" s="39">
        <f>+AVERAGE(AV11,AU11)/('P&amp;L'!AV9/'P&amp;L'!AV7)</f>
        <v>61.997698221334097</v>
      </c>
      <c r="AW75" s="388">
        <f>+AVERAGE(AW11,AQ11)/('P&amp;L'!AW9/'P&amp;L'!AW7)</f>
        <v>63.071928566401816</v>
      </c>
      <c r="AX75" s="62"/>
      <c r="AY75" s="237">
        <f>+AVERAGE(AY11,AV11)/('P&amp;L'!AY9/'P&amp;L'!AY7)</f>
        <v>67.506286241230541</v>
      </c>
      <c r="AZ75" s="39">
        <f>+AVERAGE(AZ11,AY11)/('P&amp;L'!AZ9/'P&amp;L'!AZ7)</f>
        <v>63.262743779815423</v>
      </c>
      <c r="BA75" s="39">
        <f>+AVERAGE(BA11,AZ11)/('P&amp;L'!BA9/'P&amp;L'!BA7)</f>
        <v>65.051794930836323</v>
      </c>
      <c r="BB75" s="39">
        <f>+AVERAGE(BB11,BA11)/('P&amp;L'!BB9/'P&amp;L'!BB7)</f>
        <v>65.80320134136592</v>
      </c>
      <c r="BC75" s="388">
        <f>+AVERAGE(BC11,AW11)/('P&amp;L'!BC9/'P&amp;L'!BC7)</f>
        <v>67.987219164918486</v>
      </c>
      <c r="BD75" s="62"/>
      <c r="BE75" s="237">
        <f>+AVERAGE(BE11,BB11)/('P&amp;L'!BE9/'P&amp;L'!BE7)</f>
        <v>70.834826450067766</v>
      </c>
      <c r="BF75" s="39">
        <f>+AVERAGE(BF11,BE11)/('P&amp;L'!BF9/'P&amp;L'!BF7)</f>
        <v>65.587367601050403</v>
      </c>
      <c r="BG75" s="39">
        <f>+AVERAGE(BG11,BF11)/('P&amp;L'!BG9/'P&amp;L'!BG7)</f>
        <v>65.395040702775077</v>
      </c>
      <c r="BH75" s="39">
        <f>+AVERAGE(BH11,BG11)/('P&amp;L'!BH9/'P&amp;L'!BH7)</f>
        <v>63.205836720040963</v>
      </c>
      <c r="BI75" s="388">
        <f>+AVERAGE(BI11,BC11)/('P&amp;L'!BI9/'P&amp;L'!BI7)</f>
        <v>69.043555182311096</v>
      </c>
      <c r="BJ75" s="62"/>
      <c r="BK75" s="237">
        <f>+AVERAGE(BK11,BH11)/('P&amp;L'!BK9/'P&amp;L'!BK7)</f>
        <v>69.850490088703594</v>
      </c>
      <c r="BL75" s="39">
        <f>+AVERAGE(BL11,BK11)/('P&amp;L'!BL9/'P&amp;L'!BL7)</f>
        <v>65.395641100129041</v>
      </c>
      <c r="BM75" s="39">
        <f>+AVERAGE(BM11,BL11)/('P&amp;L'!BM9/'P&amp;L'!BM7)</f>
        <v>64.486546189316343</v>
      </c>
      <c r="BN75" s="39">
        <f>+AVERAGE(BN11,BM11)/('P&amp;L'!BN9/'P&amp;L'!BN7)</f>
        <v>69.007840807447622</v>
      </c>
      <c r="BO75" s="388">
        <f>+AVERAGE(BO11,BI11)/('P&amp;L'!BO9/'P&amp;L'!BO7)</f>
        <v>71.883888058845073</v>
      </c>
      <c r="BP75" s="62"/>
      <c r="BQ75" s="537">
        <f>+BK75+5</f>
        <v>74.850490088703594</v>
      </c>
      <c r="BR75" s="206">
        <f t="shared" ref="BR75:BT75" si="8">+BL75+5</f>
        <v>70.395641100129041</v>
      </c>
      <c r="BS75" s="206">
        <f t="shared" si="8"/>
        <v>69.486546189316343</v>
      </c>
      <c r="BT75" s="206">
        <f t="shared" si="8"/>
        <v>74.007840807447622</v>
      </c>
      <c r="BU75" s="388">
        <f>+AVERAGE(BU11,BO11)/('P&amp;L'!BU9/'P&amp;L'!BU7)</f>
        <v>75.593069014923884</v>
      </c>
      <c r="BV75" s="62"/>
      <c r="BW75" s="537">
        <f t="shared" ref="BW75" si="9">+BQ75+5</f>
        <v>79.850490088703594</v>
      </c>
      <c r="BX75" s="206">
        <f t="shared" ref="BX75" si="10">+BR75+5</f>
        <v>75.395641100129041</v>
      </c>
      <c r="BY75" s="206">
        <f t="shared" ref="BY75" si="11">+BS75+5</f>
        <v>74.486546189316343</v>
      </c>
      <c r="BZ75" s="206">
        <f t="shared" ref="BZ75" si="12">+BT75+5</f>
        <v>79.007840807447622</v>
      </c>
      <c r="CA75" s="388">
        <f>+AVERAGE(CA11,BU11)/('P&amp;L'!CA9/'P&amp;L'!CA7)</f>
        <v>78.04917253297593</v>
      </c>
      <c r="CB75" s="62"/>
      <c r="CC75" s="537">
        <f t="shared" ref="CC75" si="13">+BW75+5</f>
        <v>84.850490088703594</v>
      </c>
      <c r="CD75" s="206">
        <f t="shared" ref="CD75" si="14">+BX75+5</f>
        <v>80.395641100129041</v>
      </c>
      <c r="CE75" s="206">
        <f t="shared" ref="CE75" si="15">+BY75+5</f>
        <v>79.486546189316343</v>
      </c>
      <c r="CF75" s="206">
        <f t="shared" ref="CF75" si="16">+BZ75+5</f>
        <v>84.007840807447622</v>
      </c>
      <c r="CG75" s="388">
        <f>+AVERAGE(CG11,CA11)/('P&amp;L'!CG9/'P&amp;L'!CG7)</f>
        <v>83.248199770664826</v>
      </c>
      <c r="CH75" s="38"/>
      <c r="CI75" s="38"/>
      <c r="CJ75" s="38"/>
      <c r="CK75" s="38"/>
      <c r="CL75" s="38"/>
      <c r="CM75" s="38"/>
      <c r="CN75" s="38"/>
      <c r="CO75"/>
      <c r="CP75"/>
      <c r="CQ75"/>
      <c r="CR75"/>
      <c r="CS75"/>
      <c r="CT75"/>
    </row>
    <row r="76" spans="2:98" s="7" customFormat="1" ht="11.25" customHeight="1" x14ac:dyDescent="0.2">
      <c r="B76" s="545" t="s">
        <v>64</v>
      </c>
      <c r="C76" s="237"/>
      <c r="D76" s="39">
        <f>+AVERAGE(D23,C23)/('P&amp;L'!D9/'P&amp;L'!D7)</f>
        <v>32.937149110188642</v>
      </c>
      <c r="E76" s="39">
        <f>+AVERAGE(E23,D23)/('P&amp;L'!E9/'P&amp;L'!E7)</f>
        <v>37.435347899409535</v>
      </c>
      <c r="F76" s="39">
        <f>+AVERAGE(F23,E23)/('P&amp;L'!F9/'P&amp;L'!F7)</f>
        <v>37.306263148182332</v>
      </c>
      <c r="G76" s="388"/>
      <c r="H76" s="62"/>
      <c r="I76" s="237">
        <f>+AVERAGE(I23,F23)/('P&amp;L'!I9/'P&amp;L'!I7)</f>
        <v>38.344772794745069</v>
      </c>
      <c r="J76" s="39">
        <f>+AVERAGE(J23,I23)/('P&amp;L'!J9/'P&amp;L'!J7)</f>
        <v>34.832924741984542</v>
      </c>
      <c r="K76" s="39">
        <f>+AVERAGE(K23,J23)/('P&amp;L'!K9/'P&amp;L'!K7)</f>
        <v>38.003046341181651</v>
      </c>
      <c r="L76" s="39">
        <f>+AVERAGE(L23,K23)/('P&amp;L'!L9/'P&amp;L'!L7)</f>
        <v>44.050811051565312</v>
      </c>
      <c r="M76" s="388">
        <f>+AVERAGE(M23,G23)/('P&amp;L'!M9/'P&amp;L'!M7)</f>
        <v>41.780331984204587</v>
      </c>
      <c r="N76" s="62"/>
      <c r="O76" s="237">
        <f>+AVERAGE(O23,L23)/('P&amp;L'!O9/'P&amp;L'!O7)</f>
        <v>42.155397435591311</v>
      </c>
      <c r="P76" s="39">
        <f>+AVERAGE(P23,O23)/('P&amp;L'!P9/'P&amp;L'!P7)</f>
        <v>34.648071702035139</v>
      </c>
      <c r="Q76" s="39">
        <f>+AVERAGE(Q23,P23)/('P&amp;L'!Q9/'P&amp;L'!Q7)</f>
        <v>36.664243225380034</v>
      </c>
      <c r="R76" s="39">
        <f>+AVERAGE(R23,Q23)/('P&amp;L'!R9/'P&amp;L'!R7)</f>
        <v>37.555602476248403</v>
      </c>
      <c r="S76" s="388">
        <f>+AVERAGE(S23,M23)/('P&amp;L'!S9/'P&amp;L'!S7)</f>
        <v>42.484541868945165</v>
      </c>
      <c r="T76" s="62"/>
      <c r="U76" s="237">
        <f>+AVERAGE(U23,R23)/('P&amp;L'!U9/'P&amp;L'!U7)</f>
        <v>36.236545691133564</v>
      </c>
      <c r="V76" s="39">
        <f>+AVERAGE(V23,U23)/('P&amp;L'!V9/'P&amp;L'!V7)</f>
        <v>34.464542472255182</v>
      </c>
      <c r="W76" s="39">
        <f>+AVERAGE(W23,V23)/('P&amp;L'!W9/'P&amp;L'!W7)</f>
        <v>35.160824597822355</v>
      </c>
      <c r="X76" s="39">
        <f>+AVERAGE(X23,W23)/('P&amp;L'!X9/'P&amp;L'!X7)</f>
        <v>35.632970165478923</v>
      </c>
      <c r="Y76" s="388">
        <f>+AVERAGE(Y23,S23)/('P&amp;L'!Y9/'P&amp;L'!Y7)</f>
        <v>37.86043054462786</v>
      </c>
      <c r="Z76" s="62"/>
      <c r="AA76" s="237">
        <f>+AVERAGE(AA23,X23)/('P&amp;L'!AA9/'P&amp;L'!AA7)</f>
        <v>38.082458777124032</v>
      </c>
      <c r="AB76" s="39">
        <f>+AVERAGE(AB23,AA23)/('P&amp;L'!AB9/'P&amp;L'!AB7)</f>
        <v>35.516804683301544</v>
      </c>
      <c r="AC76" s="39">
        <f>+AVERAGE(AC23,AB23)/('P&amp;L'!AC9/'P&amp;L'!AC7)</f>
        <v>36.252040152912244</v>
      </c>
      <c r="AD76" s="39">
        <f>+AVERAGE(AD23,AC23)/('P&amp;L'!AD9/'P&amp;L'!AD7)</f>
        <v>33.171832214458867</v>
      </c>
      <c r="AE76" s="388">
        <f>+AVERAGE(AE23,Y23)/('P&amp;L'!AE9/'P&amp;L'!AE7)</f>
        <v>36.173337383165787</v>
      </c>
      <c r="AF76" s="62"/>
      <c r="AG76" s="237">
        <f>+AVERAGE(AG23,AD23)/('P&amp;L'!AG9/'P&amp;L'!AG7)</f>
        <v>36.462880263900452</v>
      </c>
      <c r="AH76" s="39">
        <f>+AVERAGE(AH23,AG23)/('P&amp;L'!AH9/'P&amp;L'!AH7)</f>
        <v>34.369780863976381</v>
      </c>
      <c r="AI76" s="39">
        <f>+AVERAGE(AI23,AH23)/('P&amp;L'!AI9/'P&amp;L'!AI7)</f>
        <v>37.649824230863608</v>
      </c>
      <c r="AJ76" s="39">
        <f>+AVERAGE(AJ23,AI23)/('P&amp;L'!AJ9/'P&amp;L'!AJ7)</f>
        <v>39.418911677917293</v>
      </c>
      <c r="AK76" s="388">
        <f>+AVERAGE(AK23,AE23)/('P&amp;L'!AK9/'P&amp;L'!AK7)</f>
        <v>40.088908214501025</v>
      </c>
      <c r="AL76" s="62"/>
      <c r="AM76" s="237">
        <f>+AVERAGE(AM23,AJ23)/('P&amp;L'!AM9/'P&amp;L'!AM7)</f>
        <v>38.171944464689162</v>
      </c>
      <c r="AN76" s="39">
        <f>+AVERAGE(AN23,AM23)/('P&amp;L'!AN9/'P&amp;L'!AN7)</f>
        <v>34.129399507768504</v>
      </c>
      <c r="AO76" s="39">
        <f>+AVERAGE(AO23,AN23)/('P&amp;L'!AO9/'P&amp;L'!AO7)</f>
        <v>37.851210050377084</v>
      </c>
      <c r="AP76" s="39">
        <f>+AVERAGE(AP23,AO23)/('P&amp;L'!AP9/'P&amp;L'!AP7)</f>
        <v>38.98864165092921</v>
      </c>
      <c r="AQ76" s="388">
        <f>+AVERAGE(AQ23,AK23)/('P&amp;L'!AQ9/'P&amp;L'!AQ7)</f>
        <v>42.611667050225556</v>
      </c>
      <c r="AR76" s="62"/>
      <c r="AS76" s="237">
        <f>+AVERAGE(AS23,AP23)/('P&amp;L'!AS9/'P&amp;L'!AS7)</f>
        <v>39.210018656479633</v>
      </c>
      <c r="AT76" s="39">
        <f>+AVERAGE(AT23,AS23)/('P&amp;L'!AT9/'P&amp;L'!AT7)</f>
        <v>34.769147728537405</v>
      </c>
      <c r="AU76" s="39">
        <f>+AVERAGE(AU23,AT23)/('P&amp;L'!AU9/'P&amp;L'!AU7)</f>
        <v>38.164394134158535</v>
      </c>
      <c r="AV76" s="39">
        <f>+AVERAGE(AV23,AU23)/('P&amp;L'!AV9/'P&amp;L'!AV7)</f>
        <v>39.95647470727156</v>
      </c>
      <c r="AW76" s="388">
        <f>+AVERAGE(AW23,AQ23)/('P&amp;L'!AW9/'P&amp;L'!AW7)</f>
        <v>41.233111932520785</v>
      </c>
      <c r="AX76" s="62"/>
      <c r="AY76" s="237">
        <f>+AVERAGE(AY23,AV23)/('P&amp;L'!AY9/'P&amp;L'!AY7)</f>
        <v>40.570578162789225</v>
      </c>
      <c r="AZ76" s="39">
        <f>+AVERAGE(AZ23,AY23)/('P&amp;L'!AZ9/'P&amp;L'!AZ7)</f>
        <v>36.225846382653003</v>
      </c>
      <c r="BA76" s="39">
        <f>+AVERAGE(BA23,AZ23)/('P&amp;L'!BA9/'P&amp;L'!BA7)</f>
        <v>39.245938540791677</v>
      </c>
      <c r="BB76" s="39">
        <f>+AVERAGE(BB23,BA23)/('P&amp;L'!BB9/'P&amp;L'!BB7)</f>
        <v>42.142294944532175</v>
      </c>
      <c r="BC76" s="388">
        <f>+AVERAGE(BC23,AW23)/('P&amp;L'!BC9/'P&amp;L'!BC7)</f>
        <v>44.724869575947885</v>
      </c>
      <c r="BD76" s="62"/>
      <c r="BE76" s="237">
        <f>+AVERAGE(BE23,BB23)/('P&amp;L'!BE9/'P&amp;L'!BE7)</f>
        <v>42.706233441298352</v>
      </c>
      <c r="BF76" s="39">
        <f>+AVERAGE(BF23,BE23)/('P&amp;L'!BF9/'P&amp;L'!BF7)</f>
        <v>37.177050220507866</v>
      </c>
      <c r="BG76" s="39">
        <f>+AVERAGE(BG23,BF23)/('P&amp;L'!BG9/'P&amp;L'!BG7)</f>
        <v>40.173700182640964</v>
      </c>
      <c r="BH76" s="39">
        <f>+AVERAGE(BH23,BG23)/('P&amp;L'!BH9/'P&amp;L'!BH7)</f>
        <v>38.858168181075719</v>
      </c>
      <c r="BI76" s="388">
        <f>+AVERAGE(BI23,BC23)/('P&amp;L'!BI9/'P&amp;L'!BI7)</f>
        <v>43.52491028999728</v>
      </c>
      <c r="BJ76" s="62"/>
      <c r="BK76" s="237">
        <f>+AVERAGE(BK23,BH23)/('P&amp;L'!BK9/'P&amp;L'!BK7)</f>
        <v>39.021572569508599</v>
      </c>
      <c r="BL76" s="39">
        <f>+AVERAGE(BL23,BK23)/('P&amp;L'!BL9/'P&amp;L'!BL7)</f>
        <v>35.380029140403153</v>
      </c>
      <c r="BM76" s="39">
        <f>+AVERAGE(BM23,BL23)/('P&amp;L'!BM9/'P&amp;L'!BM7)</f>
        <v>37.824625843376573</v>
      </c>
      <c r="BN76" s="39">
        <f>+AVERAGE(BN23,BM23)/('P&amp;L'!BN9/'P&amp;L'!BN7)</f>
        <v>41.52868439757097</v>
      </c>
      <c r="BO76" s="388">
        <f>+AVERAGE(BO23,BI23)/('P&amp;L'!BO9/'P&amp;L'!BO7)</f>
        <v>42.899333126619318</v>
      </c>
      <c r="BP76" s="62"/>
      <c r="BQ76" s="537">
        <f>+BK76-0.75</f>
        <v>38.271572569508599</v>
      </c>
      <c r="BR76" s="206">
        <f>+BL76-0.75</f>
        <v>34.630029140403153</v>
      </c>
      <c r="BS76" s="206">
        <f>+BM76-0.75</f>
        <v>37.074625843376573</v>
      </c>
      <c r="BT76" s="206">
        <f>+BN76-0.75</f>
        <v>40.77868439757097</v>
      </c>
      <c r="BU76" s="388">
        <f>+AVERAGE(BU23,BO23)/('P&amp;L'!BU9/'P&amp;L'!BU7)</f>
        <v>43.322221644150446</v>
      </c>
      <c r="BV76" s="62"/>
      <c r="BW76" s="537">
        <f>+BQ76-0.25</f>
        <v>38.021572569508599</v>
      </c>
      <c r="BX76" s="206">
        <f>+BR76-0.25</f>
        <v>34.380029140403153</v>
      </c>
      <c r="BY76" s="206">
        <f>+BS76-0.25</f>
        <v>36.824625843376573</v>
      </c>
      <c r="BZ76" s="206">
        <f>+BT76-0.25</f>
        <v>40.52868439757097</v>
      </c>
      <c r="CA76" s="388">
        <f>+AVERAGE(CA23,BU23)/('P&amp;L'!CA9/'P&amp;L'!CA7)</f>
        <v>41.43721448155555</v>
      </c>
      <c r="CB76" s="62"/>
      <c r="CC76" s="537">
        <f>+BW76-0.25</f>
        <v>37.771572569508599</v>
      </c>
      <c r="CD76" s="206">
        <f>+BX76-0.25</f>
        <v>34.130029140403153</v>
      </c>
      <c r="CE76" s="206">
        <f>+BY76-0.25</f>
        <v>36.574625843376573</v>
      </c>
      <c r="CF76" s="206">
        <f>+BZ76-0.25</f>
        <v>40.27868439757097</v>
      </c>
      <c r="CG76" s="388">
        <f>+AVERAGE(CG23,CA23)/('P&amp;L'!CG9/'P&amp;L'!CG7)</f>
        <v>41.235222778681646</v>
      </c>
      <c r="CH76" s="38"/>
      <c r="CI76" s="38"/>
      <c r="CJ76" s="38"/>
      <c r="CK76" s="38"/>
      <c r="CL76" s="38"/>
      <c r="CM76" s="38"/>
      <c r="CN76" s="38"/>
      <c r="CO76"/>
      <c r="CP76"/>
      <c r="CQ76"/>
      <c r="CR76"/>
      <c r="CS76"/>
      <c r="CT76"/>
    </row>
    <row r="77" spans="2:98" s="7" customFormat="1" ht="11.25" customHeight="1" x14ac:dyDescent="0.2">
      <c r="B77" s="546" t="s">
        <v>65</v>
      </c>
      <c r="C77" s="561"/>
      <c r="D77" s="80">
        <f>+SUM(D74:D75)-D76</f>
        <v>62.578775578155472</v>
      </c>
      <c r="E77" s="80">
        <f>+SUM(E74:E75)-E76</f>
        <v>59.078852438604571</v>
      </c>
      <c r="F77" s="80">
        <f>+SUM(F74:F75)-F76</f>
        <v>53.189630762871325</v>
      </c>
      <c r="G77" s="562"/>
      <c r="H77" s="16"/>
      <c r="I77" s="561">
        <f>+SUM(I74:I75)-I76</f>
        <v>61.971090593367023</v>
      </c>
      <c r="J77" s="80">
        <f>+SUM(J74:J75)-J76</f>
        <v>60.006684576694113</v>
      </c>
      <c r="K77" s="80">
        <f>+SUM(K74:K75)-K76</f>
        <v>60.023729085553022</v>
      </c>
      <c r="L77" s="80">
        <f>+SUM(L74:L75)-L76</f>
        <v>60.276168544140553</v>
      </c>
      <c r="M77" s="562">
        <f>+SUM(M74:M75)-M76</f>
        <v>56.38069288238507</v>
      </c>
      <c r="N77" s="16"/>
      <c r="O77" s="561">
        <f>+SUM(O74:O75)-O76</f>
        <v>63.888469837776768</v>
      </c>
      <c r="P77" s="80">
        <f>+SUM(P74:P75)-P76</f>
        <v>64.681068621696298</v>
      </c>
      <c r="Q77" s="80">
        <f>+SUM(Q74:Q75)-Q76</f>
        <v>63.427222362967399</v>
      </c>
      <c r="R77" s="80">
        <f>+SUM(R74:R75)-R76</f>
        <v>57.244816546340608</v>
      </c>
      <c r="S77" s="562">
        <f>+SUM(S74:S75)-S76</f>
        <v>57.7557689447979</v>
      </c>
      <c r="T77" s="16"/>
      <c r="U77" s="561">
        <f>+SUM(U74:U75)-U76</f>
        <v>59.887614767042628</v>
      </c>
      <c r="V77" s="80">
        <f>+SUM(V74:V75)-V76</f>
        <v>61.678860709920109</v>
      </c>
      <c r="W77" s="80">
        <f>+SUM(W74:W75)-W76</f>
        <v>63.298587481528827</v>
      </c>
      <c r="X77" s="80">
        <f>+SUM(X74:X75)-X76</f>
        <v>60.086861480252381</v>
      </c>
      <c r="Y77" s="562">
        <f>+SUM(Y74:Y75)-Y76</f>
        <v>57.27175506690017</v>
      </c>
      <c r="Z77" s="16"/>
      <c r="AA77" s="561">
        <f>+SUM(AA74:AA75)-AA76</f>
        <v>62.613933588105553</v>
      </c>
      <c r="AB77" s="80">
        <f>+SUM(AB74:AB75)-AB76</f>
        <v>60.663387603792657</v>
      </c>
      <c r="AC77" s="80">
        <f>+SUM(AC74:AC75)-AC76</f>
        <v>61.983725563408896</v>
      </c>
      <c r="AD77" s="80">
        <f>+SUM(AD74:AD75)-AD76</f>
        <v>54.627139257833043</v>
      </c>
      <c r="AE77" s="562">
        <f>+SUM(AE74:AE75)-AE76</f>
        <v>56.065312088314627</v>
      </c>
      <c r="AF77" s="16"/>
      <c r="AG77" s="561">
        <f>+SUM(AG74:AG75)-AG76</f>
        <v>62.350142873657084</v>
      </c>
      <c r="AH77" s="80">
        <f>+SUM(AH74:AH75)-AH76</f>
        <v>61.855319676573806</v>
      </c>
      <c r="AI77" s="80">
        <f>+SUM(AI74:AI75)-AI76</f>
        <v>61.824096410617351</v>
      </c>
      <c r="AJ77" s="80">
        <f>+SUM(AJ74:AJ75)-AJ76</f>
        <v>59.705365442282186</v>
      </c>
      <c r="AK77" s="562">
        <f>+SUM(AK74:AK75)-AK76</f>
        <v>60.07927915835014</v>
      </c>
      <c r="AL77" s="16"/>
      <c r="AM77" s="561">
        <f>+SUM(AM74:AM75)-AM76</f>
        <v>65.860656696421543</v>
      </c>
      <c r="AN77" s="80">
        <f>+SUM(AN74:AN75)-AN76</f>
        <v>64.270055565546016</v>
      </c>
      <c r="AO77" s="80">
        <f>+SUM(AO74:AO75)-AO76</f>
        <v>63.919627036113447</v>
      </c>
      <c r="AP77" s="80">
        <f>+SUM(AP74:AP75)-AP76</f>
        <v>60.077857965066599</v>
      </c>
      <c r="AQ77" s="562">
        <f>+SUM(AQ74:AQ75)-AQ76</f>
        <v>61.770289209425862</v>
      </c>
      <c r="AR77" s="16"/>
      <c r="AS77" s="561">
        <f>+SUM(AS74:AS75)-AS76</f>
        <v>65.833263076705549</v>
      </c>
      <c r="AT77" s="80">
        <f>+SUM(AT74:AT75)-AT76</f>
        <v>65.706603638486627</v>
      </c>
      <c r="AU77" s="80">
        <f>+SUM(AU74:AU75)-AU76</f>
        <v>64.790664392486178</v>
      </c>
      <c r="AV77" s="80">
        <f>+SUM(AV74:AV75)-AV76</f>
        <v>61.30986829944397</v>
      </c>
      <c r="AW77" s="562">
        <f>+SUM(AW74:AW75)-AW76</f>
        <v>60.247243324999573</v>
      </c>
      <c r="AX77" s="16"/>
      <c r="AY77" s="561">
        <f>+SUM(AY74:AY75)-AY76</f>
        <v>67.609388469211751</v>
      </c>
      <c r="AZ77" s="80">
        <f>+SUM(AZ74:AZ75)-AZ76</f>
        <v>66.209083171431047</v>
      </c>
      <c r="BA77" s="80">
        <f>+SUM(BA74:BA75)-BA76</f>
        <v>66.705143204014973</v>
      </c>
      <c r="BB77" s="80">
        <f>+SUM(BB74:BB75)-BB76</f>
        <v>63.247731412495376</v>
      </c>
      <c r="BC77" s="562">
        <f>+SUM(BC74:BC75)-BC76</f>
        <v>63.735034944058548</v>
      </c>
      <c r="BD77" s="16"/>
      <c r="BE77" s="561">
        <f>+SUM(BE74:BE75)-BE76</f>
        <v>70.136960634340923</v>
      </c>
      <c r="BF77" s="80">
        <f>+SUM(BF74:BF75)-BF76</f>
        <v>69.135528250024507</v>
      </c>
      <c r="BG77" s="80">
        <f>+SUM(BG74:BG75)-BG76</f>
        <v>67.989160541996853</v>
      </c>
      <c r="BH77" s="80">
        <f>+SUM(BH74:BH75)-BH76</f>
        <v>62.990003814238598</v>
      </c>
      <c r="BI77" s="562">
        <f>+SUM(BI74:BI75)-BI76</f>
        <v>64.801120417881947</v>
      </c>
      <c r="BJ77" s="16"/>
      <c r="BK77" s="561">
        <f>+SUM(BK74:BK75)-BK76</f>
        <v>71.118274360301996</v>
      </c>
      <c r="BL77" s="80">
        <f>+SUM(BL74:BL75)-BL76</f>
        <v>71.238954787115574</v>
      </c>
      <c r="BM77" s="80">
        <f>+SUM(BM74:BM75)-BM76</f>
        <v>69.643244151736724</v>
      </c>
      <c r="BN77" s="80">
        <f>+SUM(BN74:BN75)-BN76</f>
        <v>69.272609439875566</v>
      </c>
      <c r="BO77" s="562">
        <f>+SUM(BO74:BO75)-BO76</f>
        <v>68.880412531882541</v>
      </c>
      <c r="BP77" s="16"/>
      <c r="BQ77" s="561">
        <f>+SUM(BQ74:BQ75)-BQ76</f>
        <v>77.368274360301996</v>
      </c>
      <c r="BR77" s="80">
        <f>+SUM(BR74:BR75)-BR76</f>
        <v>77.488954787115574</v>
      </c>
      <c r="BS77" s="80">
        <f>+SUM(BS74:BS75)-BS76</f>
        <v>75.893244151736724</v>
      </c>
      <c r="BT77" s="80">
        <f>+SUM(BT74:BT75)-BT76</f>
        <v>75.522609439875566</v>
      </c>
      <c r="BU77" s="562">
        <f>+SUM(BU74:BU75)-BU76</f>
        <v>74.783458152486787</v>
      </c>
      <c r="BV77" s="16"/>
      <c r="BW77" s="561">
        <f>+SUM(BW74:BW75)-BW76</f>
        <v>83.118274360301996</v>
      </c>
      <c r="BX77" s="80">
        <f>+SUM(BX74:BX75)-BX76</f>
        <v>83.238954787115574</v>
      </c>
      <c r="BY77" s="80">
        <f>+SUM(BY74:BY75)-BY76</f>
        <v>81.643244151736724</v>
      </c>
      <c r="BZ77" s="80">
        <f>+SUM(BZ74:BZ75)-BZ76</f>
        <v>81.272609439875566</v>
      </c>
      <c r="CA77" s="562">
        <f>+SUM(CA74:CA75)-CA76</f>
        <v>80.0801012168169</v>
      </c>
      <c r="CB77" s="16"/>
      <c r="CC77" s="561">
        <f>+SUM(CC74:CC75)-CC76</f>
        <v>88.868274360301996</v>
      </c>
      <c r="CD77" s="80">
        <f>+SUM(CD74:CD75)-CD76</f>
        <v>88.988954787115574</v>
      </c>
      <c r="CE77" s="80">
        <f>+SUM(CE74:CE75)-CE76</f>
        <v>87.393244151736724</v>
      </c>
      <c r="CF77" s="80">
        <f>+SUM(CF74:CF75)-CF76</f>
        <v>87.022609439875566</v>
      </c>
      <c r="CG77" s="562">
        <f>+SUM(CG74:CG75)-CG76</f>
        <v>86.045462061156968</v>
      </c>
      <c r="CH77" s="16"/>
      <c r="CI77" s="16"/>
      <c r="CJ77" s="16"/>
      <c r="CK77" s="16"/>
      <c r="CL77" s="16"/>
      <c r="CM77" s="16"/>
      <c r="CN77" s="16"/>
      <c r="CO77"/>
      <c r="CP77"/>
      <c r="CQ77"/>
      <c r="CR77"/>
      <c r="CS77"/>
      <c r="CT77"/>
    </row>
    <row r="78" spans="2:98" s="7" customFormat="1" ht="11.25" customHeight="1" x14ac:dyDescent="0.2">
      <c r="C78" s="16"/>
      <c r="D78" s="16"/>
      <c r="E78" s="16"/>
      <c r="F78" s="16"/>
      <c r="G78" s="16"/>
      <c r="H78" s="16"/>
      <c r="I78" s="16"/>
      <c r="J78" s="16"/>
      <c r="K78" s="16"/>
      <c r="L78" s="16"/>
      <c r="M78" s="16"/>
      <c r="N78" s="16"/>
      <c r="O78" s="16"/>
      <c r="P78" s="16"/>
      <c r="Q78" s="16"/>
      <c r="R78" s="16"/>
      <c r="S78" s="16"/>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25"/>
      <c r="CI78" s="125"/>
      <c r="CJ78" s="125"/>
      <c r="CK78" s="125"/>
      <c r="CL78" s="125"/>
      <c r="CM78" s="125"/>
      <c r="CN78" s="125"/>
      <c r="CO78"/>
      <c r="CP78"/>
      <c r="CQ78"/>
      <c r="CR78"/>
      <c r="CS78"/>
      <c r="CT78"/>
    </row>
    <row r="79" spans="2:98" s="7" customFormat="1" ht="11.25" customHeight="1" x14ac:dyDescent="0.2">
      <c r="B79" s="815" t="s">
        <v>240</v>
      </c>
      <c r="C79" s="816"/>
      <c r="D79" s="816"/>
      <c r="E79" s="816"/>
      <c r="F79" s="816"/>
      <c r="G79" s="816"/>
      <c r="H79" s="816"/>
      <c r="I79" s="816"/>
      <c r="J79" s="816"/>
      <c r="K79" s="816"/>
      <c r="L79" s="816"/>
      <c r="M79" s="816"/>
      <c r="N79" s="816"/>
      <c r="O79" s="816"/>
      <c r="P79" s="816"/>
      <c r="Q79" s="816"/>
      <c r="R79" s="816"/>
      <c r="S79" s="816"/>
      <c r="T79" s="816"/>
      <c r="U79" s="816"/>
      <c r="V79" s="816"/>
      <c r="W79" s="816"/>
      <c r="X79" s="816"/>
      <c r="Y79" s="816"/>
      <c r="Z79" s="816"/>
      <c r="AA79" s="816"/>
      <c r="AB79" s="816"/>
      <c r="AC79" s="816"/>
      <c r="AD79" s="816"/>
      <c r="AE79" s="816"/>
      <c r="AF79" s="816"/>
      <c r="AG79" s="816"/>
      <c r="AH79" s="816"/>
      <c r="AI79" s="816"/>
      <c r="AJ79" s="816"/>
      <c r="AK79" s="816"/>
      <c r="AL79" s="816"/>
      <c r="AM79" s="816"/>
      <c r="AN79" s="816"/>
      <c r="AO79" s="816"/>
      <c r="AP79" s="816"/>
      <c r="AQ79" s="816"/>
      <c r="AR79" s="816"/>
      <c r="AS79" s="816"/>
      <c r="AT79" s="816"/>
      <c r="AU79" s="816"/>
      <c r="AV79" s="816"/>
      <c r="AW79" s="816"/>
      <c r="AX79" s="816"/>
      <c r="AY79" s="816"/>
      <c r="AZ79" s="816"/>
      <c r="BA79" s="816"/>
      <c r="BB79" s="816"/>
      <c r="BC79" s="816"/>
      <c r="BD79" s="816"/>
      <c r="BE79" s="816"/>
      <c r="BF79" s="816"/>
      <c r="BG79" s="816"/>
      <c r="BH79" s="816"/>
      <c r="BI79" s="816"/>
      <c r="BJ79" s="816"/>
      <c r="BK79" s="816"/>
      <c r="BL79" s="816"/>
      <c r="BM79" s="816"/>
      <c r="BN79" s="816"/>
      <c r="BO79" s="816"/>
      <c r="BP79" s="816"/>
      <c r="BQ79" s="816"/>
      <c r="BR79" s="816"/>
      <c r="BS79" s="816"/>
      <c r="BT79" s="816"/>
      <c r="BU79" s="816"/>
      <c r="BV79" s="816"/>
      <c r="BW79" s="816"/>
      <c r="BX79" s="816"/>
      <c r="BY79" s="816"/>
      <c r="BZ79" s="816"/>
      <c r="CA79" s="816"/>
      <c r="CB79" s="816"/>
      <c r="CC79" s="816"/>
      <c r="CD79" s="816"/>
      <c r="CE79" s="816"/>
      <c r="CF79" s="816"/>
      <c r="CG79" s="816"/>
      <c r="CH79" s="16"/>
      <c r="CI79" s="16"/>
      <c r="CJ79" s="16"/>
      <c r="CK79" s="16"/>
      <c r="CL79" s="16"/>
      <c r="CM79" s="16"/>
      <c r="CN79" s="16"/>
      <c r="CO79"/>
      <c r="CP79"/>
      <c r="CQ79"/>
      <c r="CR79"/>
      <c r="CS79"/>
      <c r="CT79"/>
    </row>
    <row r="80" spans="2:98" s="7" customFormat="1" ht="11.25" customHeight="1" x14ac:dyDescent="0.2">
      <c r="B80" s="568" t="s">
        <v>241</v>
      </c>
      <c r="C80" s="569">
        <f>+'Cash Flow'!C48</f>
        <v>-94.191000000000003</v>
      </c>
      <c r="D80" s="570">
        <f>+'Cash Flow'!D48</f>
        <v>36.515000000000015</v>
      </c>
      <c r="E80" s="570">
        <f>+'Cash Flow'!E48</f>
        <v>16.486999999999981</v>
      </c>
      <c r="F80" s="570">
        <f>+'Cash Flow'!F48</f>
        <v>40.132000000000048</v>
      </c>
      <c r="G80" s="571">
        <f>+'Cash Flow'!G48</f>
        <v>-1.0569999999999595</v>
      </c>
      <c r="H80" s="62"/>
      <c r="I80" s="569">
        <f>+'Cash Flow'!I48</f>
        <v>-44.554000000000002</v>
      </c>
      <c r="J80" s="570">
        <f>+'Cash Flow'!J48</f>
        <v>68.396000000000043</v>
      </c>
      <c r="K80" s="570">
        <f>+'Cash Flow'!K48</f>
        <v>16.931999999999995</v>
      </c>
      <c r="L80" s="570">
        <f>+'Cash Flow'!L48</f>
        <v>81.206000000000017</v>
      </c>
      <c r="M80" s="571">
        <f>+'Cash Flow'!M48</f>
        <v>121.98000000000002</v>
      </c>
      <c r="N80" s="62"/>
      <c r="O80" s="569">
        <f>+'Cash Flow'!O48</f>
        <v>-61.414000000000009</v>
      </c>
      <c r="P80" s="570">
        <f>+'Cash Flow'!P48</f>
        <v>85.717000000000013</v>
      </c>
      <c r="Q80" s="570">
        <f>+'Cash Flow'!Q48</f>
        <v>-76.265999999999963</v>
      </c>
      <c r="R80" s="570">
        <f>+'Cash Flow'!R48</f>
        <v>153.54699999999997</v>
      </c>
      <c r="S80" s="571">
        <f>+'Cash Flow'!S48</f>
        <v>101.58399999999989</v>
      </c>
      <c r="T80" s="62"/>
      <c r="U80" s="569">
        <f>+'Cash Flow'!U48</f>
        <v>-115.76600000000002</v>
      </c>
      <c r="V80" s="570">
        <f>+'Cash Flow'!V48</f>
        <v>-34.272000000000006</v>
      </c>
      <c r="W80" s="570">
        <f>+'Cash Flow'!W48</f>
        <v>-117.38599999999994</v>
      </c>
      <c r="X80" s="570">
        <f>+'Cash Flow'!X48</f>
        <v>-53.382000000000176</v>
      </c>
      <c r="Y80" s="571">
        <f>+'Cash Flow'!Y48</f>
        <v>-320.80600000000004</v>
      </c>
      <c r="Z80" s="62"/>
      <c r="AA80" s="569">
        <f>+'Cash Flow'!AA48</f>
        <v>-33.63600000000001</v>
      </c>
      <c r="AB80" s="570">
        <f>+'Cash Flow'!AB48</f>
        <v>45.077000000000027</v>
      </c>
      <c r="AC80" s="570">
        <f>+'Cash Flow'!AC48</f>
        <v>-54.91700000000003</v>
      </c>
      <c r="AD80" s="570">
        <f>+'Cash Flow'!AD48</f>
        <v>40.411999999999978</v>
      </c>
      <c r="AE80" s="571">
        <f>+'Cash Flow'!AE48</f>
        <v>-3.0639999999999645</v>
      </c>
      <c r="AF80" s="62"/>
      <c r="AG80" s="569">
        <f>+'Cash Flow'!AG48</f>
        <v>-45.471000000000018</v>
      </c>
      <c r="AH80" s="570">
        <f>+'Cash Flow'!AH48</f>
        <v>-13.91700000000003</v>
      </c>
      <c r="AI80" s="570">
        <f>+'Cash Flow'!AI48</f>
        <v>1.4399999999999977</v>
      </c>
      <c r="AJ80" s="570">
        <f>+'Cash Flow'!AJ48</f>
        <v>32.743999999999943</v>
      </c>
      <c r="AK80" s="571">
        <f>+'Cash Flow'!AK48</f>
        <v>-25.204000000000008</v>
      </c>
      <c r="AL80" s="62"/>
      <c r="AM80" s="569">
        <f>+'Cash Flow'!AM48</f>
        <v>-31.517999999999979</v>
      </c>
      <c r="AN80" s="570">
        <f>+'Cash Flow'!AN48</f>
        <v>-11.722999999999956</v>
      </c>
      <c r="AO80" s="570">
        <f>+'Cash Flow'!AO48</f>
        <v>-8.9240000000000066</v>
      </c>
      <c r="AP80" s="570">
        <f>+'Cash Flow'!AP48</f>
        <v>118.70100000000019</v>
      </c>
      <c r="AQ80" s="571">
        <f>+'Cash Flow'!AQ48</f>
        <v>66.536000000000058</v>
      </c>
      <c r="AR80" s="62"/>
      <c r="AS80" s="569">
        <f>+'Cash Flow'!AS48</f>
        <v>-59.501000000000083</v>
      </c>
      <c r="AT80" s="570">
        <f>+'Cash Flow'!AT48</f>
        <v>-39.417000000000002</v>
      </c>
      <c r="AU80" s="570">
        <f>+'Cash Flow'!AU48</f>
        <v>-13.155999999999977</v>
      </c>
      <c r="AV80" s="570">
        <f>+'Cash Flow'!AV48</f>
        <v>12.932000000000016</v>
      </c>
      <c r="AW80" s="571">
        <f>+'Cash Flow'!AW48</f>
        <v>-99.142000000000053</v>
      </c>
      <c r="AX80" s="62"/>
      <c r="AY80" s="569">
        <f>+'Cash Flow'!AY48</f>
        <v>-30.272000000000009</v>
      </c>
      <c r="AZ80" s="570">
        <f>+'Cash Flow'!AZ48</f>
        <v>-12.133999999999986</v>
      </c>
      <c r="BA80" s="570">
        <f>+'Cash Flow'!BA48</f>
        <v>13.412999999999982</v>
      </c>
      <c r="BB80" s="570">
        <f>+'Cash Flow'!BB48</f>
        <v>11.605000000000018</v>
      </c>
      <c r="BC80" s="571">
        <f>+'Cash Flow'!BC48</f>
        <v>-17.387999999999693</v>
      </c>
      <c r="BD80" s="62"/>
      <c r="BE80" s="569">
        <f>+'Cash Flow'!BE48</f>
        <v>-0.47199999999995157</v>
      </c>
      <c r="BF80" s="570">
        <f>+'Cash Flow'!BF48</f>
        <v>-8.054000000000002</v>
      </c>
      <c r="BG80" s="570">
        <f>+'Cash Flow'!BG48</f>
        <v>12.632000000000062</v>
      </c>
      <c r="BH80" s="570">
        <f>+'Cash Flow'!BH48</f>
        <v>-13.811000000000149</v>
      </c>
      <c r="BI80" s="571">
        <f>+'Cash Flow'!BI48</f>
        <v>-9.7050000000001546</v>
      </c>
      <c r="BJ80" s="62"/>
      <c r="BK80" s="569">
        <f>+'Cash Flow'!BK48</f>
        <v>0.50700000000001921</v>
      </c>
      <c r="BL80" s="570">
        <f>+'Cash Flow'!BL48</f>
        <v>11.765999999999934</v>
      </c>
      <c r="BM80" s="570">
        <f>+'Cash Flow'!BM48</f>
        <v>5.2250000000000227</v>
      </c>
      <c r="BN80" s="570">
        <f>+'Cash Flow'!BN48</f>
        <v>94.778999999999996</v>
      </c>
      <c r="BO80" s="571">
        <f>+'Cash Flow'!BO48</f>
        <v>112.27699999999993</v>
      </c>
      <c r="BP80" s="62"/>
      <c r="BQ80" s="569">
        <f>+'Cash Flow'!BQ48</f>
        <v>-12.207986286405003</v>
      </c>
      <c r="BR80" s="570">
        <f>+'Cash Flow'!BR48</f>
        <v>-37.095278102892365</v>
      </c>
      <c r="BS80" s="570">
        <f>+'Cash Flow'!BS48</f>
        <v>72.893640514349016</v>
      </c>
      <c r="BT80" s="570">
        <f>+'Cash Flow'!BT48</f>
        <v>83.737639442556883</v>
      </c>
      <c r="BU80" s="571">
        <f>+'Cash Flow'!BU48</f>
        <v>107.32801556760853</v>
      </c>
      <c r="BV80" s="62"/>
      <c r="BW80" s="569">
        <f>+'Cash Flow'!BW48</f>
        <v>47.183320116721035</v>
      </c>
      <c r="BX80" s="570">
        <f>+'Cash Flow'!BX48</f>
        <v>-51.443791846663828</v>
      </c>
      <c r="BY80" s="570">
        <f>+'Cash Flow'!BY48</f>
        <v>61.238976892930964</v>
      </c>
      <c r="BZ80" s="570">
        <f>+'Cash Flow'!BZ48</f>
        <v>72.232465046020593</v>
      </c>
      <c r="CA80" s="571">
        <f>+'Cash Flow'!CA48</f>
        <v>129.21097020900856</v>
      </c>
      <c r="CB80" s="62"/>
      <c r="CC80" s="569">
        <f>+'Cash Flow'!CC48</f>
        <v>56.802532884281874</v>
      </c>
      <c r="CD80" s="570">
        <f>+'Cash Flow'!CD48</f>
        <v>-69.583479490936156</v>
      </c>
      <c r="CE80" s="570">
        <f>+'Cash Flow'!CE48</f>
        <v>-46.791015229756681</v>
      </c>
      <c r="CF80" s="570">
        <f>+'Cash Flow'!CF48</f>
        <v>62.379346115262223</v>
      </c>
      <c r="CG80" s="571">
        <f>+'Cash Flow'!CG48</f>
        <v>2.8073842788512593</v>
      </c>
      <c r="CH80" s="38"/>
      <c r="CI80" s="38"/>
      <c r="CJ80" s="38"/>
      <c r="CK80" s="38"/>
      <c r="CL80" s="38"/>
      <c r="CM80" s="38"/>
      <c r="CN80" s="38"/>
      <c r="CO80"/>
      <c r="CP80"/>
      <c r="CQ80"/>
      <c r="CR80"/>
      <c r="CS80"/>
      <c r="CT80"/>
    </row>
    <row r="81" spans="2:98" s="7" customFormat="1" ht="11.25" customHeight="1" x14ac:dyDescent="0.2">
      <c r="B81" s="568" t="s">
        <v>242</v>
      </c>
      <c r="C81" s="569">
        <f>+'Cash Flow'!C24</f>
        <v>-33.902000000000001</v>
      </c>
      <c r="D81" s="570">
        <f>+'Cash Flow'!D24</f>
        <v>114.64300000000001</v>
      </c>
      <c r="E81" s="570">
        <f>+'Cash Flow'!E24</f>
        <v>69.183999999999997</v>
      </c>
      <c r="F81" s="570">
        <f>+'Cash Flow'!F24</f>
        <v>120.28600000000002</v>
      </c>
      <c r="G81" s="571">
        <f>+'Cash Flow'!G24</f>
        <v>270.21100000000001</v>
      </c>
      <c r="H81" s="62"/>
      <c r="I81" s="569">
        <f>+'Cash Flow'!I24</f>
        <v>13.372999999999996</v>
      </c>
      <c r="J81" s="570">
        <f>+'Cash Flow'!J24</f>
        <v>125.31100000000004</v>
      </c>
      <c r="K81" s="570">
        <f>+'Cash Flow'!K24</f>
        <v>49.98</v>
      </c>
      <c r="L81" s="570">
        <f>+'Cash Flow'!L24</f>
        <v>196.11799999999999</v>
      </c>
      <c r="M81" s="571">
        <f>+'Cash Flow'!M24</f>
        <v>384.78199999999998</v>
      </c>
      <c r="N81" s="62"/>
      <c r="O81" s="569">
        <f>+'Cash Flow'!O24</f>
        <v>-27.128000000000007</v>
      </c>
      <c r="P81" s="570">
        <f>+'Cash Flow'!P24</f>
        <v>106.70300000000002</v>
      </c>
      <c r="Q81" s="570">
        <f>+'Cash Flow'!Q24</f>
        <v>138.80200000000005</v>
      </c>
      <c r="R81" s="570">
        <f>+'Cash Flow'!R24</f>
        <v>178.51299999999998</v>
      </c>
      <c r="S81" s="571">
        <f>+'Cash Flow'!S24</f>
        <v>396.88999999999993</v>
      </c>
      <c r="T81" s="62"/>
      <c r="U81" s="569">
        <f>+'Cash Flow'!U24</f>
        <v>21.67499999999999</v>
      </c>
      <c r="V81" s="570">
        <f>+'Cash Flow'!V24</f>
        <v>107.313</v>
      </c>
      <c r="W81" s="570">
        <f>+'Cash Flow'!W24</f>
        <v>47.837000000000025</v>
      </c>
      <c r="X81" s="570">
        <f>+'Cash Flow'!X24</f>
        <v>218.65499999999992</v>
      </c>
      <c r="Y81" s="571">
        <f>+'Cash Flow'!Y24</f>
        <v>395.48</v>
      </c>
      <c r="Z81" s="62"/>
      <c r="AA81" s="569">
        <f>+'Cash Flow'!AA24</f>
        <v>48.474000000000004</v>
      </c>
      <c r="AB81" s="570">
        <f>+'Cash Flow'!AB24</f>
        <v>137.99800000000002</v>
      </c>
      <c r="AC81" s="570">
        <f>+'Cash Flow'!AC24</f>
        <v>90.326999999999998</v>
      </c>
      <c r="AD81" s="570">
        <f>+'Cash Flow'!AD24</f>
        <v>277.82600000000002</v>
      </c>
      <c r="AE81" s="571">
        <f>+'Cash Flow'!AE24</f>
        <v>554.625</v>
      </c>
      <c r="AF81" s="62"/>
      <c r="AG81" s="569">
        <f>+'Cash Flow'!AG24</f>
        <v>-48.605000000000018</v>
      </c>
      <c r="AH81" s="570">
        <f>+'Cash Flow'!AH24</f>
        <v>178.49799999999996</v>
      </c>
      <c r="AI81" s="570">
        <f>+'Cash Flow'!AI24</f>
        <v>78.545000000000016</v>
      </c>
      <c r="AJ81" s="570">
        <f>+'Cash Flow'!AJ24</f>
        <v>199.66099999999994</v>
      </c>
      <c r="AK81" s="571">
        <f>+'Cash Flow'!AK24</f>
        <v>408.09899999999999</v>
      </c>
      <c r="AL81" s="62"/>
      <c r="AM81" s="569">
        <f>+'Cash Flow'!AM24</f>
        <v>-38.04699999999999</v>
      </c>
      <c r="AN81" s="570">
        <f>+'Cash Flow'!AN24</f>
        <v>274.79800000000006</v>
      </c>
      <c r="AO81" s="570">
        <f>+'Cash Flow'!AO24</f>
        <v>152.79599999999999</v>
      </c>
      <c r="AP81" s="570">
        <f>+'Cash Flow'!AP24</f>
        <v>274.62800000000004</v>
      </c>
      <c r="AQ81" s="571">
        <f>+'Cash Flow'!AQ24</f>
        <v>664.17500000000007</v>
      </c>
      <c r="AR81" s="62"/>
      <c r="AS81" s="569">
        <f>+'Cash Flow'!AS24</f>
        <v>-55.249000000000017</v>
      </c>
      <c r="AT81" s="570">
        <f>+'Cash Flow'!AT24</f>
        <v>199.23200000000003</v>
      </c>
      <c r="AU81" s="570">
        <f>+'Cash Flow'!AU24</f>
        <v>174.50200000000004</v>
      </c>
      <c r="AV81" s="570">
        <f>+'Cash Flow'!AV24</f>
        <v>274.01900000000001</v>
      </c>
      <c r="AW81" s="571">
        <f>+'Cash Flow'!AW24</f>
        <v>592.50399999999991</v>
      </c>
      <c r="AX81" s="62"/>
      <c r="AY81" s="569">
        <f>+'Cash Flow'!AY24</f>
        <v>-26.654000000000018</v>
      </c>
      <c r="AZ81" s="570">
        <f>+'Cash Flow'!AZ24</f>
        <v>207.756</v>
      </c>
      <c r="BA81" s="570">
        <f>+'Cash Flow'!BA24</f>
        <v>107.42800000000001</v>
      </c>
      <c r="BB81" s="570">
        <f>+'Cash Flow'!BB24</f>
        <v>298.31099999999998</v>
      </c>
      <c r="BC81" s="571">
        <f>+'Cash Flow'!BC24</f>
        <v>586.84100000000012</v>
      </c>
      <c r="BD81" s="62"/>
      <c r="BE81" s="569">
        <f>+'Cash Flow'!BE24</f>
        <v>-77.797999999999988</v>
      </c>
      <c r="BF81" s="570">
        <f>+'Cash Flow'!BF24</f>
        <v>250.67</v>
      </c>
      <c r="BG81" s="570">
        <f>+'Cash Flow'!BG24</f>
        <v>178.08100000000002</v>
      </c>
      <c r="BH81" s="570">
        <f>+'Cash Flow'!BH24</f>
        <v>264.50799999999992</v>
      </c>
      <c r="BI81" s="571">
        <f>+'Cash Flow'!BI24</f>
        <v>615.4609999999999</v>
      </c>
      <c r="BJ81" s="62"/>
      <c r="BK81" s="569">
        <f>+'Cash Flow'!BK24</f>
        <v>-52.591000000000015</v>
      </c>
      <c r="BL81" s="570">
        <f>+'Cash Flow'!BL24</f>
        <v>228.72999999999996</v>
      </c>
      <c r="BM81" s="570">
        <f>+'Cash Flow'!BM24</f>
        <v>131.36199999999999</v>
      </c>
      <c r="BN81" s="570">
        <f>+'Cash Flow'!BN24</f>
        <v>238.01399999999998</v>
      </c>
      <c r="BO81" s="571">
        <f>+'Cash Flow'!BO24</f>
        <v>545.51499999999987</v>
      </c>
      <c r="BP81" s="62"/>
      <c r="BQ81" s="569">
        <f>+'Cash Flow'!BQ24</f>
        <v>112.28126896402549</v>
      </c>
      <c r="BR81" s="570">
        <f>+'Cash Flow'!BR24</f>
        <v>88.846998997720192</v>
      </c>
      <c r="BS81" s="570">
        <f>+'Cash Flow'!BS24</f>
        <v>199.40405642707245</v>
      </c>
      <c r="BT81" s="570">
        <f>+'Cash Flow'!BT24</f>
        <v>211.67258187441644</v>
      </c>
      <c r="BU81" s="571">
        <f>+'Cash Flow'!BU24</f>
        <v>612.20490626323453</v>
      </c>
      <c r="BV81" s="62"/>
      <c r="BW81" s="569">
        <f>+'Cash Flow'!BW24</f>
        <v>180.00510987192891</v>
      </c>
      <c r="BX81" s="570">
        <f>+'Cash Flow'!BX24</f>
        <v>82.702120913204112</v>
      </c>
      <c r="BY81" s="570">
        <f>+'Cash Flow'!BY24</f>
        <v>195.95877511306853</v>
      </c>
      <c r="BZ81" s="570">
        <f>+'Cash Flow'!BZ24</f>
        <v>208.26242041515377</v>
      </c>
      <c r="CA81" s="571">
        <f>+'Cash Flow'!CA24</f>
        <v>666.9284263133552</v>
      </c>
      <c r="CB81" s="62"/>
      <c r="CC81" s="569">
        <f>+'Cash Flow'!CC24</f>
        <v>197.68235952778218</v>
      </c>
      <c r="CD81" s="570">
        <f>+'Cash Flow'!CD24</f>
        <v>72.665271771760217</v>
      </c>
      <c r="CE81" s="570">
        <f>+'Cash Flow'!CE24</f>
        <v>196.0374644561654</v>
      </c>
      <c r="CF81" s="570">
        <f>+'Cash Flow'!CF24</f>
        <v>206.44091352266523</v>
      </c>
      <c r="CG81" s="571">
        <f>+'Cash Flow'!CG24</f>
        <v>672.82600927837302</v>
      </c>
      <c r="CH81" s="38"/>
      <c r="CI81" s="38"/>
      <c r="CJ81" s="38"/>
      <c r="CK81" s="38"/>
      <c r="CL81" s="38"/>
      <c r="CM81" s="38"/>
      <c r="CN81" s="38"/>
      <c r="CO81"/>
      <c r="CP81"/>
      <c r="CQ81"/>
      <c r="CR81"/>
      <c r="CS81"/>
      <c r="CT81"/>
    </row>
    <row r="82" spans="2:98" s="7" customFormat="1" ht="11.25" customHeight="1" x14ac:dyDescent="0.2">
      <c r="B82" s="568" t="s">
        <v>141</v>
      </c>
      <c r="C82" s="569">
        <f>+'Cash Flow'!C55</f>
        <v>-42.835000000000001</v>
      </c>
      <c r="D82" s="570">
        <f>+'Cash Flow'!D55</f>
        <v>102.24000000000001</v>
      </c>
      <c r="E82" s="570">
        <f>+'Cash Flow'!E55</f>
        <v>57.496999999999993</v>
      </c>
      <c r="F82" s="570">
        <f>+'Cash Flow'!F55</f>
        <v>96.488000000000028</v>
      </c>
      <c r="G82" s="571">
        <f>+'Cash Flow'!G55</f>
        <v>213.39000000000001</v>
      </c>
      <c r="H82" s="62"/>
      <c r="I82" s="569">
        <f>+'Cash Flow'!I55</f>
        <v>-0.37000000000000455</v>
      </c>
      <c r="J82" s="570">
        <f>+'Cash Flow'!J55</f>
        <v>115.58800000000004</v>
      </c>
      <c r="K82" s="570">
        <f>+'Cash Flow'!K55</f>
        <v>35.326999999999998</v>
      </c>
      <c r="L82" s="570">
        <f>+'Cash Flow'!L55</f>
        <v>183.36699999999999</v>
      </c>
      <c r="M82" s="571">
        <f>+'Cash Flow'!M55</f>
        <v>333.91199999999998</v>
      </c>
      <c r="N82" s="62"/>
      <c r="O82" s="569">
        <f>+'Cash Flow'!O55</f>
        <v>-39.994000000000007</v>
      </c>
      <c r="P82" s="570">
        <f>+'Cash Flow'!P55</f>
        <v>91.166000000000025</v>
      </c>
      <c r="Q82" s="570">
        <f>+'Cash Flow'!Q55</f>
        <v>128.78800000000004</v>
      </c>
      <c r="R82" s="570">
        <f>+'Cash Flow'!R55</f>
        <v>165.30299999999997</v>
      </c>
      <c r="S82" s="571">
        <f>+'Cash Flow'!S55</f>
        <v>345.26299999999992</v>
      </c>
      <c r="T82" s="62"/>
      <c r="U82" s="569">
        <f>+'Cash Flow'!U55</f>
        <v>12.612999999999991</v>
      </c>
      <c r="V82" s="570">
        <f>+'Cash Flow'!V55</f>
        <v>98.832999999999998</v>
      </c>
      <c r="W82" s="570">
        <f>+'Cash Flow'!W55</f>
        <v>38.453000000000024</v>
      </c>
      <c r="X82" s="570">
        <f>+'Cash Flow'!X55</f>
        <v>206.58099999999993</v>
      </c>
      <c r="Y82" s="571">
        <f>+'Cash Flow'!Y55</f>
        <v>356.48</v>
      </c>
      <c r="Z82" s="62"/>
      <c r="AA82" s="569">
        <f>+'Cash Flow'!AA55</f>
        <v>38.016000000000005</v>
      </c>
      <c r="AB82" s="570">
        <f>+'Cash Flow'!AB55</f>
        <v>127.69200000000002</v>
      </c>
      <c r="AC82" s="570">
        <f>+'Cash Flow'!AC55</f>
        <v>78.543999999999997</v>
      </c>
      <c r="AD82" s="570">
        <f>+'Cash Flow'!AD55</f>
        <v>265.197</v>
      </c>
      <c r="AE82" s="571">
        <f>+'Cash Flow'!AE55</f>
        <v>509.44900000000001</v>
      </c>
      <c r="AF82" s="62"/>
      <c r="AG82" s="569">
        <f>+'Cash Flow'!AG55</f>
        <v>-60.828000000000017</v>
      </c>
      <c r="AH82" s="570">
        <f>+'Cash Flow'!AH55</f>
        <v>169.34899999999996</v>
      </c>
      <c r="AI82" s="570">
        <f>+'Cash Flow'!AI55</f>
        <v>66.983000000000018</v>
      </c>
      <c r="AJ82" s="570">
        <f>+'Cash Flow'!AJ55</f>
        <v>181.35799999999995</v>
      </c>
      <c r="AK82" s="571">
        <f>+'Cash Flow'!AK55</f>
        <v>356.86199999999997</v>
      </c>
      <c r="AL82" s="62"/>
      <c r="AM82" s="569">
        <f>+'Cash Flow'!AM55</f>
        <v>-49.908999999999992</v>
      </c>
      <c r="AN82" s="570">
        <f>+'Cash Flow'!AN55</f>
        <v>264.72600000000006</v>
      </c>
      <c r="AO82" s="570">
        <f>+'Cash Flow'!AO55</f>
        <v>135.99700000000001</v>
      </c>
      <c r="AP82" s="570">
        <f>+'Cash Flow'!AP55</f>
        <v>253.14600000000004</v>
      </c>
      <c r="AQ82" s="571">
        <f>+'Cash Flow'!AQ55</f>
        <v>603.96</v>
      </c>
      <c r="AR82" s="62"/>
      <c r="AS82" s="569">
        <f>+'Cash Flow'!AS55</f>
        <v>-73.733000000000018</v>
      </c>
      <c r="AT82" s="570">
        <f>+'Cash Flow'!AT55</f>
        <v>179.74000000000004</v>
      </c>
      <c r="AU82" s="570">
        <f>+'Cash Flow'!AU55</f>
        <v>151.69600000000003</v>
      </c>
      <c r="AV82" s="570">
        <f>+'Cash Flow'!AV55</f>
        <v>252.685</v>
      </c>
      <c r="AW82" s="571">
        <f>+'Cash Flow'!AW55</f>
        <v>510.38799999999992</v>
      </c>
      <c r="AX82" s="62"/>
      <c r="AY82" s="569">
        <f>+'Cash Flow'!AY55</f>
        <v>-42.14700000000002</v>
      </c>
      <c r="AZ82" s="570">
        <f>+'Cash Flow'!AZ55</f>
        <v>189.81900000000002</v>
      </c>
      <c r="BA82" s="570">
        <f>+'Cash Flow'!BA55</f>
        <v>88.694000000000017</v>
      </c>
      <c r="BB82" s="570">
        <f>+'Cash Flow'!BB55</f>
        <v>278.791</v>
      </c>
      <c r="BC82" s="571">
        <f>+'Cash Flow'!BC55</f>
        <v>515.15700000000015</v>
      </c>
      <c r="BD82" s="62"/>
      <c r="BE82" s="569">
        <f>+'Cash Flow'!BE55</f>
        <v>-90.402999999999992</v>
      </c>
      <c r="BF82" s="570">
        <f>+'Cash Flow'!BF55</f>
        <v>237.095</v>
      </c>
      <c r="BG82" s="570">
        <f>+'Cash Flow'!BG55</f>
        <v>159.73600000000002</v>
      </c>
      <c r="BH82" s="570">
        <f>+'Cash Flow'!BH55</f>
        <v>238.85399999999993</v>
      </c>
      <c r="BI82" s="571">
        <f>+'Cash Flow'!BI55</f>
        <v>545.28199999999993</v>
      </c>
      <c r="BJ82" s="62"/>
      <c r="BK82" s="569">
        <f>+'Cash Flow'!BK55</f>
        <v>-69.902000000000015</v>
      </c>
      <c r="BL82" s="570">
        <f>+'Cash Flow'!BL55</f>
        <v>209.07599999999996</v>
      </c>
      <c r="BM82" s="570">
        <f>+'Cash Flow'!BM55</f>
        <v>113.012</v>
      </c>
      <c r="BN82" s="570">
        <f>+'Cash Flow'!BN55</f>
        <v>211.82799999999997</v>
      </c>
      <c r="BO82" s="571">
        <f>+'Cash Flow'!BO55</f>
        <v>464.0139999999999</v>
      </c>
      <c r="BP82" s="62"/>
      <c r="BQ82" s="569">
        <f>+'Cash Flow'!BQ55</f>
        <v>90.776139066025479</v>
      </c>
      <c r="BR82" s="570">
        <f>+'Cash Flow'!BR55</f>
        <v>65.958258017720198</v>
      </c>
      <c r="BS82" s="570">
        <f>+'Cash Flow'!BS55</f>
        <v>176.02250830707246</v>
      </c>
      <c r="BT82" s="570">
        <f>+'Cash Flow'!BT55</f>
        <v>187.42873609441642</v>
      </c>
      <c r="BU82" s="571">
        <f>+'Cash Flow'!BU55</f>
        <v>520.18564148523456</v>
      </c>
      <c r="BV82" s="62"/>
      <c r="BW82" s="569">
        <f>+'Cash Flow'!BW55</f>
        <v>157.39895223709891</v>
      </c>
      <c r="BX82" s="570">
        <f>+'Cash Flow'!BX55</f>
        <v>58.824823402354113</v>
      </c>
      <c r="BY82" s="570">
        <f>+'Cash Flow'!BY55</f>
        <v>171.56509485771852</v>
      </c>
      <c r="BZ82" s="570">
        <f>+'Cash Flow'!BZ55</f>
        <v>182.98774760225376</v>
      </c>
      <c r="CA82" s="571">
        <f>+'Cash Flow'!CA55</f>
        <v>570.77661809942515</v>
      </c>
      <c r="CB82" s="62"/>
      <c r="CC82" s="569">
        <f>+'Cash Flow'!CC55</f>
        <v>174.18210576464952</v>
      </c>
      <c r="CD82" s="570">
        <f>+'Cash Flow'!CD55</f>
        <v>47.836536853666466</v>
      </c>
      <c r="CE82" s="570">
        <f>+'Cash Flow'!CE55</f>
        <v>170.67289450295516</v>
      </c>
      <c r="CF82" s="570">
        <f>+'Cash Flow'!CF55</f>
        <v>180.17084886202474</v>
      </c>
      <c r="CG82" s="571">
        <f>+'Cash Flow'!CG55</f>
        <v>572.86238598329589</v>
      </c>
      <c r="CH82" s="38"/>
      <c r="CI82" s="38"/>
      <c r="CJ82" s="38"/>
      <c r="CK82" s="38"/>
      <c r="CL82" s="38"/>
      <c r="CM82" s="38"/>
      <c r="CN82" s="38"/>
      <c r="CO82"/>
      <c r="CP82"/>
      <c r="CQ82"/>
      <c r="CR82"/>
      <c r="CS82"/>
      <c r="CT82"/>
    </row>
    <row r="83" spans="2:98" s="7" customFormat="1" ht="11.25" customHeight="1" x14ac:dyDescent="0.2">
      <c r="B83" s="572" t="s">
        <v>243</v>
      </c>
      <c r="C83" s="573">
        <f>+'Cash Flow'!C56</f>
        <v>-0.23801453591749647</v>
      </c>
      <c r="D83" s="574">
        <f>+'Cash Flow'!D56</f>
        <v>0.56429446633771574</v>
      </c>
      <c r="E83" s="574">
        <f>+'Cash Flow'!E56</f>
        <v>0.31453845228065946</v>
      </c>
      <c r="F83" s="574">
        <f>+'Cash Flow'!F56</f>
        <v>0.52421466679705764</v>
      </c>
      <c r="G83" s="575">
        <f>+'Cash Flow'!G56</f>
        <v>1.1703761394425372</v>
      </c>
      <c r="H83" s="16"/>
      <c r="I83" s="573">
        <f>+'Cash Flow'!I56</f>
        <v>-2.0052244225495864E-3</v>
      </c>
      <c r="J83" s="574">
        <f>+'Cash Flow'!J56</f>
        <v>0.62811372429683099</v>
      </c>
      <c r="K83" s="574">
        <f>+'Cash Flow'!K56</f>
        <v>0.19330568201715984</v>
      </c>
      <c r="L83" s="574">
        <f>+'Cash Flow'!L56</f>
        <v>1.0254851518371455</v>
      </c>
      <c r="M83" s="575">
        <f>+'Cash Flow'!M56</f>
        <v>1.8302364587101652</v>
      </c>
      <c r="N83" s="16"/>
      <c r="O83" s="573">
        <f>+'Cash Flow'!O56</f>
        <v>-0.22320820636462069</v>
      </c>
      <c r="P83" s="574">
        <f>+'Cash Flow'!P56</f>
        <v>0.50349040139616064</v>
      </c>
      <c r="Q83" s="574">
        <f>+'Cash Flow'!Q56</f>
        <v>0.70365958934796169</v>
      </c>
      <c r="R83" s="574">
        <f>+'Cash Flow'!R56</f>
        <v>0.8982882295402671</v>
      </c>
      <c r="S83" s="575">
        <f>+'Cash Flow'!S56</f>
        <v>1.9063507663766064</v>
      </c>
      <c r="T83" s="16"/>
      <c r="U83" s="573">
        <f>+'Cash Flow'!U56</f>
        <v>6.8015875583740421E-2</v>
      </c>
      <c r="V83" s="574">
        <f>+'Cash Flow'!V56</f>
        <v>0.52935662867426514</v>
      </c>
      <c r="W83" s="574">
        <f>+'Cash Flow'!W56</f>
        <v>0.20613809370644379</v>
      </c>
      <c r="X83" s="574">
        <f>+'Cash Flow'!X56</f>
        <v>1.112037595280134</v>
      </c>
      <c r="Y83" s="575">
        <f>+'Cash Flow'!Y56</f>
        <v>1.9110520221297767</v>
      </c>
      <c r="Z83" s="16"/>
      <c r="AA83" s="573">
        <f>+'Cash Flow'!AA56</f>
        <v>0.20403387683687382</v>
      </c>
      <c r="AB83" s="574">
        <f>+'Cash Flow'!AB56</f>
        <v>0.68323951801040184</v>
      </c>
      <c r="AC83" s="574">
        <f>+'Cash Flow'!AC56</f>
        <v>0.4228752328548816</v>
      </c>
      <c r="AD83" s="574">
        <f>+'Cash Flow'!AD56</f>
        <v>1.4532616558164002</v>
      </c>
      <c r="AE83" s="575">
        <f>+'Cash Flow'!AE56</f>
        <v>2.7502105376808466</v>
      </c>
      <c r="AF83" s="16"/>
      <c r="AG83" s="573">
        <f>+'Cash Flow'!AG56</f>
        <v>-0.33545099596320571</v>
      </c>
      <c r="AH83" s="574">
        <f>+'Cash Flow'!AH56</f>
        <v>0.93508221704416183</v>
      </c>
      <c r="AI83" s="574">
        <f>+'Cash Flow'!AI56</f>
        <v>0.37359309290885367</v>
      </c>
      <c r="AJ83" s="574">
        <f>+'Cash Flow'!AJ56</f>
        <v>1.0156242999865595</v>
      </c>
      <c r="AK83" s="575">
        <f>+'Cash Flow'!AK56</f>
        <v>1.9864733976821081</v>
      </c>
      <c r="AL83" s="16"/>
      <c r="AM83" s="573">
        <f>+'Cash Flow'!AM56</f>
        <v>-0.28104446346517697</v>
      </c>
      <c r="AN83" s="574">
        <f>+'Cash Flow'!AN56</f>
        <v>1.5046721535103678</v>
      </c>
      <c r="AO83" s="574">
        <f>+'Cash Flow'!AO56</f>
        <v>0.77797926868335554</v>
      </c>
      <c r="AP83" s="574">
        <f>+'Cash Flow'!AP56</f>
        <v>1.4579455399926282</v>
      </c>
      <c r="AQ83" s="575">
        <f>+'Cash Flow'!AQ56</f>
        <v>3.4463947410467695</v>
      </c>
      <c r="AR83" s="16"/>
      <c r="AS83" s="573">
        <f>+'Cash Flow'!AS56</f>
        <v>-0.42611364109202721</v>
      </c>
      <c r="AT83" s="574">
        <f>+'Cash Flow'!AT56</f>
        <v>1.0452430797859968</v>
      </c>
      <c r="AU83" s="574">
        <f>+'Cash Flow'!AU56</f>
        <v>0.8876301930953775</v>
      </c>
      <c r="AV83" s="574">
        <f>+'Cash Flow'!AV56</f>
        <v>1.4859103578863184</v>
      </c>
      <c r="AW83" s="575">
        <f>+'Cash Flow'!AW56</f>
        <v>2.9763704222066711</v>
      </c>
      <c r="AX83" s="16"/>
      <c r="AY83" s="573">
        <f>+'Cash Flow'!AY56</f>
        <v>-0.24875759900844016</v>
      </c>
      <c r="AZ83" s="574">
        <f>+'Cash Flow'!AZ56</f>
        <v>1.1265356265356268</v>
      </c>
      <c r="BA83" s="574">
        <f>+'Cash Flow'!BA56</f>
        <v>0.52741306312734892</v>
      </c>
      <c r="BB83" s="574">
        <f>+'Cash Flow'!BB56</f>
        <v>1.6741388835511146</v>
      </c>
      <c r="BC83" s="575">
        <f>+'Cash Flow'!BC56</f>
        <v>3.0618543833580989</v>
      </c>
      <c r="BD83" s="16"/>
      <c r="BE83" s="573">
        <f>+'Cash Flow'!BE56</f>
        <v>-0.54631431368520278</v>
      </c>
      <c r="BF83" s="574">
        <f>+'Cash Flow'!BF56</f>
        <v>1.4387880185450397</v>
      </c>
      <c r="BG83" s="574">
        <f>+'Cash Flow'!BG56</f>
        <v>0.97572536802883159</v>
      </c>
      <c r="BH83" s="574">
        <f>+'Cash Flow'!BH56</f>
        <v>1.4830862081812082</v>
      </c>
      <c r="BI83" s="575">
        <f>+'Cash Flow'!BI56</f>
        <v>3.3298240685894336</v>
      </c>
      <c r="BJ83" s="16"/>
      <c r="BK83" s="573">
        <f>+'Cash Flow'!BK56</f>
        <v>-0.43754929330612558</v>
      </c>
      <c r="BL83" s="574">
        <f>+'Cash Flow'!BL56</f>
        <v>1.3143151701073699</v>
      </c>
      <c r="BM83" s="574">
        <f>+'Cash Flow'!BM56</f>
        <v>0.71404110670937826</v>
      </c>
      <c r="BN83" s="574">
        <f>+'Cash Flow'!BN56</f>
        <v>1.3657159067464408</v>
      </c>
      <c r="BO83" s="575">
        <f>+'Cash Flow'!BO56</f>
        <v>2.9358266016459735</v>
      </c>
      <c r="BP83" s="16"/>
      <c r="BQ83" s="573">
        <f>+'Cash Flow'!BQ56</f>
        <v>0.59306124966756912</v>
      </c>
      <c r="BR83" s="574">
        <f>+'Cash Flow'!BR56</f>
        <v>0.43513668748295253</v>
      </c>
      <c r="BS83" s="574">
        <f>+'Cash Flow'!BS56</f>
        <v>1.172729922563968</v>
      </c>
      <c r="BT83" s="574">
        <f>+'Cash Flow'!BT56</f>
        <v>1.2612324383480162</v>
      </c>
      <c r="BU83" s="575">
        <f>+'Cash Flow'!BU56</f>
        <v>3.4486595286876769</v>
      </c>
      <c r="BV83" s="16"/>
      <c r="BW83" s="573">
        <f>+'Cash Flow'!BW56</f>
        <v>1.0702473288738623</v>
      </c>
      <c r="BX83" s="574">
        <f>+'Cash Flow'!BX56</f>
        <v>0.40434794176653727</v>
      </c>
      <c r="BY83" s="574">
        <f>+'Cash Flow'!BY56</f>
        <v>1.1923120163198426</v>
      </c>
      <c r="BZ83" s="574">
        <f>+'Cash Flow'!BZ56</f>
        <v>1.2859170731596865</v>
      </c>
      <c r="CA83" s="575">
        <f>+'Cash Flow'!CA56</f>
        <v>3.9449423061941946</v>
      </c>
      <c r="CB83" s="16"/>
      <c r="CC83" s="573">
        <f>+'Cash Flow'!CC56</f>
        <v>1.2383274812722229</v>
      </c>
      <c r="CD83" s="574">
        <f>+'Cash Flow'!CD56</f>
        <v>0.34422454299150596</v>
      </c>
      <c r="CE83" s="574">
        <f>+'Cash Flow'!CE56</f>
        <v>1.2432628231229723</v>
      </c>
      <c r="CF83" s="574">
        <f>+'Cash Flow'!CF56</f>
        <v>1.3288429639390575</v>
      </c>
      <c r="CG83" s="575">
        <f>+'Cash Flow'!CG56</f>
        <v>4.1474866725085384</v>
      </c>
      <c r="CH83" s="81"/>
      <c r="CI83" s="81"/>
      <c r="CJ83" s="81"/>
      <c r="CK83" s="81"/>
      <c r="CL83" s="81"/>
      <c r="CM83" s="81"/>
      <c r="CN83" s="81"/>
      <c r="CO83"/>
      <c r="CP83"/>
      <c r="CQ83"/>
      <c r="CR83"/>
      <c r="CS83"/>
      <c r="CT83"/>
    </row>
    <row r="84" spans="2:98" s="7" customFormat="1" ht="11.25" customHeight="1" x14ac:dyDescent="0.2">
      <c r="C84" s="125"/>
      <c r="D84" s="125"/>
      <c r="E84" s="125"/>
      <c r="F84" s="125"/>
      <c r="G84" s="125"/>
      <c r="H84" s="125"/>
      <c r="I84" s="125"/>
      <c r="J84" s="125"/>
      <c r="K84" s="125"/>
      <c r="L84" s="125"/>
      <c r="M84" s="125"/>
      <c r="N84" s="125"/>
      <c r="O84" s="125"/>
      <c r="P84" s="125"/>
      <c r="Q84" s="125"/>
      <c r="R84" s="125"/>
      <c r="S84" s="125"/>
      <c r="T84" s="125"/>
      <c r="U84" s="125"/>
      <c r="V84" s="125"/>
      <c r="W84" s="125"/>
      <c r="X84" s="125"/>
      <c r="Y84" s="125"/>
      <c r="Z84" s="125"/>
      <c r="AA84" s="125"/>
      <c r="AB84" s="125"/>
      <c r="AC84" s="125"/>
      <c r="AD84" s="125"/>
      <c r="AE84" s="125"/>
      <c r="AF84" s="125"/>
      <c r="AG84" s="125"/>
      <c r="AH84" s="125"/>
      <c r="AI84" s="125"/>
      <c r="AJ84" s="125"/>
      <c r="AK84" s="125"/>
      <c r="AL84" s="125"/>
      <c r="AM84" s="125"/>
      <c r="AN84" s="125"/>
      <c r="AO84" s="125"/>
      <c r="AP84" s="125"/>
      <c r="AQ84" s="125"/>
      <c r="AR84" s="125"/>
      <c r="AS84" s="125"/>
      <c r="AT84" s="125"/>
      <c r="AU84" s="125"/>
      <c r="AV84" s="125"/>
      <c r="AW84" s="125"/>
      <c r="AX84" s="125"/>
      <c r="AY84" s="125"/>
      <c r="AZ84" s="125"/>
      <c r="BA84" s="125"/>
      <c r="BB84" s="125"/>
      <c r="BC84" s="125"/>
      <c r="BD84" s="125"/>
      <c r="BE84" s="125"/>
      <c r="BF84" s="125"/>
      <c r="BG84" s="125"/>
      <c r="BH84" s="125"/>
      <c r="BI84" s="125"/>
      <c r="BJ84" s="125"/>
      <c r="BK84" s="125"/>
      <c r="BL84" s="125"/>
      <c r="BM84" s="125"/>
      <c r="BN84" s="125"/>
      <c r="BO84" s="125"/>
      <c r="BP84" s="125"/>
      <c r="BQ84" s="125"/>
      <c r="BR84" s="125"/>
      <c r="BS84" s="125"/>
      <c r="BT84" s="125"/>
      <c r="BU84" s="125"/>
      <c r="BV84" s="125"/>
      <c r="BW84" s="125"/>
      <c r="BX84" s="125"/>
      <c r="BY84" s="125"/>
      <c r="BZ84" s="125"/>
      <c r="CA84" s="125"/>
      <c r="CB84" s="125"/>
      <c r="CC84" s="125"/>
      <c r="CD84" s="125"/>
      <c r="CE84" s="125"/>
      <c r="CF84" s="125"/>
      <c r="CG84" s="125"/>
      <c r="CH84" s="125"/>
      <c r="CI84" s="125"/>
      <c r="CJ84" s="125"/>
      <c r="CK84" s="125"/>
      <c r="CL84" s="125"/>
      <c r="CM84" s="125"/>
      <c r="CN84" s="125"/>
      <c r="CO84"/>
      <c r="CP84"/>
      <c r="CQ84"/>
      <c r="CR84"/>
      <c r="CS84"/>
      <c r="CT84"/>
    </row>
    <row r="85" spans="2:98" s="7" customFormat="1" ht="11.25" customHeight="1" x14ac:dyDescent="0.2">
      <c r="B85" s="815" t="s">
        <v>66</v>
      </c>
      <c r="C85" s="816"/>
      <c r="D85" s="816"/>
      <c r="E85" s="816"/>
      <c r="F85" s="816"/>
      <c r="G85" s="816"/>
      <c r="H85" s="816"/>
      <c r="I85" s="816"/>
      <c r="J85" s="816"/>
      <c r="K85" s="816"/>
      <c r="L85" s="816"/>
      <c r="M85" s="816"/>
      <c r="N85" s="816"/>
      <c r="O85" s="816"/>
      <c r="P85" s="816"/>
      <c r="Q85" s="816"/>
      <c r="R85" s="816"/>
      <c r="S85" s="816"/>
      <c r="T85" s="816"/>
      <c r="U85" s="816"/>
      <c r="V85" s="816"/>
      <c r="W85" s="816"/>
      <c r="X85" s="816"/>
      <c r="Y85" s="816"/>
      <c r="Z85" s="816"/>
      <c r="AA85" s="816"/>
      <c r="AB85" s="816"/>
      <c r="AC85" s="816"/>
      <c r="AD85" s="816"/>
      <c r="AE85" s="816"/>
      <c r="AF85" s="816"/>
      <c r="AG85" s="816"/>
      <c r="AH85" s="816"/>
      <c r="AI85" s="816"/>
      <c r="AJ85" s="816"/>
      <c r="AK85" s="816"/>
      <c r="AL85" s="816"/>
      <c r="AM85" s="816"/>
      <c r="AN85" s="816"/>
      <c r="AO85" s="816"/>
      <c r="AP85" s="816"/>
      <c r="AQ85" s="816"/>
      <c r="AR85" s="816"/>
      <c r="AS85" s="816"/>
      <c r="AT85" s="816"/>
      <c r="AU85" s="816"/>
      <c r="AV85" s="816"/>
      <c r="AW85" s="816"/>
      <c r="AX85" s="816"/>
      <c r="AY85" s="816"/>
      <c r="AZ85" s="816"/>
      <c r="BA85" s="816"/>
      <c r="BB85" s="816"/>
      <c r="BC85" s="816"/>
      <c r="BD85" s="816"/>
      <c r="BE85" s="816"/>
      <c r="BF85" s="816"/>
      <c r="BG85" s="816"/>
      <c r="BH85" s="816"/>
      <c r="BI85" s="816"/>
      <c r="BJ85" s="816"/>
      <c r="BK85" s="816"/>
      <c r="BL85" s="816"/>
      <c r="BM85" s="816"/>
      <c r="BN85" s="816"/>
      <c r="BO85" s="816"/>
      <c r="BP85" s="816"/>
      <c r="BQ85" s="816"/>
      <c r="BR85" s="816"/>
      <c r="BS85" s="816"/>
      <c r="BT85" s="816"/>
      <c r="BU85" s="816"/>
      <c r="BV85" s="816"/>
      <c r="BW85" s="816"/>
      <c r="BX85" s="816"/>
      <c r="BY85" s="816"/>
      <c r="BZ85" s="816"/>
      <c r="CA85" s="816"/>
      <c r="CB85" s="816"/>
      <c r="CC85" s="816"/>
      <c r="CD85" s="816"/>
      <c r="CE85" s="816"/>
      <c r="CF85" s="816"/>
      <c r="CG85" s="816"/>
      <c r="CH85" s="16"/>
      <c r="CI85" s="16"/>
      <c r="CJ85" s="16"/>
      <c r="CK85" s="16"/>
      <c r="CL85" s="16"/>
      <c r="CM85" s="16"/>
      <c r="CN85" s="16"/>
      <c r="CO85"/>
      <c r="CP85"/>
      <c r="CQ85"/>
      <c r="CR85"/>
      <c r="CS85"/>
      <c r="CT85"/>
    </row>
    <row r="86" spans="2:98" s="7" customFormat="1" ht="11.25" customHeight="1" x14ac:dyDescent="0.2">
      <c r="B86" s="428" t="s">
        <v>67</v>
      </c>
      <c r="C86" s="556">
        <f>+C9/'P&amp;L'!C30</f>
        <v>0.85824146514935984</v>
      </c>
      <c r="D86" s="167">
        <f>+D9/'P&amp;L'!D30</f>
        <v>1.0540285458820413</v>
      </c>
      <c r="E86" s="167">
        <f>+E9/'P&amp;L'!E30</f>
        <v>1.1349030076915503</v>
      </c>
      <c r="F86" s="167">
        <f>+F9/'P&amp;L'!F30</f>
        <v>1.3451445708511263</v>
      </c>
      <c r="G86" s="557">
        <f>+G9/'P&amp;L'!G30</f>
        <v>1.3579522393953689</v>
      </c>
      <c r="H86" s="13"/>
      <c r="I86" s="556">
        <f>+I9/'P&amp;L'!I30</f>
        <v>1.1003587725858723</v>
      </c>
      <c r="J86" s="167">
        <f>+J9/'P&amp;L'!J30</f>
        <v>1.4749815241490241</v>
      </c>
      <c r="K86" s="167">
        <f>+K9/'P&amp;L'!K30</f>
        <v>1.5778979163018734</v>
      </c>
      <c r="L86" s="167">
        <f>+L9/'P&amp;L'!L30</f>
        <v>2.0668307141658744</v>
      </c>
      <c r="M86" s="557">
        <f>+M9/'P&amp;L'!M30</f>
        <v>2.0256848751932122</v>
      </c>
      <c r="N86" s="13"/>
      <c r="O86" s="556">
        <f>+O9/'P&amp;L'!O30</f>
        <v>1.7198316757637657</v>
      </c>
      <c r="P86" s="167">
        <f>+P9/'P&amp;L'!P30</f>
        <v>2.175276691629664</v>
      </c>
      <c r="Q86" s="167">
        <f>+Q9/'P&amp;L'!Q30</f>
        <v>1.7353108301552784</v>
      </c>
      <c r="R86" s="167">
        <f>+R9/'P&amp;L'!R30</f>
        <v>2.560341267253559</v>
      </c>
      <c r="S86" s="557">
        <f>+S9/'P&amp;L'!S30</f>
        <v>2.6014510358231373</v>
      </c>
      <c r="T86" s="13"/>
      <c r="U86" s="556">
        <f>+U9/'P&amp;L'!U30</f>
        <v>1.9164374844965</v>
      </c>
      <c r="V86" s="167">
        <f>+V9/'P&amp;L'!V30</f>
        <v>1.7199203016539548</v>
      </c>
      <c r="W86" s="167">
        <f>+W9/'P&amp;L'!W30</f>
        <v>1.0921518173045996</v>
      </c>
      <c r="X86" s="167">
        <f>+X9/'P&amp;L'!X30</f>
        <v>0.80933207010895314</v>
      </c>
      <c r="Y86" s="557">
        <f>+Y9/'P&amp;L'!Y30</f>
        <v>0.8059999142256723</v>
      </c>
      <c r="Z86" s="13"/>
      <c r="AA86" s="556">
        <f>+AA9/'P&amp;L'!AA30</f>
        <v>0.62639945900108418</v>
      </c>
      <c r="AB86" s="167">
        <f>+AB9/'P&amp;L'!AB30</f>
        <v>0.86568178413201202</v>
      </c>
      <c r="AC86" s="167">
        <f>+AC9/'P&amp;L'!AC30</f>
        <v>0.57539114236182154</v>
      </c>
      <c r="AD86" s="167">
        <f>+AD9/'P&amp;L'!AD30</f>
        <v>0.80710637644944205</v>
      </c>
      <c r="AE86" s="557">
        <f>+AE9/'P&amp;L'!AE30</f>
        <v>0.79509825091772823</v>
      </c>
      <c r="AF86" s="13"/>
      <c r="AG86" s="556">
        <f>+AG9/'P&amp;L'!AG30</f>
        <v>0.56147287847704763</v>
      </c>
      <c r="AH86" s="167">
        <f>+AH9/'P&amp;L'!AH30</f>
        <v>0.48532903382549447</v>
      </c>
      <c r="AI86" s="167">
        <f>+AI9/'P&amp;L'!AI30</f>
        <v>0.4982654188093299</v>
      </c>
      <c r="AJ86" s="167">
        <f>+AJ9/'P&amp;L'!AJ30</f>
        <v>0.68366112629362474</v>
      </c>
      <c r="AK86" s="557">
        <f>+AK9/'P&amp;L'!AK30</f>
        <v>0.67955868764125005</v>
      </c>
      <c r="AL86" s="13"/>
      <c r="AM86" s="556">
        <f>+AM9/'P&amp;L'!AM30</f>
        <v>0.5099671141544283</v>
      </c>
      <c r="AN86" s="167">
        <f>+AN9/'P&amp;L'!AN30</f>
        <v>0.44811181338668604</v>
      </c>
      <c r="AO86" s="167">
        <f>+AO9/'P&amp;L'!AO30</f>
        <v>0.39995309139169838</v>
      </c>
      <c r="AP86" s="167">
        <f>+AP9/'P&amp;L'!AP30</f>
        <v>1.0862974566900112</v>
      </c>
      <c r="AQ86" s="557">
        <f>+AQ9/'P&amp;L'!AQ30</f>
        <v>1.0763050375476479</v>
      </c>
      <c r="AR86" s="13"/>
      <c r="AS86" s="556">
        <f>+AS9/'P&amp;L'!AS30</f>
        <v>0.74617420652349808</v>
      </c>
      <c r="AT86" s="167">
        <f>+AT9/'P&amp;L'!AT30</f>
        <v>0.52162130728076295</v>
      </c>
      <c r="AU86" s="167">
        <f>+AU9/'P&amp;L'!AU30</f>
        <v>0.44787595084844939</v>
      </c>
      <c r="AV86" s="167">
        <f>+AV9/'P&amp;L'!AV30</f>
        <v>0.52615051689463344</v>
      </c>
      <c r="AW86" s="557">
        <f>+AW9/'P&amp;L'!AW30</f>
        <v>0.52177513412642884</v>
      </c>
      <c r="AX86" s="13"/>
      <c r="AY86" s="556">
        <f>+AY9/'P&amp;L'!AY30</f>
        <v>0.34941863896594461</v>
      </c>
      <c r="AZ86" s="167">
        <f>+AZ9/'P&amp;L'!AZ30</f>
        <v>0.27933862716471414</v>
      </c>
      <c r="BA86" s="167">
        <f>+BA9/'P&amp;L'!BA30</f>
        <v>0.35964630607487752</v>
      </c>
      <c r="BB86" s="167">
        <f>+BB9/'P&amp;L'!BB30</f>
        <v>0.43287615295926213</v>
      </c>
      <c r="BC86" s="557">
        <f>+BC9/'P&amp;L'!BC30</f>
        <v>0.42844576523031203</v>
      </c>
      <c r="BD86" s="13"/>
      <c r="BE86" s="556">
        <f>+BE9/'P&amp;L'!BE30</f>
        <v>0.43277051934396116</v>
      </c>
      <c r="BF86" s="167">
        <f>+BF9/'P&amp;L'!BF30</f>
        <v>0.38570769716241471</v>
      </c>
      <c r="BG86" s="167">
        <f>+BG9/'P&amp;L'!BG30</f>
        <v>0.46540834402296738</v>
      </c>
      <c r="BH86" s="167">
        <f>+BH9/'P&amp;L'!BH30</f>
        <v>0.38733452549487124</v>
      </c>
      <c r="BI86" s="557">
        <f>+BI9/'P&amp;L'!BI30</f>
        <v>0.38093638745213942</v>
      </c>
      <c r="BJ86" s="13"/>
      <c r="BK86" s="556">
        <f>+BK9/'P&amp;L'!BK30</f>
        <v>0.39364538865033361</v>
      </c>
      <c r="BL86" s="167">
        <f>+BL9/'P&amp;L'!BL30</f>
        <v>0.4692976941839121</v>
      </c>
      <c r="BM86" s="167">
        <f>+BM9/'P&amp;L'!BM30</f>
        <v>0.50469763885993024</v>
      </c>
      <c r="BN86" s="167">
        <f>+BN9/'P&amp;L'!BN30</f>
        <v>1.1260702496389519</v>
      </c>
      <c r="BO86" s="557">
        <f>+BO9/'P&amp;L'!BO30</f>
        <v>1.1050649389679676</v>
      </c>
      <c r="BP86" s="13"/>
      <c r="BQ86" s="556">
        <f>+BQ9/'P&amp;L'!BQ30</f>
        <v>1.0613230429576217</v>
      </c>
      <c r="BR86" s="167">
        <f>+BR9/'P&amp;L'!BR30</f>
        <v>0.8269843087621892</v>
      </c>
      <c r="BS86" s="167">
        <f>+BS9/'P&amp;L'!BS30</f>
        <v>1.3208072366289696</v>
      </c>
      <c r="BT86" s="167">
        <f>+BT9/'P&amp;L'!BT30</f>
        <v>1.8975207185691072</v>
      </c>
      <c r="BU86" s="557">
        <f>+BU9/'P&amp;L'!BU30</f>
        <v>1.8694744375628993</v>
      </c>
      <c r="BV86" s="13"/>
      <c r="BW86" s="556">
        <f>+BW9/'P&amp;L'!BW30</f>
        <v>2.2382144052182711</v>
      </c>
      <c r="BX86" s="167">
        <f>+BX9/'P&amp;L'!BX30</f>
        <v>1.9090197901428514</v>
      </c>
      <c r="BY86" s="167">
        <f>+BY9/'P&amp;L'!BY30</f>
        <v>2.3556742209617618</v>
      </c>
      <c r="BZ86" s="167">
        <f>+BZ9/'P&amp;L'!BZ30</f>
        <v>2.8896209247369327</v>
      </c>
      <c r="CA86" s="557">
        <f>+CA9/'P&amp;L'!CA30</f>
        <v>2.842002166751588</v>
      </c>
      <c r="CB86" s="13"/>
      <c r="CC86" s="556">
        <f>+CC9/'P&amp;L'!CC30</f>
        <v>3.327188304652942</v>
      </c>
      <c r="CD86" s="167">
        <f>+CD9/'P&amp;L'!CD30</f>
        <v>2.8669420494066311</v>
      </c>
      <c r="CE86" s="167">
        <f>+CE9/'P&amp;L'!CE30</f>
        <v>2.5614044996290493</v>
      </c>
      <c r="CF86" s="167">
        <f>+CF9/'P&amp;L'!CF30</f>
        <v>3.0534728434872096</v>
      </c>
      <c r="CG86" s="557">
        <f>+CG9/'P&amp;L'!CG30</f>
        <v>2.9973648980602059</v>
      </c>
      <c r="CH86" s="23"/>
      <c r="CI86" s="23"/>
      <c r="CJ86" s="23"/>
      <c r="CK86" s="23"/>
      <c r="CL86" s="23"/>
      <c r="CM86" s="23"/>
      <c r="CN86" s="23"/>
      <c r="CO86"/>
      <c r="CP86"/>
      <c r="CQ86"/>
      <c r="CR86"/>
      <c r="CS86"/>
      <c r="CT86"/>
    </row>
    <row r="87" spans="2:98" s="7" customFormat="1" ht="11.25" customHeight="1" x14ac:dyDescent="0.2">
      <c r="B87" s="426" t="s">
        <v>136</v>
      </c>
      <c r="C87" s="235">
        <f>+C13/('P&amp;L'!C8*4)</f>
        <v>3.1803762685783374E-2</v>
      </c>
      <c r="D87" s="43">
        <f>+D13/('P&amp;L'!D8*4)</f>
        <v>3.8183742520819859E-2</v>
      </c>
      <c r="E87" s="43">
        <f>+E13/('P&amp;L'!E8*4)</f>
        <v>2.8746824303007158E-2</v>
      </c>
      <c r="F87" s="43">
        <f>+F13/('P&amp;L'!F8*4)</f>
        <v>2.8396523233291966E-2</v>
      </c>
      <c r="G87" s="386">
        <f>+G13/('P&amp;L'!G8)</f>
        <v>3.2736345135573108E-2</v>
      </c>
      <c r="H87" s="17"/>
      <c r="I87" s="235">
        <f>+I13/('P&amp;L'!I8*4)</f>
        <v>3.7563322352749444E-2</v>
      </c>
      <c r="J87" s="43">
        <f>+J13/('P&amp;L'!J8*4)</f>
        <v>3.0233244822351329E-2</v>
      </c>
      <c r="K87" s="43">
        <f>+K13/('P&amp;L'!K8*4)</f>
        <v>2.9609982672519127E-2</v>
      </c>
      <c r="L87" s="43">
        <f>+L13/('P&amp;L'!L8*4)</f>
        <v>3.0796256424856523E-2</v>
      </c>
      <c r="M87" s="386">
        <f>+M13/('P&amp;L'!M8)</f>
        <v>3.0380635234741077E-2</v>
      </c>
      <c r="N87" s="17"/>
      <c r="O87" s="235">
        <f>+O13/('P&amp;L'!O8*4)</f>
        <v>2.9728596164773108E-2</v>
      </c>
      <c r="P87" s="43">
        <f>+P13/('P&amp;L'!P8*4)</f>
        <v>2.9207731079472003E-2</v>
      </c>
      <c r="Q87" s="43">
        <f>+Q13/('P&amp;L'!Q8*4)</f>
        <v>2.8133705910392284E-2</v>
      </c>
      <c r="R87" s="43">
        <f>+R13/('P&amp;L'!R8*4)</f>
        <v>2.5724197278846814E-2</v>
      </c>
      <c r="S87" s="386">
        <f>+S13/('P&amp;L'!S8)</f>
        <v>2.8108374974917166E-2</v>
      </c>
      <c r="T87" s="17"/>
      <c r="U87" s="235">
        <f>+U13/('P&amp;L'!U8*4)</f>
        <v>2.9878260079190599E-2</v>
      </c>
      <c r="V87" s="43">
        <f>+V13/('P&amp;L'!V8*4)</f>
        <v>2.9871158283141405E-2</v>
      </c>
      <c r="W87" s="43">
        <f>+W13/('P&amp;L'!W8*4)</f>
        <v>3.0448331168923759E-2</v>
      </c>
      <c r="X87" s="43">
        <f>+X13/('P&amp;L'!X8*4)</f>
        <v>2.6440055387315867E-2</v>
      </c>
      <c r="Y87" s="386">
        <f>+Y13/('P&amp;L'!Y8)</f>
        <v>2.8433502196819629E-2</v>
      </c>
      <c r="Z87" s="17"/>
      <c r="AA87" s="235">
        <f>+AA13/('P&amp;L'!AA8*4)</f>
        <v>2.9282725139275302E-2</v>
      </c>
      <c r="AB87" s="43">
        <f>+AB13/('P&amp;L'!AB8*4)</f>
        <v>2.8541658844290919E-2</v>
      </c>
      <c r="AC87" s="43">
        <f>+AC13/('P&amp;L'!AC8*4)</f>
        <v>2.9526664150518089E-2</v>
      </c>
      <c r="AD87" s="43">
        <f>+AD13/('P&amp;L'!AD8*4)</f>
        <v>2.5015191346872079E-2</v>
      </c>
      <c r="AE87" s="386">
        <f>+AE13/('P&amp;L'!AE8)</f>
        <v>2.7450217707774293E-2</v>
      </c>
      <c r="AF87" s="17"/>
      <c r="AG87" s="235">
        <f>+AG13/('P&amp;L'!AG8*4)</f>
        <v>2.5890308758520057E-2</v>
      </c>
      <c r="AH87" s="43">
        <f>+AH13/('P&amp;L'!AH8*4)</f>
        <v>2.6490130150464326E-2</v>
      </c>
      <c r="AI87" s="43">
        <f>+AI13/('P&amp;L'!AI8*4)</f>
        <v>2.8801469975231482E-2</v>
      </c>
      <c r="AJ87" s="43">
        <f>+AJ13/('P&amp;L'!AJ8*4)</f>
        <v>3.1093492960997948E-2</v>
      </c>
      <c r="AK87" s="386">
        <f>+AK13/('P&amp;L'!AK8)</f>
        <v>3.3506499520635814E-2</v>
      </c>
      <c r="AL87" s="17"/>
      <c r="AM87" s="235">
        <f>+AM13/('P&amp;L'!AM8*4)</f>
        <v>2.8948629415773461E-2</v>
      </c>
      <c r="AN87" s="43">
        <f>+AN13/('P&amp;L'!AN8*4)</f>
        <v>3.0564300676057046E-2</v>
      </c>
      <c r="AO87" s="43">
        <f>+AO13/('P&amp;L'!AO8*4)</f>
        <v>2.8987345867696118E-2</v>
      </c>
      <c r="AP87" s="43">
        <f>+AP13/('P&amp;L'!AP8*4)</f>
        <v>2.7367824190439236E-2</v>
      </c>
      <c r="AQ87" s="386">
        <f>+AQ13/('P&amp;L'!AQ8)</f>
        <v>2.892743555953901E-2</v>
      </c>
      <c r="AR87" s="17"/>
      <c r="AS87" s="235">
        <f>+AS13/('P&amp;L'!AS8*4)</f>
        <v>3.1585176113990893E-2</v>
      </c>
      <c r="AT87" s="43">
        <f>+AT13/('P&amp;L'!AT8*4)</f>
        <v>2.9679522032143382E-2</v>
      </c>
      <c r="AU87" s="43">
        <f>+AU13/('P&amp;L'!AU8*4)</f>
        <v>3.0429400292484476E-2</v>
      </c>
      <c r="AV87" s="43">
        <f>+AV13/('P&amp;L'!AV8*4)</f>
        <v>2.8846865544377407E-2</v>
      </c>
      <c r="AW87" s="386">
        <f>+AW13/('P&amp;L'!AW8)</f>
        <v>3.0062315658749696E-2</v>
      </c>
      <c r="AX87" s="17"/>
      <c r="AY87" s="235">
        <f>+AY13/('P&amp;L'!AY8*4)</f>
        <v>2.97663503604008E-2</v>
      </c>
      <c r="AZ87" s="43">
        <f>+AZ13/('P&amp;L'!AZ8*4)</f>
        <v>3.0629021952443977E-2</v>
      </c>
      <c r="BA87" s="43">
        <f>+BA13/('P&amp;L'!BA8*4)</f>
        <v>3.3210714731172986E-2</v>
      </c>
      <c r="BB87" s="43">
        <f>+BB13/('P&amp;L'!BB8*4)</f>
        <v>3.1663660617387117E-2</v>
      </c>
      <c r="BC87" s="386">
        <f>+BC13/('P&amp;L'!BC8)</f>
        <v>3.3969101158741827E-2</v>
      </c>
      <c r="BD87" s="17"/>
      <c r="BE87" s="235">
        <f>+BE13/('P&amp;L'!BE8*4)</f>
        <v>3.353952294102816E-2</v>
      </c>
      <c r="BF87" s="43">
        <f>+BF13/('P&amp;L'!BF8*4)</f>
        <v>3.286683283263072E-2</v>
      </c>
      <c r="BG87" s="43">
        <f>+BG13/('P&amp;L'!BG8*4)</f>
        <v>3.2620217175517628E-2</v>
      </c>
      <c r="BH87" s="43">
        <f>+BH13/('P&amp;L'!BH8*4)</f>
        <v>2.8878374230278496E-2</v>
      </c>
      <c r="BI87" s="386">
        <f>+BI13/('P&amp;L'!BI8)</f>
        <v>3.1154540555432455E-2</v>
      </c>
      <c r="BJ87" s="17"/>
      <c r="BK87" s="235">
        <f>+BK13/('P&amp;L'!BK8*4)</f>
        <v>2.9298673804665699E-2</v>
      </c>
      <c r="BL87" s="43">
        <f>+BL13/('P&amp;L'!BL8*4)</f>
        <v>3.3739963091501825E-2</v>
      </c>
      <c r="BM87" s="43">
        <f>+BM13/('P&amp;L'!BM8*4)</f>
        <v>3.6839589469811453E-2</v>
      </c>
      <c r="BN87" s="43">
        <f>+BN13/('P&amp;L'!BN8*4)</f>
        <v>3.4263456833433091E-2</v>
      </c>
      <c r="BO87" s="386">
        <f>+BO13/('P&amp;L'!BO8)</f>
        <v>3.6492431153991124E-2</v>
      </c>
      <c r="BP87" s="17"/>
      <c r="BQ87" s="236">
        <v>3.5000000000000003E-2</v>
      </c>
      <c r="BR87" s="229">
        <f t="shared" ref="BR87:BT88" si="17">+BQ87</f>
        <v>3.5000000000000003E-2</v>
      </c>
      <c r="BS87" s="229">
        <f t="shared" si="17"/>
        <v>3.5000000000000003E-2</v>
      </c>
      <c r="BT87" s="229">
        <f t="shared" si="17"/>
        <v>3.5000000000000003E-2</v>
      </c>
      <c r="BU87" s="386">
        <f>+BU13/('P&amp;L'!BU8)</f>
        <v>3.6885085067659355E-2</v>
      </c>
      <c r="BV87" s="17"/>
      <c r="BW87" s="236">
        <f>+BT87</f>
        <v>3.5000000000000003E-2</v>
      </c>
      <c r="BX87" s="229">
        <f t="shared" ref="BX87:BZ88" si="18">+BW87</f>
        <v>3.5000000000000003E-2</v>
      </c>
      <c r="BY87" s="229">
        <f t="shared" si="18"/>
        <v>3.5000000000000003E-2</v>
      </c>
      <c r="BZ87" s="229">
        <f t="shared" si="18"/>
        <v>3.5000000000000003E-2</v>
      </c>
      <c r="CA87" s="386">
        <f>+CA13/('P&amp;L'!CA8)</f>
        <v>3.6800703590859428E-2</v>
      </c>
      <c r="CB87" s="17"/>
      <c r="CC87" s="236">
        <f>+BZ87</f>
        <v>3.5000000000000003E-2</v>
      </c>
      <c r="CD87" s="229">
        <f t="shared" ref="CD87:CF88" si="19">+CC87</f>
        <v>3.5000000000000003E-2</v>
      </c>
      <c r="CE87" s="229">
        <f t="shared" si="19"/>
        <v>3.5000000000000003E-2</v>
      </c>
      <c r="CF87" s="229">
        <f t="shared" si="19"/>
        <v>3.5000000000000003E-2</v>
      </c>
      <c r="CG87" s="386">
        <f>+CG13/('P&amp;L'!CG8)</f>
        <v>3.6791474050848948E-2</v>
      </c>
      <c r="CH87" s="44"/>
      <c r="CI87" s="44"/>
      <c r="CJ87" s="44"/>
      <c r="CK87" s="44"/>
      <c r="CL87" s="44"/>
      <c r="CM87" s="44"/>
      <c r="CN87" s="44"/>
      <c r="CO87"/>
      <c r="CP87"/>
      <c r="CQ87"/>
      <c r="CR87"/>
      <c r="CS87"/>
      <c r="CT87"/>
    </row>
    <row r="88" spans="2:98" s="7" customFormat="1" ht="11.25" customHeight="1" x14ac:dyDescent="0.2">
      <c r="B88" s="427" t="s">
        <v>197</v>
      </c>
      <c r="C88" s="242">
        <f>C26/(('P&amp;L'!C11+'P&amp;L'!C12)*4)</f>
        <v>0.24803198613408967</v>
      </c>
      <c r="D88" s="243">
        <f>D26/(('P&amp;L'!D11+'P&amp;L'!D12)*4)</f>
        <v>0.26498180692111167</v>
      </c>
      <c r="E88" s="243">
        <f>E26/(('P&amp;L'!E11+'P&amp;L'!E12)*4)</f>
        <v>0.35110708595135737</v>
      </c>
      <c r="F88" s="243">
        <f>F26/(('P&amp;L'!F11+'P&amp;L'!F12)*4)</f>
        <v>0.30451715365911936</v>
      </c>
      <c r="G88" s="409">
        <f>G26/(('P&amp;L'!G11+'P&amp;L'!G12))</f>
        <v>0.32614977025292874</v>
      </c>
      <c r="H88" s="17"/>
      <c r="I88" s="242">
        <f>I26/(('P&amp;L'!I11+'P&amp;L'!I12)*4)</f>
        <v>0.29477071678034572</v>
      </c>
      <c r="J88" s="243">
        <f>J26/(('P&amp;L'!J11+'P&amp;L'!J12)*4)</f>
        <v>0.29281336369808458</v>
      </c>
      <c r="K88" s="243">
        <f>K26/(('P&amp;L'!K11+'P&amp;L'!K12)*4)</f>
        <v>0.29777819423621521</v>
      </c>
      <c r="L88" s="243">
        <f>L26/(('P&amp;L'!L11+'P&amp;L'!L12)*4)</f>
        <v>0.35194962588260087</v>
      </c>
      <c r="M88" s="409">
        <f>M26/(('P&amp;L'!M11+'P&amp;L'!M12))</f>
        <v>0.32655477245281883</v>
      </c>
      <c r="N88" s="17"/>
      <c r="O88" s="242">
        <f>O26/(('P&amp;L'!O11+'P&amp;L'!O12)*4)</f>
        <v>0.31191742403965877</v>
      </c>
      <c r="P88" s="243">
        <f>P26/(('P&amp;L'!P11+'P&amp;L'!P12)*4)</f>
        <v>0.32898052821318391</v>
      </c>
      <c r="Q88" s="243">
        <f>Q26/(('P&amp;L'!Q11+'P&amp;L'!Q12)*4)</f>
        <v>0.34218587015911384</v>
      </c>
      <c r="R88" s="243">
        <f>R26/(('P&amp;L'!R11+'P&amp;L'!R12)*4)</f>
        <v>0.34048435402781468</v>
      </c>
      <c r="S88" s="409">
        <f>S26/(('P&amp;L'!S11+'P&amp;L'!S12))</f>
        <v>0.36606022563055501</v>
      </c>
      <c r="T88" s="17"/>
      <c r="U88" s="242">
        <f>U26/(('P&amp;L'!U11+'P&amp;L'!U12)*4)</f>
        <v>0.31797669456836336</v>
      </c>
      <c r="V88" s="243">
        <f>V26/(('P&amp;L'!V11+'P&amp;L'!V12)*4)</f>
        <v>0.3044852295418975</v>
      </c>
      <c r="W88" s="243">
        <f>W26/(('P&amp;L'!W11+'P&amp;L'!W12)*4)</f>
        <v>0.3306203885145268</v>
      </c>
      <c r="X88" s="243">
        <f>X26/(('P&amp;L'!X11+'P&amp;L'!X12)*4)</f>
        <v>0.30737674612069454</v>
      </c>
      <c r="Y88" s="409">
        <f>Y26/(('P&amp;L'!Y11+'P&amp;L'!Y12))</f>
        <v>0.32493190673359956</v>
      </c>
      <c r="Z88" s="17"/>
      <c r="AA88" s="242">
        <f>AA26/(('P&amp;L'!AA11+'P&amp;L'!AA12)*4)</f>
        <v>0.31095732488981298</v>
      </c>
      <c r="AB88" s="243">
        <f>AB26/(('P&amp;L'!AB11+'P&amp;L'!AB12)*4)</f>
        <v>0.30408191597127165</v>
      </c>
      <c r="AC88" s="243">
        <f>AC26/(('P&amp;L'!AC11+'P&amp;L'!AC12)*4)</f>
        <v>0.30720136257511393</v>
      </c>
      <c r="AD88" s="243">
        <f>AD26/(('P&amp;L'!AD11+'P&amp;L'!AD12)*4)</f>
        <v>0.29247765813055993</v>
      </c>
      <c r="AE88" s="409">
        <f>AE26/(('P&amp;L'!AE11+'P&amp;L'!AE12))</f>
        <v>0.31174744240718205</v>
      </c>
      <c r="AF88" s="17"/>
      <c r="AG88" s="242">
        <f>AG26/(('P&amp;L'!AG11+'P&amp;L'!AG12)*4)</f>
        <v>0.28991335304177446</v>
      </c>
      <c r="AH88" s="243">
        <f>AH26/(('P&amp;L'!AH11+'P&amp;L'!AH12)*4)</f>
        <v>0.30178809992001421</v>
      </c>
      <c r="AI88" s="243">
        <f>AI26/(('P&amp;L'!AI11+'P&amp;L'!AI12)*4)</f>
        <v>0.30927937713039422</v>
      </c>
      <c r="AJ88" s="243">
        <f>AJ26/(('P&amp;L'!AJ11+'P&amp;L'!AJ12)*4)</f>
        <v>0.33178939050467399</v>
      </c>
      <c r="AK88" s="409">
        <f>AK26/(('P&amp;L'!AK11+'P&amp;L'!AK12))</f>
        <v>0.34157503096041342</v>
      </c>
      <c r="AL88" s="17"/>
      <c r="AM88" s="242">
        <f>AM26/(('P&amp;L'!AM11+'P&amp;L'!AM12)*4)</f>
        <v>0.29469233544537271</v>
      </c>
      <c r="AN88" s="243">
        <f>AN26/(('P&amp;L'!AN11+'P&amp;L'!AN12)*4)</f>
        <v>0.30896117993240058</v>
      </c>
      <c r="AO88" s="243">
        <f>AO26/(('P&amp;L'!AO11+'P&amp;L'!AO12)*4)</f>
        <v>0.32671129244318298</v>
      </c>
      <c r="AP88" s="243">
        <f>AP26/(('P&amp;L'!AP11+'P&amp;L'!AP12)*4)</f>
        <v>0.33708989011717844</v>
      </c>
      <c r="AQ88" s="409">
        <f>AQ26/(('P&amp;L'!AQ11+'P&amp;L'!AQ12))</f>
        <v>0.34928396733637868</v>
      </c>
      <c r="AR88" s="17"/>
      <c r="AS88" s="242">
        <f>AS26/(('P&amp;L'!AS11+'P&amp;L'!AS12)*4)</f>
        <v>0.31389669011669402</v>
      </c>
      <c r="AT88" s="243">
        <f>AT26/(('P&amp;L'!AT11+'P&amp;L'!AT12)*4)</f>
        <v>0.31861455221427687</v>
      </c>
      <c r="AU88" s="243">
        <f>AU26/(('P&amp;L'!AU11+'P&amp;L'!AU12)*4)</f>
        <v>0.3146442150707297</v>
      </c>
      <c r="AV88" s="243">
        <f>AV26/(('P&amp;L'!AV11+'P&amp;L'!AV12)*4)</f>
        <v>0.32518806030752156</v>
      </c>
      <c r="AW88" s="409">
        <f>AW26/(('P&amp;L'!AW11+'P&amp;L'!AW12))</f>
        <v>0.33257899081720799</v>
      </c>
      <c r="AX88" s="17"/>
      <c r="AY88" s="242">
        <f>AY26/(('P&amp;L'!AY11+'P&amp;L'!AY12)*4)</f>
        <v>0.29908825935586592</v>
      </c>
      <c r="AZ88" s="243">
        <f>AZ26/(('P&amp;L'!AZ11+'P&amp;L'!AZ12)*4)</f>
        <v>0.31710252557875612</v>
      </c>
      <c r="BA88" s="243">
        <f>BA26/(('P&amp;L'!BA11+'P&amp;L'!BA12)*4)</f>
        <v>0.32730679420146924</v>
      </c>
      <c r="BB88" s="243">
        <f>BB26/(('P&amp;L'!BB11+'P&amp;L'!BB12)*4)</f>
        <v>0.33916306706518168</v>
      </c>
      <c r="BC88" s="409">
        <f>BC26/(('P&amp;L'!BC11+'P&amp;L'!BC12))</f>
        <v>0.35448542273272715</v>
      </c>
      <c r="BD88" s="17"/>
      <c r="BE88" s="242">
        <f>BE26/(('P&amp;L'!BE11+'P&amp;L'!BE12)*4)</f>
        <v>0.30757587392100533</v>
      </c>
      <c r="BF88" s="243">
        <f>BF26/(('P&amp;L'!BF11+'P&amp;L'!BF12)*4)</f>
        <v>0.32139447344650784</v>
      </c>
      <c r="BG88" s="243">
        <f>BG26/(('P&amp;L'!BG11+'P&amp;L'!BG12)*4)</f>
        <v>0.32481230716489545</v>
      </c>
      <c r="BH88" s="243">
        <f>BH26/(('P&amp;L'!BH11+'P&amp;L'!BH12)*4)</f>
        <v>0.32051456564233655</v>
      </c>
      <c r="BI88" s="409">
        <f>BI26/(('P&amp;L'!BI11+'P&amp;L'!BI12))</f>
        <v>0.33519414824059884</v>
      </c>
      <c r="BJ88" s="17"/>
      <c r="BK88" s="242">
        <f>BK26/(('P&amp;L'!BK11+'P&amp;L'!BK12)*4)</f>
        <v>0.29864043679008889</v>
      </c>
      <c r="BL88" s="243">
        <f>BL26/(('P&amp;L'!BL11+'P&amp;L'!BL12)*4)</f>
        <v>0.29933962969621852</v>
      </c>
      <c r="BM88" s="243">
        <f>BM26/(('P&amp;L'!BM11+'P&amp;L'!BM12)*4)</f>
        <v>0.30477497405647497</v>
      </c>
      <c r="BN88" s="243">
        <f>BN26/(('P&amp;L'!BN11+'P&amp;L'!BN12)*4)</f>
        <v>0.32772691791774344</v>
      </c>
      <c r="BO88" s="409">
        <f>BO26/(('P&amp;L'!BO11+'P&amp;L'!BO12))</f>
        <v>0.34054393097859853</v>
      </c>
      <c r="BP88" s="17"/>
      <c r="BQ88" s="603">
        <v>0.3</v>
      </c>
      <c r="BR88" s="602">
        <f t="shared" si="17"/>
        <v>0.3</v>
      </c>
      <c r="BS88" s="602">
        <f t="shared" si="17"/>
        <v>0.3</v>
      </c>
      <c r="BT88" s="602">
        <f t="shared" si="17"/>
        <v>0.3</v>
      </c>
      <c r="BU88" s="409">
        <f>BU26/(('P&amp;L'!BU11+'P&amp;L'!BU12))</f>
        <v>0.31013476969724751</v>
      </c>
      <c r="BV88" s="17"/>
      <c r="BW88" s="603">
        <f>+BT88</f>
        <v>0.3</v>
      </c>
      <c r="BX88" s="602">
        <f t="shared" si="18"/>
        <v>0.3</v>
      </c>
      <c r="BY88" s="602">
        <f t="shared" si="18"/>
        <v>0.3</v>
      </c>
      <c r="BZ88" s="602">
        <f t="shared" si="18"/>
        <v>0.3</v>
      </c>
      <c r="CA88" s="409">
        <f>CA26/(('P&amp;L'!CA11+'P&amp;L'!CA12))</f>
        <v>0.3089696587317135</v>
      </c>
      <c r="CB88" s="17"/>
      <c r="CC88" s="603">
        <f>+BZ88</f>
        <v>0.3</v>
      </c>
      <c r="CD88" s="602">
        <f t="shared" si="19"/>
        <v>0.3</v>
      </c>
      <c r="CE88" s="602">
        <f t="shared" si="19"/>
        <v>0.3</v>
      </c>
      <c r="CF88" s="602">
        <f t="shared" si="19"/>
        <v>0.3</v>
      </c>
      <c r="CG88" s="409">
        <f>CG26/(('P&amp;L'!CG11+'P&amp;L'!CG12))</f>
        <v>0.30887607129551831</v>
      </c>
      <c r="CH88" s="44"/>
      <c r="CI88" s="44"/>
      <c r="CJ88" s="44"/>
      <c r="CK88" s="44"/>
      <c r="CL88" s="44"/>
      <c r="CM88" s="44"/>
      <c r="CN88" s="44"/>
      <c r="CO88"/>
      <c r="CP88"/>
      <c r="CQ88"/>
      <c r="CR88"/>
      <c r="CS88"/>
      <c r="CT88"/>
    </row>
    <row r="89" spans="2:98" s="7" customFormat="1" ht="11.25" customHeight="1" x14ac:dyDescent="0.2">
      <c r="B89" s="11"/>
      <c r="C89" s="36"/>
      <c r="D89" s="36"/>
      <c r="E89" s="36"/>
      <c r="F89" s="36"/>
      <c r="G89" s="36"/>
      <c r="H89" s="30"/>
      <c r="I89" s="36"/>
      <c r="J89" s="36"/>
      <c r="K89" s="36"/>
      <c r="L89" s="36"/>
      <c r="M89" s="36"/>
      <c r="N89" s="30"/>
      <c r="O89" s="36"/>
      <c r="P89" s="36"/>
      <c r="Q89" s="36"/>
      <c r="R89" s="36"/>
      <c r="S89" s="36"/>
      <c r="T89" s="30"/>
      <c r="U89" s="36"/>
      <c r="V89" s="36"/>
      <c r="W89" s="36"/>
      <c r="X89" s="36"/>
      <c r="Y89" s="36"/>
      <c r="Z89" s="30"/>
      <c r="AA89" s="36"/>
      <c r="AB89" s="36"/>
      <c r="AC89" s="36"/>
      <c r="AD89" s="36"/>
      <c r="AE89" s="36"/>
      <c r="AF89" s="30"/>
      <c r="AG89" s="36"/>
      <c r="AH89" s="36"/>
      <c r="AI89" s="36"/>
      <c r="AJ89" s="36"/>
      <c r="AK89" s="36"/>
      <c r="AL89" s="30"/>
      <c r="AM89" s="36"/>
      <c r="AN89" s="36"/>
      <c r="AO89" s="36"/>
      <c r="AP89" s="36"/>
      <c r="AQ89" s="36"/>
      <c r="AR89" s="30"/>
      <c r="AS89" s="36"/>
      <c r="AT89" s="36"/>
      <c r="AU89" s="36"/>
      <c r="AV89" s="36"/>
      <c r="AW89" s="36"/>
      <c r="AX89" s="30"/>
      <c r="AY89" s="36"/>
      <c r="AZ89" s="36"/>
      <c r="BA89" s="36"/>
      <c r="BB89" s="36"/>
      <c r="BC89" s="36"/>
      <c r="BD89" s="30"/>
      <c r="BE89" s="36"/>
      <c r="BF89" s="36"/>
      <c r="BG89" s="36"/>
      <c r="BH89" s="36"/>
      <c r="BI89" s="36"/>
      <c r="BJ89" s="30"/>
      <c r="BK89" s="36"/>
      <c r="BL89" s="36"/>
      <c r="BM89" s="36"/>
      <c r="BN89" s="36"/>
      <c r="BO89" s="36"/>
      <c r="BP89" s="30"/>
      <c r="BQ89" s="36"/>
      <c r="BR89" s="36"/>
      <c r="BS89" s="36"/>
      <c r="BT89" s="36"/>
      <c r="BU89" s="36"/>
      <c r="BV89" s="30"/>
      <c r="BW89" s="36"/>
      <c r="BX89" s="36"/>
      <c r="BY89" s="36"/>
      <c r="BZ89" s="36"/>
      <c r="CA89" s="36"/>
      <c r="CB89" s="30"/>
      <c r="CC89" s="36"/>
      <c r="CD89" s="36"/>
      <c r="CE89" s="36"/>
      <c r="CF89" s="36"/>
      <c r="CG89" s="36"/>
      <c r="CH89" s="36"/>
      <c r="CI89" s="36"/>
      <c r="CJ89" s="36"/>
      <c r="CK89" s="36"/>
      <c r="CL89" s="36"/>
      <c r="CM89" s="36"/>
      <c r="CN89" s="36"/>
      <c r="CO89"/>
      <c r="CP89"/>
      <c r="CQ89"/>
      <c r="CR89"/>
      <c r="CS89"/>
      <c r="CT89"/>
    </row>
    <row r="90" spans="2:98" s="7" customFormat="1" ht="11.25" customHeight="1" x14ac:dyDescent="0.2">
      <c r="B90" s="815" t="s">
        <v>68</v>
      </c>
      <c r="C90" s="816"/>
      <c r="D90" s="816"/>
      <c r="E90" s="816"/>
      <c r="F90" s="816"/>
      <c r="G90" s="816"/>
      <c r="H90" s="816"/>
      <c r="I90" s="816"/>
      <c r="J90" s="816"/>
      <c r="K90" s="816"/>
      <c r="L90" s="816"/>
      <c r="M90" s="816"/>
      <c r="N90" s="816"/>
      <c r="O90" s="816"/>
      <c r="P90" s="816"/>
      <c r="Q90" s="816"/>
      <c r="R90" s="816"/>
      <c r="S90" s="816"/>
      <c r="T90" s="816"/>
      <c r="U90" s="816"/>
      <c r="V90" s="816"/>
      <c r="W90" s="816"/>
      <c r="X90" s="816"/>
      <c r="Y90" s="816"/>
      <c r="Z90" s="816"/>
      <c r="AA90" s="816"/>
      <c r="AB90" s="816"/>
      <c r="AC90" s="816"/>
      <c r="AD90" s="816"/>
      <c r="AE90" s="816"/>
      <c r="AF90" s="816"/>
      <c r="AG90" s="816"/>
      <c r="AH90" s="816"/>
      <c r="AI90" s="816"/>
      <c r="AJ90" s="816"/>
      <c r="AK90" s="816"/>
      <c r="AL90" s="816"/>
      <c r="AM90" s="816"/>
      <c r="AN90" s="816"/>
      <c r="AO90" s="816"/>
      <c r="AP90" s="816"/>
      <c r="AQ90" s="816"/>
      <c r="AR90" s="816"/>
      <c r="AS90" s="816"/>
      <c r="AT90" s="816"/>
      <c r="AU90" s="816"/>
      <c r="AV90" s="816"/>
      <c r="AW90" s="816"/>
      <c r="AX90" s="816"/>
      <c r="AY90" s="816"/>
      <c r="AZ90" s="816"/>
      <c r="BA90" s="816"/>
      <c r="BB90" s="816"/>
      <c r="BC90" s="816"/>
      <c r="BD90" s="816"/>
      <c r="BE90" s="816"/>
      <c r="BF90" s="816"/>
      <c r="BG90" s="816"/>
      <c r="BH90" s="816"/>
      <c r="BI90" s="816"/>
      <c r="BJ90" s="816"/>
      <c r="BK90" s="816"/>
      <c r="BL90" s="816"/>
      <c r="BM90" s="816"/>
      <c r="BN90" s="816"/>
      <c r="BO90" s="816"/>
      <c r="BP90" s="816"/>
      <c r="BQ90" s="816"/>
      <c r="BR90" s="816"/>
      <c r="BS90" s="816"/>
      <c r="BT90" s="816"/>
      <c r="BU90" s="816"/>
      <c r="BV90" s="816"/>
      <c r="BW90" s="816"/>
      <c r="BX90" s="816"/>
      <c r="BY90" s="816"/>
      <c r="BZ90" s="816"/>
      <c r="CA90" s="816"/>
      <c r="CB90" s="816"/>
      <c r="CC90" s="816"/>
      <c r="CD90" s="816"/>
      <c r="CE90" s="816"/>
      <c r="CF90" s="816"/>
      <c r="CG90" s="816"/>
      <c r="CH90" s="16"/>
      <c r="CI90" s="16"/>
      <c r="CJ90" s="16"/>
      <c r="CK90" s="16"/>
      <c r="CL90" s="16"/>
      <c r="CM90" s="16"/>
      <c r="CN90" s="16"/>
      <c r="CO90"/>
      <c r="CP90"/>
      <c r="CQ90"/>
      <c r="CR90"/>
      <c r="CS90"/>
      <c r="CT90"/>
    </row>
    <row r="91" spans="2:98" s="7" customFormat="1" ht="11.25" customHeight="1" x14ac:dyDescent="0.2">
      <c r="B91" s="576" t="s">
        <v>69</v>
      </c>
      <c r="C91" s="530">
        <v>1470.963</v>
      </c>
      <c r="D91" s="580">
        <f>C97</f>
        <v>1509.134</v>
      </c>
      <c r="E91" s="580">
        <f>D97</f>
        <v>1567.2809999999999</v>
      </c>
      <c r="F91" s="580">
        <f>E97</f>
        <v>1673.5550000000001</v>
      </c>
      <c r="G91" s="460">
        <f>+C91</f>
        <v>1470.963</v>
      </c>
      <c r="H91" s="13"/>
      <c r="I91" s="530">
        <f>+F97</f>
        <v>1779.982</v>
      </c>
      <c r="J91" s="580">
        <f>I97</f>
        <v>1885.797</v>
      </c>
      <c r="K91" s="580">
        <f>J97</f>
        <v>1929.068</v>
      </c>
      <c r="L91" s="580">
        <f>K97</f>
        <v>1947.5219999999999</v>
      </c>
      <c r="M91" s="460">
        <f>+G97</f>
        <v>1779.9820000000007</v>
      </c>
      <c r="N91" s="13"/>
      <c r="O91" s="530">
        <f>+L97</f>
        <v>1772.0920000000001</v>
      </c>
      <c r="P91" s="580">
        <f>O97</f>
        <v>1951.5660000000003</v>
      </c>
      <c r="Q91" s="580">
        <f>P97</f>
        <v>2096.444</v>
      </c>
      <c r="R91" s="580">
        <f>Q97</f>
        <v>2012.4740000000002</v>
      </c>
      <c r="S91" s="460">
        <f>+M97</f>
        <v>1772.0920000000012</v>
      </c>
      <c r="T91" s="13"/>
      <c r="U91" s="530">
        <f>+R97</f>
        <v>2161.4789999999998</v>
      </c>
      <c r="V91" s="580">
        <f>U97</f>
        <v>2191.4059999999999</v>
      </c>
      <c r="W91" s="580">
        <f>V97</f>
        <v>2266.8139999999999</v>
      </c>
      <c r="X91" s="580">
        <f>W97</f>
        <v>2366.6479999999997</v>
      </c>
      <c r="Y91" s="460">
        <f>+S97</f>
        <v>2161.4790000000003</v>
      </c>
      <c r="Z91" s="13"/>
      <c r="AA91" s="530">
        <f>+X97</f>
        <v>2411.625</v>
      </c>
      <c r="AB91" s="580">
        <f>AA97</f>
        <v>2446.83</v>
      </c>
      <c r="AC91" s="580">
        <f>AB97</f>
        <v>2573.3559999999998</v>
      </c>
      <c r="AD91" s="580">
        <f>AC97</f>
        <v>2539.154</v>
      </c>
      <c r="AE91" s="460">
        <f>+Y97</f>
        <v>2411.6250000000009</v>
      </c>
      <c r="AF91" s="13"/>
      <c r="AG91" s="530">
        <f>+AD97</f>
        <v>2432.2219999999998</v>
      </c>
      <c r="AH91" s="580">
        <f>AG97</f>
        <v>2526.049</v>
      </c>
      <c r="AI91" s="580">
        <f>AH97</f>
        <v>2488.6480000000001</v>
      </c>
      <c r="AJ91" s="580">
        <f>AI97</f>
        <v>2571.701</v>
      </c>
      <c r="AK91" s="460">
        <f>+AE97</f>
        <v>2432.2220000000016</v>
      </c>
      <c r="AL91" s="13"/>
      <c r="AM91" s="530">
        <f>+AJ97</f>
        <v>2613.5850000000005</v>
      </c>
      <c r="AN91" s="580">
        <f>AM97</f>
        <v>2578.2289999999998</v>
      </c>
      <c r="AO91" s="580">
        <f>AN97</f>
        <v>2615.3789999999999</v>
      </c>
      <c r="AP91" s="580">
        <f>AO97</f>
        <v>2708.8419999999996</v>
      </c>
      <c r="AQ91" s="460">
        <f>+AK97</f>
        <v>2613.5850000000019</v>
      </c>
      <c r="AR91" s="13"/>
      <c r="AS91" s="530">
        <f>+AP97</f>
        <v>2785.1970000000001</v>
      </c>
      <c r="AT91" s="580">
        <f>AS97</f>
        <v>2816.3110000000001</v>
      </c>
      <c r="AU91" s="580">
        <f>AT97</f>
        <v>2850.7429999999999</v>
      </c>
      <c r="AV91" s="580">
        <f>AU97</f>
        <v>2818.3539999999998</v>
      </c>
      <c r="AW91" s="460">
        <f>+AQ97</f>
        <v>2785.1970000000015</v>
      </c>
      <c r="AX91" s="13"/>
      <c r="AY91" s="530">
        <f>+AV97</f>
        <v>2813.5940000000001</v>
      </c>
      <c r="AZ91" s="580">
        <f>AY97</f>
        <v>2733.3399999999997</v>
      </c>
      <c r="BA91" s="580">
        <f>AZ97</f>
        <v>2863.393</v>
      </c>
      <c r="BB91" s="580">
        <f>BA97</f>
        <v>2939.3520000000003</v>
      </c>
      <c r="BC91" s="460">
        <f>+AW97</f>
        <v>2813.594000000001</v>
      </c>
      <c r="BD91" s="13"/>
      <c r="BE91" s="591">
        <f>+BB97</f>
        <v>2884.2559999999999</v>
      </c>
      <c r="BF91" s="580">
        <f>BE97</f>
        <v>2913.6979999999999</v>
      </c>
      <c r="BG91" s="580">
        <f>BF97</f>
        <v>2947.723</v>
      </c>
      <c r="BH91" s="580">
        <f>BG97</f>
        <v>2895.3170000000005</v>
      </c>
      <c r="BI91" s="460">
        <f>+BC97</f>
        <v>2884.2560000000017</v>
      </c>
      <c r="BJ91" s="13"/>
      <c r="BK91" s="591">
        <f>+BH97</f>
        <v>2793.0659999999998</v>
      </c>
      <c r="BL91" s="580">
        <f>BK97</f>
        <v>2787.2249999999999</v>
      </c>
      <c r="BM91" s="580">
        <f>BL97</f>
        <v>2926.2550000000001</v>
      </c>
      <c r="BN91" s="580">
        <f>BM97</f>
        <v>3011.6390000000001</v>
      </c>
      <c r="BO91" s="593">
        <f>+BI97</f>
        <v>2793.0660000000012</v>
      </c>
      <c r="BP91" s="13"/>
      <c r="BQ91" s="591">
        <f>+BN97</f>
        <v>2811.4989999999998</v>
      </c>
      <c r="BR91" s="580">
        <f>BQ97</f>
        <v>2859.1590764879948</v>
      </c>
      <c r="BS91" s="580">
        <f>BR97</f>
        <v>2917.1809630287826</v>
      </c>
      <c r="BT91" s="580">
        <f>BS97</f>
        <v>2976.461996156012</v>
      </c>
      <c r="BU91" s="593">
        <f>+BO97</f>
        <v>2811.4990000000007</v>
      </c>
      <c r="BV91" s="13"/>
      <c r="BW91" s="591">
        <f>+BT97</f>
        <v>3052.3550653427478</v>
      </c>
      <c r="BX91" s="580">
        <f>BW97</f>
        <v>3090.6542057917982</v>
      </c>
      <c r="BY91" s="580">
        <f>BX97</f>
        <v>3142.7838559470874</v>
      </c>
      <c r="BZ91" s="580">
        <f>BY97</f>
        <v>3196.0423086574374</v>
      </c>
      <c r="CA91" s="593">
        <f>+BU97</f>
        <v>3052.3550653427492</v>
      </c>
      <c r="CB91" s="13"/>
      <c r="CC91" s="591">
        <f>+BZ97</f>
        <v>3266.5392641787957</v>
      </c>
      <c r="CD91" s="580">
        <f>CC97</f>
        <v>3302.1903841844896</v>
      </c>
      <c r="CE91" s="580">
        <f>CD97</f>
        <v>3352.6792038579092</v>
      </c>
      <c r="CF91" s="580">
        <f>CE97</f>
        <v>3403.3710491205511</v>
      </c>
      <c r="CG91" s="593">
        <f>+CA97</f>
        <v>3266.5392641787976</v>
      </c>
      <c r="CH91" s="16"/>
      <c r="CI91" s="16"/>
      <c r="CJ91" s="16"/>
      <c r="CK91" s="16"/>
      <c r="CL91" s="16"/>
      <c r="CM91" s="16"/>
      <c r="CN91" s="16"/>
      <c r="CO91"/>
      <c r="CP91"/>
      <c r="CQ91"/>
      <c r="CR91"/>
      <c r="CS91"/>
      <c r="CT91"/>
    </row>
    <row r="92" spans="2:98" s="7" customFormat="1" ht="11.25" customHeight="1" x14ac:dyDescent="0.2">
      <c r="B92" s="577" t="s">
        <v>70</v>
      </c>
      <c r="C92" s="530">
        <f>+C37+C38-0.885-614.551</f>
        <v>14.503000000000043</v>
      </c>
      <c r="D92" s="13">
        <f>+D37+D38-C38-C37</f>
        <v>13.984999999999934</v>
      </c>
      <c r="E92" s="13">
        <f>+E37+E38-D38-D37</f>
        <v>21.984000000000002</v>
      </c>
      <c r="F92" s="13">
        <f>+F37+F38-E38-E37</f>
        <v>8.7509999999999586</v>
      </c>
      <c r="G92" s="460">
        <f>SUM(C92:F92)</f>
        <v>59.222999999999942</v>
      </c>
      <c r="H92" s="13"/>
      <c r="I92" s="530">
        <f>+I37+I38-F38-F37</f>
        <v>19.612000000000037</v>
      </c>
      <c r="J92" s="13">
        <f>+J37+J38-I38-I37</f>
        <v>-0.23999999999996546</v>
      </c>
      <c r="K92" s="13">
        <f>+K37+K38-J38-J37</f>
        <v>19.537999999999922</v>
      </c>
      <c r="L92" s="13">
        <f>+L37+L38-K38-K37</f>
        <v>-152.65199999999993</v>
      </c>
      <c r="M92" s="460">
        <f>SUM(I92:L92)</f>
        <v>-113.74199999999993</v>
      </c>
      <c r="N92" s="13"/>
      <c r="O92" s="530">
        <f>+O37+O38-L38-L37</f>
        <v>169.92399999999998</v>
      </c>
      <c r="P92" s="13">
        <f>+P37+P38-O38-O37</f>
        <v>10.247000000000115</v>
      </c>
      <c r="Q92" s="13">
        <f>+Q37+Q38-P38-P37</f>
        <v>-206.67599999999999</v>
      </c>
      <c r="R92" s="13">
        <f>+R37+R38-Q38-Q37</f>
        <v>70.265999999999963</v>
      </c>
      <c r="S92" s="460">
        <f>SUM(O92:R92)</f>
        <v>43.761000000000081</v>
      </c>
      <c r="T92" s="13"/>
      <c r="U92" s="530">
        <f>+U37+U38-R38-R37</f>
        <v>3.9139999999999362</v>
      </c>
      <c r="V92" s="13">
        <f>+V37+V38-U38-U37</f>
        <v>24.562999999999999</v>
      </c>
      <c r="W92" s="13">
        <f>+W37+W38-V38-V37</f>
        <v>-39.585000000000072</v>
      </c>
      <c r="X92" s="13">
        <f>+X37+X38-W38-W37</f>
        <v>8.3630000000000351</v>
      </c>
      <c r="Y92" s="460">
        <f>SUM(U92:X92)</f>
        <v>-2.7450000000001005</v>
      </c>
      <c r="Z92" s="13"/>
      <c r="AA92" s="530">
        <f>+AA37+AA38-X38-X37</f>
        <v>-82.168000000000021</v>
      </c>
      <c r="AB92" s="13">
        <f>+AB37+AB38-AA38-AA37</f>
        <v>22.532000000000039</v>
      </c>
      <c r="AC92" s="13">
        <f>+AC37+AC38-AB38-AB37</f>
        <v>-3.359000000000059</v>
      </c>
      <c r="AD92" s="13">
        <f>+AD37+AD38-AC38-AC37</f>
        <v>-136.77699999999999</v>
      </c>
      <c r="AE92" s="460">
        <f>SUM(AA92:AD92)</f>
        <v>-199.77200000000002</v>
      </c>
      <c r="AF92" s="13"/>
      <c r="AG92" s="530">
        <f>+AG37+AG38-AD38-AD37</f>
        <v>8.8809999999999718</v>
      </c>
      <c r="AH92" s="13">
        <f>+AH37+AH38-AG38-AG37</f>
        <v>-11.333999999999959</v>
      </c>
      <c r="AI92" s="13">
        <f>+AI37+AI38-AH38-AH37</f>
        <v>6.0419999999999829</v>
      </c>
      <c r="AJ92" s="13">
        <f>+AJ37+AJ38-AI38-AI37</f>
        <v>-28.924999999999972</v>
      </c>
      <c r="AK92" s="460">
        <f>SUM(AG92:AJ92)</f>
        <v>-25.335999999999977</v>
      </c>
      <c r="AL92" s="13"/>
      <c r="AM92" s="530">
        <f>+AM37+AM38-AJ38-AJ37</f>
        <v>-36.095000000000006</v>
      </c>
      <c r="AN92" s="13">
        <f>+AN37+AN38-AM38-AM37</f>
        <v>-2.1319999999999815</v>
      </c>
      <c r="AO92" s="13">
        <f>+AO37+AO38-AN38-AN37</f>
        <v>-9.0809999999999995</v>
      </c>
      <c r="AP92" s="13">
        <f>+AP37+AP38-AO38-AO37</f>
        <v>-10.435999999999964</v>
      </c>
      <c r="AQ92" s="460">
        <f>SUM(AM92:AP92)</f>
        <v>-57.743999999999957</v>
      </c>
      <c r="AR92" s="13"/>
      <c r="AS92" s="530">
        <f>+AS37+AS38-AP38-AP37</f>
        <v>-21.168000000000013</v>
      </c>
      <c r="AT92" s="13">
        <f>+AT37+AT38-AS38-AS37</f>
        <v>-31.594000000000001</v>
      </c>
      <c r="AU92" s="13">
        <f>+AU37+AU38-AT38-AT37</f>
        <v>4.4440000000000399</v>
      </c>
      <c r="AV92" s="13">
        <f>+AV37+AV38-AU38-AU37</f>
        <v>-4.5600000000000316</v>
      </c>
      <c r="AW92" s="460">
        <f>SUM(AS92:AV92)</f>
        <v>-52.878000000000007</v>
      </c>
      <c r="AX92" s="13"/>
      <c r="AY92" s="530">
        <f>+AY37+AY38-AV38-AV37</f>
        <v>-20.61600000000001</v>
      </c>
      <c r="AZ92" s="13">
        <f>+AZ37+AZ38-AY38-AY37</f>
        <v>4.0219999999999896</v>
      </c>
      <c r="BA92" s="13">
        <f>+BA37+BA38-AZ38-AZ37</f>
        <v>10.729000000000031</v>
      </c>
      <c r="BB92" s="13">
        <f>+BB37+BB38-BA38-BA37</f>
        <v>-52.140000000000015</v>
      </c>
      <c r="BC92" s="460">
        <f>SUM(AY92:BB92)</f>
        <v>-58.00500000000001</v>
      </c>
      <c r="BD92" s="13"/>
      <c r="BE92" s="530">
        <f>+BE37+BE38-BB38-BB37</f>
        <v>-18.607999999999993</v>
      </c>
      <c r="BF92" s="13">
        <f>+BF37+BF38-BE38-BE37</f>
        <v>-37.71599999999998</v>
      </c>
      <c r="BG92" s="13">
        <f>+BG37+BG38-BF38-BF37</f>
        <v>-31.150000000000009</v>
      </c>
      <c r="BH92" s="13">
        <f>+BH37+BH38-BG38-BG37</f>
        <v>7.6060000000000061</v>
      </c>
      <c r="BI92" s="460">
        <f>SUM(BE92:BH92)</f>
        <v>-79.867999999999967</v>
      </c>
      <c r="BJ92" s="13"/>
      <c r="BK92" s="530">
        <f>+BK37+BK38-BH38-BH37</f>
        <v>-127.535</v>
      </c>
      <c r="BL92" s="13">
        <f>+BL37+BL38-BK38-BK37</f>
        <v>-3.0000000000000027E-3</v>
      </c>
      <c r="BM92" s="13">
        <f>+BM37+BM38-BL38-BL37</f>
        <v>0.77800000000000002</v>
      </c>
      <c r="BN92" s="13">
        <f>+BN37+BN38-BM38-BM37</f>
        <v>-3.300000000000014E-2</v>
      </c>
      <c r="BO92" s="460">
        <f>SUM(BK92:BN92)</f>
        <v>-126.79299999999999</v>
      </c>
      <c r="BP92" s="13"/>
      <c r="BQ92" s="530">
        <f>+BQ37+BQ38-BN38-BN37</f>
        <v>-93.243007314255891</v>
      </c>
      <c r="BR92" s="13">
        <f>+BR37+BR38-BQ38-BQ37</f>
        <v>-92.731320916977978</v>
      </c>
      <c r="BS92" s="13">
        <f>+BS37+BS38-BR38-BR37</f>
        <v>-92.573358537759958</v>
      </c>
      <c r="BT92" s="13">
        <f>+BT37+BT38-BS38-BS37</f>
        <v>-92.801412623526545</v>
      </c>
      <c r="BU92" s="460">
        <f>SUM(BQ92:BT92)</f>
        <v>-371.34909939252032</v>
      </c>
      <c r="BV92" s="13"/>
      <c r="BW92" s="530">
        <f>+BW37+BW38-BT38-BT37</f>
        <v>-99.956641246559428</v>
      </c>
      <c r="BX92" s="13">
        <f>+BX37+BX38-BW38-BW37</f>
        <v>-99.45847825663239</v>
      </c>
      <c r="BY92" s="13">
        <f>+BY37+BY38-BX38-BX37</f>
        <v>-99.270541166028096</v>
      </c>
      <c r="BZ92" s="13">
        <f>+BZ37+BZ38-BY38-BY37</f>
        <v>-99.357909442080285</v>
      </c>
      <c r="CA92" s="460">
        <f>SUM(BW92:BZ92)</f>
        <v>-398.04357011130026</v>
      </c>
      <c r="CB92" s="13"/>
      <c r="CC92" s="530">
        <f>+CC37+CC38-BZ38-BZ37</f>
        <v>-106.67401522007933</v>
      </c>
      <c r="CD92" s="13">
        <f>+CD37+CD38-CC38-CC37</f>
        <v>-106.13589978486581</v>
      </c>
      <c r="CE92" s="13">
        <f>+CE37+CE38-CD38-CD37</f>
        <v>-105.92401735174892</v>
      </c>
      <c r="CF92" s="13">
        <f>+CF37+CF38-CE38-CE37</f>
        <v>-105.89936452307617</v>
      </c>
      <c r="CG92" s="460">
        <f>SUM(CC92:CF92)</f>
        <v>-424.63329687977023</v>
      </c>
      <c r="CH92" s="16"/>
      <c r="CI92" s="16"/>
      <c r="CJ92" s="16"/>
      <c r="CK92" s="16"/>
      <c r="CL92" s="16"/>
      <c r="CM92" s="16"/>
      <c r="CN92" s="16"/>
      <c r="CO92"/>
      <c r="CP92"/>
      <c r="CQ92"/>
      <c r="CR92"/>
      <c r="CS92"/>
      <c r="CT92"/>
    </row>
    <row r="93" spans="2:98" s="7" customFormat="1" ht="11.25" customHeight="1" x14ac:dyDescent="0.2">
      <c r="B93" s="577" t="s">
        <v>71</v>
      </c>
      <c r="C93" s="530">
        <f>+'P&amp;L'!C67</f>
        <v>43.493999999999957</v>
      </c>
      <c r="D93" s="13">
        <f>+'P&amp;L'!D67</f>
        <v>33.837000000000046</v>
      </c>
      <c r="E93" s="13">
        <f>+'P&amp;L'!E67</f>
        <v>59.57300000000015</v>
      </c>
      <c r="F93" s="13">
        <f>+'P&amp;L'!F67</f>
        <v>78.269000000000275</v>
      </c>
      <c r="G93" s="460">
        <f>+'P&amp;L'!G67</f>
        <v>215.17300000000051</v>
      </c>
      <c r="H93" s="13"/>
      <c r="I93" s="530">
        <f>+'P&amp;L'!I67</f>
        <v>51.440000000000097</v>
      </c>
      <c r="J93" s="13">
        <f>+'P&amp;L'!J67</f>
        <v>64.570000000000135</v>
      </c>
      <c r="K93" s="13">
        <f>+'P&amp;L'!K67</f>
        <v>67.496000000000052</v>
      </c>
      <c r="L93" s="13">
        <f>+'P&amp;L'!L67</f>
        <v>55.95099999999821</v>
      </c>
      <c r="M93" s="460">
        <f>+'P&amp;L'!M67</f>
        <v>239.45699999999914</v>
      </c>
      <c r="N93" s="13"/>
      <c r="O93" s="530">
        <f>+'P&amp;L'!O67</f>
        <v>54.850999999999793</v>
      </c>
      <c r="P93" s="13">
        <f>+'P&amp;L'!P67</f>
        <v>73.472999999999914</v>
      </c>
      <c r="Q93" s="13">
        <f>+'P&amp;L'!Q67</f>
        <v>96.427000000000049</v>
      </c>
      <c r="R93" s="13">
        <f>+'P&amp;L'!R67</f>
        <v>86.402000000001038</v>
      </c>
      <c r="S93" s="460">
        <f>+'P&amp;L'!S67</f>
        <v>311.15300000000065</v>
      </c>
      <c r="T93" s="13"/>
      <c r="U93" s="530">
        <f>+'P&amp;L'!U67</f>
        <v>60.899999999999935</v>
      </c>
      <c r="V93" s="13">
        <f>+'P&amp;L'!V67</f>
        <v>84.001000000000019</v>
      </c>
      <c r="W93" s="13">
        <f>+'P&amp;L'!W67</f>
        <v>87.892999999999901</v>
      </c>
      <c r="X93" s="13">
        <f>+'P&amp;L'!X67</f>
        <v>92.995000000000303</v>
      </c>
      <c r="Y93" s="460">
        <f>+'P&amp;L'!Y67</f>
        <v>325.78900000000021</v>
      </c>
      <c r="Z93" s="13"/>
      <c r="AA93" s="530">
        <f>+'P&amp;L'!AA67</f>
        <v>76.494999999999905</v>
      </c>
      <c r="AB93" s="13">
        <f>+'P&amp;L'!AB67</f>
        <v>94.474999999999909</v>
      </c>
      <c r="AC93" s="13">
        <f>+'P&amp;L'!AC67</f>
        <v>91.961000000000311</v>
      </c>
      <c r="AD93" s="13">
        <f>+'P&amp;L'!AD67</f>
        <v>104.73000000000005</v>
      </c>
      <c r="AE93" s="460">
        <f>+'P&amp;L'!AE67</f>
        <v>367.66100000000034</v>
      </c>
      <c r="AF93" s="13"/>
      <c r="AG93" s="530">
        <f>+'P&amp;L'!AG67</f>
        <v>80.751999999999725</v>
      </c>
      <c r="AH93" s="13">
        <f>+'P&amp;L'!AH67</f>
        <v>98.086000000000183</v>
      </c>
      <c r="AI93" s="13">
        <f>+'P&amp;L'!AI67</f>
        <v>96.771000000000058</v>
      </c>
      <c r="AJ93" s="13">
        <f>+'P&amp;L'!AJ67</f>
        <v>112.46700000000192</v>
      </c>
      <c r="AK93" s="460">
        <f>+'P&amp;L'!AK67</f>
        <v>388.07600000000087</v>
      </c>
      <c r="AL93" s="13"/>
      <c r="AM93" s="530">
        <f>+'P&amp;L'!AM67</f>
        <v>91.477999999999966</v>
      </c>
      <c r="AN93" s="13">
        <f>+'P&amp;L'!AN67</f>
        <v>108.42999999999999</v>
      </c>
      <c r="AO93" s="13">
        <f>+'P&amp;L'!AO67</f>
        <v>107.37800000000016</v>
      </c>
      <c r="AP93" s="13">
        <f>+'P&amp;L'!AP67</f>
        <v>124.26800000000142</v>
      </c>
      <c r="AQ93" s="460">
        <f>+'P&amp;L'!AQ67</f>
        <v>431.55400000000105</v>
      </c>
      <c r="AR93" s="13"/>
      <c r="AS93" s="530">
        <f>+'P&amp;L'!AS67</f>
        <v>102.09900000000015</v>
      </c>
      <c r="AT93" s="13">
        <f>+'P&amp;L'!AT67</f>
        <v>116.23599999999993</v>
      </c>
      <c r="AU93" s="13">
        <f>+'P&amp;L'!AU67</f>
        <v>114.77599999999973</v>
      </c>
      <c r="AV93" s="13">
        <f>+'P&amp;L'!AV67</f>
        <v>132.96600000000021</v>
      </c>
      <c r="AW93" s="460">
        <f>+'P&amp;L'!AW67</f>
        <v>466.07699999999977</v>
      </c>
      <c r="AX93" s="13"/>
      <c r="AY93" s="530">
        <f>+'P&amp;L'!AY67</f>
        <v>103.44700000000019</v>
      </c>
      <c r="AZ93" s="13">
        <f>+'P&amp;L'!AZ67</f>
        <v>117.92800000000005</v>
      </c>
      <c r="BA93" s="13">
        <f>+'P&amp;L'!BA67</f>
        <v>127.73500000000017</v>
      </c>
      <c r="BB93" s="13">
        <f>+'P&amp;L'!BB67</f>
        <v>129.94799999999827</v>
      </c>
      <c r="BC93" s="460">
        <f>+'P&amp;L'!BC67</f>
        <v>479.05799999999891</v>
      </c>
      <c r="BD93" s="13"/>
      <c r="BE93" s="530">
        <f>+'P&amp;L'!BE67</f>
        <v>113.75200000000007</v>
      </c>
      <c r="BF93" s="13">
        <f>+'P&amp;L'!BF67</f>
        <v>120.09700000000026</v>
      </c>
      <c r="BG93" s="13">
        <f>+'P&amp;L'!BG67</f>
        <v>133.71300000000002</v>
      </c>
      <c r="BH93" s="13">
        <f>+'P&amp;L'!BH67</f>
        <v>139.21600000000001</v>
      </c>
      <c r="BI93" s="460">
        <f>+'P&amp;L'!BI67</f>
        <v>506.77800000000013</v>
      </c>
      <c r="BJ93" s="13"/>
      <c r="BK93" s="530">
        <f>+'P&amp;L'!BK67</f>
        <v>140.7480000000001</v>
      </c>
      <c r="BL93" s="13">
        <f>+'P&amp;L'!BL67</f>
        <v>136.05500000000029</v>
      </c>
      <c r="BM93" s="13">
        <f>+'P&amp;L'!BM67</f>
        <v>138.03100000000009</v>
      </c>
      <c r="BN93" s="13">
        <f>+'P&amp;L'!BN67</f>
        <v>-8.5349999999998261</v>
      </c>
      <c r="BO93" s="460">
        <f>+'P&amp;L'!BO67</f>
        <v>406.29900000000043</v>
      </c>
      <c r="BP93" s="13"/>
      <c r="BQ93" s="530">
        <f>+'P&amp;L'!BQ67</f>
        <v>140.90308380225105</v>
      </c>
      <c r="BR93" s="13">
        <f>+'P&amp;L'!BR67</f>
        <v>150.75320745776551</v>
      </c>
      <c r="BS93" s="13">
        <f>+'P&amp;L'!BS67</f>
        <v>151.85439166498929</v>
      </c>
      <c r="BT93" s="13">
        <f>+'P&amp;L'!BT67</f>
        <v>168.69448181026246</v>
      </c>
      <c r="BU93" s="460">
        <f>+'P&amp;L'!BU67</f>
        <v>612.20516473526891</v>
      </c>
      <c r="BV93" s="13"/>
      <c r="BW93" s="530">
        <f>+'P&amp;L'!BW67</f>
        <v>138.25578169560973</v>
      </c>
      <c r="BX93" s="13">
        <f>+'P&amp;L'!BX67</f>
        <v>151.5881284119217</v>
      </c>
      <c r="BY93" s="13">
        <f>+'P&amp;L'!BY67</f>
        <v>152.52899387637791</v>
      </c>
      <c r="BZ93" s="13">
        <f>+'P&amp;L'!BZ67</f>
        <v>169.85486496343853</v>
      </c>
      <c r="CA93" s="460">
        <f>+'P&amp;L'!CA67</f>
        <v>612.22776894734841</v>
      </c>
      <c r="CB93" s="13"/>
      <c r="CC93" s="530">
        <f>+'P&amp;L'!CC67</f>
        <v>142.32513522577304</v>
      </c>
      <c r="CD93" s="13">
        <f>+'P&amp;L'!CD67</f>
        <v>156.62471945828503</v>
      </c>
      <c r="CE93" s="13">
        <f>+'P&amp;L'!CE67</f>
        <v>156.61586261439072</v>
      </c>
      <c r="CF93" s="13">
        <f>+'P&amp;L'!CF67</f>
        <v>173.57311729765695</v>
      </c>
      <c r="CG93" s="460">
        <f>+'P&amp;L'!CG67</f>
        <v>629.13883459610588</v>
      </c>
      <c r="CH93" s="16"/>
      <c r="CI93" s="16"/>
      <c r="CJ93" s="16"/>
      <c r="CK93" s="16"/>
      <c r="CL93" s="16"/>
      <c r="CM93" s="16"/>
      <c r="CN93" s="16"/>
      <c r="CO93"/>
      <c r="CP93"/>
      <c r="CQ93"/>
      <c r="CR93"/>
      <c r="CS93"/>
      <c r="CT93"/>
    </row>
    <row r="94" spans="2:98" s="7" customFormat="1" ht="11.25" customHeight="1" x14ac:dyDescent="0.2">
      <c r="B94" s="577" t="s">
        <v>72</v>
      </c>
      <c r="C94" s="586">
        <v>0</v>
      </c>
      <c r="D94" s="587">
        <v>0</v>
      </c>
      <c r="E94" s="587">
        <v>0</v>
      </c>
      <c r="F94" s="587">
        <v>0</v>
      </c>
      <c r="G94" s="460">
        <f>SUM(C94:F94)</f>
        <v>0</v>
      </c>
      <c r="H94" s="13"/>
      <c r="I94" s="586">
        <v>0</v>
      </c>
      <c r="J94" s="587">
        <v>0</v>
      </c>
      <c r="K94" s="587">
        <v>0</v>
      </c>
      <c r="L94" s="587">
        <v>0</v>
      </c>
      <c r="M94" s="460">
        <f>SUM(I94:L94)</f>
        <v>0</v>
      </c>
      <c r="N94" s="13"/>
      <c r="O94" s="586">
        <v>0</v>
      </c>
      <c r="P94" s="587">
        <v>0</v>
      </c>
      <c r="Q94" s="587">
        <v>0</v>
      </c>
      <c r="R94" s="587">
        <v>0</v>
      </c>
      <c r="S94" s="460">
        <f>SUM(O94:R94)</f>
        <v>0</v>
      </c>
      <c r="T94" s="13"/>
      <c r="U94" s="586">
        <v>0</v>
      </c>
      <c r="V94" s="587">
        <v>0</v>
      </c>
      <c r="W94" s="587">
        <v>0</v>
      </c>
      <c r="X94" s="587">
        <v>0</v>
      </c>
      <c r="Y94" s="460">
        <f>SUM(U94:X94)</f>
        <v>0</v>
      </c>
      <c r="Z94" s="13"/>
      <c r="AA94" s="586">
        <v>0</v>
      </c>
      <c r="AB94" s="587">
        <v>0</v>
      </c>
      <c r="AC94" s="587">
        <v>0</v>
      </c>
      <c r="AD94" s="587">
        <v>0</v>
      </c>
      <c r="AE94" s="460">
        <f>SUM(AA94:AD94)</f>
        <v>0</v>
      </c>
      <c r="AF94" s="13"/>
      <c r="AG94" s="586">
        <v>0</v>
      </c>
      <c r="AH94" s="587">
        <v>0</v>
      </c>
      <c r="AI94" s="587">
        <v>0</v>
      </c>
      <c r="AJ94" s="587">
        <v>0</v>
      </c>
      <c r="AK94" s="460">
        <f>SUM(AG94:AJ94)</f>
        <v>0</v>
      </c>
      <c r="AL94" s="13"/>
      <c r="AM94" s="586">
        <v>0</v>
      </c>
      <c r="AN94" s="587">
        <v>0</v>
      </c>
      <c r="AO94" s="587">
        <v>0</v>
      </c>
      <c r="AP94" s="587">
        <v>0</v>
      </c>
      <c r="AQ94" s="460">
        <f>SUM(AM94:AP94)</f>
        <v>0</v>
      </c>
      <c r="AR94" s="13"/>
      <c r="AS94" s="586">
        <v>0</v>
      </c>
      <c r="AT94" s="587">
        <v>0</v>
      </c>
      <c r="AU94" s="587">
        <v>0</v>
      </c>
      <c r="AV94" s="587">
        <v>0</v>
      </c>
      <c r="AW94" s="460">
        <f>SUM(AS94:AV94)</f>
        <v>0</v>
      </c>
      <c r="AX94" s="13"/>
      <c r="AY94" s="586">
        <v>0</v>
      </c>
      <c r="AZ94" s="587">
        <v>0</v>
      </c>
      <c r="BA94" s="587">
        <v>0</v>
      </c>
      <c r="BB94" s="587">
        <v>0</v>
      </c>
      <c r="BC94" s="460">
        <f>SUM(AY94:BB94)</f>
        <v>0</v>
      </c>
      <c r="BD94" s="13"/>
      <c r="BE94" s="524">
        <v>0</v>
      </c>
      <c r="BF94" s="511">
        <v>0</v>
      </c>
      <c r="BG94" s="511">
        <v>0</v>
      </c>
      <c r="BH94" s="587">
        <v>0</v>
      </c>
      <c r="BI94" s="460">
        <f>SUM(BE94:BH94)</f>
        <v>0</v>
      </c>
      <c r="BJ94" s="13"/>
      <c r="BK94" s="524">
        <v>0</v>
      </c>
      <c r="BL94" s="511">
        <v>0</v>
      </c>
      <c r="BM94" s="511">
        <v>0</v>
      </c>
      <c r="BN94" s="587">
        <v>0</v>
      </c>
      <c r="BO94" s="460">
        <f>SUM(BK94:BN94)</f>
        <v>0</v>
      </c>
      <c r="BP94" s="13"/>
      <c r="BQ94" s="524">
        <v>0</v>
      </c>
      <c r="BR94" s="511">
        <v>0</v>
      </c>
      <c r="BS94" s="511">
        <v>0</v>
      </c>
      <c r="BT94" s="511">
        <v>0</v>
      </c>
      <c r="BU94" s="460">
        <f>SUM(BQ94:BT94)</f>
        <v>0</v>
      </c>
      <c r="BV94" s="13"/>
      <c r="BW94" s="524">
        <v>0</v>
      </c>
      <c r="BX94" s="511">
        <v>0</v>
      </c>
      <c r="BY94" s="511">
        <v>0</v>
      </c>
      <c r="BZ94" s="511">
        <v>0</v>
      </c>
      <c r="CA94" s="460">
        <f>SUM(BW94:BZ94)</f>
        <v>0</v>
      </c>
      <c r="CB94" s="13"/>
      <c r="CC94" s="524">
        <v>0</v>
      </c>
      <c r="CD94" s="511">
        <v>0</v>
      </c>
      <c r="CE94" s="511">
        <v>0</v>
      </c>
      <c r="CF94" s="511">
        <v>0</v>
      </c>
      <c r="CG94" s="460">
        <f>SUM(CC94:CF94)</f>
        <v>0</v>
      </c>
      <c r="CH94" s="16"/>
      <c r="CI94" s="16"/>
      <c r="CJ94" s="16"/>
      <c r="CK94" s="16"/>
      <c r="CL94" s="16"/>
      <c r="CM94" s="16"/>
      <c r="CN94" s="16"/>
      <c r="CO94"/>
      <c r="CP94"/>
      <c r="CQ94"/>
      <c r="CR94"/>
      <c r="CS94"/>
      <c r="CT94"/>
    </row>
    <row r="95" spans="2:98" s="7" customFormat="1" ht="11.25" customHeight="1" x14ac:dyDescent="0.2">
      <c r="B95" s="577" t="s">
        <v>43</v>
      </c>
      <c r="C95" s="530">
        <f>+C40-47.363</f>
        <v>-1.5439999999999969</v>
      </c>
      <c r="D95" s="13">
        <f>+D40-C40</f>
        <v>10.324999999999996</v>
      </c>
      <c r="E95" s="13">
        <f>+E40-D40</f>
        <v>24.717000000000006</v>
      </c>
      <c r="F95" s="13">
        <f>+F40-E40</f>
        <v>19.406999999999996</v>
      </c>
      <c r="G95" s="460">
        <f>SUM(C95:F95)</f>
        <v>52.905000000000001</v>
      </c>
      <c r="H95" s="13"/>
      <c r="I95" s="530">
        <f>+I40-F40</f>
        <v>33.87299999999999</v>
      </c>
      <c r="J95" s="13">
        <f>+J40-I40</f>
        <v>-2.3100000000000023</v>
      </c>
      <c r="K95" s="13">
        <f>+K40-J40</f>
        <v>-54.827999999999989</v>
      </c>
      <c r="L95" s="13">
        <f>+L40-K40</f>
        <v>-47.281999999999996</v>
      </c>
      <c r="M95" s="460">
        <f>SUM(I95:L95)</f>
        <v>-70.546999999999997</v>
      </c>
      <c r="N95" s="13"/>
      <c r="O95" s="530">
        <f>+O40-L40</f>
        <v>-45.301000000000002</v>
      </c>
      <c r="P95" s="13">
        <f>+P40-O40</f>
        <v>61.158000000000001</v>
      </c>
      <c r="Q95" s="13">
        <f>+Q40-P40</f>
        <v>26.284999999999997</v>
      </c>
      <c r="R95" s="13">
        <f>+R40-Q40</f>
        <v>-7.6689999999999969</v>
      </c>
      <c r="S95" s="460">
        <f>SUM(O95:R95)</f>
        <v>34.472999999999999</v>
      </c>
      <c r="T95" s="13"/>
      <c r="U95" s="530">
        <f>+U40-R40</f>
        <v>-34.887</v>
      </c>
      <c r="V95" s="13">
        <f>+V40-U40</f>
        <v>-33.155999999999999</v>
      </c>
      <c r="W95" s="13">
        <f>+W40-V40</f>
        <v>54.781000000000006</v>
      </c>
      <c r="X95" s="13">
        <f>+X40-W40</f>
        <v>-20.418000000000003</v>
      </c>
      <c r="Y95" s="460">
        <f>SUM(U95:X95)</f>
        <v>-33.680000000000007</v>
      </c>
      <c r="Z95" s="13"/>
      <c r="AA95" s="530">
        <f>+AA40-X40</f>
        <v>59.322000000000003</v>
      </c>
      <c r="AB95" s="13">
        <f>+AB40-AA40</f>
        <v>13.085000000000008</v>
      </c>
      <c r="AC95" s="13">
        <f>+AC40-AB40</f>
        <v>-53.298000000000009</v>
      </c>
      <c r="AD95" s="13">
        <f>+AD40-AC40</f>
        <v>-27.038999999999998</v>
      </c>
      <c r="AE95" s="460">
        <f>SUM(AA95:AD95)</f>
        <v>-7.9299999999999962</v>
      </c>
      <c r="AF95" s="13"/>
      <c r="AG95" s="530">
        <f>+AG40-AD40</f>
        <v>31.16</v>
      </c>
      <c r="AH95" s="13">
        <f>+AH40-AG40</f>
        <v>-40.863999999999997</v>
      </c>
      <c r="AI95" s="13">
        <f>+AI40-AH40</f>
        <v>22.594999999999999</v>
      </c>
      <c r="AJ95" s="13">
        <f>+AJ40-AI40</f>
        <v>17.379999999999995</v>
      </c>
      <c r="AK95" s="460">
        <f>SUM(AG95:AJ95)</f>
        <v>30.270999999999997</v>
      </c>
      <c r="AL95" s="13"/>
      <c r="AM95" s="530">
        <f>+AM40-AJ40</f>
        <v>-38.393000000000001</v>
      </c>
      <c r="AN95" s="13">
        <f>+AN40-AM40</f>
        <v>-13.196999999999999</v>
      </c>
      <c r="AO95" s="13">
        <f>+AO40-AN40</f>
        <v>49.886000000000003</v>
      </c>
      <c r="AP95" s="13">
        <f>+AP40-AO40</f>
        <v>16.698</v>
      </c>
      <c r="AQ95" s="460">
        <f>SUM(AM95:AP95)</f>
        <v>14.994</v>
      </c>
      <c r="AR95" s="13"/>
      <c r="AS95" s="530">
        <f>+AS40-AP40</f>
        <v>5.012999999999991</v>
      </c>
      <c r="AT95" s="13">
        <f>+AT40-AS40</f>
        <v>5.8410000000000082</v>
      </c>
      <c r="AU95" s="13">
        <f>+AU40-AT40</f>
        <v>-95.994</v>
      </c>
      <c r="AV95" s="13">
        <f>+AV40-AU40</f>
        <v>-77.841000000000008</v>
      </c>
      <c r="AW95" s="460">
        <f>SUM(AS95:AV95)</f>
        <v>-162.98099999999999</v>
      </c>
      <c r="AX95" s="13"/>
      <c r="AY95" s="530">
        <f>+AY40-AV40</f>
        <v>-106.73499999999999</v>
      </c>
      <c r="AZ95" s="13">
        <f>+AZ40-AY40</f>
        <v>36.129999999999995</v>
      </c>
      <c r="BA95" s="13">
        <f>+BA40-AZ40</f>
        <v>-33.944999999999993</v>
      </c>
      <c r="BB95" s="13">
        <f>+BB40-BA40</f>
        <v>-20.257000000000005</v>
      </c>
      <c r="BC95" s="460">
        <f>SUM(AY95:BB95)</f>
        <v>-124.80699999999999</v>
      </c>
      <c r="BD95" s="13"/>
      <c r="BE95" s="530">
        <f>+BE40-BB40</f>
        <v>10.24199999999999</v>
      </c>
      <c r="BF95" s="13">
        <f>+BF40-BE40</f>
        <v>-4.9099999999999966</v>
      </c>
      <c r="BG95" s="13">
        <f>+BG40-BF40</f>
        <v>-7.5730000000000075</v>
      </c>
      <c r="BH95" s="13">
        <f>+BH40-BG40</f>
        <v>-94.86099999999999</v>
      </c>
      <c r="BI95" s="460">
        <f>SUM(BE95:BH95)</f>
        <v>-97.102000000000004</v>
      </c>
      <c r="BJ95" s="13"/>
      <c r="BK95" s="530">
        <f>+BK40-BH40</f>
        <v>35.22199999999998</v>
      </c>
      <c r="BL95" s="13">
        <f>+BL40-BK40</f>
        <v>72.293000000000006</v>
      </c>
      <c r="BM95" s="13">
        <f>+BM40-BL40</f>
        <v>55.054000000000002</v>
      </c>
      <c r="BN95" s="13">
        <f>+BN40-BM40</f>
        <v>24.405000000000001</v>
      </c>
      <c r="BO95" s="460">
        <f>SUM(BK95:BN95)</f>
        <v>186.97399999999999</v>
      </c>
      <c r="BP95" s="13"/>
      <c r="BQ95" s="530">
        <f>+BQ40-BN40</f>
        <v>0</v>
      </c>
      <c r="BR95" s="13">
        <f>+BR40-BQ40</f>
        <v>0</v>
      </c>
      <c r="BS95" s="13">
        <f>+BS40-BR40</f>
        <v>0</v>
      </c>
      <c r="BT95" s="13">
        <f>+BT40-BS40</f>
        <v>0</v>
      </c>
      <c r="BU95" s="460">
        <f>SUM(BQ95:BT95)</f>
        <v>0</v>
      </c>
      <c r="BV95" s="13"/>
      <c r="BW95" s="530">
        <f>+BW40-BT40</f>
        <v>0</v>
      </c>
      <c r="BX95" s="13">
        <f>+BX40-BW40</f>
        <v>0</v>
      </c>
      <c r="BY95" s="13">
        <f>+BY40-BX40</f>
        <v>0</v>
      </c>
      <c r="BZ95" s="13">
        <f>+BZ40-BY40</f>
        <v>0</v>
      </c>
      <c r="CA95" s="460">
        <f>SUM(BW95:BZ95)</f>
        <v>0</v>
      </c>
      <c r="CB95" s="13"/>
      <c r="CC95" s="530">
        <f>+CC40-BZ40</f>
        <v>0</v>
      </c>
      <c r="CD95" s="13">
        <f>+CD40-CC40</f>
        <v>0</v>
      </c>
      <c r="CE95" s="13">
        <f>+CE40-CD40</f>
        <v>0</v>
      </c>
      <c r="CF95" s="13">
        <f>+CF40-CE40</f>
        <v>0</v>
      </c>
      <c r="CG95" s="460">
        <f>SUM(CC95:CF95)</f>
        <v>0</v>
      </c>
      <c r="CH95" s="16"/>
      <c r="CI95" s="16"/>
      <c r="CJ95" s="16"/>
      <c r="CK95" s="16"/>
      <c r="CL95" s="16"/>
      <c r="CM95" s="16"/>
      <c r="CN95" s="16"/>
      <c r="CO95"/>
      <c r="CP95"/>
      <c r="CQ95"/>
      <c r="CR95"/>
      <c r="CS95"/>
      <c r="CT95"/>
    </row>
    <row r="96" spans="2:98" s="7" customFormat="1" ht="11.25" customHeight="1" x14ac:dyDescent="0.2">
      <c r="B96" s="578" t="s">
        <v>73</v>
      </c>
      <c r="C96" s="581">
        <f>+C97-SUM(C91:C95)</f>
        <v>-18.281999999999698</v>
      </c>
      <c r="D96" s="49">
        <f>+D97-SUM(D91:D95)</f>
        <v>0</v>
      </c>
      <c r="E96" s="49">
        <f>+E97-SUM(E91:E95)</f>
        <v>0</v>
      </c>
      <c r="F96" s="49">
        <f>+F97-SUM(F91:F95)</f>
        <v>0</v>
      </c>
      <c r="G96" s="588">
        <f>SUM(C96:F96)</f>
        <v>-18.281999999999698</v>
      </c>
      <c r="H96" s="13"/>
      <c r="I96" s="581">
        <f>+I97-SUM(I91:I95)</f>
        <v>0.88999999999987267</v>
      </c>
      <c r="J96" s="49">
        <f>+J97-SUM(J91:J95)</f>
        <v>-18.749000000000251</v>
      </c>
      <c r="K96" s="49">
        <f>+K97-SUM(K91:K95)</f>
        <v>-13.75200000000018</v>
      </c>
      <c r="L96" s="49">
        <f>+L97-SUM(L91:L95)</f>
        <v>-31.44699999999807</v>
      </c>
      <c r="M96" s="588">
        <f>SUM(I96:L96)</f>
        <v>-63.057999999998628</v>
      </c>
      <c r="N96" s="13"/>
      <c r="O96" s="581">
        <f>+O97-SUM(O91:O95)</f>
        <v>0</v>
      </c>
      <c r="P96" s="49">
        <f>+P97-SUM(P91:P95)</f>
        <v>0</v>
      </c>
      <c r="Q96" s="49">
        <f>+Q97-SUM(Q91:Q95)</f>
        <v>-6.0000000000854925E-3</v>
      </c>
      <c r="R96" s="49">
        <f>+R97-SUM(R91:R95)</f>
        <v>5.9999999984938768E-3</v>
      </c>
      <c r="S96" s="588">
        <f>SUM(O96:R96)</f>
        <v>-1.5916157281026244E-12</v>
      </c>
      <c r="T96" s="13"/>
      <c r="U96" s="581">
        <f>+U97-SUM(U91:U95)</f>
        <v>0</v>
      </c>
      <c r="V96" s="49">
        <f>+V97-SUM(V91:V95)</f>
        <v>0</v>
      </c>
      <c r="W96" s="49">
        <f>+W97-SUM(W91:W95)</f>
        <v>-3.2550000000001091</v>
      </c>
      <c r="X96" s="49">
        <f>+X97-SUM(X91:X95)</f>
        <v>-35.962999999999738</v>
      </c>
      <c r="Y96" s="588">
        <f>SUM(U96:X96)</f>
        <v>-39.217999999999847</v>
      </c>
      <c r="Z96" s="13"/>
      <c r="AA96" s="581">
        <f>+AA97-SUM(AA91:AA95)</f>
        <v>-18.44399999999996</v>
      </c>
      <c r="AB96" s="49">
        <f>+AB97-SUM(AB91:AB95)</f>
        <v>-3.5660000000002583</v>
      </c>
      <c r="AC96" s="49">
        <f>+AC97-SUM(AC91:AC95)</f>
        <v>-69.505999999999858</v>
      </c>
      <c r="AD96" s="49">
        <f>+AD97-SUM(AD91:AD95)</f>
        <v>-47.846000000000004</v>
      </c>
      <c r="AE96" s="588">
        <f>SUM(AA96:AD96)</f>
        <v>-139.36200000000008</v>
      </c>
      <c r="AF96" s="13"/>
      <c r="AG96" s="581">
        <f>+AG97-SUM(AG91:AG95)</f>
        <v>-26.96599999999944</v>
      </c>
      <c r="AH96" s="49">
        <f>+AH97-SUM(AH91:AH95)</f>
        <v>-83.289000000000215</v>
      </c>
      <c r="AI96" s="49">
        <f>+AI97-SUM(AI91:AI95)</f>
        <v>-42.355000000000018</v>
      </c>
      <c r="AJ96" s="49">
        <f>+AJ97-SUM(AJ91:AJ95)</f>
        <v>-59.038000000001375</v>
      </c>
      <c r="AK96" s="588">
        <f>SUM(AG96:AJ96)</f>
        <v>-211.64800000000105</v>
      </c>
      <c r="AL96" s="13"/>
      <c r="AM96" s="581">
        <f>+AM97-SUM(AM91:AM95)</f>
        <v>-52.346000000000913</v>
      </c>
      <c r="AN96" s="49">
        <f>+AN97-SUM(AN91:AN95)</f>
        <v>-55.950999999999567</v>
      </c>
      <c r="AO96" s="49">
        <f>+AO97-SUM(AO91:AO95)</f>
        <v>-54.720000000000255</v>
      </c>
      <c r="AP96" s="49">
        <f>+AP97-SUM(AP91:AP95)</f>
        <v>-54.175000000000637</v>
      </c>
      <c r="AQ96" s="588">
        <f>SUM(AM96:AP96)</f>
        <v>-217.19200000000137</v>
      </c>
      <c r="AR96" s="13"/>
      <c r="AS96" s="581">
        <f>+AS97-SUM(AS91:AS95)</f>
        <v>-54.829999999999927</v>
      </c>
      <c r="AT96" s="49">
        <f>+AT97-SUM(AT91:AT95)</f>
        <v>-56.050999999999931</v>
      </c>
      <c r="AU96" s="49">
        <f>+AU97-SUM(AU91:AU95)</f>
        <v>-55.614999999999782</v>
      </c>
      <c r="AV96" s="49">
        <f>+AV97-SUM(AV91:AV95)</f>
        <v>-55.325000000000273</v>
      </c>
      <c r="AW96" s="588">
        <f>SUM(AS96:AV96)</f>
        <v>-221.82099999999991</v>
      </c>
      <c r="AX96" s="13"/>
      <c r="AY96" s="581">
        <f>+AY97-SUM(AY91:AY95)</f>
        <v>-56.350000000000364</v>
      </c>
      <c r="AZ96" s="49">
        <f>+AZ97-SUM(AZ91:AZ95)</f>
        <v>-28.026999999999589</v>
      </c>
      <c r="BA96" s="49">
        <f>+BA97-SUM(BA91:BA95)</f>
        <v>-28.559999999999491</v>
      </c>
      <c r="BB96" s="49">
        <f>+BB97-SUM(BB91:BB95)</f>
        <v>-112.64699999999903</v>
      </c>
      <c r="BC96" s="588">
        <f>SUM(AY96:BB96)</f>
        <v>-225.58399999999847</v>
      </c>
      <c r="BD96" s="13"/>
      <c r="BE96" s="581">
        <f>+BE97-SUM(BE91:BE95)</f>
        <v>-75.94399999999996</v>
      </c>
      <c r="BF96" s="49">
        <f>+BF97-SUM(BF91:BF95)</f>
        <v>-43.446000000000367</v>
      </c>
      <c r="BG96" s="49">
        <f>+BG97-SUM(BG91:BG95)</f>
        <v>-147.39599999999973</v>
      </c>
      <c r="BH96" s="49">
        <f>+BH97-SUM(BH91:BH95)</f>
        <v>-154.2120000000009</v>
      </c>
      <c r="BI96" s="588">
        <f>SUM(BE96:BH96)</f>
        <v>-420.99800000000096</v>
      </c>
      <c r="BJ96" s="13"/>
      <c r="BK96" s="581">
        <f>+BK97-SUM(BK91:BK95)</f>
        <v>-54.276000000000295</v>
      </c>
      <c r="BL96" s="49">
        <f>+BL97-SUM(BL91:BL95)</f>
        <v>-69.315000000000055</v>
      </c>
      <c r="BM96" s="49">
        <f>+BM97-SUM(BM91:BM95)</f>
        <v>-108.47899999999981</v>
      </c>
      <c r="BN96" s="49">
        <f>+BN97-SUM(BN91:BN95)</f>
        <v>-215.97700000000077</v>
      </c>
      <c r="BO96" s="588">
        <f>SUM(BK96:BN96)</f>
        <v>-448.04700000000093</v>
      </c>
      <c r="BP96" s="13"/>
      <c r="BQ96" s="595">
        <v>0</v>
      </c>
      <c r="BR96" s="190">
        <v>0</v>
      </c>
      <c r="BS96" s="190">
        <v>0</v>
      </c>
      <c r="BT96" s="190">
        <v>0</v>
      </c>
      <c r="BU96" s="588">
        <f>SUM(BQ96:BT96)</f>
        <v>0</v>
      </c>
      <c r="BV96" s="13"/>
      <c r="BW96" s="595">
        <v>0</v>
      </c>
      <c r="BX96" s="190">
        <v>0</v>
      </c>
      <c r="BY96" s="190">
        <v>0</v>
      </c>
      <c r="BZ96" s="190">
        <v>0</v>
      </c>
      <c r="CA96" s="588">
        <f>SUM(BW96:BZ96)</f>
        <v>0</v>
      </c>
      <c r="CB96" s="13"/>
      <c r="CC96" s="595">
        <v>0</v>
      </c>
      <c r="CD96" s="190">
        <v>0</v>
      </c>
      <c r="CE96" s="190">
        <v>0</v>
      </c>
      <c r="CF96" s="190">
        <v>0</v>
      </c>
      <c r="CG96" s="588">
        <f>SUM(CC96:CF96)</f>
        <v>0</v>
      </c>
      <c r="CH96" s="13"/>
      <c r="CI96" s="13"/>
      <c r="CJ96" s="13"/>
      <c r="CK96" s="13"/>
      <c r="CL96" s="13"/>
      <c r="CM96" s="13"/>
      <c r="CN96" s="13"/>
      <c r="CO96"/>
      <c r="CP96"/>
      <c r="CQ96"/>
      <c r="CR96"/>
      <c r="CS96"/>
      <c r="CT96"/>
    </row>
    <row r="97" spans="1:98" s="7" customFormat="1" ht="11.25" customHeight="1" x14ac:dyDescent="0.2">
      <c r="B97" s="579" t="s">
        <v>74</v>
      </c>
      <c r="C97" s="582">
        <f>+C41</f>
        <v>1509.134</v>
      </c>
      <c r="D97" s="26">
        <f>+D41</f>
        <v>1567.2809999999999</v>
      </c>
      <c r="E97" s="26">
        <f>+E41</f>
        <v>1673.5550000000001</v>
      </c>
      <c r="F97" s="26">
        <f>+F41</f>
        <v>1779.982</v>
      </c>
      <c r="G97" s="589">
        <f>+SUM(G91:G96)</f>
        <v>1779.9820000000007</v>
      </c>
      <c r="H97" s="26"/>
      <c r="I97" s="582">
        <f>+I41</f>
        <v>1885.797</v>
      </c>
      <c r="J97" s="26">
        <f>+J41</f>
        <v>1929.068</v>
      </c>
      <c r="K97" s="26">
        <f>+K41</f>
        <v>1947.5219999999999</v>
      </c>
      <c r="L97" s="26">
        <f>+L41</f>
        <v>1772.0920000000001</v>
      </c>
      <c r="M97" s="589">
        <f>+SUM(M91:M96)</f>
        <v>1772.0920000000012</v>
      </c>
      <c r="N97" s="26"/>
      <c r="O97" s="582">
        <f>+O41</f>
        <v>1951.5660000000003</v>
      </c>
      <c r="P97" s="26">
        <f>+P41</f>
        <v>2096.444</v>
      </c>
      <c r="Q97" s="26">
        <f>+Q41</f>
        <v>2012.4740000000002</v>
      </c>
      <c r="R97" s="26">
        <f>+R41</f>
        <v>2161.4789999999998</v>
      </c>
      <c r="S97" s="589">
        <f>+SUM(S91:S96)</f>
        <v>2161.4790000000003</v>
      </c>
      <c r="T97" s="26"/>
      <c r="U97" s="582">
        <f>+U41</f>
        <v>2191.4059999999999</v>
      </c>
      <c r="V97" s="26">
        <f>+V41</f>
        <v>2266.8139999999999</v>
      </c>
      <c r="W97" s="26">
        <f>+W41</f>
        <v>2366.6479999999997</v>
      </c>
      <c r="X97" s="26">
        <f>+X41</f>
        <v>2411.625</v>
      </c>
      <c r="Y97" s="589">
        <f>+SUM(Y91:Y96)</f>
        <v>2411.6250000000009</v>
      </c>
      <c r="Z97" s="26"/>
      <c r="AA97" s="582">
        <f>+AA41</f>
        <v>2446.83</v>
      </c>
      <c r="AB97" s="26">
        <f>+AB41</f>
        <v>2573.3559999999998</v>
      </c>
      <c r="AC97" s="26">
        <f>+AC41</f>
        <v>2539.154</v>
      </c>
      <c r="AD97" s="26">
        <f>+AD41</f>
        <v>2432.2219999999998</v>
      </c>
      <c r="AE97" s="589">
        <f>+SUM(AE91:AE96)</f>
        <v>2432.2220000000016</v>
      </c>
      <c r="AF97" s="26"/>
      <c r="AG97" s="582">
        <f>+AG41</f>
        <v>2526.049</v>
      </c>
      <c r="AH97" s="26">
        <f>+AH41</f>
        <v>2488.6480000000001</v>
      </c>
      <c r="AI97" s="26">
        <f>+AI41</f>
        <v>2571.701</v>
      </c>
      <c r="AJ97" s="26">
        <f>+AJ41</f>
        <v>2613.5850000000005</v>
      </c>
      <c r="AK97" s="589">
        <f>+SUM(AK91:AK96)</f>
        <v>2613.5850000000019</v>
      </c>
      <c r="AL97" s="26"/>
      <c r="AM97" s="582">
        <f>+AM41</f>
        <v>2578.2289999999998</v>
      </c>
      <c r="AN97" s="26">
        <f>+AN41</f>
        <v>2615.3789999999999</v>
      </c>
      <c r="AO97" s="26">
        <f>+AO41</f>
        <v>2708.8419999999996</v>
      </c>
      <c r="AP97" s="26">
        <f>+AP41</f>
        <v>2785.1970000000001</v>
      </c>
      <c r="AQ97" s="589">
        <f>+SUM(AQ91:AQ96)</f>
        <v>2785.1970000000015</v>
      </c>
      <c r="AR97" s="26"/>
      <c r="AS97" s="582">
        <f>+AS41</f>
        <v>2816.3110000000001</v>
      </c>
      <c r="AT97" s="26">
        <f>+AT41</f>
        <v>2850.7429999999999</v>
      </c>
      <c r="AU97" s="26">
        <f>+AU41</f>
        <v>2818.3539999999998</v>
      </c>
      <c r="AV97" s="26">
        <f>+AV41</f>
        <v>2813.5940000000001</v>
      </c>
      <c r="AW97" s="589">
        <f>+SUM(AW91:AW96)</f>
        <v>2813.594000000001</v>
      </c>
      <c r="AX97" s="26"/>
      <c r="AY97" s="582">
        <f>+AY41</f>
        <v>2733.3399999999997</v>
      </c>
      <c r="AZ97" s="26">
        <f>+AZ41</f>
        <v>2863.393</v>
      </c>
      <c r="BA97" s="26">
        <f>+BA41</f>
        <v>2939.3520000000003</v>
      </c>
      <c r="BB97" s="26">
        <f>+BB41</f>
        <v>2884.2559999999999</v>
      </c>
      <c r="BC97" s="589">
        <f>+SUM(BC91:BC96)</f>
        <v>2884.2560000000017</v>
      </c>
      <c r="BD97" s="26"/>
      <c r="BE97" s="582">
        <f>+BE41</f>
        <v>2913.6979999999999</v>
      </c>
      <c r="BF97" s="26">
        <f>+BF41</f>
        <v>2947.723</v>
      </c>
      <c r="BG97" s="26">
        <f>+BG41</f>
        <v>2895.3170000000005</v>
      </c>
      <c r="BH97" s="26">
        <f>+BH41</f>
        <v>2793.0659999999998</v>
      </c>
      <c r="BI97" s="589">
        <f>+SUM(BI91:BI96)</f>
        <v>2793.0660000000012</v>
      </c>
      <c r="BJ97" s="26"/>
      <c r="BK97" s="582">
        <f>+BK41</f>
        <v>2787.2249999999999</v>
      </c>
      <c r="BL97" s="26">
        <f>+BL41</f>
        <v>2926.2550000000001</v>
      </c>
      <c r="BM97" s="26">
        <f>+BM41</f>
        <v>3011.6390000000001</v>
      </c>
      <c r="BN97" s="26">
        <f>+BN41</f>
        <v>2811.4989999999998</v>
      </c>
      <c r="BO97" s="601">
        <f>+SUM(BO91:BO96)</f>
        <v>2811.4990000000007</v>
      </c>
      <c r="BP97" s="26"/>
      <c r="BQ97" s="599">
        <f>+SUM(BQ91:BQ96)</f>
        <v>2859.1590764879948</v>
      </c>
      <c r="BR97" s="600">
        <f>+SUM(BR91:BR96)</f>
        <v>2917.1809630287826</v>
      </c>
      <c r="BS97" s="600">
        <f>+SUM(BS91:BS96)</f>
        <v>2976.461996156012</v>
      </c>
      <c r="BT97" s="600">
        <f>+SUM(BT91:BT96)</f>
        <v>3052.3550653427478</v>
      </c>
      <c r="BU97" s="601">
        <f>+SUM(BU91:BU96)</f>
        <v>3052.3550653427492</v>
      </c>
      <c r="BV97" s="26"/>
      <c r="BW97" s="599">
        <f>+SUM(BW91:BW96)</f>
        <v>3090.6542057917982</v>
      </c>
      <c r="BX97" s="600">
        <f>+SUM(BX91:BX96)</f>
        <v>3142.7838559470874</v>
      </c>
      <c r="BY97" s="600">
        <f>+SUM(BY91:BY96)</f>
        <v>3196.0423086574374</v>
      </c>
      <c r="BZ97" s="600">
        <f>+SUM(BZ91:BZ96)</f>
        <v>3266.5392641787957</v>
      </c>
      <c r="CA97" s="601">
        <f>+SUM(CA91:CA96)</f>
        <v>3266.5392641787976</v>
      </c>
      <c r="CB97" s="26"/>
      <c r="CC97" s="599">
        <f>+SUM(CC91:CC96)</f>
        <v>3302.1903841844896</v>
      </c>
      <c r="CD97" s="600">
        <f>+SUM(CD91:CD96)</f>
        <v>3352.6792038579092</v>
      </c>
      <c r="CE97" s="600">
        <f>+SUM(CE91:CE96)</f>
        <v>3403.3710491205511</v>
      </c>
      <c r="CF97" s="600">
        <f>+SUM(CF91:CF96)</f>
        <v>3471.044801895132</v>
      </c>
      <c r="CG97" s="601">
        <f>+SUM(CG91:CG96)</f>
        <v>3471.0448018951333</v>
      </c>
      <c r="CH97" s="16"/>
      <c r="CI97" s="16"/>
      <c r="CJ97" s="16"/>
      <c r="CK97" s="16"/>
      <c r="CL97" s="16"/>
      <c r="CM97" s="16"/>
      <c r="CN97" s="16"/>
      <c r="CO97"/>
      <c r="CP97"/>
      <c r="CQ97"/>
      <c r="CR97"/>
      <c r="CS97"/>
      <c r="CT97"/>
    </row>
    <row r="98" spans="1:98" s="7" customFormat="1" ht="11.25" customHeight="1" x14ac:dyDescent="0.2">
      <c r="B98" s="583" t="s">
        <v>44</v>
      </c>
      <c r="C98" s="584">
        <f>+C97-C41</f>
        <v>0</v>
      </c>
      <c r="D98" s="585">
        <f>+D97-D41</f>
        <v>0</v>
      </c>
      <c r="E98" s="585">
        <f>+E97-E41</f>
        <v>0</v>
      </c>
      <c r="F98" s="585">
        <f>+F97-F41</f>
        <v>0</v>
      </c>
      <c r="G98" s="590">
        <f>+G97-G41</f>
        <v>0</v>
      </c>
      <c r="H98" s="198"/>
      <c r="I98" s="584">
        <f>+I97-I41</f>
        <v>0</v>
      </c>
      <c r="J98" s="585">
        <f>+J97-J41</f>
        <v>0</v>
      </c>
      <c r="K98" s="585">
        <f>+K97-K41</f>
        <v>0</v>
      </c>
      <c r="L98" s="585">
        <f>+L97-L41</f>
        <v>0</v>
      </c>
      <c r="M98" s="590">
        <f>+M97-M41</f>
        <v>0</v>
      </c>
      <c r="N98" s="198"/>
      <c r="O98" s="584">
        <f>+O97-O41</f>
        <v>0</v>
      </c>
      <c r="P98" s="585">
        <f>+P97-P41</f>
        <v>0</v>
      </c>
      <c r="Q98" s="585">
        <f>+Q97-Q41</f>
        <v>0</v>
      </c>
      <c r="R98" s="585">
        <f>+R97-R41</f>
        <v>0</v>
      </c>
      <c r="S98" s="590">
        <f>+S97-S41</f>
        <v>0</v>
      </c>
      <c r="T98" s="198"/>
      <c r="U98" s="584">
        <f>+U97-U41</f>
        <v>0</v>
      </c>
      <c r="V98" s="585">
        <f>+V97-V41</f>
        <v>0</v>
      </c>
      <c r="W98" s="585">
        <f>+W97-W41</f>
        <v>0</v>
      </c>
      <c r="X98" s="585">
        <f>+X97-X41</f>
        <v>0</v>
      </c>
      <c r="Y98" s="590">
        <f>+Y97-Y41</f>
        <v>0</v>
      </c>
      <c r="Z98" s="198"/>
      <c r="AA98" s="584">
        <f>+AA97-AA41</f>
        <v>0</v>
      </c>
      <c r="AB98" s="585">
        <f>+AB97-AB41</f>
        <v>0</v>
      </c>
      <c r="AC98" s="585">
        <f>+AC97-AC41</f>
        <v>0</v>
      </c>
      <c r="AD98" s="585">
        <f>+AD97-AD41</f>
        <v>0</v>
      </c>
      <c r="AE98" s="590">
        <f>+AE97-AE41</f>
        <v>0</v>
      </c>
      <c r="AF98" s="198"/>
      <c r="AG98" s="584">
        <f>+AG97-AG41</f>
        <v>0</v>
      </c>
      <c r="AH98" s="585">
        <f>+AH97-AH41</f>
        <v>0</v>
      </c>
      <c r="AI98" s="585">
        <f>+AI97-AI41</f>
        <v>0</v>
      </c>
      <c r="AJ98" s="585">
        <f>+AJ97-AJ41</f>
        <v>0</v>
      </c>
      <c r="AK98" s="590">
        <f>+AK97-AK41</f>
        <v>0</v>
      </c>
      <c r="AL98" s="198"/>
      <c r="AM98" s="584">
        <f>+AM97-AM41</f>
        <v>0</v>
      </c>
      <c r="AN98" s="585">
        <f>+AN97-AN41</f>
        <v>0</v>
      </c>
      <c r="AO98" s="585">
        <f>+AO97-AO41</f>
        <v>0</v>
      </c>
      <c r="AP98" s="585">
        <f>+AP97-AP41</f>
        <v>0</v>
      </c>
      <c r="AQ98" s="590">
        <f>+AQ97-AQ41</f>
        <v>0</v>
      </c>
      <c r="AR98" s="198"/>
      <c r="AS98" s="584">
        <f>+AS97-AS41</f>
        <v>0</v>
      </c>
      <c r="AT98" s="585">
        <f>+AT97-AT41</f>
        <v>0</v>
      </c>
      <c r="AU98" s="585">
        <f>+AU97-AU41</f>
        <v>0</v>
      </c>
      <c r="AV98" s="585">
        <f>+AV97-AV41</f>
        <v>0</v>
      </c>
      <c r="AW98" s="590">
        <f>+AW97-AW41</f>
        <v>0</v>
      </c>
      <c r="AX98" s="198"/>
      <c r="AY98" s="584">
        <f>+AY97-AY41</f>
        <v>0</v>
      </c>
      <c r="AZ98" s="585">
        <f>+AZ97-AZ41</f>
        <v>0</v>
      </c>
      <c r="BA98" s="585">
        <f>+BA97-BA41</f>
        <v>0</v>
      </c>
      <c r="BB98" s="585">
        <f>+BB97-BB41</f>
        <v>0</v>
      </c>
      <c r="BC98" s="590">
        <f>+BC97-BC41</f>
        <v>0</v>
      </c>
      <c r="BD98" s="198"/>
      <c r="BE98" s="596">
        <f>+BE97-BE41</f>
        <v>0</v>
      </c>
      <c r="BF98" s="597">
        <f>+BF97-BF41</f>
        <v>0</v>
      </c>
      <c r="BG98" s="597">
        <f>+BG97-BG41</f>
        <v>0</v>
      </c>
      <c r="BH98" s="585">
        <f>+BH97-BH41</f>
        <v>0</v>
      </c>
      <c r="BI98" s="590">
        <f>+BI97-BI41</f>
        <v>0</v>
      </c>
      <c r="BJ98" s="198"/>
      <c r="BK98" s="596">
        <f>+BK97-BK41</f>
        <v>0</v>
      </c>
      <c r="BL98" s="597">
        <f>+BL97-BL41</f>
        <v>0</v>
      </c>
      <c r="BM98" s="597">
        <f>+BM97-BM41</f>
        <v>0</v>
      </c>
      <c r="BN98" s="585">
        <f>+BN97-BN41</f>
        <v>0</v>
      </c>
      <c r="BO98" s="598">
        <f>+BO97-BO41</f>
        <v>0</v>
      </c>
      <c r="BP98" s="198"/>
      <c r="BQ98" s="596">
        <f>+BQ97-BQ41</f>
        <v>0</v>
      </c>
      <c r="BR98" s="597">
        <f>+BR97-BR41</f>
        <v>0</v>
      </c>
      <c r="BS98" s="597">
        <f>+BS97-BS41</f>
        <v>0</v>
      </c>
      <c r="BT98" s="597">
        <f>+BT97-BT41</f>
        <v>0</v>
      </c>
      <c r="BU98" s="598">
        <f>+BU97-BU41</f>
        <v>0</v>
      </c>
      <c r="BV98" s="198"/>
      <c r="BW98" s="596">
        <f>+BW97-BW41</f>
        <v>0</v>
      </c>
      <c r="BX98" s="597">
        <f>+BX97-BX41</f>
        <v>0</v>
      </c>
      <c r="BY98" s="597">
        <f>+BY97-BY41</f>
        <v>0</v>
      </c>
      <c r="BZ98" s="597">
        <f>+BZ97-BZ41</f>
        <v>0</v>
      </c>
      <c r="CA98" s="598">
        <f>+CA97-CA41</f>
        <v>0</v>
      </c>
      <c r="CB98" s="198"/>
      <c r="CC98" s="596">
        <f>+CC97-CC41</f>
        <v>0</v>
      </c>
      <c r="CD98" s="597">
        <f>+CD97-CD41</f>
        <v>0</v>
      </c>
      <c r="CE98" s="597">
        <f>+CE97-CE41</f>
        <v>0</v>
      </c>
      <c r="CF98" s="597">
        <f>+CF97-CF41</f>
        <v>0</v>
      </c>
      <c r="CG98" s="598">
        <f>+CG97-CG41</f>
        <v>0</v>
      </c>
      <c r="CH98" s="119"/>
      <c r="CI98" s="119"/>
      <c r="CJ98" s="119"/>
      <c r="CK98" s="119"/>
      <c r="CL98" s="119"/>
      <c r="CM98" s="119"/>
      <c r="CN98" s="119"/>
      <c r="CO98"/>
      <c r="CP98"/>
      <c r="CQ98"/>
      <c r="CR98"/>
      <c r="CS98"/>
      <c r="CT98"/>
    </row>
    <row r="99" spans="1:98" s="7" customFormat="1" ht="11.25" customHeight="1" x14ac:dyDescent="0.2">
      <c r="C99" s="16"/>
      <c r="D99" s="16"/>
      <c r="E99" s="16"/>
      <c r="F99" s="16"/>
      <c r="G99" s="16"/>
      <c r="H99" s="13"/>
      <c r="I99" s="16"/>
      <c r="J99" s="16"/>
      <c r="K99" s="16"/>
      <c r="L99" s="16"/>
      <c r="M99" s="16"/>
      <c r="N99" s="13"/>
      <c r="O99" s="16"/>
      <c r="P99" s="16"/>
      <c r="Q99" s="16"/>
      <c r="R99" s="16"/>
      <c r="S99" s="16"/>
      <c r="T99" s="13"/>
      <c r="U99" s="16"/>
      <c r="V99" s="16"/>
      <c r="W99" s="16"/>
      <c r="X99" s="16"/>
      <c r="Y99" s="16"/>
      <c r="Z99" s="13"/>
      <c r="AA99" s="16"/>
      <c r="AB99" s="16"/>
      <c r="AC99" s="16"/>
      <c r="AD99" s="16"/>
      <c r="AE99" s="16"/>
      <c r="AF99" s="13"/>
      <c r="AG99" s="16"/>
      <c r="AH99" s="16"/>
      <c r="AI99" s="16"/>
      <c r="AJ99" s="16"/>
      <c r="AK99" s="16"/>
      <c r="AL99" s="13"/>
      <c r="AM99" s="16"/>
      <c r="AN99" s="16"/>
      <c r="AO99" s="16"/>
      <c r="AP99" s="16"/>
      <c r="AQ99" s="16"/>
      <c r="AR99" s="13"/>
      <c r="AS99" s="16"/>
      <c r="AT99" s="16"/>
      <c r="AU99" s="16"/>
      <c r="AV99" s="16"/>
      <c r="AW99" s="16"/>
      <c r="AX99" s="13"/>
      <c r="AY99" s="16"/>
      <c r="AZ99" s="16"/>
      <c r="BA99" s="16"/>
      <c r="BB99" s="16"/>
      <c r="BC99" s="16"/>
      <c r="BD99" s="13"/>
      <c r="BE99" s="16"/>
      <c r="BF99" s="16"/>
      <c r="BG99" s="16"/>
      <c r="BH99" s="16"/>
      <c r="BI99" s="16"/>
      <c r="BJ99" s="13"/>
      <c r="BK99" s="16"/>
      <c r="BL99" s="16"/>
      <c r="BM99" s="16"/>
      <c r="BN99" s="16"/>
      <c r="BO99" s="16"/>
      <c r="BP99" s="13"/>
      <c r="BQ99" s="16"/>
      <c r="BR99" s="16"/>
      <c r="BS99" s="16"/>
      <c r="BT99" s="16"/>
      <c r="BU99" s="16"/>
      <c r="BV99" s="13"/>
      <c r="BW99" s="16"/>
      <c r="BX99" s="16"/>
      <c r="BY99" s="16"/>
      <c r="BZ99" s="16"/>
      <c r="CA99" s="16"/>
      <c r="CB99" s="13"/>
      <c r="CC99" s="16"/>
      <c r="CD99" s="16"/>
      <c r="CE99" s="16"/>
      <c r="CF99" s="16"/>
      <c r="CG99" s="16"/>
      <c r="CH99" s="36"/>
      <c r="CI99" s="36"/>
      <c r="CJ99" s="36"/>
      <c r="CK99" s="36"/>
      <c r="CL99" s="36"/>
      <c r="CM99" s="36"/>
      <c r="CN99" s="36"/>
      <c r="CO99"/>
      <c r="CP99"/>
      <c r="CQ99"/>
      <c r="CR99"/>
      <c r="CS99"/>
      <c r="CT99"/>
    </row>
    <row r="100" spans="1:98" s="7" customFormat="1" ht="11.25" customHeight="1" x14ac:dyDescent="0.2">
      <c r="B100" s="815" t="s">
        <v>75</v>
      </c>
      <c r="C100" s="816"/>
      <c r="D100" s="816"/>
      <c r="E100" s="816"/>
      <c r="F100" s="816"/>
      <c r="G100" s="816"/>
      <c r="H100" s="816"/>
      <c r="I100" s="816"/>
      <c r="J100" s="816"/>
      <c r="K100" s="816"/>
      <c r="L100" s="816"/>
      <c r="M100" s="816"/>
      <c r="N100" s="816"/>
      <c r="O100" s="816"/>
      <c r="P100" s="816"/>
      <c r="Q100" s="816"/>
      <c r="R100" s="816"/>
      <c r="S100" s="816"/>
      <c r="T100" s="816"/>
      <c r="U100" s="816"/>
      <c r="V100" s="816"/>
      <c r="W100" s="816"/>
      <c r="X100" s="816"/>
      <c r="Y100" s="816"/>
      <c r="Z100" s="816"/>
      <c r="AA100" s="816"/>
      <c r="AB100" s="816"/>
      <c r="AC100" s="816"/>
      <c r="AD100" s="816"/>
      <c r="AE100" s="816"/>
      <c r="AF100" s="816"/>
      <c r="AG100" s="816"/>
      <c r="AH100" s="816"/>
      <c r="AI100" s="816"/>
      <c r="AJ100" s="816"/>
      <c r="AK100" s="816"/>
      <c r="AL100" s="816"/>
      <c r="AM100" s="816"/>
      <c r="AN100" s="816"/>
      <c r="AO100" s="816"/>
      <c r="AP100" s="816"/>
      <c r="AQ100" s="816"/>
      <c r="AR100" s="816"/>
      <c r="AS100" s="816"/>
      <c r="AT100" s="816"/>
      <c r="AU100" s="816"/>
      <c r="AV100" s="816"/>
      <c r="AW100" s="816"/>
      <c r="AX100" s="816"/>
      <c r="AY100" s="816"/>
      <c r="AZ100" s="816"/>
      <c r="BA100" s="816"/>
      <c r="BB100" s="816"/>
      <c r="BC100" s="816"/>
      <c r="BD100" s="816"/>
      <c r="BE100" s="816"/>
      <c r="BF100" s="816"/>
      <c r="BG100" s="816"/>
      <c r="BH100" s="816"/>
      <c r="BI100" s="816"/>
      <c r="BJ100" s="816"/>
      <c r="BK100" s="816"/>
      <c r="BL100" s="816"/>
      <c r="BM100" s="816"/>
      <c r="BN100" s="816"/>
      <c r="BO100" s="816"/>
      <c r="BP100" s="816"/>
      <c r="BQ100" s="816"/>
      <c r="BR100" s="816"/>
      <c r="BS100" s="816"/>
      <c r="BT100" s="816"/>
      <c r="BU100" s="816"/>
      <c r="BV100" s="816"/>
      <c r="BW100" s="816"/>
      <c r="BX100" s="816"/>
      <c r="BY100" s="816"/>
      <c r="BZ100" s="816"/>
      <c r="CA100" s="816"/>
      <c r="CB100" s="816"/>
      <c r="CC100" s="816"/>
      <c r="CD100" s="816"/>
      <c r="CE100" s="816"/>
      <c r="CF100" s="816"/>
      <c r="CG100" s="816"/>
      <c r="CH100" s="16"/>
      <c r="CI100" s="16"/>
      <c r="CJ100" s="16"/>
      <c r="CK100" s="16"/>
      <c r="CL100" s="16"/>
      <c r="CM100" s="16"/>
      <c r="CN100" s="16"/>
      <c r="CO100"/>
      <c r="CP100"/>
      <c r="CQ100"/>
      <c r="CR100"/>
      <c r="CS100"/>
      <c r="CT100"/>
    </row>
    <row r="101" spans="1:98" ht="11.25" customHeight="1" x14ac:dyDescent="0.2">
      <c r="A101" s="78"/>
      <c r="B101" s="698" t="s">
        <v>76</v>
      </c>
      <c r="C101" s="699"/>
      <c r="D101" s="700"/>
      <c r="E101" s="700"/>
      <c r="F101" s="700"/>
      <c r="G101" s="701"/>
      <c r="H101" s="188"/>
      <c r="I101" s="699"/>
      <c r="J101" s="700"/>
      <c r="K101" s="700"/>
      <c r="L101" s="700"/>
      <c r="M101" s="701"/>
      <c r="N101" s="188"/>
      <c r="O101" s="699"/>
      <c r="P101" s="700"/>
      <c r="Q101" s="700"/>
      <c r="R101" s="700"/>
      <c r="S101" s="701"/>
      <c r="T101" s="188"/>
      <c r="U101" s="699"/>
      <c r="V101" s="700"/>
      <c r="W101" s="700"/>
      <c r="X101" s="700"/>
      <c r="Y101" s="701"/>
      <c r="Z101" s="188"/>
      <c r="AA101" s="699"/>
      <c r="AB101" s="700"/>
      <c r="AC101" s="700"/>
      <c r="AD101" s="700"/>
      <c r="AE101" s="701"/>
      <c r="AF101" s="188"/>
      <c r="AG101" s="699"/>
      <c r="AH101" s="700"/>
      <c r="AI101" s="700"/>
      <c r="AJ101" s="700"/>
      <c r="AK101" s="701"/>
      <c r="AL101" s="188"/>
      <c r="AM101" s="699"/>
      <c r="AN101" s="700"/>
      <c r="AO101" s="700"/>
      <c r="AP101" s="700"/>
      <c r="AQ101" s="701"/>
      <c r="AR101" s="188"/>
      <c r="AS101" s="699"/>
      <c r="AT101" s="700"/>
      <c r="AU101" s="700"/>
      <c r="AV101" s="700"/>
      <c r="AW101" s="701"/>
      <c r="AX101" s="188"/>
      <c r="AY101" s="699"/>
      <c r="AZ101" s="700"/>
      <c r="BA101" s="700"/>
      <c r="BB101" s="700"/>
      <c r="BC101" s="701"/>
      <c r="BD101" s="188"/>
      <c r="BE101" s="699"/>
      <c r="BF101" s="700"/>
      <c r="BG101" s="700"/>
      <c r="BH101" s="700"/>
      <c r="BI101" s="701"/>
      <c r="BJ101" s="188"/>
      <c r="BK101" s="699"/>
      <c r="BL101" s="700"/>
      <c r="BM101" s="700"/>
      <c r="BN101" s="700"/>
      <c r="BO101" s="701"/>
      <c r="BP101" s="188"/>
      <c r="BQ101" s="699"/>
      <c r="BR101" s="700"/>
      <c r="BS101" s="700"/>
      <c r="BT101" s="700"/>
      <c r="BU101" s="701"/>
      <c r="BV101" s="188"/>
      <c r="BW101" s="699"/>
      <c r="BX101" s="700"/>
      <c r="BY101" s="700"/>
      <c r="BZ101" s="700"/>
      <c r="CA101" s="701"/>
      <c r="CB101" s="188"/>
      <c r="CC101" s="699"/>
      <c r="CD101" s="700"/>
      <c r="CE101" s="700"/>
      <c r="CF101" s="700"/>
      <c r="CG101" s="701"/>
      <c r="CH101" s="1"/>
    </row>
    <row r="102" spans="1:98" s="7" customFormat="1" ht="11.25" customHeight="1" x14ac:dyDescent="0.2">
      <c r="B102" s="426" t="s">
        <v>77</v>
      </c>
      <c r="C102" s="380">
        <v>412.303</v>
      </c>
      <c r="D102" s="39">
        <f>C108</f>
        <v>428.09399999999999</v>
      </c>
      <c r="E102" s="39">
        <f>D108</f>
        <v>444.09475000000003</v>
      </c>
      <c r="F102" s="39">
        <f>E108</f>
        <v>476.40050000000002</v>
      </c>
      <c r="G102" s="388">
        <f>C102</f>
        <v>412.303</v>
      </c>
      <c r="H102" s="39"/>
      <c r="I102" s="627">
        <f>F108</f>
        <v>470.97399999999999</v>
      </c>
      <c r="J102" s="39">
        <f>I108</f>
        <v>486.84799999999996</v>
      </c>
      <c r="K102" s="39">
        <f>J108</f>
        <v>500.33524999999997</v>
      </c>
      <c r="L102" s="39">
        <f>K108</f>
        <v>515.57550000000003</v>
      </c>
      <c r="M102" s="388">
        <f>G108</f>
        <v>470.97399999999993</v>
      </c>
      <c r="N102" s="39"/>
      <c r="O102" s="627">
        <f>L108</f>
        <v>498.27800000000002</v>
      </c>
      <c r="P102" s="39">
        <f>O108</f>
        <v>514.57974999999999</v>
      </c>
      <c r="Q102" s="39">
        <f>P108</f>
        <v>533.30325000000005</v>
      </c>
      <c r="R102" s="39">
        <f>Q108</f>
        <v>548.05950000000007</v>
      </c>
      <c r="S102" s="388">
        <f>M108</f>
        <v>498.27799999999991</v>
      </c>
      <c r="T102" s="39"/>
      <c r="U102" s="627">
        <f>R108</f>
        <v>556.63400000000001</v>
      </c>
      <c r="V102" s="39">
        <f>U108</f>
        <v>592.9325</v>
      </c>
      <c r="W102" s="39">
        <f>V108</f>
        <v>625.32550000000003</v>
      </c>
      <c r="X102" s="39">
        <f>W108</f>
        <v>659.62100000000009</v>
      </c>
      <c r="Y102" s="388">
        <f>S108</f>
        <v>556.63399999999979</v>
      </c>
      <c r="Z102" s="39"/>
      <c r="AA102" s="627">
        <f>X108</f>
        <v>512.30799999999999</v>
      </c>
      <c r="AB102" s="39">
        <f>AA108</f>
        <v>556.16949999999997</v>
      </c>
      <c r="AC102" s="39">
        <f>AB108</f>
        <v>568.98099999999999</v>
      </c>
      <c r="AD102" s="39">
        <f>AC108</f>
        <v>580.76400000000001</v>
      </c>
      <c r="AE102" s="388">
        <f>Y108</f>
        <v>512.30799999999965</v>
      </c>
      <c r="AF102" s="39"/>
      <c r="AG102" s="627">
        <f>AD108</f>
        <v>569.88800000000003</v>
      </c>
      <c r="AH102" s="39">
        <f>AG108</f>
        <v>586.85599999999999</v>
      </c>
      <c r="AI102" s="39">
        <f>AH108</f>
        <v>621.34699999999998</v>
      </c>
      <c r="AJ102" s="39">
        <f>AI108</f>
        <v>654.38724999999999</v>
      </c>
      <c r="AK102" s="388">
        <f>AE108</f>
        <v>569.88799999999969</v>
      </c>
      <c r="AL102" s="39"/>
      <c r="AM102" s="627">
        <f>AJ108</f>
        <v>627.19799999999998</v>
      </c>
      <c r="AN102" s="39">
        <f>AM108</f>
        <v>647.14974999999993</v>
      </c>
      <c r="AO102" s="39">
        <f>AN108</f>
        <v>657.55899999999997</v>
      </c>
      <c r="AP102" s="39">
        <f>AO108</f>
        <v>677.90049999999997</v>
      </c>
      <c r="AQ102" s="388">
        <f>AK108</f>
        <v>627.19799999999964</v>
      </c>
      <c r="AR102" s="39"/>
      <c r="AS102" s="627">
        <f>AP108</f>
        <v>676.23500000000001</v>
      </c>
      <c r="AT102" s="39">
        <f>AS108</f>
        <v>730.88875000000007</v>
      </c>
      <c r="AU102" s="39">
        <f>AT108</f>
        <v>769.92525000000001</v>
      </c>
      <c r="AV102" s="39">
        <f>AU108</f>
        <v>828.04450000000008</v>
      </c>
      <c r="AW102" s="388">
        <f>AQ108</f>
        <v>676.23499999999967</v>
      </c>
      <c r="AX102" s="39"/>
      <c r="AY102" s="627">
        <f>AV108</f>
        <v>749.13900000000001</v>
      </c>
      <c r="AZ102" s="39">
        <f>AY108</f>
        <v>768.0412500000001</v>
      </c>
      <c r="BA102" s="39">
        <f>AZ108</f>
        <v>797.89800000000014</v>
      </c>
      <c r="BB102" s="39">
        <f>BA108</f>
        <v>836.82250000000022</v>
      </c>
      <c r="BC102" s="388">
        <f>AW108</f>
        <v>749.13899999999956</v>
      </c>
      <c r="BD102" s="39"/>
      <c r="BE102" s="627">
        <f>BB108</f>
        <v>796.58</v>
      </c>
      <c r="BF102" s="39">
        <f>BE108</f>
        <v>822.32550000000003</v>
      </c>
      <c r="BG102" s="39">
        <f>BF108</f>
        <v>845.87025000000006</v>
      </c>
      <c r="BH102" s="39">
        <f>BG108</f>
        <v>872.74075000000005</v>
      </c>
      <c r="BI102" s="388">
        <f>BC108</f>
        <v>796.57999999999936</v>
      </c>
      <c r="BJ102" s="39"/>
      <c r="BK102" s="627">
        <f>BH108</f>
        <v>864.74400000000003</v>
      </c>
      <c r="BL102" s="39">
        <f>BK108</f>
        <v>885.0100000000001</v>
      </c>
      <c r="BM102" s="39">
        <f>BL108</f>
        <v>939.10550000000012</v>
      </c>
      <c r="BN102" s="39">
        <f>BM108</f>
        <v>984.7555000000001</v>
      </c>
      <c r="BO102" s="388">
        <f>BI108</f>
        <v>864.74399999999923</v>
      </c>
      <c r="BP102" s="39"/>
      <c r="BQ102" s="627">
        <f>BN108</f>
        <v>990.49800000000005</v>
      </c>
      <c r="BR102" s="39">
        <f>BQ108</f>
        <v>1012.003129898</v>
      </c>
      <c r="BS102" s="39">
        <f>BR108</f>
        <v>1034.891870878</v>
      </c>
      <c r="BT102" s="39">
        <f>BS108</f>
        <v>1058.2734189979999</v>
      </c>
      <c r="BU102" s="388">
        <f>BO108</f>
        <v>990.49799999999914</v>
      </c>
      <c r="BV102" s="39"/>
      <c r="BW102" s="627">
        <f>BT108</f>
        <v>1082.5172647779998</v>
      </c>
      <c r="BX102" s="39">
        <f>BW108</f>
        <v>1105.1234224128298</v>
      </c>
      <c r="BY102" s="39">
        <f>BX108</f>
        <v>1129.0007199236798</v>
      </c>
      <c r="BZ102" s="39">
        <f>BY108</f>
        <v>1153.3944001790298</v>
      </c>
      <c r="CA102" s="388">
        <f>BU108</f>
        <v>1082.5172647779991</v>
      </c>
      <c r="CB102" s="39"/>
      <c r="CC102" s="627">
        <f>BZ108</f>
        <v>1178.6690729919299</v>
      </c>
      <c r="CD102" s="39">
        <f>CC108</f>
        <v>1202.1693267550625</v>
      </c>
      <c r="CE102" s="39">
        <f>CD108</f>
        <v>1226.9980616731561</v>
      </c>
      <c r="CF102" s="39">
        <f>CE108</f>
        <v>1252.3626316263665</v>
      </c>
      <c r="CG102" s="388">
        <f>CA108</f>
        <v>1178.6690729919292</v>
      </c>
      <c r="CH102" s="35"/>
      <c r="CI102" s="35"/>
      <c r="CJ102" s="35"/>
      <c r="CK102" s="35"/>
      <c r="CL102" s="35"/>
      <c r="CM102" s="35"/>
      <c r="CN102" s="35"/>
      <c r="CO102"/>
      <c r="CP102"/>
      <c r="CQ102"/>
      <c r="CR102"/>
      <c r="CS102"/>
      <c r="CT102"/>
    </row>
    <row r="103" spans="1:98" s="7" customFormat="1" ht="11.25" customHeight="1" x14ac:dyDescent="0.2">
      <c r="B103" s="429" t="s">
        <v>78</v>
      </c>
      <c r="C103" s="538">
        <f>-'Cash Flow'!C27</f>
        <v>8.9329999999999998</v>
      </c>
      <c r="D103" s="534">
        <f>-'Cash Flow'!D27</f>
        <v>12.402999999999999</v>
      </c>
      <c r="E103" s="534">
        <f>-'Cash Flow'!E27</f>
        <v>11.687000000000005</v>
      </c>
      <c r="F103" s="534">
        <f>-'Cash Flow'!F27</f>
        <v>23.797999999999995</v>
      </c>
      <c r="G103" s="388">
        <f>SUM(C103:F103)</f>
        <v>56.820999999999998</v>
      </c>
      <c r="H103" s="39"/>
      <c r="I103" s="538">
        <f>+-'Cash Flow'!I27</f>
        <v>13.743</v>
      </c>
      <c r="J103" s="534">
        <f>+-'Cash Flow'!J27</f>
        <v>9.7230000000000008</v>
      </c>
      <c r="K103" s="534">
        <f>+-'Cash Flow'!K27</f>
        <v>14.653</v>
      </c>
      <c r="L103" s="534">
        <f>+-'Cash Flow'!L27</f>
        <v>12.750999999999999</v>
      </c>
      <c r="M103" s="388">
        <f>SUM(I103:L103)</f>
        <v>50.87</v>
      </c>
      <c r="N103" s="39"/>
      <c r="O103" s="538">
        <f>+-'Cash Flow'!O27</f>
        <v>12.866</v>
      </c>
      <c r="P103" s="534">
        <f>+-'Cash Flow'!P27</f>
        <v>15.536999999999999</v>
      </c>
      <c r="Q103" s="534">
        <f>+-'Cash Flow'!Q27</f>
        <v>10.014000000000003</v>
      </c>
      <c r="R103" s="534">
        <f>+-'Cash Flow'!R27</f>
        <v>13.21</v>
      </c>
      <c r="S103" s="388">
        <f>SUM(O103:R103)</f>
        <v>51.627000000000002</v>
      </c>
      <c r="T103" s="39"/>
      <c r="U103" s="538">
        <f>+-'Cash Flow'!U27</f>
        <v>9.0619999999999994</v>
      </c>
      <c r="V103" s="534">
        <f>+-'Cash Flow'!V27</f>
        <v>8.4800000000000022</v>
      </c>
      <c r="W103" s="534">
        <f>+-'Cash Flow'!W27</f>
        <v>9.3839999999999986</v>
      </c>
      <c r="X103" s="534">
        <f>+-'Cash Flow'!X27</f>
        <v>12.073999999999996</v>
      </c>
      <c r="Y103" s="388">
        <f>SUM(U103:X103)</f>
        <v>39</v>
      </c>
      <c r="Z103" s="39"/>
      <c r="AA103" s="538">
        <f>+-'Cash Flow'!AA27</f>
        <v>10.458</v>
      </c>
      <c r="AB103" s="534">
        <f>+-'Cash Flow'!AB27</f>
        <v>10.305999999999999</v>
      </c>
      <c r="AC103" s="534">
        <f>+-'Cash Flow'!AC27</f>
        <v>11.782999999999999</v>
      </c>
      <c r="AD103" s="534">
        <f>+-'Cash Flow'!AD27</f>
        <v>12.629000000000003</v>
      </c>
      <c r="AE103" s="388">
        <f>SUM(AA103:AD103)</f>
        <v>45.176000000000002</v>
      </c>
      <c r="AF103" s="39"/>
      <c r="AG103" s="538">
        <f>+-'Cash Flow'!AG27</f>
        <v>12.223000000000001</v>
      </c>
      <c r="AH103" s="534">
        <f>+-'Cash Flow'!AH27</f>
        <v>9.1489999999999991</v>
      </c>
      <c r="AI103" s="534">
        <f>+-'Cash Flow'!AI27</f>
        <v>11.561999999999996</v>
      </c>
      <c r="AJ103" s="534">
        <f>+-'Cash Flow'!AJ27</f>
        <v>18.303000000000004</v>
      </c>
      <c r="AK103" s="388">
        <f>SUM(AG103:AJ103)</f>
        <v>51.237000000000002</v>
      </c>
      <c r="AL103" s="39"/>
      <c r="AM103" s="538">
        <f>+-'Cash Flow'!AM27</f>
        <v>11.862</v>
      </c>
      <c r="AN103" s="534">
        <f>+-'Cash Flow'!AN27</f>
        <v>10.072000000000001</v>
      </c>
      <c r="AO103" s="534">
        <f>+-'Cash Flow'!AO27</f>
        <v>16.798999999999992</v>
      </c>
      <c r="AP103" s="534">
        <f>+-'Cash Flow'!AP27</f>
        <v>21.482000000000006</v>
      </c>
      <c r="AQ103" s="388">
        <f>SUM(AM103:AP103)</f>
        <v>60.214999999999996</v>
      </c>
      <c r="AR103" s="39"/>
      <c r="AS103" s="538">
        <f>+-'Cash Flow'!AS27</f>
        <v>18.484000000000002</v>
      </c>
      <c r="AT103" s="534">
        <f>+-'Cash Flow'!AT27</f>
        <v>19.491999999999997</v>
      </c>
      <c r="AU103" s="534">
        <f>+-'Cash Flow'!AU27</f>
        <v>22.805999999999997</v>
      </c>
      <c r="AV103" s="534">
        <f>+-'Cash Flow'!AV27</f>
        <v>21.334000000000003</v>
      </c>
      <c r="AW103" s="388">
        <f>SUM(AS103:AV103)</f>
        <v>82.116</v>
      </c>
      <c r="AX103" s="39"/>
      <c r="AY103" s="538">
        <f>+-'Cash Flow'!AY27</f>
        <v>15.493</v>
      </c>
      <c r="AZ103" s="534">
        <f>+-'Cash Flow'!AZ27</f>
        <v>17.936999999999998</v>
      </c>
      <c r="BA103" s="534">
        <f>+-'Cash Flow'!BA27</f>
        <v>18.734000000000002</v>
      </c>
      <c r="BB103" s="534">
        <f>+-'Cash Flow'!BB27</f>
        <v>19.519999999999996</v>
      </c>
      <c r="BC103" s="388">
        <f>SUM(AY103:BB103)</f>
        <v>71.683999999999997</v>
      </c>
      <c r="BD103" s="39"/>
      <c r="BE103" s="538">
        <f>+-'Cash Flow'!BE27</f>
        <v>12.605</v>
      </c>
      <c r="BF103" s="534">
        <f>+-'Cash Flow'!BF27</f>
        <v>13.574999999999999</v>
      </c>
      <c r="BG103" s="534">
        <f>+-'Cash Flow'!BG27</f>
        <v>18.344999999999999</v>
      </c>
      <c r="BH103" s="534">
        <f>+-'Cash Flow'!BH27</f>
        <v>25.654</v>
      </c>
      <c r="BI103" s="388">
        <f>SUM(BE103:BH103)</f>
        <v>70.179000000000002</v>
      </c>
      <c r="BJ103" s="39"/>
      <c r="BK103" s="538">
        <f>+-'Cash Flow'!BK27</f>
        <v>17.311</v>
      </c>
      <c r="BL103" s="534">
        <f>+-'Cash Flow'!BL27</f>
        <v>19.654000000000003</v>
      </c>
      <c r="BM103" s="534">
        <f>+-'Cash Flow'!BM27</f>
        <v>18.349999999999994</v>
      </c>
      <c r="BN103" s="534">
        <f>+-'Cash Flow'!BN27</f>
        <v>26.186000000000007</v>
      </c>
      <c r="BO103" s="388">
        <f>SUM(BK103:BN103)</f>
        <v>81.501000000000005</v>
      </c>
      <c r="BP103" s="39"/>
      <c r="BQ103" s="538">
        <f>+'P&amp;L'!BQ8*BQ104</f>
        <v>21.505129898</v>
      </c>
      <c r="BR103" s="534">
        <f>+'P&amp;L'!BR8*BR104</f>
        <v>22.888740980000001</v>
      </c>
      <c r="BS103" s="534">
        <f>+'P&amp;L'!BS8*BS104</f>
        <v>23.381548119999998</v>
      </c>
      <c r="BT103" s="534">
        <f>+'P&amp;L'!BT8*BT104</f>
        <v>24.243845780000001</v>
      </c>
      <c r="BU103" s="617">
        <f>+SUM(BQ103:BT103)</f>
        <v>92.019264777999993</v>
      </c>
      <c r="BV103" s="39"/>
      <c r="BW103" s="538">
        <f>+'P&amp;L'!BW8*BW104</f>
        <v>22.606157634830002</v>
      </c>
      <c r="BX103" s="534">
        <f>+'P&amp;L'!BX8*BX104</f>
        <v>23.877297510849996</v>
      </c>
      <c r="BY103" s="534">
        <f>+'P&amp;L'!BY8*BY104</f>
        <v>24.393680255350002</v>
      </c>
      <c r="BZ103" s="534">
        <f>+'P&amp;L'!BZ8*BZ104</f>
        <v>25.2746728129</v>
      </c>
      <c r="CA103" s="617">
        <f>+SUM(BW103:BZ103)</f>
        <v>96.151808213929996</v>
      </c>
      <c r="CB103" s="39"/>
      <c r="CC103" s="538">
        <f>+'P&amp;L'!CC8*CC104</f>
        <v>23.500253763132655</v>
      </c>
      <c r="CD103" s="534">
        <f>+'P&amp;L'!CD8*CD104</f>
        <v>24.828734918093751</v>
      </c>
      <c r="CE103" s="534">
        <f>+'P&amp;L'!CE8*CE104</f>
        <v>25.364569953210243</v>
      </c>
      <c r="CF103" s="534">
        <f>+'P&amp;L'!CF8*CF104</f>
        <v>26.270064660640497</v>
      </c>
      <c r="CG103" s="617">
        <f>+SUM(CC103:CF103)</f>
        <v>99.963623295077142</v>
      </c>
      <c r="CH103" s="35"/>
      <c r="CI103" s="35"/>
      <c r="CJ103" s="35"/>
      <c r="CK103" s="35"/>
      <c r="CL103" s="35"/>
      <c r="CM103" s="35"/>
      <c r="CN103" s="35"/>
      <c r="CO103"/>
      <c r="CP103"/>
      <c r="CQ103"/>
      <c r="CR103"/>
      <c r="CS103"/>
      <c r="CT103"/>
    </row>
    <row r="104" spans="1:98" s="7" customFormat="1" ht="11.25" customHeight="1" x14ac:dyDescent="0.2">
      <c r="B104" s="549" t="s">
        <v>79</v>
      </c>
      <c r="C104" s="604">
        <f>+C103/'P&amp;L'!C8</f>
        <v>6.8184177423885302E-3</v>
      </c>
      <c r="D104" s="605">
        <f>+D103/'P&amp;L'!D8</f>
        <v>8.9422119555852587E-3</v>
      </c>
      <c r="E104" s="605">
        <f>+E103/'P&amp;L'!E8</f>
        <v>7.7624827723627218E-3</v>
      </c>
      <c r="F104" s="605">
        <f>+F103/'P&amp;L'!F8</f>
        <v>1.3984871563428484E-2</v>
      </c>
      <c r="G104" s="611">
        <f>+G103/'P&amp;L'!G8</f>
        <v>9.6234750396990993E-3</v>
      </c>
      <c r="H104" s="103"/>
      <c r="I104" s="604">
        <f>+I103/'P&amp;L'!I8</f>
        <v>9.0308895455773093E-3</v>
      </c>
      <c r="J104" s="605">
        <f>+J103/'P&amp;L'!J8</f>
        <v>5.9255837367317328E-3</v>
      </c>
      <c r="K104" s="605">
        <f>+K103/'P&amp;L'!K8</f>
        <v>8.9118840731318219E-3</v>
      </c>
      <c r="L104" s="605">
        <f>+L103/'P&amp;L'!L8</f>
        <v>8.1031993370514078E-3</v>
      </c>
      <c r="M104" s="611">
        <f>+M103/'P&amp;L'!M8</f>
        <v>7.9728381219209485E-3</v>
      </c>
      <c r="N104" s="103"/>
      <c r="O104" s="604">
        <f>+O103/'P&amp;L'!O8</f>
        <v>8.6617099370669484E-3</v>
      </c>
      <c r="P104" s="605">
        <f>+P103/'P&amp;L'!P8</f>
        <v>9.665715668574883E-3</v>
      </c>
      <c r="Q104" s="605">
        <f>+Q103/'P&amp;L'!Q8</f>
        <v>6.0345913333048114E-3</v>
      </c>
      <c r="R104" s="605">
        <f>+R103/'P&amp;L'!R8</f>
        <v>7.3960811407769297E-3</v>
      </c>
      <c r="S104" s="611">
        <f>+S103/'P&amp;L'!S8</f>
        <v>7.8960457217249168E-3</v>
      </c>
      <c r="T104" s="103"/>
      <c r="U104" s="604">
        <f>+U103/'P&amp;L'!U8</f>
        <v>5.1479568939561777E-3</v>
      </c>
      <c r="V104" s="605">
        <f>+V103/'P&amp;L'!V8</f>
        <v>4.585268419342264E-3</v>
      </c>
      <c r="W104" s="605">
        <f>+W103/'P&amp;L'!W8</f>
        <v>4.9558729788208248E-3</v>
      </c>
      <c r="X104" s="605">
        <f>+X103/'P&amp;L'!X8</f>
        <v>5.9666885422184944E-3</v>
      </c>
      <c r="Y104" s="611">
        <f>+Y103/'P&amp;L'!Y8</f>
        <v>5.1814917116061428E-3</v>
      </c>
      <c r="Z104" s="103"/>
      <c r="AA104" s="604">
        <f>+AA103/'P&amp;L'!AA8</f>
        <v>5.3692419141773556E-3</v>
      </c>
      <c r="AB104" s="605">
        <f>+AB103/'P&amp;L'!AB8</f>
        <v>4.8370442683888411E-3</v>
      </c>
      <c r="AC104" s="605">
        <f>+AC103/'P&amp;L'!AC8</f>
        <v>5.5798830606532289E-3</v>
      </c>
      <c r="AD104" s="605">
        <f>+AD103/'P&amp;L'!AD8</f>
        <v>5.3966672193382654E-3</v>
      </c>
      <c r="AE104" s="611">
        <f>+AE103/'P&amp;L'!AE8</f>
        <v>5.29598105188575E-3</v>
      </c>
      <c r="AF104" s="103"/>
      <c r="AG104" s="604">
        <f>+AG103/'P&amp;L'!AG8</f>
        <v>5.8231964551059339E-3</v>
      </c>
      <c r="AH104" s="605">
        <f>+AH103/'P&amp;L'!AH8</f>
        <v>4.1558934739435597E-3</v>
      </c>
      <c r="AI104" s="605">
        <f>+AI103/'P&amp;L'!AI8</f>
        <v>5.1822946781302842E-3</v>
      </c>
      <c r="AJ104" s="605">
        <f>+AJ103/'P&amp;L'!AJ8</f>
        <v>7.5995313144868156E-3</v>
      </c>
      <c r="AK104" s="611">
        <f>+AK103/'P&amp;L'!AK8</f>
        <v>5.7312292092353357E-3</v>
      </c>
      <c r="AL104" s="103"/>
      <c r="AM104" s="604">
        <f>+AM103/'P&amp;L'!AM8</f>
        <v>5.1719830425927763E-3</v>
      </c>
      <c r="AN104" s="605">
        <f>+AN103/'P&amp;L'!AN8</f>
        <v>4.2110368298485254E-3</v>
      </c>
      <c r="AO104" s="605">
        <f>+AO103/'P&amp;L'!AO8</f>
        <v>7.151687813649975E-3</v>
      </c>
      <c r="AP104" s="605">
        <f>+AP103/'P&amp;L'!AP8</f>
        <v>8.503109204114994E-3</v>
      </c>
      <c r="AQ104" s="611">
        <f>+AQ103/'P&amp;L'!AQ8</f>
        <v>6.298213917949276E-3</v>
      </c>
      <c r="AR104" s="103"/>
      <c r="AS104" s="604">
        <f>+AS103/'P&amp;L'!AS8</f>
        <v>7.6060866799250587E-3</v>
      </c>
      <c r="AT104" s="605">
        <f>+AT103/'P&amp;L'!AT8</f>
        <v>7.4527625921176283E-3</v>
      </c>
      <c r="AU104" s="605">
        <f>+AU103/'P&amp;L'!AU8</f>
        <v>8.6922086846621741E-3</v>
      </c>
      <c r="AV104" s="605">
        <f>+AV103/'P&amp;L'!AV8</f>
        <v>7.8953523486952372E-3</v>
      </c>
      <c r="AW104" s="611">
        <f>+AW103/'P&amp;L'!AW8</f>
        <v>7.9175501065913059E-3</v>
      </c>
      <c r="AX104" s="103"/>
      <c r="AY104" s="604">
        <f>+AY103/'P&amp;L'!AY8</f>
        <v>6.2886469890560568E-3</v>
      </c>
      <c r="AZ104" s="605">
        <f>+AZ103/'P&amp;L'!AZ8</f>
        <v>6.8219159326365743E-3</v>
      </c>
      <c r="BA104" s="605">
        <f>+BA103/'P&amp;L'!BA8</f>
        <v>6.9751120228904607E-3</v>
      </c>
      <c r="BB104" s="605">
        <f>+BB103/'P&amp;L'!BB8</f>
        <v>6.8469173788933968E-3</v>
      </c>
      <c r="BC104" s="611">
        <f>+BC103/'P&amp;L'!BC8</f>
        <v>6.7437342417047902E-3</v>
      </c>
      <c r="BD104" s="103"/>
      <c r="BE104" s="604">
        <f>+BE103/'P&amp;L'!BE8</f>
        <v>4.6462235288740397E-3</v>
      </c>
      <c r="BF104" s="605">
        <f>+BF103/'P&amp;L'!BF8</f>
        <v>4.7256346971242379E-3</v>
      </c>
      <c r="BG104" s="605">
        <f>+BG103/'P&amp;L'!BG8</f>
        <v>6.4028106052462204E-3</v>
      </c>
      <c r="BH104" s="605">
        <f>+BH103/'P&amp;L'!BH8</f>
        <v>8.2199751740985229E-3</v>
      </c>
      <c r="BI104" s="611">
        <f>+BI103/'P&amp;L'!BI8</f>
        <v>6.0647263644273228E-3</v>
      </c>
      <c r="BJ104" s="103"/>
      <c r="BK104" s="604">
        <f>+BK103/'P&amp;L'!BK8</f>
        <v>5.922445421540171E-3</v>
      </c>
      <c r="BL104" s="605">
        <f>+BL103/'P&amp;L'!BL8</f>
        <v>6.4240136651655304E-3</v>
      </c>
      <c r="BM104" s="605">
        <f>+BM103/'P&amp;L'!BM8</f>
        <v>5.8049725363111294E-3</v>
      </c>
      <c r="BN104" s="605">
        <f>+BN103/'P&amp;L'!BN8</f>
        <v>7.8919752360871783E-3</v>
      </c>
      <c r="BO104" s="611">
        <f>+BO103/'P&amp;L'!BO8</f>
        <v>6.5402013217785316E-3</v>
      </c>
      <c r="BP104" s="103"/>
      <c r="BQ104" s="618">
        <v>7.0000000000000001E-3</v>
      </c>
      <c r="BR104" s="616">
        <f>BQ104</f>
        <v>7.0000000000000001E-3</v>
      </c>
      <c r="BS104" s="616">
        <f>BR104</f>
        <v>7.0000000000000001E-3</v>
      </c>
      <c r="BT104" s="616">
        <f>BS104</f>
        <v>7.0000000000000001E-3</v>
      </c>
      <c r="BU104" s="611">
        <f>+BU103/'P&amp;L'!BU8</f>
        <v>7.0000000000000001E-3</v>
      </c>
      <c r="BV104" s="103"/>
      <c r="BW104" s="618">
        <v>7.0000000000000001E-3</v>
      </c>
      <c r="BX104" s="616">
        <f t="shared" ref="BX104:BZ104" si="20">BW104</f>
        <v>7.0000000000000001E-3</v>
      </c>
      <c r="BY104" s="616">
        <f t="shared" si="20"/>
        <v>7.0000000000000001E-3</v>
      </c>
      <c r="BZ104" s="616">
        <f t="shared" si="20"/>
        <v>7.0000000000000001E-3</v>
      </c>
      <c r="CA104" s="611">
        <f>+CA103/'P&amp;L'!CA8</f>
        <v>7.0000000000000001E-3</v>
      </c>
      <c r="CB104" s="103"/>
      <c r="CC104" s="618">
        <v>7.0000000000000001E-3</v>
      </c>
      <c r="CD104" s="616">
        <f t="shared" ref="CD104:CF104" si="21">CC104</f>
        <v>7.0000000000000001E-3</v>
      </c>
      <c r="CE104" s="616">
        <f t="shared" si="21"/>
        <v>7.0000000000000001E-3</v>
      </c>
      <c r="CF104" s="616">
        <f t="shared" si="21"/>
        <v>7.0000000000000001E-3</v>
      </c>
      <c r="CG104" s="611">
        <f>+CG103/'P&amp;L'!CG8</f>
        <v>7.0000000000000001E-3</v>
      </c>
      <c r="CH104" s="102"/>
      <c r="CI104" s="102"/>
      <c r="CJ104" s="102"/>
      <c r="CK104" s="102"/>
      <c r="CL104" s="102"/>
      <c r="CM104" s="102"/>
      <c r="CN104" s="102"/>
      <c r="CO104"/>
      <c r="CP104"/>
      <c r="CQ104"/>
      <c r="CR104"/>
      <c r="CS104"/>
      <c r="CT104"/>
    </row>
    <row r="105" spans="1:98" s="7" customFormat="1" ht="11.25" customHeight="1" x14ac:dyDescent="0.2">
      <c r="B105" s="550" t="s">
        <v>177</v>
      </c>
      <c r="C105" s="525">
        <v>0</v>
      </c>
      <c r="D105" s="116">
        <v>0</v>
      </c>
      <c r="E105" s="116">
        <v>0</v>
      </c>
      <c r="F105" s="116">
        <v>0</v>
      </c>
      <c r="G105" s="388">
        <f>SUM(C105:F105)</f>
        <v>0</v>
      </c>
      <c r="H105" s="138"/>
      <c r="I105" s="525">
        <v>0</v>
      </c>
      <c r="J105" s="116">
        <v>0</v>
      </c>
      <c r="K105" s="116">
        <v>0</v>
      </c>
      <c r="L105" s="116">
        <v>0</v>
      </c>
      <c r="M105" s="388">
        <f>SUM(I105:L105)</f>
        <v>0</v>
      </c>
      <c r="N105" s="138"/>
      <c r="O105" s="525">
        <v>0</v>
      </c>
      <c r="P105" s="116">
        <v>0</v>
      </c>
      <c r="Q105" s="116">
        <v>0</v>
      </c>
      <c r="R105" s="116">
        <v>0</v>
      </c>
      <c r="S105" s="388">
        <f>SUM(O105:R105)</f>
        <v>0</v>
      </c>
      <c r="T105" s="138"/>
      <c r="U105" s="525">
        <v>0</v>
      </c>
      <c r="V105" s="116">
        <v>0</v>
      </c>
      <c r="W105" s="116">
        <v>0</v>
      </c>
      <c r="X105" s="116">
        <v>0</v>
      </c>
      <c r="Y105" s="388">
        <f>SUM(U105:X105)</f>
        <v>0</v>
      </c>
      <c r="Z105" s="138"/>
      <c r="AA105" s="525">
        <v>0</v>
      </c>
      <c r="AB105" s="116">
        <v>0</v>
      </c>
      <c r="AC105" s="116">
        <v>0</v>
      </c>
      <c r="AD105" s="116">
        <v>0</v>
      </c>
      <c r="AE105" s="388">
        <f>SUM(AA105:AD105)</f>
        <v>0</v>
      </c>
      <c r="AF105" s="138"/>
      <c r="AG105" s="525">
        <v>0</v>
      </c>
      <c r="AH105" s="116">
        <v>0</v>
      </c>
      <c r="AI105" s="116">
        <v>0</v>
      </c>
      <c r="AJ105" s="116">
        <v>0</v>
      </c>
      <c r="AK105" s="388">
        <f>SUM(AG105:AJ105)</f>
        <v>0</v>
      </c>
      <c r="AL105" s="138"/>
      <c r="AM105" s="525">
        <v>0</v>
      </c>
      <c r="AN105" s="116">
        <v>0</v>
      </c>
      <c r="AO105" s="116">
        <v>0</v>
      </c>
      <c r="AP105" s="116">
        <v>0</v>
      </c>
      <c r="AQ105" s="388">
        <f>SUM(AM105:AP105)</f>
        <v>0</v>
      </c>
      <c r="AR105" s="138"/>
      <c r="AS105" s="525">
        <v>0</v>
      </c>
      <c r="AT105" s="116">
        <v>0</v>
      </c>
      <c r="AU105" s="116">
        <v>0</v>
      </c>
      <c r="AV105" s="116">
        <v>0</v>
      </c>
      <c r="AW105" s="388">
        <f>SUM(AS105:AV105)</f>
        <v>0</v>
      </c>
      <c r="AX105" s="138"/>
      <c r="AY105" s="525">
        <v>0</v>
      </c>
      <c r="AZ105" s="116">
        <v>0</v>
      </c>
      <c r="BA105" s="116">
        <v>0</v>
      </c>
      <c r="BB105" s="116">
        <v>0</v>
      </c>
      <c r="BC105" s="388">
        <f>SUM(AY105:BB105)</f>
        <v>0</v>
      </c>
      <c r="BD105" s="138"/>
      <c r="BE105" s="525">
        <v>0</v>
      </c>
      <c r="BF105" s="116">
        <v>0</v>
      </c>
      <c r="BG105" s="116">
        <v>0</v>
      </c>
      <c r="BH105" s="116">
        <v>0</v>
      </c>
      <c r="BI105" s="388">
        <f>SUM(BE105:BH105)</f>
        <v>0</v>
      </c>
      <c r="BJ105" s="138"/>
      <c r="BK105" s="525">
        <v>0</v>
      </c>
      <c r="BL105" s="116">
        <v>0</v>
      </c>
      <c r="BM105" s="116">
        <v>0</v>
      </c>
      <c r="BN105" s="116">
        <v>0</v>
      </c>
      <c r="BO105" s="388">
        <f>SUM(BK105:BN105)</f>
        <v>0</v>
      </c>
      <c r="BP105" s="138"/>
      <c r="BQ105" s="537">
        <v>0</v>
      </c>
      <c r="BR105" s="206">
        <v>0</v>
      </c>
      <c r="BS105" s="206">
        <v>0</v>
      </c>
      <c r="BT105" s="206">
        <v>0</v>
      </c>
      <c r="BU105" s="388">
        <f>+SUM(BQ105:BT105)</f>
        <v>0</v>
      </c>
      <c r="BV105" s="138"/>
      <c r="BW105" s="537">
        <v>0</v>
      </c>
      <c r="BX105" s="206">
        <v>0</v>
      </c>
      <c r="BY105" s="206">
        <v>0</v>
      </c>
      <c r="BZ105" s="206">
        <v>0</v>
      </c>
      <c r="CA105" s="388">
        <f>+SUM(BW105:BZ105)</f>
        <v>0</v>
      </c>
      <c r="CB105" s="138"/>
      <c r="CC105" s="537">
        <v>0</v>
      </c>
      <c r="CD105" s="206">
        <v>0</v>
      </c>
      <c r="CE105" s="206">
        <v>0</v>
      </c>
      <c r="CF105" s="206">
        <v>0</v>
      </c>
      <c r="CG105" s="388">
        <f>+SUM(CC105:CF105)</f>
        <v>0</v>
      </c>
      <c r="CH105" s="45"/>
      <c r="CI105" s="45"/>
      <c r="CJ105" s="45"/>
      <c r="CK105" s="45"/>
      <c r="CL105" s="45"/>
      <c r="CM105" s="45"/>
      <c r="CN105" s="45"/>
      <c r="CO105"/>
      <c r="CP105"/>
      <c r="CQ105"/>
      <c r="CR105"/>
      <c r="CS105"/>
      <c r="CT105"/>
    </row>
    <row r="106" spans="1:98" s="7" customFormat="1" ht="11.25" customHeight="1" x14ac:dyDescent="0.2">
      <c r="B106" s="429" t="s">
        <v>258</v>
      </c>
      <c r="C106" s="237">
        <f>-C138*C141</f>
        <v>6.8579999999999997</v>
      </c>
      <c r="D106" s="39">
        <f>-D138*D141</f>
        <v>3.5977500000000004</v>
      </c>
      <c r="E106" s="39">
        <f>-E138*E141</f>
        <v>20.618749999999999</v>
      </c>
      <c r="F106" s="39">
        <f>-F138*F141</f>
        <v>20.470999999999997</v>
      </c>
      <c r="G106" s="388">
        <f>+SUM(C106:F106)</f>
        <v>51.545499999999997</v>
      </c>
      <c r="H106" s="138"/>
      <c r="I106" s="237">
        <f>-I138*I141</f>
        <v>2.1309999999999998</v>
      </c>
      <c r="J106" s="39">
        <f>-J138*J141</f>
        <v>3.7642500000000001</v>
      </c>
      <c r="K106" s="39">
        <f>-K138*K141</f>
        <v>0.58725000000000005</v>
      </c>
      <c r="L106" s="39">
        <f>-L138*L141</f>
        <v>25.634999999999998</v>
      </c>
      <c r="M106" s="388">
        <f>+SUM(I106:L106)</f>
        <v>32.1175</v>
      </c>
      <c r="N106" s="138"/>
      <c r="O106" s="237">
        <f>-O138*O141</f>
        <v>3.4357500000000001</v>
      </c>
      <c r="P106" s="39">
        <f>-P138*P141</f>
        <v>3.1865000000000001</v>
      </c>
      <c r="Q106" s="39">
        <f>-Q138*Q141</f>
        <v>4.7422499999999985</v>
      </c>
      <c r="R106" s="39">
        <f>-R138*R141</f>
        <v>2.7975000000000017</v>
      </c>
      <c r="S106" s="388">
        <f>+SUM(O106:R106)</f>
        <v>14.162000000000001</v>
      </c>
      <c r="T106" s="138"/>
      <c r="U106" s="237">
        <f>-U138*U141</f>
        <v>27.236499999999999</v>
      </c>
      <c r="V106" s="39">
        <f>-V138*V141</f>
        <v>23.913000000000004</v>
      </c>
      <c r="W106" s="39">
        <f>-W138*W141</f>
        <v>24.91149999999999</v>
      </c>
      <c r="X106" s="39">
        <f>-X138*X141</f>
        <v>12.08850000000001</v>
      </c>
      <c r="Y106" s="388">
        <f>+SUM(U106:X106)</f>
        <v>88.149500000000003</v>
      </c>
      <c r="Z106" s="138"/>
      <c r="AA106" s="237">
        <f>-AA138*AA141</f>
        <v>33.403500000000001</v>
      </c>
      <c r="AB106" s="39">
        <f>-AB138*AB141</f>
        <v>2.5054999999999978</v>
      </c>
      <c r="AC106" s="39">
        <f>-AC138*AC141</f>
        <v>0</v>
      </c>
      <c r="AD106" s="39">
        <f>-AD138*AD141</f>
        <v>1.441749999999999</v>
      </c>
      <c r="AE106" s="388">
        <f>+SUM(AA106:AD106)</f>
        <v>37.350749999999998</v>
      </c>
      <c r="AF106" s="138"/>
      <c r="AG106" s="237">
        <f>-AG138*AG141</f>
        <v>4.7450000000000001</v>
      </c>
      <c r="AH106" s="39">
        <f>-AH138*AH141</f>
        <v>25.341999999999999</v>
      </c>
      <c r="AI106" s="39">
        <f>-AI138*AI141</f>
        <v>21.478249999999999</v>
      </c>
      <c r="AJ106" s="39">
        <f>-AJ138*AJ141</f>
        <v>3.4942499999999983</v>
      </c>
      <c r="AK106" s="388">
        <f>+SUM(AG106:AJ106)</f>
        <v>55.0595</v>
      </c>
      <c r="AL106" s="138"/>
      <c r="AM106" s="237">
        <f>-AM138*AM141</f>
        <v>8.0897500000000004</v>
      </c>
      <c r="AN106" s="39">
        <f>-AN138*AN141</f>
        <v>0.33724999999999916</v>
      </c>
      <c r="AO106" s="39">
        <f>-AO138*AO141</f>
        <v>3.5425000000000004</v>
      </c>
      <c r="AP106" s="39">
        <f>-AP138*AP141</f>
        <v>33.621249999999996</v>
      </c>
      <c r="AQ106" s="388">
        <f>+SUM(AM106:AP106)</f>
        <v>45.59075</v>
      </c>
      <c r="AR106" s="138"/>
      <c r="AS106" s="237">
        <f>-AS138*AS141</f>
        <v>36.169750000000001</v>
      </c>
      <c r="AT106" s="39">
        <f>-AT138*AT141</f>
        <v>19.544499999999999</v>
      </c>
      <c r="AU106" s="39">
        <f>-AU138*AU141</f>
        <v>35.313250000000004</v>
      </c>
      <c r="AV106" s="39">
        <f>-AV138*AV141</f>
        <v>15.043249999999993</v>
      </c>
      <c r="AW106" s="388">
        <f>+SUM(AS106:AV106)</f>
        <v>106.07075</v>
      </c>
      <c r="AX106" s="138"/>
      <c r="AY106" s="237">
        <f>-AY138*AY141</f>
        <v>3.4092500000000001</v>
      </c>
      <c r="AZ106" s="39">
        <f>-AZ138*AZ141</f>
        <v>11.919750000000001</v>
      </c>
      <c r="BA106" s="39">
        <f>-BA138*BA141</f>
        <v>20.1905</v>
      </c>
      <c r="BB106" s="39">
        <f>-BB138*BB141</f>
        <v>7.4457499999999968</v>
      </c>
      <c r="BC106" s="388">
        <f>+SUM(AY106:BB106)</f>
        <v>42.965249999999997</v>
      </c>
      <c r="BD106" s="138"/>
      <c r="BE106" s="237">
        <f>-BE138*BE141</f>
        <v>13.140499999999999</v>
      </c>
      <c r="BF106" s="39">
        <f>-BF138*BF141</f>
        <v>9.9697500000000012</v>
      </c>
      <c r="BG106" s="39">
        <f>-BG138*BG141</f>
        <v>8.525500000000001</v>
      </c>
      <c r="BH106" s="39">
        <f>-BH138*BH141</f>
        <v>25.507999999999999</v>
      </c>
      <c r="BI106" s="388">
        <f>+SUM(BE106:BH106)</f>
        <v>57.143749999999997</v>
      </c>
      <c r="BJ106" s="138"/>
      <c r="BK106" s="237">
        <f>-BK138*BK141</f>
        <v>2.9550000000000001</v>
      </c>
      <c r="BL106" s="39">
        <f>-BL138*BL141</f>
        <v>34.441500000000005</v>
      </c>
      <c r="BM106" s="39">
        <f>-BM138*BM141</f>
        <v>27.299999999999997</v>
      </c>
      <c r="BN106" s="39">
        <f>-BN138*BN141</f>
        <v>7.4717499999999983</v>
      </c>
      <c r="BO106" s="388">
        <f>+SUM(BK106:BN106)</f>
        <v>72.16825</v>
      </c>
      <c r="BP106" s="138"/>
      <c r="BQ106" s="237">
        <f>-BQ138*BQ141</f>
        <v>0</v>
      </c>
      <c r="BR106" s="39">
        <f>-BR138*BR141</f>
        <v>0</v>
      </c>
      <c r="BS106" s="39">
        <f>-BS138*BS141</f>
        <v>0</v>
      </c>
      <c r="BT106" s="39">
        <f>-BT138*BT141</f>
        <v>0</v>
      </c>
      <c r="BU106" s="388">
        <f>+SUM(BQ106:BT106)</f>
        <v>0</v>
      </c>
      <c r="BV106" s="138"/>
      <c r="BW106" s="237">
        <f>-BW138*BW141</f>
        <v>0</v>
      </c>
      <c r="BX106" s="39">
        <f>-BX138*BX141</f>
        <v>0</v>
      </c>
      <c r="BY106" s="39">
        <f>-BY138*BY141</f>
        <v>0</v>
      </c>
      <c r="BZ106" s="39">
        <f>-BZ138*BZ141</f>
        <v>0</v>
      </c>
      <c r="CA106" s="388">
        <f>+SUM(BW106:BZ106)</f>
        <v>0</v>
      </c>
      <c r="CB106" s="138"/>
      <c r="CC106" s="237">
        <f>-CC138*CC141</f>
        <v>0</v>
      </c>
      <c r="CD106" s="39">
        <f>-CD138*CD141</f>
        <v>0</v>
      </c>
      <c r="CE106" s="39">
        <f>-CE138*CE141</f>
        <v>0</v>
      </c>
      <c r="CF106" s="39">
        <f>-CF138*CF141</f>
        <v>0</v>
      </c>
      <c r="CG106" s="388">
        <f>+SUM(CC106:CF106)</f>
        <v>0</v>
      </c>
      <c r="CH106" s="35"/>
      <c r="CI106" s="35"/>
      <c r="CJ106" s="35"/>
      <c r="CK106" s="35"/>
      <c r="CL106" s="35"/>
      <c r="CM106" s="35"/>
      <c r="CN106" s="35"/>
      <c r="CO106"/>
      <c r="CP106"/>
      <c r="CQ106"/>
      <c r="CR106"/>
      <c r="CS106"/>
      <c r="CT106"/>
    </row>
    <row r="107" spans="1:98" s="7" customFormat="1" ht="11.25" customHeight="1" x14ac:dyDescent="0.2">
      <c r="B107" s="623" t="s">
        <v>38</v>
      </c>
      <c r="C107" s="606">
        <v>0</v>
      </c>
      <c r="D107" s="139">
        <v>0</v>
      </c>
      <c r="E107" s="139">
        <v>0</v>
      </c>
      <c r="F107" s="140">
        <f>F108-F102-F103-F105-F106</f>
        <v>-49.695500000000024</v>
      </c>
      <c r="G107" s="612">
        <f>SUM(C107:F107)</f>
        <v>-49.695500000000024</v>
      </c>
      <c r="H107" s="39"/>
      <c r="I107" s="606">
        <v>0</v>
      </c>
      <c r="J107" s="139">
        <v>0</v>
      </c>
      <c r="K107" s="139">
        <v>0</v>
      </c>
      <c r="L107" s="140">
        <f>L108-L102-L103-L105-L106</f>
        <v>-55.683500000000009</v>
      </c>
      <c r="M107" s="612">
        <f>SUM(I107:L107)</f>
        <v>-55.683500000000009</v>
      </c>
      <c r="N107" s="39"/>
      <c r="O107" s="606">
        <v>0</v>
      </c>
      <c r="P107" s="139">
        <v>0</v>
      </c>
      <c r="Q107" s="139">
        <v>0</v>
      </c>
      <c r="R107" s="140">
        <f>R108-R102-R103-R105-R106</f>
        <v>-7.4330000000000584</v>
      </c>
      <c r="S107" s="612">
        <f>SUM(O107:R107)</f>
        <v>-7.4330000000000584</v>
      </c>
      <c r="T107" s="39"/>
      <c r="U107" s="606">
        <v>0</v>
      </c>
      <c r="V107" s="139">
        <v>0</v>
      </c>
      <c r="W107" s="139">
        <v>0</v>
      </c>
      <c r="X107" s="140">
        <f>X108-X102-X103-X105-X106</f>
        <v>-171.4755000000001</v>
      </c>
      <c r="Y107" s="612">
        <f>SUM(U107:X107)</f>
        <v>-171.4755000000001</v>
      </c>
      <c r="Z107" s="39"/>
      <c r="AA107" s="606">
        <v>0</v>
      </c>
      <c r="AB107" s="139">
        <v>0</v>
      </c>
      <c r="AC107" s="139">
        <v>0</v>
      </c>
      <c r="AD107" s="140">
        <f>AD108-AD102-AD103-AD105-AD106</f>
        <v>-24.94674999999998</v>
      </c>
      <c r="AE107" s="612">
        <f>SUM(AA107:AD107)</f>
        <v>-24.94674999999998</v>
      </c>
      <c r="AF107" s="39"/>
      <c r="AG107" s="606">
        <v>0</v>
      </c>
      <c r="AH107" s="139">
        <v>0</v>
      </c>
      <c r="AI107" s="139">
        <v>0</v>
      </c>
      <c r="AJ107" s="140">
        <f>AJ108-AJ102-AJ103-AJ105-AJ106</f>
        <v>-48.986500000000021</v>
      </c>
      <c r="AK107" s="612">
        <f>SUM(AG107:AJ107)</f>
        <v>-48.986500000000021</v>
      </c>
      <c r="AL107" s="39"/>
      <c r="AM107" s="606">
        <v>0</v>
      </c>
      <c r="AN107" s="139">
        <v>0</v>
      </c>
      <c r="AO107" s="139">
        <v>0</v>
      </c>
      <c r="AP107" s="140">
        <f>AP108-AP102-AP103-AP105-AP106</f>
        <v>-56.768749999999955</v>
      </c>
      <c r="AQ107" s="612">
        <f>SUM(AM107:AP107)</f>
        <v>-56.768749999999955</v>
      </c>
      <c r="AR107" s="39"/>
      <c r="AS107" s="606">
        <v>0</v>
      </c>
      <c r="AT107" s="139">
        <v>0</v>
      </c>
      <c r="AU107" s="139">
        <v>0</v>
      </c>
      <c r="AV107" s="140">
        <f>AV108-AV102-AV103-AV105-AV106</f>
        <v>-115.28275000000008</v>
      </c>
      <c r="AW107" s="612">
        <f>SUM(AS107:AV107)</f>
        <v>-115.28275000000008</v>
      </c>
      <c r="AX107" s="39"/>
      <c r="AY107" s="606">
        <v>0</v>
      </c>
      <c r="AZ107" s="139">
        <v>0</v>
      </c>
      <c r="BA107" s="139">
        <v>0</v>
      </c>
      <c r="BB107" s="140">
        <f>BB108-BB102-BB103-BB105-BB106</f>
        <v>-67.208250000000163</v>
      </c>
      <c r="BC107" s="612">
        <f>SUM(AY107:BB107)</f>
        <v>-67.208250000000163</v>
      </c>
      <c r="BD107" s="39"/>
      <c r="BE107" s="606">
        <v>0</v>
      </c>
      <c r="BF107" s="139">
        <v>0</v>
      </c>
      <c r="BG107" s="139">
        <v>0</v>
      </c>
      <c r="BH107" s="140">
        <f>BH108-BH102-BH103-BH105-BH106</f>
        <v>-59.158750000000012</v>
      </c>
      <c r="BI107" s="612">
        <f>SUM(BE107:BH107)</f>
        <v>-59.158750000000012</v>
      </c>
      <c r="BJ107" s="39"/>
      <c r="BK107" s="606">
        <v>0</v>
      </c>
      <c r="BL107" s="139">
        <v>0</v>
      </c>
      <c r="BM107" s="139">
        <v>0</v>
      </c>
      <c r="BN107" s="140">
        <f>BN108-BN102-BN103-BN105-BN106</f>
        <v>-27.915250000000057</v>
      </c>
      <c r="BO107" s="612">
        <f>SUM(BK107:BN107)</f>
        <v>-27.915250000000057</v>
      </c>
      <c r="BP107" s="39"/>
      <c r="BQ107" s="619">
        <v>0</v>
      </c>
      <c r="BR107" s="157">
        <v>0</v>
      </c>
      <c r="BS107" s="157">
        <v>0</v>
      </c>
      <c r="BT107" s="157">
        <v>0</v>
      </c>
      <c r="BU107" s="612">
        <f>+SUM(BQ107:BT107)</f>
        <v>0</v>
      </c>
      <c r="BV107" s="39"/>
      <c r="BW107" s="619">
        <v>0</v>
      </c>
      <c r="BX107" s="157">
        <v>0</v>
      </c>
      <c r="BY107" s="157">
        <v>0</v>
      </c>
      <c r="BZ107" s="157">
        <v>0</v>
      </c>
      <c r="CA107" s="612">
        <f>+SUM(BW107:BZ107)</f>
        <v>0</v>
      </c>
      <c r="CB107" s="39"/>
      <c r="CC107" s="619">
        <v>0</v>
      </c>
      <c r="CD107" s="157">
        <v>0</v>
      </c>
      <c r="CE107" s="157">
        <v>0</v>
      </c>
      <c r="CF107" s="157">
        <v>0</v>
      </c>
      <c r="CG107" s="612">
        <f>+SUM(CC107:CF107)</f>
        <v>0</v>
      </c>
      <c r="CH107" s="27"/>
      <c r="CI107" s="27"/>
      <c r="CJ107" s="27"/>
      <c r="CK107" s="27"/>
      <c r="CL107" s="27"/>
      <c r="CM107" s="27"/>
      <c r="CN107" s="27"/>
      <c r="CO107"/>
      <c r="CP107"/>
      <c r="CQ107"/>
      <c r="CR107"/>
      <c r="CS107"/>
      <c r="CT107"/>
    </row>
    <row r="108" spans="1:98" s="7" customFormat="1" ht="11.25" customHeight="1" x14ac:dyDescent="0.2">
      <c r="B108" s="493" t="s">
        <v>80</v>
      </c>
      <c r="C108" s="526">
        <f>C102+C103+C105+C106+C107</f>
        <v>428.09399999999999</v>
      </c>
      <c r="D108" s="40">
        <f>D102+D103+D105+D106+D107</f>
        <v>444.09475000000003</v>
      </c>
      <c r="E108" s="40">
        <f>E102+E103+E105+E106+E107</f>
        <v>476.40050000000002</v>
      </c>
      <c r="F108" s="607">
        <v>470.97399999999999</v>
      </c>
      <c r="G108" s="502">
        <f>G102+G103+G105+G106+G107</f>
        <v>470.97399999999993</v>
      </c>
      <c r="H108" s="40"/>
      <c r="I108" s="526">
        <f>I102+I103+I105+I106+I107</f>
        <v>486.84799999999996</v>
      </c>
      <c r="J108" s="40">
        <f>J102+J103+J105+J106+J107</f>
        <v>500.33524999999997</v>
      </c>
      <c r="K108" s="40">
        <f>K102+K103+K105+K106+K107</f>
        <v>515.57550000000003</v>
      </c>
      <c r="L108" s="607">
        <v>498.27800000000002</v>
      </c>
      <c r="M108" s="502">
        <f>M102+M103+M105+M106+M107</f>
        <v>498.27799999999991</v>
      </c>
      <c r="N108" s="40"/>
      <c r="O108" s="526">
        <f>O102+O103+O105+O106+O107</f>
        <v>514.57974999999999</v>
      </c>
      <c r="P108" s="40">
        <f>P102+P103+P105+P106+P107</f>
        <v>533.30325000000005</v>
      </c>
      <c r="Q108" s="40">
        <f>Q102+Q103+Q105+Q106+Q107</f>
        <v>548.05950000000007</v>
      </c>
      <c r="R108" s="607">
        <v>556.63400000000001</v>
      </c>
      <c r="S108" s="502">
        <f>S102+S103+S105+S106+S107</f>
        <v>556.63399999999979</v>
      </c>
      <c r="T108" s="40"/>
      <c r="U108" s="526">
        <f>U102+U103+U105+U106+U107</f>
        <v>592.9325</v>
      </c>
      <c r="V108" s="40">
        <f>V102+V103+V105+V106+V107</f>
        <v>625.32550000000003</v>
      </c>
      <c r="W108" s="40">
        <f>W102+W103+W105+W106+W107</f>
        <v>659.62100000000009</v>
      </c>
      <c r="X108" s="607">
        <v>512.30799999999999</v>
      </c>
      <c r="Y108" s="502">
        <f>Y102+Y103+Y105+Y106+Y107</f>
        <v>512.30799999999965</v>
      </c>
      <c r="Z108" s="40"/>
      <c r="AA108" s="526">
        <f>AA102+AA103+AA105+AA106+AA107</f>
        <v>556.16949999999997</v>
      </c>
      <c r="AB108" s="40">
        <f>AB102+AB103+AB105+AB106+AB107</f>
        <v>568.98099999999999</v>
      </c>
      <c r="AC108" s="40">
        <f>AC102+AC103+AC105+AC106+AC107</f>
        <v>580.76400000000001</v>
      </c>
      <c r="AD108" s="607">
        <v>569.88800000000003</v>
      </c>
      <c r="AE108" s="502">
        <f>AE102+AE103+AE105+AE106+AE107</f>
        <v>569.88799999999969</v>
      </c>
      <c r="AF108" s="40"/>
      <c r="AG108" s="526">
        <f>AG102+AG103+AG105+AG106+AG107</f>
        <v>586.85599999999999</v>
      </c>
      <c r="AH108" s="40">
        <f>AH102+AH103+AH105+AH106+AH107</f>
        <v>621.34699999999998</v>
      </c>
      <c r="AI108" s="40">
        <f>AI102+AI103+AI105+AI106+AI107</f>
        <v>654.38724999999999</v>
      </c>
      <c r="AJ108" s="607">
        <v>627.19799999999998</v>
      </c>
      <c r="AK108" s="502">
        <f>AK102+AK103+AK105+AK106+AK107</f>
        <v>627.19799999999964</v>
      </c>
      <c r="AL108" s="40"/>
      <c r="AM108" s="526">
        <f>AM102+AM103+AM105+AM106+AM107</f>
        <v>647.14974999999993</v>
      </c>
      <c r="AN108" s="40">
        <f>AN102+AN103+AN105+AN106+AN107</f>
        <v>657.55899999999997</v>
      </c>
      <c r="AO108" s="40">
        <f>AO102+AO103+AO105+AO106+AO107</f>
        <v>677.90049999999997</v>
      </c>
      <c r="AP108" s="607">
        <v>676.23500000000001</v>
      </c>
      <c r="AQ108" s="502">
        <f>AQ102+AQ103+AQ105+AQ106+AQ107</f>
        <v>676.23499999999967</v>
      </c>
      <c r="AR108" s="40"/>
      <c r="AS108" s="526">
        <f>AS102+AS103+AS105+AS106+AS107</f>
        <v>730.88875000000007</v>
      </c>
      <c r="AT108" s="40">
        <f>AT102+AT103+AT105+AT106+AT107</f>
        <v>769.92525000000001</v>
      </c>
      <c r="AU108" s="40">
        <f>AU102+AU103+AU105+AU106+AU107</f>
        <v>828.04450000000008</v>
      </c>
      <c r="AV108" s="607">
        <v>749.13900000000001</v>
      </c>
      <c r="AW108" s="502">
        <f>AW102+AW103+AW105+AW106+AW107</f>
        <v>749.13899999999956</v>
      </c>
      <c r="AX108" s="40"/>
      <c r="AY108" s="526">
        <f>AY102+AY103+AY105+AY106+AY107</f>
        <v>768.0412500000001</v>
      </c>
      <c r="AZ108" s="40">
        <f>AZ102+AZ103+AZ105+AZ106+AZ107</f>
        <v>797.89800000000014</v>
      </c>
      <c r="BA108" s="40">
        <f>BA102+BA103+BA105+BA106+BA107</f>
        <v>836.82250000000022</v>
      </c>
      <c r="BB108" s="607">
        <v>796.58</v>
      </c>
      <c r="BC108" s="502">
        <f>BC102+BC103+BC105+BC106+BC107</f>
        <v>796.57999999999936</v>
      </c>
      <c r="BD108" s="40"/>
      <c r="BE108" s="526">
        <f>BE102+BE103+BE105+BE106+BE107</f>
        <v>822.32550000000003</v>
      </c>
      <c r="BF108" s="40">
        <f>BF102+BF103+BF105+BF106+BF107</f>
        <v>845.87025000000006</v>
      </c>
      <c r="BG108" s="40">
        <f>BG102+BG103+BG105+BG106+BG107</f>
        <v>872.74075000000005</v>
      </c>
      <c r="BH108" s="607">
        <v>864.74400000000003</v>
      </c>
      <c r="BI108" s="502">
        <f>BI102+BI103+BI105+BI106+BI107</f>
        <v>864.74399999999923</v>
      </c>
      <c r="BJ108" s="40"/>
      <c r="BK108" s="526">
        <f>BK102+BK103+BK105+BK106+BK107</f>
        <v>885.0100000000001</v>
      </c>
      <c r="BL108" s="40">
        <f>BL102+BL103+BL105+BL106+BL107</f>
        <v>939.10550000000012</v>
      </c>
      <c r="BM108" s="40">
        <f>BM102+BM103+BM105+BM106+BM107</f>
        <v>984.7555000000001</v>
      </c>
      <c r="BN108" s="607">
        <v>990.49800000000005</v>
      </c>
      <c r="BO108" s="502">
        <f>BO102+BO103+BO105+BO106+BO107</f>
        <v>990.49799999999914</v>
      </c>
      <c r="BP108" s="40"/>
      <c r="BQ108" s="526">
        <f>BQ102+BQ103+BQ105+BQ106+BQ107</f>
        <v>1012.003129898</v>
      </c>
      <c r="BR108" s="40">
        <f>BR102+BR103+BR105+BR106+BR107</f>
        <v>1034.891870878</v>
      </c>
      <c r="BS108" s="40">
        <f>BS102+BS103+BS105+BS106+BS107</f>
        <v>1058.2734189979999</v>
      </c>
      <c r="BT108" s="40">
        <f>BT102+BT103+BT105+BT106+BT107</f>
        <v>1082.5172647779998</v>
      </c>
      <c r="BU108" s="502">
        <f>BU102+BU103+BU105+BU106+BU107</f>
        <v>1082.5172647779991</v>
      </c>
      <c r="BV108" s="40"/>
      <c r="BW108" s="526">
        <f>BW102+BW103+BW105+BW106+BW107</f>
        <v>1105.1234224128298</v>
      </c>
      <c r="BX108" s="40">
        <f>BX102+BX103+BX105+BX106+BX107</f>
        <v>1129.0007199236798</v>
      </c>
      <c r="BY108" s="40">
        <f>BY102+BY103+BY105+BY106+BY107</f>
        <v>1153.3944001790298</v>
      </c>
      <c r="BZ108" s="40">
        <f>BZ102+BZ103+BZ105+BZ106+BZ107</f>
        <v>1178.6690729919299</v>
      </c>
      <c r="CA108" s="502">
        <f>CA102+CA103+CA105+CA106+CA107</f>
        <v>1178.6690729919292</v>
      </c>
      <c r="CB108" s="40"/>
      <c r="CC108" s="526">
        <f>CC102+CC103+CC105+CC106+CC107</f>
        <v>1202.1693267550625</v>
      </c>
      <c r="CD108" s="40">
        <f>CD102+CD103+CD105+CD106+CD107</f>
        <v>1226.9980616731561</v>
      </c>
      <c r="CE108" s="40">
        <f>CE102+CE103+CE105+CE106+CE107</f>
        <v>1252.3626316263665</v>
      </c>
      <c r="CF108" s="40">
        <f>CF102+CF103+CF105+CF106+CF107</f>
        <v>1278.6326962870069</v>
      </c>
      <c r="CG108" s="502">
        <f>CG102+CG103+CG105+CG106+CG107</f>
        <v>1278.6326962870064</v>
      </c>
      <c r="CH108" s="35"/>
      <c r="CI108" s="35"/>
      <c r="CJ108" s="35"/>
      <c r="CK108" s="35"/>
      <c r="CL108" s="35"/>
      <c r="CM108" s="35"/>
      <c r="CN108" s="35"/>
      <c r="CO108"/>
      <c r="CP108"/>
      <c r="CQ108"/>
      <c r="CR108"/>
      <c r="CS108"/>
      <c r="CT108"/>
    </row>
    <row r="109" spans="1:98" s="7" customFormat="1" ht="11.25" customHeight="1" x14ac:dyDescent="0.2">
      <c r="B109" s="426"/>
      <c r="C109" s="530"/>
      <c r="D109" s="13"/>
      <c r="E109" s="13"/>
      <c r="F109" s="13"/>
      <c r="G109" s="460"/>
      <c r="H109" s="66"/>
      <c r="I109" s="530"/>
      <c r="J109" s="13"/>
      <c r="K109" s="13"/>
      <c r="L109" s="13"/>
      <c r="M109" s="460"/>
      <c r="N109" s="66"/>
      <c r="O109" s="530"/>
      <c r="P109" s="13"/>
      <c r="Q109" s="13"/>
      <c r="R109" s="13"/>
      <c r="S109" s="460"/>
      <c r="T109" s="66"/>
      <c r="U109" s="530"/>
      <c r="V109" s="13"/>
      <c r="W109" s="13"/>
      <c r="X109" s="13"/>
      <c r="Y109" s="460"/>
      <c r="Z109" s="66"/>
      <c r="AA109" s="530"/>
      <c r="AB109" s="13"/>
      <c r="AC109" s="13"/>
      <c r="AD109" s="13"/>
      <c r="AE109" s="460"/>
      <c r="AF109" s="66"/>
      <c r="AG109" s="530"/>
      <c r="AH109" s="13"/>
      <c r="AI109" s="13"/>
      <c r="AJ109" s="13"/>
      <c r="AK109" s="460"/>
      <c r="AL109" s="66"/>
      <c r="AM109" s="530"/>
      <c r="AN109" s="13"/>
      <c r="AO109" s="13"/>
      <c r="AP109" s="13"/>
      <c r="AQ109" s="460"/>
      <c r="AR109" s="66"/>
      <c r="AS109" s="530"/>
      <c r="AT109" s="13"/>
      <c r="AU109" s="13"/>
      <c r="AV109" s="13"/>
      <c r="AW109" s="460"/>
      <c r="AX109" s="66"/>
      <c r="AY109" s="530"/>
      <c r="AZ109" s="13"/>
      <c r="BA109" s="13"/>
      <c r="BB109" s="13"/>
      <c r="BC109" s="460"/>
      <c r="BD109" s="66"/>
      <c r="BE109" s="530"/>
      <c r="BF109" s="13"/>
      <c r="BG109" s="13"/>
      <c r="BH109" s="13"/>
      <c r="BI109" s="460"/>
      <c r="BJ109" s="66"/>
      <c r="BK109" s="530"/>
      <c r="BL109" s="13"/>
      <c r="BM109" s="13"/>
      <c r="BN109" s="13"/>
      <c r="BO109" s="460"/>
      <c r="BP109" s="66"/>
      <c r="BQ109" s="530"/>
      <c r="BR109" s="13"/>
      <c r="BS109" s="13"/>
      <c r="BT109" s="13"/>
      <c r="BU109" s="460"/>
      <c r="BV109" s="66"/>
      <c r="BW109" s="530"/>
      <c r="BX109" s="13"/>
      <c r="BY109" s="13"/>
      <c r="BZ109" s="13"/>
      <c r="CA109" s="460"/>
      <c r="CB109" s="66"/>
      <c r="CC109" s="530"/>
      <c r="CD109" s="13"/>
      <c r="CE109" s="13"/>
      <c r="CF109" s="13"/>
      <c r="CG109" s="460"/>
      <c r="CH109" s="36"/>
      <c r="CI109" s="36"/>
      <c r="CJ109" s="36"/>
      <c r="CK109" s="36"/>
      <c r="CL109" s="36"/>
      <c r="CM109" s="36"/>
      <c r="CN109" s="36"/>
      <c r="CO109"/>
      <c r="CP109"/>
      <c r="CQ109"/>
      <c r="CR109"/>
      <c r="CS109"/>
      <c r="CT109"/>
    </row>
    <row r="110" spans="1:98" s="7" customFormat="1" ht="11.25" customHeight="1" x14ac:dyDescent="0.2">
      <c r="B110" s="426" t="s">
        <v>81</v>
      </c>
      <c r="C110" s="238">
        <v>-187.26499999999999</v>
      </c>
      <c r="D110" s="39">
        <f>C114</f>
        <v>-206.85999999999999</v>
      </c>
      <c r="E110" s="39">
        <f>D114</f>
        <v>-220.86775000000003</v>
      </c>
      <c r="F110" s="39">
        <f>E114</f>
        <v>-240.09150000000002</v>
      </c>
      <c r="G110" s="388">
        <f>C110</f>
        <v>-187.26499999999999</v>
      </c>
      <c r="H110" s="39"/>
      <c r="I110" s="237">
        <f>F114</f>
        <v>-223.303</v>
      </c>
      <c r="J110" s="39">
        <f>I114</f>
        <v>-231.08299999999997</v>
      </c>
      <c r="K110" s="39">
        <f>J114</f>
        <v>-246.22524999999996</v>
      </c>
      <c r="L110" s="39">
        <f>K114</f>
        <v>-268.23050000000001</v>
      </c>
      <c r="M110" s="388">
        <f>+G114</f>
        <v>-223.30299999999997</v>
      </c>
      <c r="N110" s="39"/>
      <c r="O110" s="237">
        <f>L114</f>
        <v>-250.44300000000001</v>
      </c>
      <c r="P110" s="39">
        <f>O114</f>
        <v>-272.40474999999998</v>
      </c>
      <c r="Q110" s="39">
        <f>P114</f>
        <v>-279.29525000000001</v>
      </c>
      <c r="R110" s="39">
        <f>Q114</f>
        <v>-290.4575000000001</v>
      </c>
      <c r="S110" s="388">
        <f>+M114</f>
        <v>-250.44300000000001</v>
      </c>
      <c r="T110" s="39"/>
      <c r="U110" s="237">
        <f>R114</f>
        <v>-297.05799999999999</v>
      </c>
      <c r="V110" s="39">
        <f>U114</f>
        <v>-343.21249999999998</v>
      </c>
      <c r="W110" s="39">
        <f>V114</f>
        <v>-377.09250000000003</v>
      </c>
      <c r="X110" s="39">
        <f>W114</f>
        <v>-405.61700000000008</v>
      </c>
      <c r="Y110" s="388">
        <f>+S114</f>
        <v>-297.05799999999999</v>
      </c>
      <c r="Z110" s="39"/>
      <c r="AA110" s="237">
        <f>X114</f>
        <v>-259.73500000000001</v>
      </c>
      <c r="AB110" s="39">
        <f>AA114</f>
        <v>-284.41949999999997</v>
      </c>
      <c r="AC110" s="39">
        <f>AB114</f>
        <v>-298.95999999999998</v>
      </c>
      <c r="AD110" s="39">
        <f>AC114</f>
        <v>-318.262</v>
      </c>
      <c r="AE110" s="388">
        <f>+Y114</f>
        <v>-259.73500000000007</v>
      </c>
      <c r="AF110" s="39"/>
      <c r="AG110" s="237">
        <f>AD114</f>
        <v>-307.8</v>
      </c>
      <c r="AH110" s="39">
        <f>AG114</f>
        <v>-327.096</v>
      </c>
      <c r="AI110" s="39">
        <f>AH114</f>
        <v>-365.63199999999995</v>
      </c>
      <c r="AJ110" s="39">
        <f>AI114</f>
        <v>-395.70425</v>
      </c>
      <c r="AK110" s="388">
        <f>+AE114</f>
        <v>-307.80000000000007</v>
      </c>
      <c r="AL110" s="39"/>
      <c r="AM110" s="237">
        <f>AJ114</f>
        <v>-353.74</v>
      </c>
      <c r="AN110" s="39">
        <f>AM114</f>
        <v>-384.32474999999994</v>
      </c>
      <c r="AO110" s="39">
        <f>AN114</f>
        <v>-400.78399999999999</v>
      </c>
      <c r="AP110" s="39">
        <f>AO114</f>
        <v>-412.62749999999994</v>
      </c>
      <c r="AQ110" s="388">
        <f>+AK114</f>
        <v>-353.74</v>
      </c>
      <c r="AR110" s="39"/>
      <c r="AS110" s="237">
        <f>AP114</f>
        <v>-400.34699999999998</v>
      </c>
      <c r="AT110" s="39">
        <f>AS114</f>
        <v>-445.36075000000005</v>
      </c>
      <c r="AU110" s="39">
        <f>AT114</f>
        <v>-476.95325000000003</v>
      </c>
      <c r="AV110" s="39">
        <f>AU114</f>
        <v>-524.88750000000005</v>
      </c>
      <c r="AW110" s="388">
        <f>+AQ114</f>
        <v>-400.34699999999992</v>
      </c>
      <c r="AX110" s="39"/>
      <c r="AY110" s="237">
        <f>AV114</f>
        <v>-437.64299999999997</v>
      </c>
      <c r="AZ110" s="39">
        <f>AY114</f>
        <v>-475.99725000000012</v>
      </c>
      <c r="BA110" s="39">
        <f>AZ114</f>
        <v>-487.56500000000011</v>
      </c>
      <c r="BB110" s="39">
        <f>BA114</f>
        <v>-524.93150000000014</v>
      </c>
      <c r="BC110" s="388">
        <f>+AW114</f>
        <v>-437.64299999999992</v>
      </c>
      <c r="BD110" s="39"/>
      <c r="BE110" s="237">
        <f>BB114</f>
        <v>-478.10399999999998</v>
      </c>
      <c r="BF110" s="39">
        <f>BE114</f>
        <v>-498.04250000000002</v>
      </c>
      <c r="BG110" s="39">
        <f>BF114</f>
        <v>-525.77224999999999</v>
      </c>
      <c r="BH110" s="39">
        <f>BG114</f>
        <v>-548.63274999999999</v>
      </c>
      <c r="BI110" s="388">
        <f>+BC114</f>
        <v>-478.10399999999993</v>
      </c>
      <c r="BJ110" s="39"/>
      <c r="BK110" s="237">
        <f>BH114</f>
        <v>-530.83799999999997</v>
      </c>
      <c r="BL110" s="39">
        <f>BK114</f>
        <v>-548.54500000000007</v>
      </c>
      <c r="BM110" s="39">
        <f>BL114</f>
        <v>-587.72450000000015</v>
      </c>
      <c r="BN110" s="39">
        <f>BM114</f>
        <v>-623.04750000000013</v>
      </c>
      <c r="BO110" s="388">
        <f>+BI114</f>
        <v>-530.83799999999997</v>
      </c>
      <c r="BP110" s="39"/>
      <c r="BQ110" s="237">
        <f>BN114</f>
        <v>-615.49699999999996</v>
      </c>
      <c r="BR110" s="39">
        <f>BQ114</f>
        <v>-639.02132749999998</v>
      </c>
      <c r="BS110" s="39">
        <f>BR114</f>
        <v>-663.05640183507751</v>
      </c>
      <c r="BT110" s="39">
        <f>BS114</f>
        <v>-687.63508376843004</v>
      </c>
      <c r="BU110" s="388">
        <f>+BO114</f>
        <v>-615.49699999999996</v>
      </c>
      <c r="BV110" s="39"/>
      <c r="BW110" s="237">
        <f>BT114</f>
        <v>-712.76907746963252</v>
      </c>
      <c r="BX110" s="39">
        <f>BW114</f>
        <v>-738.47886250811007</v>
      </c>
      <c r="BY110" s="39">
        <f>BX114</f>
        <v>-764.7255437904148</v>
      </c>
      <c r="BZ110" s="39">
        <f>BY114</f>
        <v>-791.53931088860224</v>
      </c>
      <c r="CA110" s="388">
        <f>+BU114</f>
        <v>-712.76907746963241</v>
      </c>
      <c r="CB110" s="39"/>
      <c r="CC110" s="237">
        <f>BZ114</f>
        <v>-818.93242789285421</v>
      </c>
      <c r="CD110" s="39">
        <f>CC114</f>
        <v>-846.92581837641251</v>
      </c>
      <c r="CE110" s="39">
        <f>CD114</f>
        <v>-875.47733988684524</v>
      </c>
      <c r="CF110" s="39">
        <f>CE114</f>
        <v>-904.61854385158267</v>
      </c>
      <c r="CG110" s="388">
        <f>+CA114</f>
        <v>-818.93242789285398</v>
      </c>
      <c r="CH110" s="35"/>
      <c r="CI110" s="35"/>
      <c r="CJ110" s="35"/>
      <c r="CK110" s="35"/>
      <c r="CL110" s="35"/>
      <c r="CM110" s="35"/>
      <c r="CN110" s="35"/>
      <c r="CO110"/>
      <c r="CP110"/>
      <c r="CQ110"/>
      <c r="CR110"/>
      <c r="CS110"/>
      <c r="CT110"/>
    </row>
    <row r="111" spans="1:98" s="7" customFormat="1" ht="11.25" customHeight="1" x14ac:dyDescent="0.2">
      <c r="B111" s="429" t="s">
        <v>82</v>
      </c>
      <c r="C111" s="237">
        <f>-'Cash Flow'!C10+C123</f>
        <v>-11.756999999999998</v>
      </c>
      <c r="D111" s="39">
        <f>-'Cash Flow'!D10+D123</f>
        <v>-11.869999999999997</v>
      </c>
      <c r="E111" s="39">
        <f>-'Cash Flow'!E10+E123</f>
        <v>-11.994</v>
      </c>
      <c r="F111" s="39">
        <f>-'Cash Flow'!F10+F123</f>
        <v>-15.115000000000009</v>
      </c>
      <c r="G111" s="388">
        <f>+SUM(C111:F111)</f>
        <v>-50.736000000000004</v>
      </c>
      <c r="H111" s="39"/>
      <c r="I111" s="237">
        <f>-'Cash Flow'!I10+I123</f>
        <v>-12.462999999999999</v>
      </c>
      <c r="J111" s="39">
        <f>-'Cash Flow'!J10+J123</f>
        <v>-13.295</v>
      </c>
      <c r="K111" s="39">
        <f>-'Cash Flow'!K10+K123</f>
        <v>-12.499999999999998</v>
      </c>
      <c r="L111" s="39">
        <f>-'Cash Flow'!L10+L123</f>
        <v>-11.969000000000007</v>
      </c>
      <c r="M111" s="388">
        <f>+SUM(I111:L111)</f>
        <v>-50.227000000000004</v>
      </c>
      <c r="N111" s="39"/>
      <c r="O111" s="237">
        <f>-'Cash Flow'!O10+O123</f>
        <v>-12.270999999999999</v>
      </c>
      <c r="P111" s="39">
        <f>-'Cash Flow'!P10+P123</f>
        <v>-13.163000000000002</v>
      </c>
      <c r="Q111" s="39">
        <f>-'Cash Flow'!Q10+Q123</f>
        <v>-12.545999999999998</v>
      </c>
      <c r="R111" s="39">
        <f>-'Cash Flow'!R10+R123</f>
        <v>-12.912999999999995</v>
      </c>
      <c r="S111" s="388">
        <f>+SUM(O111:R111)</f>
        <v>-50.892999999999994</v>
      </c>
      <c r="T111" s="39"/>
      <c r="U111" s="237">
        <f>-'Cash Flow'!U10+U123</f>
        <v>-12.771999999999998</v>
      </c>
      <c r="V111" s="39">
        <f>-'Cash Flow'!V10+V123</f>
        <v>-13.972000000000001</v>
      </c>
      <c r="W111" s="39">
        <f>-'Cash Flow'!W10+W123</f>
        <v>-13.366</v>
      </c>
      <c r="X111" s="39">
        <f>-'Cash Flow'!X10+X123</f>
        <v>-13.903999999999996</v>
      </c>
      <c r="Y111" s="388">
        <f>+SUM(U111:X111)</f>
        <v>-54.013999999999996</v>
      </c>
      <c r="Z111" s="39"/>
      <c r="AA111" s="237">
        <f>-'Cash Flow'!AA10+AA123</f>
        <v>-13.597999999999999</v>
      </c>
      <c r="AB111" s="39">
        <f>-'Cash Flow'!AB10+AB123</f>
        <v>-14.371000000000002</v>
      </c>
      <c r="AC111" s="39">
        <f>-'Cash Flow'!AC10+AC123</f>
        <v>-13.821000000000005</v>
      </c>
      <c r="AD111" s="39">
        <f>-'Cash Flow'!AD10+AD123</f>
        <v>-15.105999999999987</v>
      </c>
      <c r="AE111" s="388">
        <f>+SUM(AA111:AD111)</f>
        <v>-56.895999999999994</v>
      </c>
      <c r="AF111" s="39"/>
      <c r="AG111" s="237">
        <f>-'Cash Flow'!AG10+AG123</f>
        <v>-13.295000000000002</v>
      </c>
      <c r="AH111" s="39">
        <f>-'Cash Flow'!AH10+AH123</f>
        <v>-13.844000000000001</v>
      </c>
      <c r="AI111" s="39">
        <f>-'Cash Flow'!AI10+AI123</f>
        <v>-13.475000000000001</v>
      </c>
      <c r="AJ111" s="39">
        <f>-'Cash Flow'!AJ10+AJ123</f>
        <v>-16.208000000000006</v>
      </c>
      <c r="AK111" s="388">
        <f>+SUM(AG111:AJ111)</f>
        <v>-56.82200000000001</v>
      </c>
      <c r="AL111" s="39"/>
      <c r="AM111" s="237">
        <f>-'Cash Flow'!AM10+AM123</f>
        <v>-15.093</v>
      </c>
      <c r="AN111" s="39">
        <f>-'Cash Flow'!AN10+AN123</f>
        <v>-14.543000000000003</v>
      </c>
      <c r="AO111" s="39">
        <f>-'Cash Flow'!AO10+AO123</f>
        <v>-14.544999999999998</v>
      </c>
      <c r="AP111" s="39">
        <f>-'Cash Flow'!AP10+AP123</f>
        <v>-14.653999999999993</v>
      </c>
      <c r="AQ111" s="388">
        <f>+SUM(AM111:AP111)</f>
        <v>-58.834999999999994</v>
      </c>
      <c r="AR111" s="39"/>
      <c r="AS111" s="237">
        <f>-'Cash Flow'!AS10+AS123</f>
        <v>-13.736000000000004</v>
      </c>
      <c r="AT111" s="39">
        <f>-'Cash Flow'!AT10+AT123</f>
        <v>-14.953000000000003</v>
      </c>
      <c r="AU111" s="39">
        <f>-'Cash Flow'!AU10+AU123</f>
        <v>-16.778999999999996</v>
      </c>
      <c r="AV111" s="39">
        <f>-'Cash Flow'!AV10+AV123</f>
        <v>-17.169999999999987</v>
      </c>
      <c r="AW111" s="388">
        <f>+SUM(AS111:AV111)</f>
        <v>-62.637999999999991</v>
      </c>
      <c r="AX111" s="39"/>
      <c r="AY111" s="237">
        <f>-'Cash Flow'!AY10+AY123</f>
        <v>-14.173999999999999</v>
      </c>
      <c r="AZ111" s="39">
        <f>-'Cash Flow'!AZ10+AZ123</f>
        <v>-16.050999999999995</v>
      </c>
      <c r="BA111" s="39">
        <f>-'Cash Flow'!BA10+BA123</f>
        <v>-19.741000000000007</v>
      </c>
      <c r="BB111" s="39">
        <f>-'Cash Flow'!BB10+BB123</f>
        <v>-17.261000000000003</v>
      </c>
      <c r="BC111" s="388">
        <f>+SUM(AY111:BB111)</f>
        <v>-67.227000000000004</v>
      </c>
      <c r="BD111" s="39"/>
      <c r="BE111" s="237">
        <f>-'Cash Flow'!BE10+BE123</f>
        <v>-16.666999999999998</v>
      </c>
      <c r="BF111" s="39">
        <f>-'Cash Flow'!BF10+BF123</f>
        <v>-18.130999999999997</v>
      </c>
      <c r="BG111" s="39">
        <f>-'Cash Flow'!BG10+BG123</f>
        <v>-18.130999999999997</v>
      </c>
      <c r="BH111" s="39">
        <f>-'Cash Flow'!BH10+BH123</f>
        <v>-19.651000000000007</v>
      </c>
      <c r="BI111" s="388">
        <f>+SUM(BE111:BH111)</f>
        <v>-72.58</v>
      </c>
      <c r="BJ111" s="39"/>
      <c r="BK111" s="237">
        <f>-'Cash Flow'!BK10+BK123</f>
        <v>-15.624000000000002</v>
      </c>
      <c r="BL111" s="39">
        <f>-'Cash Flow'!BL10+BL123</f>
        <v>-18.663999999999994</v>
      </c>
      <c r="BM111" s="39">
        <f>-'Cash Flow'!BM10+BM123</f>
        <v>-19.614999999999995</v>
      </c>
      <c r="BN111" s="39">
        <f>-'Cash Flow'!BN10+BN123</f>
        <v>-22.669000000000004</v>
      </c>
      <c r="BO111" s="388">
        <f>+SUM(BK111:BN111)</f>
        <v>-76.572000000000003</v>
      </c>
      <c r="BP111" s="39"/>
      <c r="BQ111" s="237">
        <f>-(BQ102*BQ112)/4</f>
        <v>-23.524327500000002</v>
      </c>
      <c r="BR111" s="39">
        <f>-(BR102*BR112)/4</f>
        <v>-24.0350743350775</v>
      </c>
      <c r="BS111" s="39">
        <f>-(BS102*BS112)/4</f>
        <v>-24.578681933352499</v>
      </c>
      <c r="BT111" s="39">
        <f>-(BT102*BT112)/4</f>
        <v>-25.133993701202499</v>
      </c>
      <c r="BU111" s="388">
        <f>+SUM(BQ111:BT111)</f>
        <v>-97.272077469632492</v>
      </c>
      <c r="BV111" s="39"/>
      <c r="BW111" s="237">
        <f>-(BW102*BW112)/4</f>
        <v>-25.709785038477495</v>
      </c>
      <c r="BX111" s="39">
        <f>-(BX102*BX112)/4</f>
        <v>-26.246681282304706</v>
      </c>
      <c r="BY111" s="39">
        <f>-(BY102*BY112)/4</f>
        <v>-26.813767098187395</v>
      </c>
      <c r="BZ111" s="39">
        <f>-(BZ102*BZ112)/4</f>
        <v>-27.393117004251959</v>
      </c>
      <c r="CA111" s="388">
        <f>+SUM(BW111:BZ111)</f>
        <v>-106.16335042322156</v>
      </c>
      <c r="CB111" s="39"/>
      <c r="CC111" s="237">
        <f>-(CC102*CC112)/4</f>
        <v>-27.993390483558333</v>
      </c>
      <c r="CD111" s="39">
        <f>-(CD102*CD112)/4</f>
        <v>-28.551521510432735</v>
      </c>
      <c r="CE111" s="39">
        <f>-(CE102*CE112)/4</f>
        <v>-29.141203964737457</v>
      </c>
      <c r="CF111" s="39">
        <f>-(CF102*CF112)/4</f>
        <v>-29.743612501126204</v>
      </c>
      <c r="CG111" s="388">
        <f>+SUM(CC111:CF111)</f>
        <v>-115.42972845985473</v>
      </c>
      <c r="CH111" s="35"/>
      <c r="CI111" s="35"/>
      <c r="CJ111" s="35"/>
      <c r="CK111" s="35"/>
      <c r="CL111" s="35"/>
      <c r="CM111" s="35"/>
      <c r="CN111" s="35"/>
      <c r="CO111"/>
      <c r="CP111"/>
      <c r="CQ111"/>
      <c r="CR111"/>
      <c r="CS111"/>
      <c r="CT111"/>
    </row>
    <row r="112" spans="1:98" s="7" customFormat="1" ht="11.25" customHeight="1" x14ac:dyDescent="0.2">
      <c r="B112" s="549" t="s">
        <v>83</v>
      </c>
      <c r="C112" s="604">
        <f>-(C111*4)/C102</f>
        <v>0.11406174585195837</v>
      </c>
      <c r="D112" s="605">
        <f>-(D111*4)/D102</f>
        <v>0.1109102206524735</v>
      </c>
      <c r="E112" s="605">
        <f>-(E111*4)/E102</f>
        <v>0.10803100014129867</v>
      </c>
      <c r="F112" s="605">
        <f>-(F111*4)/F102</f>
        <v>0.12691002633288595</v>
      </c>
      <c r="G112" s="611">
        <f>-(G111)/G102</f>
        <v>0.12305513178414905</v>
      </c>
      <c r="H112" s="103"/>
      <c r="I112" s="604">
        <f>-(I111*4)/I102</f>
        <v>0.10584873050317002</v>
      </c>
      <c r="J112" s="605">
        <f>-(J111*4)/J102</f>
        <v>0.10923327198632839</v>
      </c>
      <c r="K112" s="605">
        <f>-(K111*4)/K102</f>
        <v>9.9932994926901497E-2</v>
      </c>
      <c r="L112" s="605">
        <f>-(L111*4)/L102</f>
        <v>9.2859338738943226E-2</v>
      </c>
      <c r="M112" s="611">
        <f>-(M111)/M102</f>
        <v>0.10664495279994227</v>
      </c>
      <c r="N112" s="103"/>
      <c r="O112" s="604">
        <f>-(O111*4)/O102</f>
        <v>9.8507258999995975E-2</v>
      </c>
      <c r="P112" s="605">
        <f>-(P111*4)/P102</f>
        <v>0.10232038862780747</v>
      </c>
      <c r="Q112" s="605">
        <f>-(Q111*4)/Q102</f>
        <v>9.4100307845489381E-2</v>
      </c>
      <c r="R112" s="605">
        <f>-(R111*4)/R102</f>
        <v>9.4245241620663403E-2</v>
      </c>
      <c r="S112" s="611">
        <f>-(S111)/S102</f>
        <v>0.10213776245389121</v>
      </c>
      <c r="T112" s="103"/>
      <c r="U112" s="604">
        <f>-(U111*4)/U102</f>
        <v>9.1780236205477914E-2</v>
      </c>
      <c r="V112" s="605">
        <f>-(V111*4)/V102</f>
        <v>9.4256934811298085E-2</v>
      </c>
      <c r="W112" s="605">
        <f>-(W111*4)/W102</f>
        <v>8.5497872707893718E-2</v>
      </c>
      <c r="X112" s="605">
        <f>-(X111*4)/X102</f>
        <v>8.4315083964882825E-2</v>
      </c>
      <c r="Y112" s="611">
        <f>-(Y111)/Y102</f>
        <v>9.7036832101524556E-2</v>
      </c>
      <c r="Z112" s="103"/>
      <c r="AA112" s="604">
        <f>-(AA111*4)/AA102</f>
        <v>0.10617050680450041</v>
      </c>
      <c r="AB112" s="605">
        <f>-(AB111*4)/AB102</f>
        <v>0.1033569802011797</v>
      </c>
      <c r="AC112" s="605">
        <f>-(AC111*4)/AC102</f>
        <v>9.7163174165745464E-2</v>
      </c>
      <c r="AD112" s="605">
        <f>-(AD111*4)/AD102</f>
        <v>0.10404226157268692</v>
      </c>
      <c r="AE112" s="611">
        <f>-(AE111)/AE102</f>
        <v>0.11105819155664177</v>
      </c>
      <c r="AF112" s="103"/>
      <c r="AG112" s="604">
        <f>-(AG111*4)/AG102</f>
        <v>9.3316581503734078E-2</v>
      </c>
      <c r="AH112" s="605">
        <f>-(AH111*4)/AH102</f>
        <v>9.4360456398162415E-2</v>
      </c>
      <c r="AI112" s="605">
        <f>-(AI111*4)/AI102</f>
        <v>8.6747018976513934E-2</v>
      </c>
      <c r="AJ112" s="605">
        <f>-(AJ111*4)/AJ102</f>
        <v>9.9072834930692827E-2</v>
      </c>
      <c r="AK112" s="611">
        <f>-(AK111)/AK102</f>
        <v>9.9707310910214009E-2</v>
      </c>
      <c r="AL112" s="103"/>
      <c r="AM112" s="604">
        <f>-(AM111*4)/AM102</f>
        <v>9.6256684491978606E-2</v>
      </c>
      <c r="AN112" s="605">
        <f>-(AN111*4)/AN102</f>
        <v>8.98895502934213E-2</v>
      </c>
      <c r="AO112" s="605">
        <f>-(AO111*4)/AO102</f>
        <v>8.8478752476964032E-2</v>
      </c>
      <c r="AP112" s="605">
        <f>-(AP111*4)/AP102</f>
        <v>8.6466966759871061E-2</v>
      </c>
      <c r="AQ112" s="611">
        <f>-(AQ111)/AQ102</f>
        <v>9.3806102698031607E-2</v>
      </c>
      <c r="AR112" s="103"/>
      <c r="AS112" s="604">
        <f>-(AS111*4)/AS102</f>
        <v>8.1249861364762269E-2</v>
      </c>
      <c r="AT112" s="605">
        <f>-(AT111*4)/AT102</f>
        <v>8.1834615733242591E-2</v>
      </c>
      <c r="AU112" s="605">
        <f>-(AU111*4)/AU102</f>
        <v>8.7172098849855856E-2</v>
      </c>
      <c r="AV112" s="605">
        <f>-(AV111*4)/AV102</f>
        <v>8.2942402250120548E-2</v>
      </c>
      <c r="AW112" s="611">
        <f>-(AW111)/AW102</f>
        <v>9.2627562903428579E-2</v>
      </c>
      <c r="AX112" s="103"/>
      <c r="AY112" s="604">
        <f>-(AY111*4)/AY102</f>
        <v>7.5681549085016259E-2</v>
      </c>
      <c r="AZ112" s="605">
        <f>-(AZ111*4)/AZ102</f>
        <v>8.3594468396065921E-2</v>
      </c>
      <c r="BA112" s="605">
        <f>-(BA111*4)/BA102</f>
        <v>9.8965030617948674E-2</v>
      </c>
      <c r="BB112" s="605">
        <f>-(BB111*4)/BB102</f>
        <v>8.2507341760050659E-2</v>
      </c>
      <c r="BC112" s="611">
        <f>-(BC111)/BC102</f>
        <v>8.9739020395413996E-2</v>
      </c>
      <c r="BD112" s="103"/>
      <c r="BE112" s="604">
        <f>-(BE111*4)/BE102</f>
        <v>8.3692786662984242E-2</v>
      </c>
      <c r="BF112" s="605">
        <f>-(BF111*4)/BF102</f>
        <v>8.8193787010131613E-2</v>
      </c>
      <c r="BG112" s="605">
        <f>-(BG111*4)/BG102</f>
        <v>8.5738917995992869E-2</v>
      </c>
      <c r="BH112" s="605">
        <f>-(BH111*4)/BH102</f>
        <v>9.0065692475113632E-2</v>
      </c>
      <c r="BI112" s="611">
        <f>-(BI111)/BI102</f>
        <v>9.1114514549700043E-2</v>
      </c>
      <c r="BJ112" s="103"/>
      <c r="BK112" s="604">
        <f>-(BK111*4)/BK102</f>
        <v>7.2271099886209111E-2</v>
      </c>
      <c r="BL112" s="605">
        <f>-(BL111*4)/BL102</f>
        <v>8.4356108970520066E-2</v>
      </c>
      <c r="BM112" s="605">
        <f>-(BM111*4)/BM102</f>
        <v>8.3547588636207509E-2</v>
      </c>
      <c r="BN112" s="605">
        <f>-(BN111*4)/BN102</f>
        <v>9.2079709125767781E-2</v>
      </c>
      <c r="BO112" s="611">
        <f>-(BO111)/BO102</f>
        <v>8.8548749687768949E-2</v>
      </c>
      <c r="BP112" s="103"/>
      <c r="BQ112" s="618">
        <v>9.5000000000000001E-2</v>
      </c>
      <c r="BR112" s="616">
        <f>+BQ112</f>
        <v>9.5000000000000001E-2</v>
      </c>
      <c r="BS112" s="616">
        <f>+BR112</f>
        <v>9.5000000000000001E-2</v>
      </c>
      <c r="BT112" s="616">
        <f>+BS112</f>
        <v>9.5000000000000001E-2</v>
      </c>
      <c r="BU112" s="611">
        <f>-(BU111)/BU102</f>
        <v>9.8205223503361513E-2</v>
      </c>
      <c r="BV112" s="103"/>
      <c r="BW112" s="618">
        <f>+BT112</f>
        <v>9.5000000000000001E-2</v>
      </c>
      <c r="BX112" s="616">
        <f>+BW112</f>
        <v>9.5000000000000001E-2</v>
      </c>
      <c r="BY112" s="616">
        <f>+BX112</f>
        <v>9.5000000000000001E-2</v>
      </c>
      <c r="BZ112" s="616">
        <f>+BY112</f>
        <v>9.5000000000000001E-2</v>
      </c>
      <c r="CA112" s="611">
        <f>-(CA111)/CA102</f>
        <v>9.807081501373871E-2</v>
      </c>
      <c r="CB112" s="103"/>
      <c r="CC112" s="618">
        <f>+BZ112</f>
        <v>9.5000000000000001E-2</v>
      </c>
      <c r="CD112" s="616">
        <f>+CC112</f>
        <v>9.5000000000000001E-2</v>
      </c>
      <c r="CE112" s="616">
        <f>+CD112</f>
        <v>9.5000000000000001E-2</v>
      </c>
      <c r="CF112" s="616">
        <f>+CE112</f>
        <v>9.5000000000000001E-2</v>
      </c>
      <c r="CG112" s="611">
        <f>-(CG111)/CG102</f>
        <v>9.793226199347739E-2</v>
      </c>
      <c r="CH112" s="102"/>
      <c r="CI112" s="102"/>
      <c r="CJ112" s="102"/>
      <c r="CK112" s="102"/>
      <c r="CL112" s="102"/>
      <c r="CM112" s="102"/>
      <c r="CN112" s="102"/>
      <c r="CO112"/>
      <c r="CP112"/>
      <c r="CQ112"/>
      <c r="CR112"/>
      <c r="CS112"/>
      <c r="CT112"/>
    </row>
    <row r="113" spans="1:98" s="7" customFormat="1" ht="11.25" customHeight="1" x14ac:dyDescent="0.2">
      <c r="B113" s="623" t="s">
        <v>38</v>
      </c>
      <c r="C113" s="608">
        <f>C114-C111-C110</f>
        <v>-7.8379999999999939</v>
      </c>
      <c r="D113" s="140">
        <f>D114-D111-D110</f>
        <v>-2.1377500000000396</v>
      </c>
      <c r="E113" s="140">
        <f>E114-E111-E110</f>
        <v>-7.2297499999999957</v>
      </c>
      <c r="F113" s="140">
        <f>F114-F111-F110</f>
        <v>31.903500000000037</v>
      </c>
      <c r="G113" s="612">
        <f>+SUM(C113:F113)</f>
        <v>14.698000000000008</v>
      </c>
      <c r="H113" s="39"/>
      <c r="I113" s="608">
        <f>I114-I111-I110</f>
        <v>4.6830000000000211</v>
      </c>
      <c r="J113" s="140">
        <f>J114-J111-J110</f>
        <v>-1.8472500000000025</v>
      </c>
      <c r="K113" s="140">
        <f>K114-K111-K110</f>
        <v>-9.5052500000000464</v>
      </c>
      <c r="L113" s="140">
        <f>L114-L111-L110</f>
        <v>29.756499999999988</v>
      </c>
      <c r="M113" s="612">
        <f>+SUM(I113:L113)</f>
        <v>23.086999999999961</v>
      </c>
      <c r="N113" s="39"/>
      <c r="O113" s="608">
        <f>O114-O111-O110</f>
        <v>-9.6907499999999516</v>
      </c>
      <c r="P113" s="140">
        <f>P114-P111-P110</f>
        <v>6.2724999999999795</v>
      </c>
      <c r="Q113" s="140">
        <f>Q114-Q111-Q110</f>
        <v>1.3837499999999068</v>
      </c>
      <c r="R113" s="140">
        <f>R114-R111-R110</f>
        <v>6.3125000000001137</v>
      </c>
      <c r="S113" s="612">
        <f>+SUM(O113:R113)</f>
        <v>4.2780000000000484</v>
      </c>
      <c r="T113" s="39"/>
      <c r="U113" s="608">
        <f>U114-U111-U110</f>
        <v>-33.382499999999993</v>
      </c>
      <c r="V113" s="140">
        <f>V114-V111-V110</f>
        <v>-19.908000000000072</v>
      </c>
      <c r="W113" s="140">
        <f>W114-W111-W110</f>
        <v>-15.15850000000006</v>
      </c>
      <c r="X113" s="140">
        <f>X114-X111-X110</f>
        <v>159.78600000000006</v>
      </c>
      <c r="Y113" s="612">
        <f>+SUM(U113:X113)</f>
        <v>91.336999999999932</v>
      </c>
      <c r="Z113" s="39"/>
      <c r="AA113" s="608">
        <f>AA114-AA111-AA110</f>
        <v>-11.086499999999944</v>
      </c>
      <c r="AB113" s="140">
        <f>AB114-AB111-AB110</f>
        <v>-0.16950000000002774</v>
      </c>
      <c r="AC113" s="140">
        <f>AC114-AC111-AC110</f>
        <v>-5.4809999999999945</v>
      </c>
      <c r="AD113" s="140">
        <f>AD114-AD111-AD110</f>
        <v>25.567999999999984</v>
      </c>
      <c r="AE113" s="612">
        <f>+SUM(AA113:AD113)</f>
        <v>8.8310000000000173</v>
      </c>
      <c r="AF113" s="39"/>
      <c r="AG113" s="608">
        <f>AG114-AG111-AG110</f>
        <v>-6.0009999999999764</v>
      </c>
      <c r="AH113" s="140">
        <f>AH114-AH111-AH110</f>
        <v>-24.69199999999995</v>
      </c>
      <c r="AI113" s="140">
        <f>AI114-AI111-AI110</f>
        <v>-16.597250000000031</v>
      </c>
      <c r="AJ113" s="140">
        <f>AJ114-AJ111-AJ110</f>
        <v>58.17225000000002</v>
      </c>
      <c r="AK113" s="612">
        <f>+SUM(AG113:AJ113)</f>
        <v>10.882000000000062</v>
      </c>
      <c r="AL113" s="39"/>
      <c r="AM113" s="608">
        <f>AM114-AM111-AM110</f>
        <v>-15.491749999999911</v>
      </c>
      <c r="AN113" s="140">
        <f>AN114-AN111-AN110</f>
        <v>-1.9162500000000477</v>
      </c>
      <c r="AO113" s="140">
        <f>AO114-AO111-AO110</f>
        <v>2.7015000000000668</v>
      </c>
      <c r="AP113" s="140">
        <f>AP114-AP111-AP110</f>
        <v>26.934499999999957</v>
      </c>
      <c r="AQ113" s="612">
        <f>+SUM(AM113:AP113)</f>
        <v>12.228000000000065</v>
      </c>
      <c r="AR113" s="39"/>
      <c r="AS113" s="608">
        <f>AS114-AS111-AS110</f>
        <v>-31.277750000000083</v>
      </c>
      <c r="AT113" s="140">
        <f>AT114-AT111-AT110</f>
        <v>-16.639499999999998</v>
      </c>
      <c r="AU113" s="140">
        <f>AU114-AU111-AU110</f>
        <v>-31.155250000000024</v>
      </c>
      <c r="AV113" s="140">
        <f>AV114-AV111-AV110</f>
        <v>104.41450000000009</v>
      </c>
      <c r="AW113" s="612">
        <f>+SUM(AS113:AV113)</f>
        <v>25.341999999999985</v>
      </c>
      <c r="AX113" s="39"/>
      <c r="AY113" s="608">
        <f>AY114-AY111-AY110</f>
        <v>-24.180250000000171</v>
      </c>
      <c r="AZ113" s="140">
        <f>AZ114-AZ111-AZ110</f>
        <v>4.4832499999999982</v>
      </c>
      <c r="BA113" s="140">
        <f>BA114-BA111-BA110</f>
        <v>-17.625500000000045</v>
      </c>
      <c r="BB113" s="140">
        <f>BB114-BB111-BB110</f>
        <v>64.088500000000181</v>
      </c>
      <c r="BC113" s="612">
        <f>+SUM(AY113:BB113)</f>
        <v>26.765999999999963</v>
      </c>
      <c r="BD113" s="39"/>
      <c r="BE113" s="608">
        <f>BE114-BE111-BE110</f>
        <v>-3.27150000000006</v>
      </c>
      <c r="BF113" s="140">
        <f>BF114-BF111-BF110</f>
        <v>-9.5987499999999955</v>
      </c>
      <c r="BG113" s="140">
        <f>BG114-BG111-BG110</f>
        <v>-4.72950000000003</v>
      </c>
      <c r="BH113" s="140">
        <f>BH114-BH111-BH110</f>
        <v>37.445750000000032</v>
      </c>
      <c r="BI113" s="612">
        <f>+SUM(BE113:BH113)</f>
        <v>19.845999999999947</v>
      </c>
      <c r="BJ113" s="39"/>
      <c r="BK113" s="608">
        <f>BK114-BK111-BK110</f>
        <v>-2.0830000000000837</v>
      </c>
      <c r="BL113" s="140">
        <f>BL114-BL111-BL110</f>
        <v>-20.515500000000088</v>
      </c>
      <c r="BM113" s="140">
        <f>BM114-BM111-BM110</f>
        <v>-15.70799999999997</v>
      </c>
      <c r="BN113" s="140">
        <f>BN114-BN111-BN110</f>
        <v>30.219500000000153</v>
      </c>
      <c r="BO113" s="612">
        <f>+SUM(BK113:BN113)</f>
        <v>-8.0869999999999891</v>
      </c>
      <c r="BP113" s="39"/>
      <c r="BQ113" s="619">
        <v>0</v>
      </c>
      <c r="BR113" s="157">
        <v>0</v>
      </c>
      <c r="BS113" s="157">
        <v>0</v>
      </c>
      <c r="BT113" s="157">
        <v>0</v>
      </c>
      <c r="BU113" s="612">
        <f>+SUM(BQ113:BT113)</f>
        <v>0</v>
      </c>
      <c r="BV113" s="39"/>
      <c r="BW113" s="619">
        <v>0</v>
      </c>
      <c r="BX113" s="157">
        <v>0</v>
      </c>
      <c r="BY113" s="157">
        <v>0</v>
      </c>
      <c r="BZ113" s="157">
        <v>0</v>
      </c>
      <c r="CA113" s="612">
        <f>+SUM(BW113:BZ113)</f>
        <v>0</v>
      </c>
      <c r="CB113" s="39"/>
      <c r="CC113" s="619">
        <v>0</v>
      </c>
      <c r="CD113" s="157">
        <v>0</v>
      </c>
      <c r="CE113" s="157">
        <v>0</v>
      </c>
      <c r="CF113" s="157">
        <v>0</v>
      </c>
      <c r="CG113" s="612">
        <f>+SUM(CC113:CF113)</f>
        <v>0</v>
      </c>
      <c r="CH113" s="27"/>
      <c r="CI113" s="27"/>
      <c r="CJ113" s="27"/>
      <c r="CK113" s="27"/>
      <c r="CL113" s="27"/>
      <c r="CM113" s="27"/>
      <c r="CN113" s="27"/>
      <c r="CO113"/>
      <c r="CP113"/>
      <c r="CQ113"/>
      <c r="CR113"/>
      <c r="CS113"/>
      <c r="CT113"/>
    </row>
    <row r="114" spans="1:98" s="7" customFormat="1" ht="11.25" customHeight="1" x14ac:dyDescent="0.2">
      <c r="B114" s="493" t="s">
        <v>84</v>
      </c>
      <c r="C114" s="526">
        <f>-C108+C116</f>
        <v>-206.85999999999999</v>
      </c>
      <c r="D114" s="40">
        <f>-D108+D116</f>
        <v>-220.86775000000003</v>
      </c>
      <c r="E114" s="40">
        <f>-E108+E116</f>
        <v>-240.09150000000002</v>
      </c>
      <c r="F114" s="607">
        <v>-223.303</v>
      </c>
      <c r="G114" s="502">
        <f>+G110+G111+G113</f>
        <v>-223.30299999999997</v>
      </c>
      <c r="H114" s="40"/>
      <c r="I114" s="526">
        <f>-I108+I116</f>
        <v>-231.08299999999997</v>
      </c>
      <c r="J114" s="40">
        <f>-J108+J116</f>
        <v>-246.22524999999996</v>
      </c>
      <c r="K114" s="40">
        <f>-K108+K116</f>
        <v>-268.23050000000001</v>
      </c>
      <c r="L114" s="607">
        <v>-250.44300000000001</v>
      </c>
      <c r="M114" s="502">
        <f>+M110+M111+M113</f>
        <v>-250.44300000000001</v>
      </c>
      <c r="N114" s="40"/>
      <c r="O114" s="526">
        <f>-O108+O116</f>
        <v>-272.40474999999998</v>
      </c>
      <c r="P114" s="40">
        <f>-P108+P116</f>
        <v>-279.29525000000001</v>
      </c>
      <c r="Q114" s="40">
        <f>-Q108+Q116</f>
        <v>-290.4575000000001</v>
      </c>
      <c r="R114" s="607">
        <v>-297.05799999999999</v>
      </c>
      <c r="S114" s="502">
        <f>+S110+S111+S113</f>
        <v>-297.05799999999999</v>
      </c>
      <c r="T114" s="40"/>
      <c r="U114" s="526">
        <f>-U108+U116</f>
        <v>-343.21249999999998</v>
      </c>
      <c r="V114" s="40">
        <f>-V108+V116</f>
        <v>-377.09250000000003</v>
      </c>
      <c r="W114" s="40">
        <f>-W108+W116</f>
        <v>-405.61700000000008</v>
      </c>
      <c r="X114" s="607">
        <v>-259.73500000000001</v>
      </c>
      <c r="Y114" s="502">
        <f>+Y110+Y111+Y113</f>
        <v>-259.73500000000007</v>
      </c>
      <c r="Z114" s="40"/>
      <c r="AA114" s="526">
        <f>-AA108+AA116</f>
        <v>-284.41949999999997</v>
      </c>
      <c r="AB114" s="40">
        <f>-AB108+AB116</f>
        <v>-298.95999999999998</v>
      </c>
      <c r="AC114" s="40">
        <f>-AC108+AC116</f>
        <v>-318.262</v>
      </c>
      <c r="AD114" s="607">
        <v>-307.8</v>
      </c>
      <c r="AE114" s="502">
        <f>+AE110+AE111+AE113</f>
        <v>-307.80000000000007</v>
      </c>
      <c r="AF114" s="40"/>
      <c r="AG114" s="526">
        <f>-AG108+AG116</f>
        <v>-327.096</v>
      </c>
      <c r="AH114" s="40">
        <f>-AH108+AH116</f>
        <v>-365.63199999999995</v>
      </c>
      <c r="AI114" s="40">
        <f>-AI108+AI116</f>
        <v>-395.70425</v>
      </c>
      <c r="AJ114" s="607">
        <v>-353.74</v>
      </c>
      <c r="AK114" s="502">
        <f>+AK110+AK111+AK113</f>
        <v>-353.74</v>
      </c>
      <c r="AL114" s="40"/>
      <c r="AM114" s="526">
        <f>-AM108+AM116</f>
        <v>-384.32474999999994</v>
      </c>
      <c r="AN114" s="40">
        <f>-AN108+AN116</f>
        <v>-400.78399999999999</v>
      </c>
      <c r="AO114" s="40">
        <f>-AO108+AO116</f>
        <v>-412.62749999999994</v>
      </c>
      <c r="AP114" s="607">
        <v>-400.34699999999998</v>
      </c>
      <c r="AQ114" s="502">
        <f>+AQ110+AQ111+AQ113</f>
        <v>-400.34699999999992</v>
      </c>
      <c r="AR114" s="40"/>
      <c r="AS114" s="526">
        <f>-AS108+AS116</f>
        <v>-445.36075000000005</v>
      </c>
      <c r="AT114" s="40">
        <f>-AT108+AT116</f>
        <v>-476.95325000000003</v>
      </c>
      <c r="AU114" s="40">
        <f>-AU108+AU116</f>
        <v>-524.88750000000005</v>
      </c>
      <c r="AV114" s="607">
        <v>-437.64299999999997</v>
      </c>
      <c r="AW114" s="502">
        <f>+AW110+AW111+AW113</f>
        <v>-437.64299999999992</v>
      </c>
      <c r="AX114" s="40"/>
      <c r="AY114" s="526">
        <f>-AY108+AY116</f>
        <v>-475.99725000000012</v>
      </c>
      <c r="AZ114" s="40">
        <f>-AZ108+AZ116</f>
        <v>-487.56500000000011</v>
      </c>
      <c r="BA114" s="40">
        <f>-BA108+BA116</f>
        <v>-524.93150000000014</v>
      </c>
      <c r="BB114" s="607">
        <v>-478.10399999999998</v>
      </c>
      <c r="BC114" s="502">
        <f>+BC110+BC111+BC113</f>
        <v>-478.10399999999993</v>
      </c>
      <c r="BD114" s="40"/>
      <c r="BE114" s="526">
        <f>-BE108+BE116</f>
        <v>-498.04250000000002</v>
      </c>
      <c r="BF114" s="40">
        <f>-BF108+BF116</f>
        <v>-525.77224999999999</v>
      </c>
      <c r="BG114" s="40">
        <f>-BG108+BG116</f>
        <v>-548.63274999999999</v>
      </c>
      <c r="BH114" s="607">
        <v>-530.83799999999997</v>
      </c>
      <c r="BI114" s="502">
        <f>+BI110+BI111+BI113</f>
        <v>-530.83799999999997</v>
      </c>
      <c r="BJ114" s="40"/>
      <c r="BK114" s="526">
        <f>-BK108+BK116</f>
        <v>-548.54500000000007</v>
      </c>
      <c r="BL114" s="40">
        <f>-BL108+BL116</f>
        <v>-587.72450000000015</v>
      </c>
      <c r="BM114" s="40">
        <f>-BM108+BM116</f>
        <v>-623.04750000000013</v>
      </c>
      <c r="BN114" s="607">
        <v>-615.49699999999996</v>
      </c>
      <c r="BO114" s="502">
        <f>+BO110+BO111+BO113</f>
        <v>-615.49699999999996</v>
      </c>
      <c r="BP114" s="40"/>
      <c r="BQ114" s="526">
        <f>+BQ110+BQ111+BQ113</f>
        <v>-639.02132749999998</v>
      </c>
      <c r="BR114" s="40">
        <f>+BR110+BR111+BR113</f>
        <v>-663.05640183507751</v>
      </c>
      <c r="BS114" s="40">
        <f>+BS110+BS111+BS113</f>
        <v>-687.63508376843004</v>
      </c>
      <c r="BT114" s="40">
        <f>+BT110+BT111+BT113</f>
        <v>-712.76907746963252</v>
      </c>
      <c r="BU114" s="502">
        <f>+BU110+BU111+BU113</f>
        <v>-712.76907746963241</v>
      </c>
      <c r="BV114" s="40"/>
      <c r="BW114" s="526">
        <f>+BW110+BW111+BW113</f>
        <v>-738.47886250811007</v>
      </c>
      <c r="BX114" s="40">
        <f>+BX110+BX111+BX113</f>
        <v>-764.7255437904148</v>
      </c>
      <c r="BY114" s="40">
        <f>+BY110+BY111+BY113</f>
        <v>-791.53931088860224</v>
      </c>
      <c r="BZ114" s="40">
        <f>+BZ110+BZ111+BZ113</f>
        <v>-818.93242789285421</v>
      </c>
      <c r="CA114" s="502">
        <f>+CA110+CA111+CA113</f>
        <v>-818.93242789285398</v>
      </c>
      <c r="CB114" s="40"/>
      <c r="CC114" s="526">
        <f>+CC110+CC111+CC113</f>
        <v>-846.92581837641251</v>
      </c>
      <c r="CD114" s="40">
        <f>+CD110+CD111+CD113</f>
        <v>-875.47733988684524</v>
      </c>
      <c r="CE114" s="40">
        <f>+CE110+CE111+CE113</f>
        <v>-904.61854385158267</v>
      </c>
      <c r="CF114" s="40">
        <f>+CF110+CF111+CF113</f>
        <v>-934.36215635270889</v>
      </c>
      <c r="CG114" s="502">
        <f>+CG110+CG111+CG113</f>
        <v>-934.36215635270867</v>
      </c>
      <c r="CH114" s="35"/>
      <c r="CI114" s="35"/>
      <c r="CJ114" s="35"/>
      <c r="CK114" s="35"/>
      <c r="CL114" s="35"/>
      <c r="CM114" s="35"/>
      <c r="CN114" s="35"/>
      <c r="CO114"/>
      <c r="CP114"/>
      <c r="CQ114"/>
      <c r="CR114"/>
      <c r="CS114"/>
      <c r="CT114"/>
    </row>
    <row r="115" spans="1:98" s="7" customFormat="1" ht="11.25" customHeight="1" x14ac:dyDescent="0.2">
      <c r="B115" s="426"/>
      <c r="C115" s="237"/>
      <c r="D115" s="39"/>
      <c r="E115" s="39"/>
      <c r="F115" s="39"/>
      <c r="G115" s="388"/>
      <c r="H115" s="39"/>
      <c r="I115" s="237"/>
      <c r="J115" s="39"/>
      <c r="K115" s="39"/>
      <c r="L115" s="39"/>
      <c r="M115" s="388"/>
      <c r="N115" s="39"/>
      <c r="O115" s="237"/>
      <c r="P115" s="39"/>
      <c r="Q115" s="39"/>
      <c r="R115" s="39"/>
      <c r="S115" s="388"/>
      <c r="T115" s="39"/>
      <c r="U115" s="237"/>
      <c r="V115" s="39"/>
      <c r="W115" s="39"/>
      <c r="X115" s="39"/>
      <c r="Y115" s="388"/>
      <c r="Z115" s="39"/>
      <c r="AA115" s="237"/>
      <c r="AB115" s="39"/>
      <c r="AC115" s="39"/>
      <c r="AD115" s="39"/>
      <c r="AE115" s="388"/>
      <c r="AF115" s="39"/>
      <c r="AG115" s="237"/>
      <c r="AH115" s="39"/>
      <c r="AI115" s="39"/>
      <c r="AJ115" s="39"/>
      <c r="AK115" s="388"/>
      <c r="AL115" s="39"/>
      <c r="AM115" s="237"/>
      <c r="AN115" s="39"/>
      <c r="AO115" s="39"/>
      <c r="AP115" s="39"/>
      <c r="AQ115" s="388"/>
      <c r="AR115" s="39"/>
      <c r="AS115" s="237"/>
      <c r="AT115" s="39"/>
      <c r="AU115" s="39"/>
      <c r="AV115" s="39"/>
      <c r="AW115" s="388"/>
      <c r="AX115" s="39"/>
      <c r="AY115" s="237"/>
      <c r="AZ115" s="39"/>
      <c r="BA115" s="39"/>
      <c r="BB115" s="39"/>
      <c r="BC115" s="388"/>
      <c r="BD115" s="39"/>
      <c r="BE115" s="237"/>
      <c r="BF115" s="39"/>
      <c r="BG115" s="39"/>
      <c r="BH115" s="39"/>
      <c r="BI115" s="388"/>
      <c r="BJ115" s="39"/>
      <c r="BK115" s="237"/>
      <c r="BL115" s="39"/>
      <c r="BM115" s="39"/>
      <c r="BN115" s="39"/>
      <c r="BO115" s="388"/>
      <c r="BP115" s="39"/>
      <c r="BQ115" s="237"/>
      <c r="BR115" s="39"/>
      <c r="BS115" s="39"/>
      <c r="BT115" s="39"/>
      <c r="BU115" s="388"/>
      <c r="BV115" s="39"/>
      <c r="BW115" s="237"/>
      <c r="BX115" s="39"/>
      <c r="BY115" s="39"/>
      <c r="BZ115" s="39"/>
      <c r="CA115" s="388"/>
      <c r="CB115" s="39"/>
      <c r="CC115" s="237"/>
      <c r="CD115" s="39"/>
      <c r="CE115" s="39"/>
      <c r="CF115" s="39"/>
      <c r="CG115" s="388"/>
      <c r="CH115" s="35"/>
      <c r="CI115" s="35"/>
      <c r="CJ115" s="35"/>
      <c r="CK115" s="35"/>
      <c r="CL115" s="35"/>
      <c r="CM115" s="35"/>
      <c r="CN115" s="35"/>
      <c r="CO115"/>
      <c r="CP115"/>
      <c r="CQ115"/>
      <c r="CR115"/>
      <c r="CS115"/>
      <c r="CT115"/>
    </row>
    <row r="116" spans="1:98" s="7" customFormat="1" ht="11.25" customHeight="1" x14ac:dyDescent="0.2">
      <c r="B116" s="493" t="s">
        <v>85</v>
      </c>
      <c r="C116" s="526">
        <f>+C16</f>
        <v>221.23400000000001</v>
      </c>
      <c r="D116" s="40">
        <f>+D16</f>
        <v>223.227</v>
      </c>
      <c r="E116" s="40">
        <f>+E16</f>
        <v>236.309</v>
      </c>
      <c r="F116" s="40">
        <f>+F108+F114</f>
        <v>247.67099999999999</v>
      </c>
      <c r="G116" s="502">
        <f>+G108+G114</f>
        <v>247.67099999999996</v>
      </c>
      <c r="H116" s="40"/>
      <c r="I116" s="526">
        <f>+I16</f>
        <v>255.76499999999999</v>
      </c>
      <c r="J116" s="40">
        <f>+J16</f>
        <v>254.11</v>
      </c>
      <c r="K116" s="40">
        <f>+K16</f>
        <v>247.345</v>
      </c>
      <c r="L116" s="40">
        <f>+L108+L114</f>
        <v>247.83500000000001</v>
      </c>
      <c r="M116" s="502">
        <f>+M108+M114</f>
        <v>247.83499999999989</v>
      </c>
      <c r="N116" s="40"/>
      <c r="O116" s="526">
        <f>+O16</f>
        <v>242.17500000000001</v>
      </c>
      <c r="P116" s="40">
        <f>+P16</f>
        <v>254.00800000000001</v>
      </c>
      <c r="Q116" s="40">
        <f>+Q16</f>
        <v>257.60199999999998</v>
      </c>
      <c r="R116" s="40">
        <f>+R108+R114</f>
        <v>259.57600000000002</v>
      </c>
      <c r="S116" s="502">
        <f>+S108+S114</f>
        <v>259.57599999999979</v>
      </c>
      <c r="T116" s="40"/>
      <c r="U116" s="526">
        <f>+U16</f>
        <v>249.72</v>
      </c>
      <c r="V116" s="40">
        <f>+V16</f>
        <v>248.233</v>
      </c>
      <c r="W116" s="40">
        <f>+W16</f>
        <v>254.00399999999999</v>
      </c>
      <c r="X116" s="40">
        <f>+X108+X114</f>
        <v>252.57299999999998</v>
      </c>
      <c r="Y116" s="502">
        <f>+Y108+Y114</f>
        <v>252.57299999999958</v>
      </c>
      <c r="Z116" s="40"/>
      <c r="AA116" s="526">
        <f>+AA16</f>
        <v>271.75</v>
      </c>
      <c r="AB116" s="40">
        <f>+AB16</f>
        <v>270.02100000000002</v>
      </c>
      <c r="AC116" s="40">
        <f>+AC16</f>
        <v>262.50200000000001</v>
      </c>
      <c r="AD116" s="40">
        <f>+AD108+AD114</f>
        <v>262.08800000000002</v>
      </c>
      <c r="AE116" s="502">
        <f>+AE108+AE114</f>
        <v>262.08799999999962</v>
      </c>
      <c r="AF116" s="40"/>
      <c r="AG116" s="526">
        <f>+AG16</f>
        <v>259.76</v>
      </c>
      <c r="AH116" s="40">
        <f>+AH16</f>
        <v>255.715</v>
      </c>
      <c r="AI116" s="40">
        <f>+AI16</f>
        <v>258.68299999999999</v>
      </c>
      <c r="AJ116" s="40">
        <f>+AJ108+AJ114</f>
        <v>273.45799999999997</v>
      </c>
      <c r="AK116" s="502">
        <f>+AK108+AK114</f>
        <v>273.45799999999963</v>
      </c>
      <c r="AL116" s="40"/>
      <c r="AM116" s="526">
        <f>+AM16</f>
        <v>262.82499999999999</v>
      </c>
      <c r="AN116" s="40">
        <f>+AN16</f>
        <v>256.77499999999998</v>
      </c>
      <c r="AO116" s="40">
        <f>+AO16</f>
        <v>265.27300000000002</v>
      </c>
      <c r="AP116" s="40">
        <f>+AP108+AP114</f>
        <v>275.88800000000003</v>
      </c>
      <c r="AQ116" s="502">
        <f>+AQ108+AQ114</f>
        <v>275.88799999999975</v>
      </c>
      <c r="AR116" s="40"/>
      <c r="AS116" s="526">
        <f>+AS16</f>
        <v>285.52800000000002</v>
      </c>
      <c r="AT116" s="40">
        <f>+AT16</f>
        <v>292.97199999999998</v>
      </c>
      <c r="AU116" s="40">
        <f>+AU16</f>
        <v>303.15699999999998</v>
      </c>
      <c r="AV116" s="40">
        <f>+AV108+AV114</f>
        <v>311.49600000000004</v>
      </c>
      <c r="AW116" s="502">
        <f>+AW108+AW114</f>
        <v>311.49599999999964</v>
      </c>
      <c r="AX116" s="40"/>
      <c r="AY116" s="526">
        <f>+AY16</f>
        <v>292.04399999999998</v>
      </c>
      <c r="AZ116" s="40">
        <f>+AZ16</f>
        <v>310.33300000000003</v>
      </c>
      <c r="BA116" s="40">
        <f>+BA16</f>
        <v>311.89100000000002</v>
      </c>
      <c r="BB116" s="40">
        <f>+BB108+BB114</f>
        <v>318.47600000000006</v>
      </c>
      <c r="BC116" s="502">
        <f>+BC108+BC114</f>
        <v>318.47599999999943</v>
      </c>
      <c r="BD116" s="40"/>
      <c r="BE116" s="526">
        <f>+BE16</f>
        <v>324.28300000000002</v>
      </c>
      <c r="BF116" s="40">
        <f>+BF16</f>
        <v>320.09800000000001</v>
      </c>
      <c r="BG116" s="40">
        <f>+BG16</f>
        <v>324.108</v>
      </c>
      <c r="BH116" s="40">
        <f>+BH108+BH114</f>
        <v>333.90600000000006</v>
      </c>
      <c r="BI116" s="502">
        <f>+BI108+BI114</f>
        <v>333.90599999999927</v>
      </c>
      <c r="BJ116" s="40"/>
      <c r="BK116" s="526">
        <f>+BK16</f>
        <v>336.46499999999997</v>
      </c>
      <c r="BL116" s="40">
        <f>+BL16</f>
        <v>351.38099999999997</v>
      </c>
      <c r="BM116" s="40">
        <f>+BM16</f>
        <v>361.70800000000003</v>
      </c>
      <c r="BN116" s="40">
        <f>+BN108+BN114</f>
        <v>375.00100000000009</v>
      </c>
      <c r="BO116" s="502">
        <f>+BO108+BO114</f>
        <v>375.00099999999918</v>
      </c>
      <c r="BP116" s="40"/>
      <c r="BQ116" s="526">
        <f>+BQ108+BQ114</f>
        <v>372.98180239800001</v>
      </c>
      <c r="BR116" s="40">
        <f>+BR108+BR114</f>
        <v>371.83546904292245</v>
      </c>
      <c r="BS116" s="40">
        <f>+BS108+BS114</f>
        <v>370.63833522956986</v>
      </c>
      <c r="BT116" s="40">
        <f>+BT108+BT114</f>
        <v>369.74818730836728</v>
      </c>
      <c r="BU116" s="502">
        <f>+BU108+BU114</f>
        <v>369.74818730836671</v>
      </c>
      <c r="BV116" s="40"/>
      <c r="BW116" s="526">
        <f>+BW108+BW114</f>
        <v>366.6445599047197</v>
      </c>
      <c r="BX116" s="40">
        <f>+BX108+BX114</f>
        <v>364.27517613326495</v>
      </c>
      <c r="BY116" s="40">
        <f>+BY108+BY114</f>
        <v>361.8550892904276</v>
      </c>
      <c r="BZ116" s="40">
        <f>+BZ108+BZ114</f>
        <v>359.73664509907564</v>
      </c>
      <c r="CA116" s="502">
        <f>+CA108+CA114</f>
        <v>359.73664509907519</v>
      </c>
      <c r="CB116" s="40"/>
      <c r="CC116" s="526">
        <f>+CC108+CC114</f>
        <v>355.24350837864995</v>
      </c>
      <c r="CD116" s="40">
        <f>+CD108+CD114</f>
        <v>351.5207217863109</v>
      </c>
      <c r="CE116" s="40">
        <f>+CE108+CE114</f>
        <v>347.74408777478379</v>
      </c>
      <c r="CF116" s="40">
        <f>+CF108+CF114</f>
        <v>344.27053993429797</v>
      </c>
      <c r="CG116" s="502">
        <f>+CG108+CG114</f>
        <v>344.27053993429774</v>
      </c>
      <c r="CH116" s="27"/>
      <c r="CI116" s="27"/>
      <c r="CJ116" s="27"/>
      <c r="CK116" s="27"/>
      <c r="CL116" s="27"/>
      <c r="CM116" s="27"/>
      <c r="CN116" s="27"/>
      <c r="CO116"/>
      <c r="CP116"/>
      <c r="CQ116"/>
      <c r="CR116"/>
      <c r="CS116"/>
      <c r="CT116"/>
    </row>
    <row r="117" spans="1:98" s="7" customFormat="1" ht="11.25" customHeight="1" x14ac:dyDescent="0.2">
      <c r="B117" s="551" t="s">
        <v>44</v>
      </c>
      <c r="C117" s="592">
        <f>C116-(C108+C114)</f>
        <v>0</v>
      </c>
      <c r="D117" s="198">
        <f>D116-(D108+D114)</f>
        <v>0</v>
      </c>
      <c r="E117" s="198">
        <f>E116-(E108+E114)</f>
        <v>0</v>
      </c>
      <c r="F117" s="198">
        <f>F116-(F108+F114)</f>
        <v>0</v>
      </c>
      <c r="G117" s="594">
        <f>G116-(G108+G114)</f>
        <v>0</v>
      </c>
      <c r="H117" s="198"/>
      <c r="I117" s="592">
        <f>I116-(I108+I114)</f>
        <v>0</v>
      </c>
      <c r="J117" s="198">
        <f>J116-(J108+J114)</f>
        <v>0</v>
      </c>
      <c r="K117" s="198">
        <f>K116-(K108+K114)</f>
        <v>0</v>
      </c>
      <c r="L117" s="198">
        <f>L116-(L108+L114)</f>
        <v>0</v>
      </c>
      <c r="M117" s="594">
        <f>M116-(M108+M114)</f>
        <v>0</v>
      </c>
      <c r="N117" s="198"/>
      <c r="O117" s="592">
        <f>O116-(O108+O114)</f>
        <v>0</v>
      </c>
      <c r="P117" s="198">
        <f>P116-(P108+P114)</f>
        <v>0</v>
      </c>
      <c r="Q117" s="198">
        <f>Q116-(Q108+Q114)</f>
        <v>0</v>
      </c>
      <c r="R117" s="198">
        <f>R116-(R108+R114)</f>
        <v>0</v>
      </c>
      <c r="S117" s="594">
        <f>S116-(S108+S114)</f>
        <v>0</v>
      </c>
      <c r="T117" s="198"/>
      <c r="U117" s="592">
        <f>U116-(U108+U114)</f>
        <v>0</v>
      </c>
      <c r="V117" s="198">
        <f>V116-(V108+V114)</f>
        <v>0</v>
      </c>
      <c r="W117" s="198">
        <f>W116-(W108+W114)</f>
        <v>0</v>
      </c>
      <c r="X117" s="198">
        <f>X116-(X108+X114)</f>
        <v>0</v>
      </c>
      <c r="Y117" s="594">
        <f>Y116-(Y108+Y114)</f>
        <v>0</v>
      </c>
      <c r="Z117" s="198"/>
      <c r="AA117" s="592">
        <f>AA116-(AA108+AA114)</f>
        <v>0</v>
      </c>
      <c r="AB117" s="198">
        <f>AB116-(AB108+AB114)</f>
        <v>0</v>
      </c>
      <c r="AC117" s="198">
        <f>AC116-(AC108+AC114)</f>
        <v>0</v>
      </c>
      <c r="AD117" s="198">
        <f>AD116-(AD108+AD114)</f>
        <v>0</v>
      </c>
      <c r="AE117" s="594">
        <f>AE116-(AE108+AE114)</f>
        <v>0</v>
      </c>
      <c r="AF117" s="198"/>
      <c r="AG117" s="592">
        <f>AG116-(AG108+AG114)</f>
        <v>0</v>
      </c>
      <c r="AH117" s="198">
        <f>AH116-(AH108+AH114)</f>
        <v>0</v>
      </c>
      <c r="AI117" s="198">
        <f>AI116-(AI108+AI114)</f>
        <v>0</v>
      </c>
      <c r="AJ117" s="198">
        <f>AJ116-(AJ108+AJ114)</f>
        <v>0</v>
      </c>
      <c r="AK117" s="594">
        <f>AK116-(AK108+AK114)</f>
        <v>0</v>
      </c>
      <c r="AL117" s="198"/>
      <c r="AM117" s="592">
        <f>AM116-(AM108+AM114)</f>
        <v>0</v>
      </c>
      <c r="AN117" s="198">
        <f>AN116-(AN108+AN114)</f>
        <v>0</v>
      </c>
      <c r="AO117" s="198">
        <f>AO116-(AO108+AO114)</f>
        <v>0</v>
      </c>
      <c r="AP117" s="198">
        <f>AP116-(AP108+AP114)</f>
        <v>0</v>
      </c>
      <c r="AQ117" s="594">
        <f>AQ116-(AQ108+AQ114)</f>
        <v>0</v>
      </c>
      <c r="AR117" s="198"/>
      <c r="AS117" s="592">
        <f>AS116-(AS108+AS114)</f>
        <v>0</v>
      </c>
      <c r="AT117" s="198">
        <f>AT116-(AT108+AT114)</f>
        <v>0</v>
      </c>
      <c r="AU117" s="198">
        <f>AU116-(AU108+AU114)</f>
        <v>0</v>
      </c>
      <c r="AV117" s="198">
        <f>AV116-(AV108+AV114)</f>
        <v>0</v>
      </c>
      <c r="AW117" s="594">
        <f>AW116-(AW108+AW114)</f>
        <v>0</v>
      </c>
      <c r="AX117" s="198"/>
      <c r="AY117" s="592">
        <f>AY116-(AY108+AY114)</f>
        <v>0</v>
      </c>
      <c r="AZ117" s="198">
        <f>AZ116-(AZ108+AZ114)</f>
        <v>0</v>
      </c>
      <c r="BA117" s="198">
        <f>BA116-(BA108+BA114)</f>
        <v>0</v>
      </c>
      <c r="BB117" s="198">
        <f>BB116-(BB108+BB114)</f>
        <v>0</v>
      </c>
      <c r="BC117" s="594">
        <f>BC116-(BC108+BC114)</f>
        <v>0</v>
      </c>
      <c r="BD117" s="198"/>
      <c r="BE117" s="592">
        <f>BE116-(BE108+BE114)</f>
        <v>0</v>
      </c>
      <c r="BF117" s="198">
        <f>BF116-(BF108+BF114)</f>
        <v>0</v>
      </c>
      <c r="BG117" s="198">
        <f>BG116-(BG108+BG114)</f>
        <v>0</v>
      </c>
      <c r="BH117" s="198">
        <f>BH116-(BH108+BH114)</f>
        <v>0</v>
      </c>
      <c r="BI117" s="594">
        <f>BI116-(BI108+BI114)</f>
        <v>0</v>
      </c>
      <c r="BJ117" s="198"/>
      <c r="BK117" s="592">
        <f>BK116-(BK108+BK114)</f>
        <v>0</v>
      </c>
      <c r="BL117" s="198">
        <f>BL116-(BL108+BL114)</f>
        <v>0</v>
      </c>
      <c r="BM117" s="198">
        <f>BM116-(BM108+BM114)</f>
        <v>0</v>
      </c>
      <c r="BN117" s="198">
        <f>BN116-(BN108+BN114)</f>
        <v>0</v>
      </c>
      <c r="BO117" s="594">
        <f>BO116-(BO108+BO114)</f>
        <v>0</v>
      </c>
      <c r="BP117" s="198"/>
      <c r="BQ117" s="592">
        <f>BQ116-(BQ108+BQ114)</f>
        <v>0</v>
      </c>
      <c r="BR117" s="198">
        <f>BR116-(BR108+BR114)</f>
        <v>0</v>
      </c>
      <c r="BS117" s="198">
        <f>BS116-(BS108+BS114)</f>
        <v>0</v>
      </c>
      <c r="BT117" s="198">
        <f>BT116-(BT108+BT114)</f>
        <v>0</v>
      </c>
      <c r="BU117" s="594">
        <f>BU116-(BU108+BU114)</f>
        <v>0</v>
      </c>
      <c r="BV117" s="198"/>
      <c r="BW117" s="592">
        <f>BW116-(BW108+BW114)</f>
        <v>0</v>
      </c>
      <c r="BX117" s="198">
        <f>BX116-(BX108+BX114)</f>
        <v>0</v>
      </c>
      <c r="BY117" s="198">
        <f>BY116-(BY108+BY114)</f>
        <v>0</v>
      </c>
      <c r="BZ117" s="198">
        <f>BZ116-(BZ108+BZ114)</f>
        <v>0</v>
      </c>
      <c r="CA117" s="594">
        <f>CA116-(CA108+CA114)</f>
        <v>0</v>
      </c>
      <c r="CB117" s="198"/>
      <c r="CC117" s="592">
        <f>CC116-(CC108+CC114)</f>
        <v>0</v>
      </c>
      <c r="CD117" s="198">
        <f>CD116-(CD108+CD114)</f>
        <v>0</v>
      </c>
      <c r="CE117" s="198">
        <f>CE116-(CE108+CE114)</f>
        <v>0</v>
      </c>
      <c r="CF117" s="198">
        <f>CF116-(CF108+CF114)</f>
        <v>0</v>
      </c>
      <c r="CG117" s="594">
        <f>CG116-(CG108+CG114)</f>
        <v>0</v>
      </c>
      <c r="CH117" s="46"/>
      <c r="CI117" s="46"/>
      <c r="CJ117" s="46"/>
      <c r="CK117" s="46"/>
      <c r="CL117" s="46"/>
      <c r="CM117" s="46"/>
      <c r="CN117" s="46"/>
      <c r="CO117"/>
      <c r="CP117"/>
      <c r="CQ117"/>
      <c r="CR117"/>
      <c r="CS117"/>
      <c r="CT117"/>
    </row>
    <row r="118" spans="1:98" s="7" customFormat="1" ht="11.25" customHeight="1" x14ac:dyDescent="0.2">
      <c r="B118" s="551"/>
      <c r="C118" s="592"/>
      <c r="D118" s="198"/>
      <c r="E118" s="198"/>
      <c r="F118" s="198"/>
      <c r="G118" s="594"/>
      <c r="H118" s="198"/>
      <c r="I118" s="592"/>
      <c r="J118" s="198"/>
      <c r="K118" s="198"/>
      <c r="L118" s="198"/>
      <c r="M118" s="594"/>
      <c r="N118" s="198"/>
      <c r="O118" s="592"/>
      <c r="P118" s="198"/>
      <c r="Q118" s="198"/>
      <c r="R118" s="198"/>
      <c r="S118" s="594"/>
      <c r="T118" s="198"/>
      <c r="U118" s="592"/>
      <c r="V118" s="198"/>
      <c r="W118" s="198"/>
      <c r="X118" s="198"/>
      <c r="Y118" s="594"/>
      <c r="Z118" s="198"/>
      <c r="AA118" s="592"/>
      <c r="AB118" s="198"/>
      <c r="AC118" s="198"/>
      <c r="AD118" s="198"/>
      <c r="AE118" s="594"/>
      <c r="AF118" s="198"/>
      <c r="AG118" s="592"/>
      <c r="AH118" s="198"/>
      <c r="AI118" s="198"/>
      <c r="AJ118" s="198"/>
      <c r="AK118" s="594"/>
      <c r="AL118" s="198"/>
      <c r="AM118" s="592"/>
      <c r="AN118" s="198"/>
      <c r="AO118" s="198"/>
      <c r="AP118" s="198"/>
      <c r="AQ118" s="594"/>
      <c r="AR118" s="198"/>
      <c r="AS118" s="592"/>
      <c r="AT118" s="198"/>
      <c r="AU118" s="198"/>
      <c r="AV118" s="198"/>
      <c r="AW118" s="594"/>
      <c r="AX118" s="198"/>
      <c r="AY118" s="592"/>
      <c r="AZ118" s="198"/>
      <c r="BA118" s="198"/>
      <c r="BB118" s="198"/>
      <c r="BC118" s="594"/>
      <c r="BD118" s="198"/>
      <c r="BE118" s="592"/>
      <c r="BF118" s="198"/>
      <c r="BG118" s="198"/>
      <c r="BH118" s="198"/>
      <c r="BI118" s="594"/>
      <c r="BJ118" s="198"/>
      <c r="BK118" s="592"/>
      <c r="BL118" s="198"/>
      <c r="BM118" s="198"/>
      <c r="BN118" s="198"/>
      <c r="BO118" s="594"/>
      <c r="BP118" s="198"/>
      <c r="BQ118" s="592"/>
      <c r="BR118" s="198"/>
      <c r="BS118" s="198"/>
      <c r="BT118" s="198"/>
      <c r="BU118" s="594"/>
      <c r="BV118" s="198"/>
      <c r="BW118" s="592"/>
      <c r="BX118" s="198"/>
      <c r="BY118" s="198"/>
      <c r="BZ118" s="198"/>
      <c r="CA118" s="594"/>
      <c r="CB118" s="198"/>
      <c r="CC118" s="592"/>
      <c r="CD118" s="198"/>
      <c r="CE118" s="198"/>
      <c r="CF118" s="198"/>
      <c r="CG118" s="594"/>
      <c r="CH118" s="46"/>
      <c r="CI118" s="46"/>
      <c r="CJ118" s="46"/>
      <c r="CK118" s="46"/>
      <c r="CL118" s="46"/>
      <c r="CM118" s="46"/>
      <c r="CN118" s="46"/>
      <c r="CO118"/>
      <c r="CP118"/>
      <c r="CQ118"/>
      <c r="CR118"/>
      <c r="CS118"/>
      <c r="CT118"/>
    </row>
    <row r="119" spans="1:98" s="7" customFormat="1" ht="11.25" customHeight="1" x14ac:dyDescent="0.2">
      <c r="B119" s="552"/>
      <c r="C119" s="628"/>
      <c r="D119" s="141"/>
      <c r="E119" s="141"/>
      <c r="F119" s="141"/>
      <c r="G119" s="613"/>
      <c r="H119" s="141"/>
      <c r="I119" s="628"/>
      <c r="J119" s="141"/>
      <c r="K119" s="141"/>
      <c r="L119" s="141"/>
      <c r="M119" s="613"/>
      <c r="N119" s="141"/>
      <c r="O119" s="628"/>
      <c r="P119" s="141"/>
      <c r="Q119" s="141"/>
      <c r="R119" s="141"/>
      <c r="S119" s="613"/>
      <c r="T119" s="141"/>
      <c r="U119" s="628"/>
      <c r="V119" s="141"/>
      <c r="W119" s="141"/>
      <c r="X119" s="141"/>
      <c r="Y119" s="613"/>
      <c r="Z119" s="141"/>
      <c r="AA119" s="628"/>
      <c r="AB119" s="141"/>
      <c r="AC119" s="141"/>
      <c r="AD119" s="141"/>
      <c r="AE119" s="613"/>
      <c r="AF119" s="141"/>
      <c r="AG119" s="628"/>
      <c r="AH119" s="141"/>
      <c r="AI119" s="141"/>
      <c r="AJ119" s="141"/>
      <c r="AK119" s="613"/>
      <c r="AL119" s="141"/>
      <c r="AM119" s="628"/>
      <c r="AN119" s="141"/>
      <c r="AO119" s="141"/>
      <c r="AP119" s="141"/>
      <c r="AQ119" s="613"/>
      <c r="AR119" s="141"/>
      <c r="AS119" s="628"/>
      <c r="AT119" s="141"/>
      <c r="AU119" s="141"/>
      <c r="AV119" s="141"/>
      <c r="AW119" s="613"/>
      <c r="AX119" s="141"/>
      <c r="AY119" s="628"/>
      <c r="AZ119" s="141"/>
      <c r="BA119" s="141"/>
      <c r="BB119" s="141"/>
      <c r="BC119" s="613"/>
      <c r="BD119" s="141"/>
      <c r="BE119" s="628"/>
      <c r="BF119" s="141"/>
      <c r="BG119" s="141"/>
      <c r="BH119" s="141"/>
      <c r="BI119" s="613"/>
      <c r="BJ119" s="141"/>
      <c r="BK119" s="628"/>
      <c r="BL119" s="141"/>
      <c r="BM119" s="141"/>
      <c r="BN119" s="141"/>
      <c r="BO119" s="613"/>
      <c r="BP119" s="141"/>
      <c r="BQ119" s="628"/>
      <c r="BR119" s="141"/>
      <c r="BS119" s="141"/>
      <c r="BT119" s="141"/>
      <c r="BU119" s="613"/>
      <c r="BV119" s="141"/>
      <c r="BW119" s="628"/>
      <c r="BX119" s="141"/>
      <c r="BY119" s="141"/>
      <c r="BZ119" s="141"/>
      <c r="CA119" s="613"/>
      <c r="CB119" s="141"/>
      <c r="CC119" s="628"/>
      <c r="CD119" s="141"/>
      <c r="CE119" s="141"/>
      <c r="CF119" s="141"/>
      <c r="CG119" s="613"/>
      <c r="CH119" s="46"/>
      <c r="CI119" s="46"/>
      <c r="CJ119" s="46"/>
      <c r="CK119" s="46"/>
      <c r="CL119" s="46"/>
      <c r="CM119" s="46"/>
      <c r="CN119" s="46"/>
      <c r="CO119"/>
      <c r="CP119"/>
      <c r="CQ119"/>
      <c r="CR119"/>
      <c r="CS119"/>
      <c r="CT119"/>
    </row>
    <row r="120" spans="1:98" ht="11.25" customHeight="1" x14ac:dyDescent="0.2">
      <c r="A120" s="78"/>
      <c r="B120" s="702" t="s">
        <v>86</v>
      </c>
      <c r="C120" s="703"/>
      <c r="D120" s="704"/>
      <c r="E120" s="704"/>
      <c r="F120" s="704"/>
      <c r="G120" s="705"/>
      <c r="H120" s="188"/>
      <c r="I120" s="703"/>
      <c r="J120" s="704"/>
      <c r="K120" s="704"/>
      <c r="L120" s="704"/>
      <c r="M120" s="705"/>
      <c r="N120" s="188"/>
      <c r="O120" s="703"/>
      <c r="P120" s="704"/>
      <c r="Q120" s="704"/>
      <c r="R120" s="704"/>
      <c r="S120" s="705"/>
      <c r="T120" s="188"/>
      <c r="U120" s="703"/>
      <c r="V120" s="704"/>
      <c r="W120" s="704"/>
      <c r="X120" s="704"/>
      <c r="Y120" s="705"/>
      <c r="Z120" s="188"/>
      <c r="AA120" s="703"/>
      <c r="AB120" s="704"/>
      <c r="AC120" s="704"/>
      <c r="AD120" s="704"/>
      <c r="AE120" s="705"/>
      <c r="AF120" s="188"/>
      <c r="AG120" s="703"/>
      <c r="AH120" s="704"/>
      <c r="AI120" s="704"/>
      <c r="AJ120" s="704"/>
      <c r="AK120" s="705"/>
      <c r="AL120" s="188"/>
      <c r="AM120" s="703"/>
      <c r="AN120" s="704"/>
      <c r="AO120" s="704"/>
      <c r="AP120" s="704"/>
      <c r="AQ120" s="705"/>
      <c r="AR120" s="188"/>
      <c r="AS120" s="703"/>
      <c r="AT120" s="704"/>
      <c r="AU120" s="704"/>
      <c r="AV120" s="704"/>
      <c r="AW120" s="705"/>
      <c r="AX120" s="188"/>
      <c r="AY120" s="703"/>
      <c r="AZ120" s="704"/>
      <c r="BA120" s="704"/>
      <c r="BB120" s="704"/>
      <c r="BC120" s="705"/>
      <c r="BD120" s="188"/>
      <c r="BE120" s="703"/>
      <c r="BF120" s="704"/>
      <c r="BG120" s="704"/>
      <c r="BH120" s="704"/>
      <c r="BI120" s="705"/>
      <c r="BJ120" s="188"/>
      <c r="BK120" s="703"/>
      <c r="BL120" s="704"/>
      <c r="BM120" s="704"/>
      <c r="BN120" s="704"/>
      <c r="BO120" s="705"/>
      <c r="BP120" s="188"/>
      <c r="BQ120" s="703"/>
      <c r="BR120" s="704"/>
      <c r="BS120" s="704"/>
      <c r="BT120" s="704"/>
      <c r="BU120" s="705"/>
      <c r="BV120" s="188"/>
      <c r="BW120" s="703"/>
      <c r="BX120" s="704"/>
      <c r="BY120" s="704"/>
      <c r="BZ120" s="704"/>
      <c r="CA120" s="705"/>
      <c r="CB120" s="188"/>
      <c r="CC120" s="703"/>
      <c r="CD120" s="704"/>
      <c r="CE120" s="704"/>
      <c r="CF120" s="704"/>
      <c r="CG120" s="705"/>
      <c r="CH120" s="1"/>
    </row>
    <row r="121" spans="1:98" s="7" customFormat="1" ht="11.25" customHeight="1" x14ac:dyDescent="0.2">
      <c r="B121" s="426" t="s">
        <v>87</v>
      </c>
      <c r="C121" s="238">
        <v>161.542</v>
      </c>
      <c r="D121" s="39">
        <f>C126</f>
        <v>157.874</v>
      </c>
      <c r="E121" s="39">
        <f>D126</f>
        <v>155.62299999999999</v>
      </c>
      <c r="F121" s="39">
        <f>E126</f>
        <v>203.38900000000001</v>
      </c>
      <c r="G121" s="388">
        <f>+C121</f>
        <v>161.542</v>
      </c>
      <c r="H121" s="39"/>
      <c r="I121" s="237">
        <f>+F126</f>
        <v>192.42</v>
      </c>
      <c r="J121" s="39">
        <f>I126</f>
        <v>193.15</v>
      </c>
      <c r="K121" s="39">
        <f>J126</f>
        <v>191.03899999999999</v>
      </c>
      <c r="L121" s="39">
        <f>K126</f>
        <v>174.77199999999999</v>
      </c>
      <c r="M121" s="388">
        <f>+G126</f>
        <v>192.42</v>
      </c>
      <c r="N121" s="39"/>
      <c r="O121" s="237">
        <f>+L126</f>
        <v>214.09299999999999</v>
      </c>
      <c r="P121" s="39">
        <f>O126</f>
        <v>203.16300000000001</v>
      </c>
      <c r="Q121" s="39">
        <f>P126</f>
        <v>206.429</v>
      </c>
      <c r="R121" s="39">
        <f>Q126</f>
        <v>212.042</v>
      </c>
      <c r="S121" s="388">
        <f>+M126</f>
        <v>214.09299999999996</v>
      </c>
      <c r="T121" s="39"/>
      <c r="U121" s="237">
        <f>+R126</f>
        <v>204.44499999999999</v>
      </c>
      <c r="V121" s="39">
        <f>U126</f>
        <v>349.65699999999998</v>
      </c>
      <c r="W121" s="39">
        <f>V126</f>
        <v>406.82799999999997</v>
      </c>
      <c r="X121" s="39">
        <f>W126</f>
        <v>413.70100000000002</v>
      </c>
      <c r="Y121" s="388">
        <f>+S126</f>
        <v>204.44499999999999</v>
      </c>
      <c r="Z121" s="39"/>
      <c r="AA121" s="237">
        <f>+X126</f>
        <v>405.46800000000002</v>
      </c>
      <c r="AB121" s="39">
        <f>AA126</f>
        <v>458.48</v>
      </c>
      <c r="AC121" s="39">
        <f>AB126</f>
        <v>447.50099999999998</v>
      </c>
      <c r="AD121" s="39">
        <f>AC126</f>
        <v>426.06099999999998</v>
      </c>
      <c r="AE121" s="388">
        <f>+Y126</f>
        <v>405.46800000000002</v>
      </c>
      <c r="AF121" s="39"/>
      <c r="AG121" s="237">
        <f>+AD126</f>
        <v>409.61200000000002</v>
      </c>
      <c r="AH121" s="39">
        <f>AG126</f>
        <v>409.142</v>
      </c>
      <c r="AI121" s="39">
        <f>AH126</f>
        <v>425.03800000000001</v>
      </c>
      <c r="AJ121" s="39">
        <f>AI126</f>
        <v>471.14299999999997</v>
      </c>
      <c r="AK121" s="388">
        <f>+AE126</f>
        <v>409.61200000000002</v>
      </c>
      <c r="AL121" s="39"/>
      <c r="AM121" s="237">
        <f>+AJ126</f>
        <v>462.18200000000002</v>
      </c>
      <c r="AN121" s="39">
        <f>AM126</f>
        <v>453.50200000000001</v>
      </c>
      <c r="AO121" s="39">
        <f>AN126</f>
        <v>435.41199999999998</v>
      </c>
      <c r="AP121" s="39">
        <f>AO126</f>
        <v>431.50400000000002</v>
      </c>
      <c r="AQ121" s="388">
        <f>+AK126</f>
        <v>462.18200000000002</v>
      </c>
      <c r="AR121" s="39"/>
      <c r="AS121" s="237">
        <f>+AP126</f>
        <v>417.13299999999998</v>
      </c>
      <c r="AT121" s="39">
        <f>AS126</f>
        <v>587.202</v>
      </c>
      <c r="AU121" s="39">
        <f>AT126</f>
        <v>594.35799999999995</v>
      </c>
      <c r="AV121" s="39">
        <f>AU126</f>
        <v>654.07000000000005</v>
      </c>
      <c r="AW121" s="388">
        <f>+AQ126</f>
        <v>417.13300000000004</v>
      </c>
      <c r="AX121" s="39"/>
      <c r="AY121" s="237">
        <f>+AV126</f>
        <v>643.73599999999999</v>
      </c>
      <c r="AZ121" s="39">
        <f>AY126</f>
        <v>601.47199999999998</v>
      </c>
      <c r="BA121" s="39">
        <f>AZ126</f>
        <v>601.11800000000005</v>
      </c>
      <c r="BB121" s="39">
        <f>BA126</f>
        <v>615.25800000000004</v>
      </c>
      <c r="BC121" s="388">
        <f>+AW126</f>
        <v>643.73599999999988</v>
      </c>
      <c r="BD121" s="39"/>
      <c r="BE121" s="237">
        <f>+BB126</f>
        <v>592.971</v>
      </c>
      <c r="BF121" s="39">
        <f>BE126</f>
        <v>603.24900000000002</v>
      </c>
      <c r="BG121" s="39">
        <f>BF126</f>
        <v>593.91899999999998</v>
      </c>
      <c r="BH121" s="39">
        <f>BG126</f>
        <v>593.26</v>
      </c>
      <c r="BI121" s="388">
        <f>+BC126</f>
        <v>592.971</v>
      </c>
      <c r="BJ121" s="39"/>
      <c r="BK121" s="237">
        <f>+BH126</f>
        <v>621.17999999999995</v>
      </c>
      <c r="BL121" s="39">
        <f>BK126</f>
        <v>599.18299999999999</v>
      </c>
      <c r="BM121" s="39">
        <f>BL126</f>
        <v>636.81299999999999</v>
      </c>
      <c r="BN121" s="39">
        <f>BM126</f>
        <v>666.99699999999996</v>
      </c>
      <c r="BO121" s="388">
        <f>+BI126</f>
        <v>621.17999999999972</v>
      </c>
      <c r="BP121" s="39"/>
      <c r="BQ121" s="237">
        <f>+BN126</f>
        <v>669.64099999999996</v>
      </c>
      <c r="BR121" s="39">
        <f>BQ126</f>
        <v>639.50715500000001</v>
      </c>
      <c r="BS121" s="39">
        <f>BR126</f>
        <v>610.72933302499996</v>
      </c>
      <c r="BT121" s="39">
        <f>BS126</f>
        <v>583.24651303887492</v>
      </c>
      <c r="BU121" s="388">
        <f>+BO126</f>
        <v>669.64099999999974</v>
      </c>
      <c r="BV121" s="39"/>
      <c r="BW121" s="237">
        <f>+BT126</f>
        <v>557.00041995212553</v>
      </c>
      <c r="BX121" s="39">
        <f>BW126</f>
        <v>529.15039895451923</v>
      </c>
      <c r="BY121" s="39">
        <f>BX126</f>
        <v>502.69287900679325</v>
      </c>
      <c r="BZ121" s="39">
        <f>BY126</f>
        <v>477.55823505645361</v>
      </c>
      <c r="CA121" s="388">
        <f>+BU126</f>
        <v>557.00041995212541</v>
      </c>
      <c r="CB121" s="39"/>
      <c r="CC121" s="237">
        <f>+BZ126</f>
        <v>453.68032330363093</v>
      </c>
      <c r="CD121" s="39">
        <f>CC126</f>
        <v>428.72790552193123</v>
      </c>
      <c r="CE121" s="39">
        <f>CD126</f>
        <v>405.14787071822502</v>
      </c>
      <c r="CF121" s="39">
        <f>CE126</f>
        <v>382.86473782872264</v>
      </c>
      <c r="CG121" s="388">
        <f>+CA126</f>
        <v>453.68032330363081</v>
      </c>
      <c r="CH121" s="35"/>
      <c r="CI121" s="35"/>
      <c r="CJ121" s="35"/>
      <c r="CK121" s="35"/>
      <c r="CL121" s="35"/>
      <c r="CM121" s="35"/>
      <c r="CN121" s="35"/>
      <c r="CO121"/>
      <c r="CP121"/>
      <c r="CQ121"/>
      <c r="CR121"/>
      <c r="CS121"/>
      <c r="CT121"/>
    </row>
    <row r="122" spans="1:98" s="7" customFormat="1" ht="11.25" customHeight="1" x14ac:dyDescent="0.2">
      <c r="B122" s="429" t="s">
        <v>258</v>
      </c>
      <c r="C122" s="237">
        <f>-C138*C140</f>
        <v>8.2295999999999996</v>
      </c>
      <c r="D122" s="39">
        <f>-D138*D140</f>
        <v>4.3173000000000004</v>
      </c>
      <c r="E122" s="39">
        <f>-E138*E140</f>
        <v>24.742499999999996</v>
      </c>
      <c r="F122" s="39">
        <f>-F138*F140</f>
        <v>24.565199999999994</v>
      </c>
      <c r="G122" s="388">
        <f>+SUM(C122:F122)</f>
        <v>61.854599999999991</v>
      </c>
      <c r="H122" s="138"/>
      <c r="I122" s="237">
        <f>-I138*I140</f>
        <v>2.5571999999999995</v>
      </c>
      <c r="J122" s="39">
        <f>-J138*J140</f>
        <v>4.5171000000000001</v>
      </c>
      <c r="K122" s="39">
        <f>-K138*K140</f>
        <v>0.70469999999999999</v>
      </c>
      <c r="L122" s="39">
        <f>-L138*L140</f>
        <v>30.761999999999997</v>
      </c>
      <c r="M122" s="388">
        <f>+SUM(I122:L122)</f>
        <v>38.540999999999997</v>
      </c>
      <c r="N122" s="138"/>
      <c r="O122" s="237">
        <f>-O138*O140</f>
        <v>4.1228999999999996</v>
      </c>
      <c r="P122" s="39">
        <f>-P138*P140</f>
        <v>3.8237999999999999</v>
      </c>
      <c r="Q122" s="39">
        <f>-Q138*Q140</f>
        <v>5.6906999999999979</v>
      </c>
      <c r="R122" s="39">
        <f>-R138*R140</f>
        <v>3.357000000000002</v>
      </c>
      <c r="S122" s="388">
        <f>+SUM(O122:R122)</f>
        <v>16.994399999999999</v>
      </c>
      <c r="T122" s="138"/>
      <c r="U122" s="237">
        <f>-U138*U140</f>
        <v>32.683799999999998</v>
      </c>
      <c r="V122" s="39">
        <f>-V138*V140</f>
        <v>28.695600000000002</v>
      </c>
      <c r="W122" s="39">
        <f>-W138*W140</f>
        <v>29.893799999999985</v>
      </c>
      <c r="X122" s="39">
        <f>-X138*X140</f>
        <v>14.506200000000012</v>
      </c>
      <c r="Y122" s="388">
        <f>+SUM(U122:X122)</f>
        <v>105.7794</v>
      </c>
      <c r="Z122" s="138"/>
      <c r="AA122" s="237">
        <f>-AA138*AA140</f>
        <v>40.084200000000003</v>
      </c>
      <c r="AB122" s="39">
        <f>-AB138*AB140</f>
        <v>3.0065999999999975</v>
      </c>
      <c r="AC122" s="39">
        <f>-AC138*AC140</f>
        <v>0</v>
      </c>
      <c r="AD122" s="39">
        <f>-AD138*AD140</f>
        <v>1.7300999999999986</v>
      </c>
      <c r="AE122" s="388">
        <f>+SUM(AA122:AD122)</f>
        <v>44.820900000000002</v>
      </c>
      <c r="AF122" s="138"/>
      <c r="AG122" s="237">
        <f>-AG138*AG140</f>
        <v>5.694</v>
      </c>
      <c r="AH122" s="39">
        <f>-AH138*AH140</f>
        <v>30.410399999999996</v>
      </c>
      <c r="AI122" s="39">
        <f>-AI138*AI140</f>
        <v>25.773899999999998</v>
      </c>
      <c r="AJ122" s="39">
        <f>-AJ138*AJ140</f>
        <v>4.1930999999999976</v>
      </c>
      <c r="AK122" s="388">
        <f>+SUM(AG122:AJ122)</f>
        <v>66.071399999999997</v>
      </c>
      <c r="AL122" s="138"/>
      <c r="AM122" s="237">
        <f>-AM138*AM140</f>
        <v>9.7077000000000009</v>
      </c>
      <c r="AN122" s="39">
        <f>-AN138*AN140</f>
        <v>0.404699999999999</v>
      </c>
      <c r="AO122" s="39">
        <f>-AO138*AO140</f>
        <v>4.2510000000000003</v>
      </c>
      <c r="AP122" s="39">
        <f>-AP138*AP140</f>
        <v>40.345499999999994</v>
      </c>
      <c r="AQ122" s="388">
        <f>+SUM(AM122:AP122)</f>
        <v>54.708899999999993</v>
      </c>
      <c r="AR122" s="138"/>
      <c r="AS122" s="237">
        <f>-AS138*AS140</f>
        <v>43.403700000000001</v>
      </c>
      <c r="AT122" s="39">
        <f>-AT138*AT140</f>
        <v>23.453399999999998</v>
      </c>
      <c r="AU122" s="39">
        <f>-AU138*AU140</f>
        <v>42.375900000000001</v>
      </c>
      <c r="AV122" s="39">
        <f>-AV138*AV140</f>
        <v>18.051899999999993</v>
      </c>
      <c r="AW122" s="388">
        <f>+SUM(AS122:AV122)</f>
        <v>127.28489999999999</v>
      </c>
      <c r="AX122" s="138"/>
      <c r="AY122" s="237">
        <f>-AY138*AY140</f>
        <v>4.0911</v>
      </c>
      <c r="AZ122" s="39">
        <f>-AZ138*AZ140</f>
        <v>14.303700000000001</v>
      </c>
      <c r="BA122" s="39">
        <f>-BA138*BA140</f>
        <v>24.2286</v>
      </c>
      <c r="BB122" s="39">
        <f>-BB138*BB140</f>
        <v>8.9348999999999954</v>
      </c>
      <c r="BC122" s="388">
        <f>+SUM(AY122:BB122)</f>
        <v>51.558300000000003</v>
      </c>
      <c r="BD122" s="138"/>
      <c r="BE122" s="237">
        <f>-BE138*BE140</f>
        <v>15.768599999999999</v>
      </c>
      <c r="BF122" s="39">
        <f>-BF138*BF140</f>
        <v>11.963700000000001</v>
      </c>
      <c r="BG122" s="39">
        <f>-BG138*BG140</f>
        <v>10.230600000000001</v>
      </c>
      <c r="BH122" s="39">
        <f>-BH138*BH140</f>
        <v>30.609599999999997</v>
      </c>
      <c r="BI122" s="388">
        <f>+SUM(BE122:BH122)</f>
        <v>68.572500000000005</v>
      </c>
      <c r="BJ122" s="138"/>
      <c r="BK122" s="237">
        <f>-BK138*BK140</f>
        <v>3.5459999999999998</v>
      </c>
      <c r="BL122" s="39">
        <f>-BL138*BL140</f>
        <v>41.329800000000006</v>
      </c>
      <c r="BM122" s="39">
        <f>-BM138*BM140</f>
        <v>32.76</v>
      </c>
      <c r="BN122" s="39">
        <f>-BN138*BN140</f>
        <v>8.9660999999999973</v>
      </c>
      <c r="BO122" s="388">
        <f>+SUM(BK122:BN122)</f>
        <v>86.601900000000001</v>
      </c>
      <c r="BP122" s="138"/>
      <c r="BQ122" s="237">
        <f>-BQ138*BQ140</f>
        <v>0</v>
      </c>
      <c r="BR122" s="39">
        <f>-BR138*BR140</f>
        <v>0</v>
      </c>
      <c r="BS122" s="39">
        <f>-BS138*BS140</f>
        <v>0</v>
      </c>
      <c r="BT122" s="39">
        <f>-BT138*BT140</f>
        <v>0</v>
      </c>
      <c r="BU122" s="388">
        <f>+SUM(BQ122:BT122)</f>
        <v>0</v>
      </c>
      <c r="BV122" s="138"/>
      <c r="BW122" s="237">
        <f>-BW138*BW140</f>
        <v>0</v>
      </c>
      <c r="BX122" s="39">
        <f>-BX138*BX140</f>
        <v>0</v>
      </c>
      <c r="BY122" s="39">
        <f>-BY138*BY140</f>
        <v>0</v>
      </c>
      <c r="BZ122" s="39">
        <f>-BZ138*BZ140</f>
        <v>0</v>
      </c>
      <c r="CA122" s="388">
        <f>+SUM(BW122:BZ122)</f>
        <v>0</v>
      </c>
      <c r="CB122" s="138"/>
      <c r="CC122" s="237">
        <f>-CC138*CC140</f>
        <v>0</v>
      </c>
      <c r="CD122" s="39">
        <f>-CD138*CD140</f>
        <v>0</v>
      </c>
      <c r="CE122" s="39">
        <f>-CE138*CE140</f>
        <v>0</v>
      </c>
      <c r="CF122" s="39">
        <f>-CF138*CF140</f>
        <v>0</v>
      </c>
      <c r="CG122" s="388">
        <f>+SUM(CC122:CF122)</f>
        <v>0</v>
      </c>
      <c r="CH122" s="35"/>
      <c r="CI122" s="35"/>
      <c r="CJ122" s="35"/>
      <c r="CK122" s="35"/>
      <c r="CL122" s="35"/>
      <c r="CM122" s="35"/>
      <c r="CN122" s="35"/>
      <c r="CO122"/>
      <c r="CP122"/>
      <c r="CQ122"/>
      <c r="CR122"/>
      <c r="CS122"/>
      <c r="CT122"/>
    </row>
    <row r="123" spans="1:98" s="7" customFormat="1" ht="11.25" customHeight="1" x14ac:dyDescent="0.2">
      <c r="B123" s="429" t="s">
        <v>88</v>
      </c>
      <c r="C123" s="237">
        <f>+G123/4</f>
        <v>5.8</v>
      </c>
      <c r="D123" s="39">
        <f>+G123/4</f>
        <v>5.8</v>
      </c>
      <c r="E123" s="39">
        <f>+G123/4</f>
        <v>5.8</v>
      </c>
      <c r="F123" s="39">
        <f>+G123/4</f>
        <v>5.8</v>
      </c>
      <c r="G123" s="614">
        <v>23.2</v>
      </c>
      <c r="H123" s="39"/>
      <c r="I123" s="237">
        <f>+M123/4</f>
        <v>6.9749999999999996</v>
      </c>
      <c r="J123" s="39">
        <f>+M123/4</f>
        <v>6.9749999999999996</v>
      </c>
      <c r="K123" s="39">
        <f>+M123/4</f>
        <v>6.9749999999999996</v>
      </c>
      <c r="L123" s="39">
        <f>+M123/4</f>
        <v>6.9749999999999996</v>
      </c>
      <c r="M123" s="614">
        <v>27.9</v>
      </c>
      <c r="N123" s="39"/>
      <c r="O123" s="237">
        <f>+S123/4</f>
        <v>7.65</v>
      </c>
      <c r="P123" s="39">
        <f>+S123/4</f>
        <v>7.65</v>
      </c>
      <c r="Q123" s="39">
        <f>+S123/4</f>
        <v>7.65</v>
      </c>
      <c r="R123" s="39">
        <f>+S123/4</f>
        <v>7.65</v>
      </c>
      <c r="S123" s="614">
        <v>30.6</v>
      </c>
      <c r="T123" s="39"/>
      <c r="U123" s="237">
        <f>+Y123/4</f>
        <v>11.8</v>
      </c>
      <c r="V123" s="39">
        <f>+Y123/4</f>
        <v>11.8</v>
      </c>
      <c r="W123" s="39">
        <f>+Y123/4</f>
        <v>11.8</v>
      </c>
      <c r="X123" s="39">
        <f>+Y123/4</f>
        <v>11.8</v>
      </c>
      <c r="Y123" s="614">
        <v>47.2</v>
      </c>
      <c r="Z123" s="39"/>
      <c r="AA123" s="237">
        <f>+AE123/4</f>
        <v>14.75</v>
      </c>
      <c r="AB123" s="39">
        <f>+AE123/4</f>
        <v>14.75</v>
      </c>
      <c r="AC123" s="39">
        <f>+AE123/4</f>
        <v>14.75</v>
      </c>
      <c r="AD123" s="39">
        <f>+AE123/4</f>
        <v>14.75</v>
      </c>
      <c r="AE123" s="614">
        <v>59</v>
      </c>
      <c r="AF123" s="39"/>
      <c r="AG123" s="237">
        <f>+AK123/4</f>
        <v>17.125</v>
      </c>
      <c r="AH123" s="39">
        <f>+AK123/4</f>
        <v>17.125</v>
      </c>
      <c r="AI123" s="39">
        <f>+AK123/4</f>
        <v>17.125</v>
      </c>
      <c r="AJ123" s="39">
        <f>+AK123/4</f>
        <v>17.125</v>
      </c>
      <c r="AK123" s="614">
        <v>68.5</v>
      </c>
      <c r="AL123" s="39"/>
      <c r="AM123" s="237">
        <f>+AQ123/4</f>
        <v>17.3</v>
      </c>
      <c r="AN123" s="39">
        <f>+AQ123/4</f>
        <v>17.3</v>
      </c>
      <c r="AO123" s="39">
        <f>+AQ123/4</f>
        <v>17.3</v>
      </c>
      <c r="AP123" s="39">
        <f>+AQ123/4</f>
        <v>17.3</v>
      </c>
      <c r="AQ123" s="614">
        <v>69.2</v>
      </c>
      <c r="AR123" s="39"/>
      <c r="AS123" s="237">
        <f>+AW123/4</f>
        <v>22.4</v>
      </c>
      <c r="AT123" s="39">
        <f>+AW123/4</f>
        <v>22.4</v>
      </c>
      <c r="AU123" s="39">
        <f>+AW123/4</f>
        <v>22.4</v>
      </c>
      <c r="AV123" s="39">
        <f>+AW123/4</f>
        <v>22.4</v>
      </c>
      <c r="AW123" s="614">
        <v>89.6</v>
      </c>
      <c r="AX123" s="39"/>
      <c r="AY123" s="237">
        <f>+BC123/4</f>
        <v>22.975000000000001</v>
      </c>
      <c r="AZ123" s="39">
        <f>+BC123/4</f>
        <v>22.975000000000001</v>
      </c>
      <c r="BA123" s="39">
        <f>+BC123/4</f>
        <v>22.975000000000001</v>
      </c>
      <c r="BB123" s="39">
        <f>+BC123/4</f>
        <v>22.975000000000001</v>
      </c>
      <c r="BC123" s="614">
        <v>91.9</v>
      </c>
      <c r="BD123" s="39"/>
      <c r="BE123" s="237">
        <f>+BI123/4</f>
        <v>24.3</v>
      </c>
      <c r="BF123" s="39">
        <f>+BI123/4</f>
        <v>24.3</v>
      </c>
      <c r="BG123" s="39">
        <f>+BI123/4</f>
        <v>24.3</v>
      </c>
      <c r="BH123" s="39">
        <f>+BI123/4</f>
        <v>24.3</v>
      </c>
      <c r="BI123" s="614">
        <v>97.2</v>
      </c>
      <c r="BJ123" s="39"/>
      <c r="BK123" s="237">
        <f>+BO123/4</f>
        <v>29.125</v>
      </c>
      <c r="BL123" s="39">
        <f>+BO123/4</f>
        <v>29.125</v>
      </c>
      <c r="BM123" s="39">
        <f>+BO123/4</f>
        <v>29.125</v>
      </c>
      <c r="BN123" s="39">
        <f>+BO123/4</f>
        <v>29.125</v>
      </c>
      <c r="BO123" s="614">
        <v>116.5</v>
      </c>
      <c r="BP123" s="39"/>
      <c r="BQ123" s="237">
        <f>(BQ121*BQ124)/4</f>
        <v>30.133844999999997</v>
      </c>
      <c r="BR123" s="39">
        <f>(BR121*BR124)/4</f>
        <v>28.777821974999998</v>
      </c>
      <c r="BS123" s="39">
        <f>(BS121*BS124)/4</f>
        <v>27.482819986124998</v>
      </c>
      <c r="BT123" s="39">
        <f>(BT121*BT124)/4</f>
        <v>26.246093086749372</v>
      </c>
      <c r="BU123" s="388">
        <f>SUM(BQ123:BT123)</f>
        <v>112.64058004787437</v>
      </c>
      <c r="BV123" s="39"/>
      <c r="BW123" s="237">
        <f>(BW121*BW124)/4</f>
        <v>27.850020997606276</v>
      </c>
      <c r="BX123" s="39">
        <f>(BX121*BX124)/4</f>
        <v>26.457519947725959</v>
      </c>
      <c r="BY123" s="39">
        <f>(BY121*BY124)/4</f>
        <v>25.134643950339662</v>
      </c>
      <c r="BZ123" s="39">
        <f>(BZ121*BZ124)/4</f>
        <v>23.87791175282268</v>
      </c>
      <c r="CA123" s="388">
        <f>SUM(BW123:BZ123)</f>
        <v>103.32009664849458</v>
      </c>
      <c r="CB123" s="39"/>
      <c r="CC123" s="237">
        <f>(CC121*CC124)/4</f>
        <v>24.952417781699697</v>
      </c>
      <c r="CD123" s="39">
        <f>(CD121*CD124)/4</f>
        <v>23.580034803706216</v>
      </c>
      <c r="CE123" s="39">
        <f>(CE121*CE124)/4</f>
        <v>22.283132889502372</v>
      </c>
      <c r="CF123" s="39">
        <f>(CF121*CF124)/4</f>
        <v>21.057560580579743</v>
      </c>
      <c r="CG123" s="388">
        <f>SUM(CC123:CF123)</f>
        <v>91.873146055488036</v>
      </c>
      <c r="CH123" s="35"/>
      <c r="CI123" s="35"/>
      <c r="CJ123" s="35"/>
      <c r="CK123" s="35"/>
      <c r="CL123" s="35"/>
      <c r="CM123" s="35"/>
      <c r="CN123" s="35"/>
      <c r="CO123"/>
      <c r="CP123"/>
      <c r="CQ123"/>
      <c r="CR123"/>
      <c r="CS123"/>
      <c r="CT123"/>
    </row>
    <row r="124" spans="1:98" s="7" customFormat="1" ht="11.25" customHeight="1" x14ac:dyDescent="0.2">
      <c r="B124" s="491" t="s">
        <v>89</v>
      </c>
      <c r="C124" s="604">
        <f>(C123*4)/C121</f>
        <v>0.1436159017469141</v>
      </c>
      <c r="D124" s="605">
        <f>(D123*4)/D121</f>
        <v>0.14695263311248211</v>
      </c>
      <c r="E124" s="605">
        <f>(E123*4)/E121</f>
        <v>0.1490782210855722</v>
      </c>
      <c r="F124" s="605">
        <f>(F123*4)/F121</f>
        <v>0.11406713244079079</v>
      </c>
      <c r="G124" s="611">
        <f>(G123)/G121</f>
        <v>0.1436159017469141</v>
      </c>
      <c r="H124" s="27"/>
      <c r="I124" s="604">
        <f>(I123*4)/I121</f>
        <v>0.1449953227315248</v>
      </c>
      <c r="J124" s="605">
        <f>(J123*4)/J121</f>
        <v>0.14444732073517991</v>
      </c>
      <c r="K124" s="605">
        <f>(K123*4)/K121</f>
        <v>0.14604347803328116</v>
      </c>
      <c r="L124" s="605">
        <f>(L123*4)/L121</f>
        <v>0.15963655505458541</v>
      </c>
      <c r="M124" s="611">
        <f>(M123)/M121</f>
        <v>0.1449953227315248</v>
      </c>
      <c r="N124" s="27"/>
      <c r="O124" s="604">
        <f>(O123*4)/O121</f>
        <v>0.14292854040066702</v>
      </c>
      <c r="P124" s="605">
        <f>(P123*4)/P121</f>
        <v>0.15061797669851301</v>
      </c>
      <c r="Q124" s="605">
        <f>(Q123*4)/Q121</f>
        <v>0.14823498636335011</v>
      </c>
      <c r="R124" s="605">
        <f>(R123*4)/R121</f>
        <v>0.14431103271993284</v>
      </c>
      <c r="S124" s="611">
        <f>(S123)/S121</f>
        <v>0.14292854040066702</v>
      </c>
      <c r="T124" s="27"/>
      <c r="U124" s="604">
        <f>(U123*4)/U121</f>
        <v>0.23086893785614715</v>
      </c>
      <c r="V124" s="605">
        <f>(V123*4)/V121</f>
        <v>0.13498943250099385</v>
      </c>
      <c r="W124" s="605">
        <f>(W123*4)/W121</f>
        <v>0.11601954634390949</v>
      </c>
      <c r="X124" s="605">
        <f>(X123*4)/X121</f>
        <v>0.11409206165805739</v>
      </c>
      <c r="Y124" s="611">
        <f>(Y123)/Y121</f>
        <v>0.23086893785614715</v>
      </c>
      <c r="Z124" s="27"/>
      <c r="AA124" s="604">
        <f>(AA123*4)/AA121</f>
        <v>0.14551086645555258</v>
      </c>
      <c r="AB124" s="605">
        <f>(AB123*4)/AB121</f>
        <v>0.12868609317745594</v>
      </c>
      <c r="AC124" s="605">
        <f>(AC123*4)/AC121</f>
        <v>0.13184328079713789</v>
      </c>
      <c r="AD124" s="605">
        <f>(AD123*4)/AD121</f>
        <v>0.1384778235980294</v>
      </c>
      <c r="AE124" s="611">
        <f>(AE123)/AE121</f>
        <v>0.14551086645555258</v>
      </c>
      <c r="AF124" s="27"/>
      <c r="AG124" s="604">
        <f>(AG123*4)/AG121</f>
        <v>0.16723142876673533</v>
      </c>
      <c r="AH124" s="605">
        <f>(AH123*4)/AH121</f>
        <v>0.1674235351051713</v>
      </c>
      <c r="AI124" s="605">
        <f>(AI123*4)/AI121</f>
        <v>0.16116206080397516</v>
      </c>
      <c r="AJ124" s="605">
        <f>(AJ123*4)/AJ121</f>
        <v>0.14539110206455366</v>
      </c>
      <c r="AK124" s="611">
        <f>(AK123)/AK121</f>
        <v>0.16723142876673533</v>
      </c>
      <c r="AL124" s="27"/>
      <c r="AM124" s="604">
        <f>(AM123*4)/AM121</f>
        <v>0.14972456737821896</v>
      </c>
      <c r="AN124" s="605">
        <f>(AN123*4)/AN121</f>
        <v>0.15259028626114107</v>
      </c>
      <c r="AO124" s="605">
        <f>(AO123*4)/AO121</f>
        <v>0.15892993302894731</v>
      </c>
      <c r="AP124" s="605">
        <f>(AP123*4)/AP121</f>
        <v>0.16036931291482814</v>
      </c>
      <c r="AQ124" s="611">
        <f>(AQ123)/AQ121</f>
        <v>0.14972456737821896</v>
      </c>
      <c r="AR124" s="27"/>
      <c r="AS124" s="604">
        <f>(AS123*4)/AS121</f>
        <v>0.21479959629183018</v>
      </c>
      <c r="AT124" s="605">
        <f>(AT123*4)/AT121</f>
        <v>0.15258803614429106</v>
      </c>
      <c r="AU124" s="605">
        <f>(AU123*4)/AU121</f>
        <v>0.15075089424219074</v>
      </c>
      <c r="AV124" s="605">
        <f>(AV123*4)/AV121</f>
        <v>0.13698839573745927</v>
      </c>
      <c r="AW124" s="611">
        <f>(AW123)/AW121</f>
        <v>0.21479959629183015</v>
      </c>
      <c r="AX124" s="27"/>
      <c r="AY124" s="604">
        <f>(AY123*4)/AY121</f>
        <v>0.14276038624529311</v>
      </c>
      <c r="AZ124" s="605">
        <f>(AZ123*4)/AZ121</f>
        <v>0.15279181740795916</v>
      </c>
      <c r="BA124" s="605">
        <f>(BA123*4)/BA121</f>
        <v>0.1528817969184087</v>
      </c>
      <c r="BB124" s="605">
        <f>(BB123*4)/BB121</f>
        <v>0.14936823251383971</v>
      </c>
      <c r="BC124" s="611">
        <f>(BC123)/BC121</f>
        <v>0.14276038624529314</v>
      </c>
      <c r="BD124" s="27"/>
      <c r="BE124" s="604">
        <f>(BE123*4)/BE121</f>
        <v>0.16392032662642861</v>
      </c>
      <c r="BF124" s="605">
        <f>(BF123*4)/BF121</f>
        <v>0.16112749461665082</v>
      </c>
      <c r="BG124" s="605">
        <f>(BG123*4)/BG121</f>
        <v>0.16365868072919035</v>
      </c>
      <c r="BH124" s="605">
        <f>(BH123*4)/BH121</f>
        <v>0.1638404746654081</v>
      </c>
      <c r="BI124" s="611">
        <f>(BI123)/BI121</f>
        <v>0.16392032662642861</v>
      </c>
      <c r="BJ124" s="27"/>
      <c r="BK124" s="604">
        <f>(BK123*4)/BK121</f>
        <v>0.1875462828809685</v>
      </c>
      <c r="BL124" s="605">
        <f>(BL123*4)/BL121</f>
        <v>0.19443141744675668</v>
      </c>
      <c r="BM124" s="605">
        <f>(BM123*4)/BM121</f>
        <v>0.18294224521170266</v>
      </c>
      <c r="BN124" s="605">
        <f>(BN123*4)/BN121</f>
        <v>0.17466345425841498</v>
      </c>
      <c r="BO124" s="611">
        <f>(BO123)/BO121</f>
        <v>0.18754628288096856</v>
      </c>
      <c r="BP124" s="27"/>
      <c r="BQ124" s="618">
        <v>0.18</v>
      </c>
      <c r="BR124" s="616">
        <f>+BQ124</f>
        <v>0.18</v>
      </c>
      <c r="BS124" s="616">
        <f>+BR124</f>
        <v>0.18</v>
      </c>
      <c r="BT124" s="616">
        <f>+BS124</f>
        <v>0.18</v>
      </c>
      <c r="BU124" s="611">
        <f>(BU123)/BU121</f>
        <v>0.16821039937500004</v>
      </c>
      <c r="BV124" s="27"/>
      <c r="BW124" s="618">
        <f>+BQ124+2%</f>
        <v>0.19999999999999998</v>
      </c>
      <c r="BX124" s="616">
        <f>+BW124</f>
        <v>0.19999999999999998</v>
      </c>
      <c r="BY124" s="616">
        <f>+BX124</f>
        <v>0.19999999999999998</v>
      </c>
      <c r="BZ124" s="616">
        <f>+BY124</f>
        <v>0.19999999999999998</v>
      </c>
      <c r="CA124" s="611">
        <f>(CA123)/CA121</f>
        <v>0.18549375000000004</v>
      </c>
      <c r="CB124" s="27"/>
      <c r="CC124" s="618">
        <f>+BW124+2%</f>
        <v>0.21999999999999997</v>
      </c>
      <c r="CD124" s="616">
        <f>+CC124</f>
        <v>0.21999999999999997</v>
      </c>
      <c r="CE124" s="616">
        <f>+CD124</f>
        <v>0.21999999999999997</v>
      </c>
      <c r="CF124" s="616">
        <f>+CE124</f>
        <v>0.21999999999999997</v>
      </c>
      <c r="CG124" s="611">
        <f>(CG123)/CG121</f>
        <v>0.20250634937500003</v>
      </c>
      <c r="CH124" s="102"/>
      <c r="CI124" s="102"/>
      <c r="CJ124" s="102"/>
      <c r="CK124" s="102"/>
      <c r="CL124" s="102"/>
      <c r="CM124" s="102"/>
      <c r="CN124" s="102"/>
      <c r="CO124"/>
      <c r="CP124"/>
      <c r="CQ124"/>
      <c r="CR124"/>
      <c r="CS124"/>
      <c r="CT124"/>
    </row>
    <row r="125" spans="1:98" s="7" customFormat="1" ht="11.25" customHeight="1" x14ac:dyDescent="0.2">
      <c r="B125" s="623" t="s">
        <v>38</v>
      </c>
      <c r="C125" s="608">
        <f>C126+C123-C122-C121</f>
        <v>-6.0975999999999999</v>
      </c>
      <c r="D125" s="140">
        <f>D126+D123-D122-D121</f>
        <v>-0.76829999999998222</v>
      </c>
      <c r="E125" s="140">
        <f>E126+E123-E122-E121</f>
        <v>28.823500000000024</v>
      </c>
      <c r="F125" s="140">
        <f>F126+F123-F122-F121</f>
        <v>-29.734200000000016</v>
      </c>
      <c r="G125" s="612">
        <f>SUM(C125:F125)</f>
        <v>-7.7765999999999735</v>
      </c>
      <c r="H125" s="39"/>
      <c r="I125" s="608">
        <f>I126+I123-I122-I121</f>
        <v>5.1478000000000179</v>
      </c>
      <c r="J125" s="140">
        <f>J126+J123-J122-J121</f>
        <v>0.34689999999997667</v>
      </c>
      <c r="K125" s="140">
        <f>K126+K123-K122-K121</f>
        <v>-9.9967000000000041</v>
      </c>
      <c r="L125" s="140">
        <f>L126+L123-L122-L121</f>
        <v>15.533999999999992</v>
      </c>
      <c r="M125" s="612">
        <f>SUM(I125:L125)</f>
        <v>11.031999999999982</v>
      </c>
      <c r="N125" s="39"/>
      <c r="O125" s="608">
        <f>O126+O123-O122-O121</f>
        <v>-7.4028999999999598</v>
      </c>
      <c r="P125" s="140">
        <f>P126+P123-P122-P121</f>
        <v>7.0921999999999912</v>
      </c>
      <c r="Q125" s="140">
        <f>Q126+Q123-Q122-Q121</f>
        <v>7.5723000000000127</v>
      </c>
      <c r="R125" s="140">
        <f>R126+R123-R122-R121</f>
        <v>-3.304000000000002</v>
      </c>
      <c r="S125" s="612">
        <f>SUM(O125:R125)</f>
        <v>3.957600000000042</v>
      </c>
      <c r="T125" s="39"/>
      <c r="U125" s="608">
        <f>U126+U123-U122-U121</f>
        <v>124.32819999999998</v>
      </c>
      <c r="V125" s="140">
        <f>V126+V123-V122-V121</f>
        <v>40.275399999999991</v>
      </c>
      <c r="W125" s="140">
        <f>W126+W123-W122-W121</f>
        <v>-11.22079999999994</v>
      </c>
      <c r="X125" s="140">
        <f>X126+X123-X122-X121</f>
        <v>-10.939200000000028</v>
      </c>
      <c r="Y125" s="612">
        <f>SUM(U125:X125)</f>
        <v>142.4436</v>
      </c>
      <c r="Z125" s="39"/>
      <c r="AA125" s="608">
        <f>AA126+AA123-AA122-AA121</f>
        <v>27.677799999999991</v>
      </c>
      <c r="AB125" s="140">
        <f>AB126+AB123-AB122-AB121</f>
        <v>0.76439999999996644</v>
      </c>
      <c r="AC125" s="140">
        <f>AC126+AC123-AC122-AC121</f>
        <v>-6.6899999999999977</v>
      </c>
      <c r="AD125" s="140">
        <f>AD126+AD123-AD122-AD121</f>
        <v>-3.4290999999999485</v>
      </c>
      <c r="AE125" s="612">
        <f>SUM(AA125:AD125)</f>
        <v>18.323100000000011</v>
      </c>
      <c r="AF125" s="39"/>
      <c r="AG125" s="608">
        <f>AG126+AG123-AG122-AG121</f>
        <v>10.960999999999956</v>
      </c>
      <c r="AH125" s="140">
        <f>AH126+AH123-AH122-AH121</f>
        <v>2.6106000000000336</v>
      </c>
      <c r="AI125" s="140">
        <f>AI126+AI123-AI122-AI121</f>
        <v>37.456099999999992</v>
      </c>
      <c r="AJ125" s="140">
        <f>AJ126+AJ123-AJ122-AJ121</f>
        <v>3.9709000000000287</v>
      </c>
      <c r="AK125" s="612">
        <f>SUM(AG125:AJ125)</f>
        <v>54.99860000000001</v>
      </c>
      <c r="AL125" s="39"/>
      <c r="AM125" s="608">
        <f>AM126+AM123-AM122-AM121</f>
        <v>-1.0876999999999839</v>
      </c>
      <c r="AN125" s="140">
        <f>AN126+AN123-AN122-AN121</f>
        <v>-1.1947000000000116</v>
      </c>
      <c r="AO125" s="140">
        <f>AO126+AO123-AO122-AO121</f>
        <v>9.1410000000000764</v>
      </c>
      <c r="AP125" s="140">
        <f>AP126+AP123-AP122-AP121</f>
        <v>-37.416500000000042</v>
      </c>
      <c r="AQ125" s="612">
        <f>SUM(AM125:AP125)</f>
        <v>-30.557899999999961</v>
      </c>
      <c r="AR125" s="39"/>
      <c r="AS125" s="608">
        <f>AS126+AS123-AS122-AS121</f>
        <v>149.06530000000004</v>
      </c>
      <c r="AT125" s="140">
        <f>AT126+AT123-AT122-AT121</f>
        <v>6.1025999999999385</v>
      </c>
      <c r="AU125" s="140">
        <f>AU126+AU123-AU122-AU121</f>
        <v>39.736100000000079</v>
      </c>
      <c r="AV125" s="140">
        <f>AV126+AV123-AV122-AV121</f>
        <v>-5.9859000000001288</v>
      </c>
      <c r="AW125" s="612">
        <f>SUM(AS125:AV125)</f>
        <v>188.91809999999992</v>
      </c>
      <c r="AX125" s="39"/>
      <c r="AY125" s="608">
        <f>AY126+AY123-AY122-AY121</f>
        <v>-23.38009999999997</v>
      </c>
      <c r="AZ125" s="140">
        <f>AZ126+AZ123-AZ122-AZ121</f>
        <v>8.3173000000000457</v>
      </c>
      <c r="BA125" s="140">
        <f>BA126+BA123-BA122-BA121</f>
        <v>12.886399999999981</v>
      </c>
      <c r="BB125" s="140">
        <f>BB126+BB123-BB122-BB121</f>
        <v>-8.2468999999999824</v>
      </c>
      <c r="BC125" s="612">
        <f>SUM(AY125:BB125)</f>
        <v>-10.423299999999927</v>
      </c>
      <c r="BD125" s="39"/>
      <c r="BE125" s="608">
        <f>BE126+BE123-BE122-BE121</f>
        <v>18.809399999999982</v>
      </c>
      <c r="BF125" s="140">
        <f>BF126+BF123-BF122-BF121</f>
        <v>3.0062999999998965</v>
      </c>
      <c r="BG125" s="140">
        <f>BG126+BG123-BG122-BG121</f>
        <v>13.410399999999981</v>
      </c>
      <c r="BH125" s="140">
        <f>BH126+BH123-BH122-BH121</f>
        <v>21.610399999999913</v>
      </c>
      <c r="BI125" s="612">
        <f>SUM(BE125:BH125)</f>
        <v>56.836499999999774</v>
      </c>
      <c r="BJ125" s="39"/>
      <c r="BK125" s="608">
        <f>BK126+BK123-BK122-BK121</f>
        <v>3.5819999999999936</v>
      </c>
      <c r="BL125" s="140">
        <f>BL126+BL123-BL122-BL121</f>
        <v>25.425200000000018</v>
      </c>
      <c r="BM125" s="140">
        <f>BM126+BM123-BM122-BM121</f>
        <v>26.548999999999978</v>
      </c>
      <c r="BN125" s="140">
        <f>BN126+BN123-BN122-BN121</f>
        <v>22.802900000000022</v>
      </c>
      <c r="BO125" s="612">
        <f>SUM(BK125:BN125)</f>
        <v>78.359100000000012</v>
      </c>
      <c r="BP125" s="39"/>
      <c r="BQ125" s="619">
        <v>0</v>
      </c>
      <c r="BR125" s="157">
        <v>0</v>
      </c>
      <c r="BS125" s="157">
        <v>0</v>
      </c>
      <c r="BT125" s="157">
        <v>0</v>
      </c>
      <c r="BU125" s="612">
        <f>+SUM(BQ125:BT125)</f>
        <v>0</v>
      </c>
      <c r="BV125" s="39"/>
      <c r="BW125" s="619">
        <v>0</v>
      </c>
      <c r="BX125" s="157">
        <v>0</v>
      </c>
      <c r="BY125" s="157">
        <v>0</v>
      </c>
      <c r="BZ125" s="157">
        <v>0</v>
      </c>
      <c r="CA125" s="612">
        <f>+SUM(BW125:BZ125)</f>
        <v>0</v>
      </c>
      <c r="CB125" s="39"/>
      <c r="CC125" s="619">
        <v>0</v>
      </c>
      <c r="CD125" s="157">
        <v>0</v>
      </c>
      <c r="CE125" s="157">
        <v>0</v>
      </c>
      <c r="CF125" s="157">
        <v>0</v>
      </c>
      <c r="CG125" s="612">
        <f>+SUM(CC125:CF125)</f>
        <v>0</v>
      </c>
      <c r="CH125" s="27"/>
      <c r="CI125" s="27"/>
      <c r="CJ125" s="27"/>
      <c r="CK125" s="27"/>
      <c r="CL125" s="27"/>
      <c r="CM125" s="27"/>
      <c r="CN125" s="27"/>
      <c r="CO125"/>
      <c r="CP125"/>
      <c r="CQ125"/>
      <c r="CR125"/>
      <c r="CS125"/>
      <c r="CT125"/>
    </row>
    <row r="126" spans="1:98" s="7" customFormat="1" ht="11.25" customHeight="1" x14ac:dyDescent="0.2">
      <c r="B126" s="493" t="s">
        <v>90</v>
      </c>
      <c r="C126" s="526">
        <f>+C18</f>
        <v>157.874</v>
      </c>
      <c r="D126" s="40">
        <f>+D18</f>
        <v>155.62299999999999</v>
      </c>
      <c r="E126" s="40">
        <f>+E18</f>
        <v>203.38900000000001</v>
      </c>
      <c r="F126" s="40">
        <f>+F18</f>
        <v>192.42</v>
      </c>
      <c r="G126" s="502">
        <v>192.42</v>
      </c>
      <c r="H126" s="40"/>
      <c r="I126" s="526">
        <f>+I18</f>
        <v>193.15</v>
      </c>
      <c r="J126" s="40">
        <f>+J18</f>
        <v>191.03899999999999</v>
      </c>
      <c r="K126" s="40">
        <f>+K18</f>
        <v>174.77199999999999</v>
      </c>
      <c r="L126" s="40">
        <f>+L18</f>
        <v>214.09299999999999</v>
      </c>
      <c r="M126" s="502">
        <f>M121+M122-M123+M125</f>
        <v>214.09299999999996</v>
      </c>
      <c r="N126" s="40"/>
      <c r="O126" s="526">
        <f>+O18</f>
        <v>203.16300000000001</v>
      </c>
      <c r="P126" s="40">
        <f>+P18</f>
        <v>206.429</v>
      </c>
      <c r="Q126" s="40">
        <f>+Q18</f>
        <v>212.042</v>
      </c>
      <c r="R126" s="40">
        <f>+R18</f>
        <v>204.44499999999999</v>
      </c>
      <c r="S126" s="502">
        <f>S121+S122-S123+S125</f>
        <v>204.44499999999999</v>
      </c>
      <c r="T126" s="40"/>
      <c r="U126" s="526">
        <f>+U18</f>
        <v>349.65699999999998</v>
      </c>
      <c r="V126" s="40">
        <f>+V18</f>
        <v>406.82799999999997</v>
      </c>
      <c r="W126" s="40">
        <f>+W18</f>
        <v>413.70100000000002</v>
      </c>
      <c r="X126" s="40">
        <f>+X18</f>
        <v>405.46800000000002</v>
      </c>
      <c r="Y126" s="502">
        <f>Y121+Y122-Y123+Y125</f>
        <v>405.46800000000002</v>
      </c>
      <c r="Z126" s="40"/>
      <c r="AA126" s="526">
        <f>+AA18</f>
        <v>458.48</v>
      </c>
      <c r="AB126" s="40">
        <f>+AB18</f>
        <v>447.50099999999998</v>
      </c>
      <c r="AC126" s="40">
        <f>+AC18</f>
        <v>426.06099999999998</v>
      </c>
      <c r="AD126" s="40">
        <f>+AD18</f>
        <v>409.61200000000002</v>
      </c>
      <c r="AE126" s="502">
        <f>AE121+AE122-AE123+AE125</f>
        <v>409.61200000000002</v>
      </c>
      <c r="AF126" s="40"/>
      <c r="AG126" s="526">
        <f>+AG18</f>
        <v>409.142</v>
      </c>
      <c r="AH126" s="40">
        <f>+AH18</f>
        <v>425.03800000000001</v>
      </c>
      <c r="AI126" s="40">
        <f>+AI18</f>
        <v>471.14299999999997</v>
      </c>
      <c r="AJ126" s="40">
        <f>+AJ18</f>
        <v>462.18200000000002</v>
      </c>
      <c r="AK126" s="502">
        <f>AK121+AK122-AK123+AK125</f>
        <v>462.18200000000002</v>
      </c>
      <c r="AL126" s="40"/>
      <c r="AM126" s="526">
        <f>+AM18</f>
        <v>453.50200000000001</v>
      </c>
      <c r="AN126" s="40">
        <f>+AN18</f>
        <v>435.41199999999998</v>
      </c>
      <c r="AO126" s="40">
        <f>+AO18</f>
        <v>431.50400000000002</v>
      </c>
      <c r="AP126" s="40">
        <f>+AP18</f>
        <v>417.13299999999998</v>
      </c>
      <c r="AQ126" s="502">
        <f>AQ121+AQ122-AQ123+AQ125</f>
        <v>417.13300000000004</v>
      </c>
      <c r="AR126" s="40"/>
      <c r="AS126" s="526">
        <f>+AS18</f>
        <v>587.202</v>
      </c>
      <c r="AT126" s="40">
        <f>+AT18</f>
        <v>594.35799999999995</v>
      </c>
      <c r="AU126" s="40">
        <f>+AU18</f>
        <v>654.07000000000005</v>
      </c>
      <c r="AV126" s="40">
        <f>+AV18</f>
        <v>643.73599999999999</v>
      </c>
      <c r="AW126" s="502">
        <f>AW121+AW122-AW123+AW125</f>
        <v>643.73599999999988</v>
      </c>
      <c r="AX126" s="40"/>
      <c r="AY126" s="526">
        <f>+AY18</f>
        <v>601.47199999999998</v>
      </c>
      <c r="AZ126" s="40">
        <f>+AZ18</f>
        <v>601.11800000000005</v>
      </c>
      <c r="BA126" s="40">
        <f>+BA18</f>
        <v>615.25800000000004</v>
      </c>
      <c r="BB126" s="40">
        <f>+BB18</f>
        <v>592.971</v>
      </c>
      <c r="BC126" s="502">
        <f>BC121+BC122-BC123+BC125</f>
        <v>592.971</v>
      </c>
      <c r="BD126" s="40"/>
      <c r="BE126" s="526">
        <f>+BE18</f>
        <v>603.24900000000002</v>
      </c>
      <c r="BF126" s="40">
        <f>+BF18</f>
        <v>593.91899999999998</v>
      </c>
      <c r="BG126" s="40">
        <f>+BG18</f>
        <v>593.26</v>
      </c>
      <c r="BH126" s="40">
        <f>+BH18</f>
        <v>621.17999999999995</v>
      </c>
      <c r="BI126" s="502">
        <f>BI121+BI122-BI123+BI125</f>
        <v>621.17999999999972</v>
      </c>
      <c r="BJ126" s="40"/>
      <c r="BK126" s="526">
        <f>+BK18</f>
        <v>599.18299999999999</v>
      </c>
      <c r="BL126" s="40">
        <f>+BL18</f>
        <v>636.81299999999999</v>
      </c>
      <c r="BM126" s="40">
        <f>+BM18</f>
        <v>666.99699999999996</v>
      </c>
      <c r="BN126" s="40">
        <f>+BN18</f>
        <v>669.64099999999996</v>
      </c>
      <c r="BO126" s="502">
        <f>BO121+BO122-BO123+BO125</f>
        <v>669.64099999999974</v>
      </c>
      <c r="BP126" s="40"/>
      <c r="BQ126" s="526">
        <f>BQ121+BQ122-BQ123+BQ125</f>
        <v>639.50715500000001</v>
      </c>
      <c r="BR126" s="40">
        <f>BR121+BR122-BR123+BR125</f>
        <v>610.72933302499996</v>
      </c>
      <c r="BS126" s="40">
        <f>BS121+BS122-BS123+BS125</f>
        <v>583.24651303887492</v>
      </c>
      <c r="BT126" s="40">
        <f>BT121+BT122-BT123+BT125</f>
        <v>557.00041995212553</v>
      </c>
      <c r="BU126" s="502">
        <f>BU121+BU122-BU123+BU125</f>
        <v>557.00041995212541</v>
      </c>
      <c r="BV126" s="40"/>
      <c r="BW126" s="526">
        <f>BW121+BW122-BW123+BW125</f>
        <v>529.15039895451923</v>
      </c>
      <c r="BX126" s="40">
        <f>BX121+BX122-BX123+BX125</f>
        <v>502.69287900679325</v>
      </c>
      <c r="BY126" s="40">
        <f>BY121+BY122-BY123+BY125</f>
        <v>477.55823505645361</v>
      </c>
      <c r="BZ126" s="40">
        <f>BZ121+BZ122-BZ123+BZ125</f>
        <v>453.68032330363093</v>
      </c>
      <c r="CA126" s="502">
        <f>CA121+CA122-CA123+CA125</f>
        <v>453.68032330363081</v>
      </c>
      <c r="CB126" s="40"/>
      <c r="CC126" s="526">
        <f>CC121+CC122-CC123+CC125</f>
        <v>428.72790552193123</v>
      </c>
      <c r="CD126" s="40">
        <f>CD121+CD122-CD123+CD125</f>
        <v>405.14787071822502</v>
      </c>
      <c r="CE126" s="40">
        <f>CE121+CE122-CE123+CE125</f>
        <v>382.86473782872264</v>
      </c>
      <c r="CF126" s="40">
        <f>CF121+CF122-CF123+CF125</f>
        <v>361.80717724814292</v>
      </c>
      <c r="CG126" s="502">
        <f>CG121+CG122-CG123+CG125</f>
        <v>361.80717724814281</v>
      </c>
      <c r="CH126" s="35"/>
      <c r="CI126" s="35"/>
      <c r="CJ126" s="35"/>
      <c r="CK126" s="35"/>
      <c r="CL126" s="35"/>
      <c r="CM126" s="35"/>
      <c r="CN126" s="35"/>
      <c r="CO126"/>
      <c r="CP126"/>
      <c r="CQ126"/>
      <c r="CR126"/>
      <c r="CS126"/>
      <c r="CT126"/>
    </row>
    <row r="127" spans="1:98" s="7" customFormat="1" ht="11.25" customHeight="1" x14ac:dyDescent="0.2">
      <c r="B127" s="551" t="s">
        <v>44</v>
      </c>
      <c r="C127" s="592">
        <f>+C126-C18</f>
        <v>0</v>
      </c>
      <c r="D127" s="198">
        <f>+D126-D18</f>
        <v>0</v>
      </c>
      <c r="E127" s="198">
        <f>+E126-E18</f>
        <v>0</v>
      </c>
      <c r="F127" s="198">
        <f>+F126-F18</f>
        <v>0</v>
      </c>
      <c r="G127" s="594">
        <f>+G126-G18</f>
        <v>0</v>
      </c>
      <c r="H127" s="198"/>
      <c r="I127" s="592">
        <f>+I126-I18</f>
        <v>0</v>
      </c>
      <c r="J127" s="198">
        <f>+J126-J18</f>
        <v>0</v>
      </c>
      <c r="K127" s="198">
        <f>+K126-K18</f>
        <v>0</v>
      </c>
      <c r="L127" s="198">
        <f>+L126-L18</f>
        <v>0</v>
      </c>
      <c r="M127" s="594">
        <f>+M126-M18</f>
        <v>0</v>
      </c>
      <c r="N127" s="198"/>
      <c r="O127" s="592">
        <f>+O126-O18</f>
        <v>0</v>
      </c>
      <c r="P127" s="198">
        <f>+P126-P18</f>
        <v>0</v>
      </c>
      <c r="Q127" s="198">
        <f>+Q126-Q18</f>
        <v>0</v>
      </c>
      <c r="R127" s="198">
        <f>+R126-R18</f>
        <v>0</v>
      </c>
      <c r="S127" s="594">
        <f>+S126-S18</f>
        <v>0</v>
      </c>
      <c r="T127" s="198"/>
      <c r="U127" s="592">
        <f>+U126-U18</f>
        <v>0</v>
      </c>
      <c r="V127" s="198">
        <f>+V126-V18</f>
        <v>0</v>
      </c>
      <c r="W127" s="198">
        <f>+W126-W18</f>
        <v>0</v>
      </c>
      <c r="X127" s="198">
        <f>+X126-X18</f>
        <v>0</v>
      </c>
      <c r="Y127" s="594">
        <f>+Y126-Y18</f>
        <v>0</v>
      </c>
      <c r="Z127" s="198"/>
      <c r="AA127" s="592">
        <f>+AA126-AA18</f>
        <v>0</v>
      </c>
      <c r="AB127" s="198">
        <f>+AB126-AB18</f>
        <v>0</v>
      </c>
      <c r="AC127" s="198">
        <f>+AC126-AC18</f>
        <v>0</v>
      </c>
      <c r="AD127" s="198">
        <f>+AD126-AD18</f>
        <v>0</v>
      </c>
      <c r="AE127" s="594">
        <f>+AE126-AE18</f>
        <v>0</v>
      </c>
      <c r="AF127" s="198"/>
      <c r="AG127" s="592">
        <f>+AG126-AG18</f>
        <v>0</v>
      </c>
      <c r="AH127" s="198">
        <f>+AH126-AH18</f>
        <v>0</v>
      </c>
      <c r="AI127" s="198">
        <f>+AI126-AI18</f>
        <v>0</v>
      </c>
      <c r="AJ127" s="198">
        <f>+AJ126-AJ18</f>
        <v>0</v>
      </c>
      <c r="AK127" s="594">
        <f>+AK126-AK18</f>
        <v>0</v>
      </c>
      <c r="AL127" s="198"/>
      <c r="AM127" s="592">
        <f>+AM126-AM18</f>
        <v>0</v>
      </c>
      <c r="AN127" s="198">
        <f>+AN126-AN18</f>
        <v>0</v>
      </c>
      <c r="AO127" s="198">
        <f>+AO126-AO18</f>
        <v>0</v>
      </c>
      <c r="AP127" s="198">
        <f>+AP126-AP18</f>
        <v>0</v>
      </c>
      <c r="AQ127" s="594">
        <f>+AQ126-AQ18</f>
        <v>0</v>
      </c>
      <c r="AR127" s="198"/>
      <c r="AS127" s="592">
        <f>+AS126-AS18</f>
        <v>0</v>
      </c>
      <c r="AT127" s="198">
        <f>+AT126-AT18</f>
        <v>0</v>
      </c>
      <c r="AU127" s="198">
        <f>+AU126-AU18</f>
        <v>0</v>
      </c>
      <c r="AV127" s="198">
        <f>+AV126-AV18</f>
        <v>0</v>
      </c>
      <c r="AW127" s="594">
        <f>+AW126-AW18</f>
        <v>0</v>
      </c>
      <c r="AX127" s="198"/>
      <c r="AY127" s="592">
        <f>+AY126-AY18</f>
        <v>0</v>
      </c>
      <c r="AZ127" s="198">
        <f>+AZ126-AZ18</f>
        <v>0</v>
      </c>
      <c r="BA127" s="198">
        <f>+BA126-BA18</f>
        <v>0</v>
      </c>
      <c r="BB127" s="198">
        <f>+BB126-BB18</f>
        <v>0</v>
      </c>
      <c r="BC127" s="594">
        <f>+BC126-BC18</f>
        <v>0</v>
      </c>
      <c r="BD127" s="198"/>
      <c r="BE127" s="592">
        <f>+BE126-BE18</f>
        <v>0</v>
      </c>
      <c r="BF127" s="198">
        <f>+BF126-BF18</f>
        <v>0</v>
      </c>
      <c r="BG127" s="198">
        <f>+BG126-BG18</f>
        <v>0</v>
      </c>
      <c r="BH127" s="198">
        <f>+BH126-BH18</f>
        <v>0</v>
      </c>
      <c r="BI127" s="594">
        <f>+BI126-BI18</f>
        <v>0</v>
      </c>
      <c r="BJ127" s="198"/>
      <c r="BK127" s="592">
        <f>+BK126-BK18</f>
        <v>0</v>
      </c>
      <c r="BL127" s="198">
        <f>+BL126-BL18</f>
        <v>0</v>
      </c>
      <c r="BM127" s="198">
        <f>+BM126-BM18</f>
        <v>0</v>
      </c>
      <c r="BN127" s="198">
        <f>+BN126-BN18</f>
        <v>0</v>
      </c>
      <c r="BO127" s="594">
        <f>+BO126-BO18</f>
        <v>0</v>
      </c>
      <c r="BP127" s="198"/>
      <c r="BQ127" s="592">
        <f>+BQ126-BQ18</f>
        <v>0</v>
      </c>
      <c r="BR127" s="198">
        <f>+BR126-BR18</f>
        <v>0</v>
      </c>
      <c r="BS127" s="198">
        <f>+BS126-BS18</f>
        <v>0</v>
      </c>
      <c r="BT127" s="198">
        <f>+BT126-BT18</f>
        <v>0</v>
      </c>
      <c r="BU127" s="594">
        <f>+BU126-BU18</f>
        <v>0</v>
      </c>
      <c r="BV127" s="198"/>
      <c r="BW127" s="592">
        <f>+BW126-BW18</f>
        <v>0</v>
      </c>
      <c r="BX127" s="198">
        <f>+BX126-BX18</f>
        <v>0</v>
      </c>
      <c r="BY127" s="198">
        <f>+BY126-BY18</f>
        <v>0</v>
      </c>
      <c r="BZ127" s="198">
        <f>+BZ126-BZ18</f>
        <v>0</v>
      </c>
      <c r="CA127" s="594">
        <f>+CA126-CA18</f>
        <v>0</v>
      </c>
      <c r="CB127" s="198"/>
      <c r="CC127" s="592">
        <f>+CC126-CC18</f>
        <v>0</v>
      </c>
      <c r="CD127" s="198">
        <f>+CD126-CD18</f>
        <v>0</v>
      </c>
      <c r="CE127" s="198">
        <f>+CE126-CE18</f>
        <v>0</v>
      </c>
      <c r="CF127" s="198">
        <f>+CF126-CF18</f>
        <v>0</v>
      </c>
      <c r="CG127" s="594">
        <f>+CG126-CG18</f>
        <v>0</v>
      </c>
      <c r="CH127" s="54"/>
      <c r="CI127" s="54"/>
      <c r="CJ127" s="54"/>
      <c r="CK127" s="54"/>
      <c r="CL127" s="54"/>
      <c r="CM127" s="54"/>
      <c r="CN127" s="54"/>
      <c r="CO127"/>
      <c r="CP127"/>
      <c r="CQ127"/>
      <c r="CR127"/>
      <c r="CS127"/>
      <c r="CT127"/>
    </row>
    <row r="128" spans="1:98" s="7" customFormat="1" ht="11.25" customHeight="1" x14ac:dyDescent="0.2">
      <c r="B128" s="553"/>
      <c r="C128" s="609"/>
      <c r="D128" s="610"/>
      <c r="E128" s="610"/>
      <c r="F128" s="610"/>
      <c r="G128" s="615"/>
      <c r="H128" s="141"/>
      <c r="I128" s="609"/>
      <c r="J128" s="610"/>
      <c r="K128" s="610"/>
      <c r="L128" s="610"/>
      <c r="M128" s="615"/>
      <c r="N128" s="141"/>
      <c r="O128" s="609"/>
      <c r="P128" s="610"/>
      <c r="Q128" s="610"/>
      <c r="R128" s="610"/>
      <c r="S128" s="615"/>
      <c r="T128" s="141"/>
      <c r="U128" s="609"/>
      <c r="V128" s="610"/>
      <c r="W128" s="610"/>
      <c r="X128" s="610"/>
      <c r="Y128" s="615"/>
      <c r="Z128" s="141"/>
      <c r="AA128" s="609"/>
      <c r="AB128" s="610"/>
      <c r="AC128" s="610"/>
      <c r="AD128" s="610"/>
      <c r="AE128" s="615"/>
      <c r="AF128" s="141"/>
      <c r="AG128" s="609"/>
      <c r="AH128" s="610"/>
      <c r="AI128" s="610"/>
      <c r="AJ128" s="610"/>
      <c r="AK128" s="615"/>
      <c r="AL128" s="141"/>
      <c r="AM128" s="609"/>
      <c r="AN128" s="610"/>
      <c r="AO128" s="610"/>
      <c r="AP128" s="610"/>
      <c r="AQ128" s="615"/>
      <c r="AR128" s="141"/>
      <c r="AS128" s="609"/>
      <c r="AT128" s="610"/>
      <c r="AU128" s="610"/>
      <c r="AV128" s="610"/>
      <c r="AW128" s="615"/>
      <c r="AX128" s="141"/>
      <c r="AY128" s="609"/>
      <c r="AZ128" s="610"/>
      <c r="BA128" s="610"/>
      <c r="BB128" s="610"/>
      <c r="BC128" s="615"/>
      <c r="BD128" s="141"/>
      <c r="BE128" s="609"/>
      <c r="BF128" s="610"/>
      <c r="BG128" s="610"/>
      <c r="BH128" s="610"/>
      <c r="BI128" s="615"/>
      <c r="BJ128" s="141"/>
      <c r="BK128" s="609"/>
      <c r="BL128" s="610"/>
      <c r="BM128" s="610"/>
      <c r="BN128" s="610"/>
      <c r="BO128" s="615"/>
      <c r="BP128" s="141"/>
      <c r="BQ128" s="609"/>
      <c r="BR128" s="610"/>
      <c r="BS128" s="610"/>
      <c r="BT128" s="610"/>
      <c r="BU128" s="615"/>
      <c r="BV128" s="141"/>
      <c r="BW128" s="609"/>
      <c r="BX128" s="610"/>
      <c r="BY128" s="610"/>
      <c r="BZ128" s="610"/>
      <c r="CA128" s="615"/>
      <c r="CB128" s="141"/>
      <c r="CC128" s="609"/>
      <c r="CD128" s="610"/>
      <c r="CE128" s="610"/>
      <c r="CF128" s="610"/>
      <c r="CG128" s="615"/>
      <c r="CH128" s="54"/>
      <c r="CI128" s="54"/>
      <c r="CJ128" s="54"/>
      <c r="CK128" s="54"/>
      <c r="CL128" s="54"/>
      <c r="CM128" s="54"/>
      <c r="CN128" s="54"/>
      <c r="CO128"/>
      <c r="CP128"/>
      <c r="CQ128"/>
      <c r="CR128"/>
      <c r="CS128"/>
      <c r="CT128"/>
    </row>
    <row r="129" spans="1:98" s="7" customFormat="1" ht="11.25" customHeight="1" x14ac:dyDescent="0.2">
      <c r="B129" s="553"/>
      <c r="C129" s="629"/>
      <c r="D129" s="610"/>
      <c r="E129" s="610"/>
      <c r="F129" s="610"/>
      <c r="G129" s="615"/>
      <c r="H129" s="141"/>
      <c r="I129" s="629"/>
      <c r="J129" s="610"/>
      <c r="K129" s="610"/>
      <c r="L129" s="610"/>
      <c r="M129" s="615"/>
      <c r="N129" s="141"/>
      <c r="O129" s="629"/>
      <c r="P129" s="610"/>
      <c r="Q129" s="610"/>
      <c r="R129" s="610"/>
      <c r="S129" s="615"/>
      <c r="T129" s="141"/>
      <c r="U129" s="629"/>
      <c r="V129" s="610"/>
      <c r="W129" s="610"/>
      <c r="X129" s="610"/>
      <c r="Y129" s="615"/>
      <c r="Z129" s="141"/>
      <c r="AA129" s="629"/>
      <c r="AB129" s="610"/>
      <c r="AC129" s="610"/>
      <c r="AD129" s="610"/>
      <c r="AE129" s="615"/>
      <c r="AF129" s="141"/>
      <c r="AG129" s="629"/>
      <c r="AH129" s="610"/>
      <c r="AI129" s="610"/>
      <c r="AJ129" s="610"/>
      <c r="AK129" s="615"/>
      <c r="AL129" s="141"/>
      <c r="AM129" s="629"/>
      <c r="AN129" s="610"/>
      <c r="AO129" s="610"/>
      <c r="AP129" s="610"/>
      <c r="AQ129" s="615"/>
      <c r="AR129" s="141"/>
      <c r="AS129" s="629"/>
      <c r="AT129" s="610"/>
      <c r="AU129" s="610"/>
      <c r="AV129" s="610"/>
      <c r="AW129" s="615"/>
      <c r="AX129" s="141"/>
      <c r="AY129" s="629"/>
      <c r="AZ129" s="610"/>
      <c r="BA129" s="610"/>
      <c r="BB129" s="610"/>
      <c r="BC129" s="615"/>
      <c r="BD129" s="141"/>
      <c r="BE129" s="629"/>
      <c r="BF129" s="610"/>
      <c r="BG129" s="610"/>
      <c r="BH129" s="610"/>
      <c r="BI129" s="615"/>
      <c r="BJ129" s="141"/>
      <c r="BK129" s="629"/>
      <c r="BL129" s="610"/>
      <c r="BM129" s="610"/>
      <c r="BN129" s="610"/>
      <c r="BO129" s="615"/>
      <c r="BP129" s="141"/>
      <c r="BQ129" s="629"/>
      <c r="BR129" s="610"/>
      <c r="BS129" s="610"/>
      <c r="BT129" s="610"/>
      <c r="BU129" s="615"/>
      <c r="BV129" s="141"/>
      <c r="BW129" s="629"/>
      <c r="BX129" s="610"/>
      <c r="BY129" s="610"/>
      <c r="BZ129" s="610"/>
      <c r="CA129" s="615"/>
      <c r="CB129" s="141"/>
      <c r="CC129" s="629"/>
      <c r="CD129" s="610"/>
      <c r="CE129" s="610"/>
      <c r="CF129" s="610"/>
      <c r="CG129" s="615"/>
      <c r="CH129" s="630"/>
      <c r="CI129" s="54"/>
      <c r="CJ129" s="54"/>
      <c r="CK129" s="54"/>
      <c r="CL129" s="54"/>
      <c r="CM129" s="54"/>
      <c r="CN129" s="54"/>
      <c r="CO129"/>
      <c r="CP129"/>
      <c r="CQ129"/>
      <c r="CR129"/>
      <c r="CS129"/>
      <c r="CT129"/>
    </row>
    <row r="130" spans="1:98" ht="11.25" customHeight="1" x14ac:dyDescent="0.2">
      <c r="A130" s="78"/>
      <c r="B130" s="702" t="s">
        <v>37</v>
      </c>
      <c r="C130" s="703"/>
      <c r="D130" s="704"/>
      <c r="E130" s="704"/>
      <c r="F130" s="704"/>
      <c r="G130" s="705"/>
      <c r="H130" s="188"/>
      <c r="I130" s="703"/>
      <c r="J130" s="704"/>
      <c r="K130" s="704"/>
      <c r="L130" s="704"/>
      <c r="M130" s="705"/>
      <c r="N130" s="188"/>
      <c r="O130" s="703"/>
      <c r="P130" s="704"/>
      <c r="Q130" s="704"/>
      <c r="R130" s="704"/>
      <c r="S130" s="705"/>
      <c r="T130" s="188"/>
      <c r="U130" s="703"/>
      <c r="V130" s="704"/>
      <c r="W130" s="704"/>
      <c r="X130" s="704"/>
      <c r="Y130" s="705"/>
      <c r="Z130" s="188"/>
      <c r="AA130" s="703"/>
      <c r="AB130" s="704"/>
      <c r="AC130" s="704"/>
      <c r="AD130" s="704"/>
      <c r="AE130" s="705"/>
      <c r="AF130" s="188"/>
      <c r="AG130" s="703"/>
      <c r="AH130" s="704"/>
      <c r="AI130" s="704"/>
      <c r="AJ130" s="704"/>
      <c r="AK130" s="705"/>
      <c r="AL130" s="188"/>
      <c r="AM130" s="703"/>
      <c r="AN130" s="704"/>
      <c r="AO130" s="704"/>
      <c r="AP130" s="704"/>
      <c r="AQ130" s="705"/>
      <c r="AR130" s="188"/>
      <c r="AS130" s="703"/>
      <c r="AT130" s="704"/>
      <c r="AU130" s="704"/>
      <c r="AV130" s="704"/>
      <c r="AW130" s="705"/>
      <c r="AX130" s="188"/>
      <c r="AY130" s="703"/>
      <c r="AZ130" s="704"/>
      <c r="BA130" s="704"/>
      <c r="BB130" s="704"/>
      <c r="BC130" s="705"/>
      <c r="BD130" s="188"/>
      <c r="BE130" s="703"/>
      <c r="BF130" s="704"/>
      <c r="BG130" s="704"/>
      <c r="BH130" s="704"/>
      <c r="BI130" s="705"/>
      <c r="BJ130" s="188"/>
      <c r="BK130" s="703"/>
      <c r="BL130" s="704"/>
      <c r="BM130" s="704"/>
      <c r="BN130" s="704"/>
      <c r="BO130" s="705"/>
      <c r="BP130" s="188"/>
      <c r="BQ130" s="703"/>
      <c r="BR130" s="704"/>
      <c r="BS130" s="704"/>
      <c r="BT130" s="704"/>
      <c r="BU130" s="705"/>
      <c r="BV130" s="188"/>
      <c r="BW130" s="703"/>
      <c r="BX130" s="704"/>
      <c r="BY130" s="704"/>
      <c r="BZ130" s="704"/>
      <c r="CA130" s="705"/>
      <c r="CB130" s="188"/>
      <c r="CC130" s="703"/>
      <c r="CD130" s="704"/>
      <c r="CE130" s="704"/>
      <c r="CF130" s="704"/>
      <c r="CG130" s="705"/>
      <c r="CH130" s="1"/>
    </row>
    <row r="131" spans="1:98" s="7" customFormat="1" ht="11.25" customHeight="1" x14ac:dyDescent="0.2">
      <c r="B131" s="426" t="s">
        <v>91</v>
      </c>
      <c r="C131" s="238">
        <v>773.80100000000004</v>
      </c>
      <c r="D131" s="39">
        <f>C134</f>
        <v>787.01800000000003</v>
      </c>
      <c r="E131" s="39">
        <f>D134</f>
        <v>771.83399999999995</v>
      </c>
      <c r="F131" s="39">
        <f>E134</f>
        <v>887.28499999999997</v>
      </c>
      <c r="G131" s="388">
        <f>+C131</f>
        <v>773.80100000000004</v>
      </c>
      <c r="H131" s="13"/>
      <c r="I131" s="237">
        <f>+F134</f>
        <v>917.19399999999996</v>
      </c>
      <c r="J131" s="39">
        <f>I134</f>
        <v>947.88499999999999</v>
      </c>
      <c r="K131" s="39">
        <f>J134</f>
        <v>954.20299999999997</v>
      </c>
      <c r="L131" s="39">
        <f>K134</f>
        <v>917.25800000000004</v>
      </c>
      <c r="M131" s="388">
        <f>+G134</f>
        <v>917.19399999999996</v>
      </c>
      <c r="N131" s="13"/>
      <c r="O131" s="237">
        <f>+L134</f>
        <v>922.952</v>
      </c>
      <c r="P131" s="39">
        <f>O134</f>
        <v>899.88400000000001</v>
      </c>
      <c r="Q131" s="39">
        <f>P134</f>
        <v>948.86199999999997</v>
      </c>
      <c r="R131" s="39">
        <f>Q134</f>
        <v>977.05399999999997</v>
      </c>
      <c r="S131" s="388">
        <f>+M134</f>
        <v>922.952</v>
      </c>
      <c r="T131" s="13"/>
      <c r="U131" s="237">
        <f>+R134</f>
        <v>986.39499999999998</v>
      </c>
      <c r="V131" s="39">
        <f>U134</f>
        <v>1258.722</v>
      </c>
      <c r="W131" s="39">
        <f>V134</f>
        <v>1368.106</v>
      </c>
      <c r="X131" s="39">
        <f>W134</f>
        <v>1425.6510000000001</v>
      </c>
      <c r="Y131" s="388">
        <f>+S134</f>
        <v>986.39499999999998</v>
      </c>
      <c r="Z131" s="13"/>
      <c r="AA131" s="237">
        <f>+X134</f>
        <v>1424.7940000000001</v>
      </c>
      <c r="AB131" s="39">
        <f>AA134</f>
        <v>1499.6890000000001</v>
      </c>
      <c r="AC131" s="39">
        <f>AB134</f>
        <v>1512.702</v>
      </c>
      <c r="AD131" s="39">
        <f>AC134</f>
        <v>1495.2560000000001</v>
      </c>
      <c r="AE131" s="388">
        <f>+Y134</f>
        <v>1424.7940000000003</v>
      </c>
      <c r="AF131" s="13"/>
      <c r="AG131" s="237">
        <f>+AD134</f>
        <v>1497.1079999999999</v>
      </c>
      <c r="AH131" s="39">
        <f>AG134</f>
        <v>1483.0940000000001</v>
      </c>
      <c r="AI131" s="39">
        <f>AH134</f>
        <v>1523.4459999999999</v>
      </c>
      <c r="AJ131" s="39">
        <f>AI134</f>
        <v>1591.482</v>
      </c>
      <c r="AK131" s="388">
        <f>+AE134</f>
        <v>1497.1080000000002</v>
      </c>
      <c r="AL131" s="13"/>
      <c r="AM131" s="237">
        <f>+AJ134</f>
        <v>1601.046</v>
      </c>
      <c r="AN131" s="39">
        <f>AM134</f>
        <v>1610.9960000000001</v>
      </c>
      <c r="AO131" s="39">
        <f>AN134</f>
        <v>1607.731</v>
      </c>
      <c r="AP131" s="39">
        <f>AO134</f>
        <v>1634.48</v>
      </c>
      <c r="AQ131" s="388">
        <f>+AK134</f>
        <v>1601.0460000000003</v>
      </c>
      <c r="AR131" s="13"/>
      <c r="AS131" s="237">
        <f>+AP134</f>
        <v>1635.0050000000001</v>
      </c>
      <c r="AT131" s="39">
        <f>AS134</f>
        <v>1802.905</v>
      </c>
      <c r="AU131" s="39">
        <f>AT134</f>
        <v>1832.377</v>
      </c>
      <c r="AV131" s="39">
        <f>AU134</f>
        <v>1886.2809999999999</v>
      </c>
      <c r="AW131" s="388">
        <f>+AQ134</f>
        <v>1635.0050000000003</v>
      </c>
      <c r="AX131" s="13"/>
      <c r="AY131" s="237">
        <f>+AV134</f>
        <v>1884.123</v>
      </c>
      <c r="AZ131" s="39">
        <f>AY134</f>
        <v>1855.7139999999999</v>
      </c>
      <c r="BA131" s="39">
        <f>AZ134</f>
        <v>1871.8440000000001</v>
      </c>
      <c r="BB131" s="39">
        <f>BA134</f>
        <v>1901.52</v>
      </c>
      <c r="BC131" s="388">
        <f>+AW134</f>
        <v>1884.1230000000003</v>
      </c>
      <c r="BD131" s="13"/>
      <c r="BE131" s="237">
        <f>+BB134</f>
        <v>1907.5930000000001</v>
      </c>
      <c r="BF131" s="39">
        <f>BE134</f>
        <v>1925.1110000000001</v>
      </c>
      <c r="BG131" s="39">
        <f>BF134</f>
        <v>1954.5840000000001</v>
      </c>
      <c r="BH131" s="39">
        <f>BG134</f>
        <v>1975.566</v>
      </c>
      <c r="BI131" s="388">
        <f>+BC134</f>
        <v>1907.5930000000003</v>
      </c>
      <c r="BJ131" s="13"/>
      <c r="BK131" s="237">
        <f>+BH134</f>
        <v>2019.74</v>
      </c>
      <c r="BL131" s="39">
        <f>BK134</f>
        <v>2058.6869999999999</v>
      </c>
      <c r="BM131" s="39">
        <f>BL134</f>
        <v>2172.5630000000001</v>
      </c>
      <c r="BN131" s="39">
        <f>BM134</f>
        <v>2224.6570000000002</v>
      </c>
      <c r="BO131" s="388">
        <f>+BI134</f>
        <v>2019.7400000000002</v>
      </c>
      <c r="BP131" s="13"/>
      <c r="BQ131" s="237">
        <f>+BN134</f>
        <v>2301.3310000000001</v>
      </c>
      <c r="BR131" s="39">
        <f>BQ134</f>
        <v>2301.3310000000001</v>
      </c>
      <c r="BS131" s="39">
        <f>BR134</f>
        <v>2301.3310000000001</v>
      </c>
      <c r="BT131" s="39">
        <f>BS134</f>
        <v>2301.3310000000001</v>
      </c>
      <c r="BU131" s="388">
        <f>+BO134</f>
        <v>2301.3310000000001</v>
      </c>
      <c r="BV131" s="13"/>
      <c r="BW131" s="237">
        <f>+BT134</f>
        <v>2301.3310000000001</v>
      </c>
      <c r="BX131" s="39">
        <f>BW134</f>
        <v>2301.3310000000001</v>
      </c>
      <c r="BY131" s="39">
        <f>BX134</f>
        <v>2301.3310000000001</v>
      </c>
      <c r="BZ131" s="39">
        <f>BY134</f>
        <v>2301.3310000000001</v>
      </c>
      <c r="CA131" s="388">
        <f>+BU134</f>
        <v>2301.3310000000001</v>
      </c>
      <c r="CB131" s="13"/>
      <c r="CC131" s="237">
        <f>+BZ134</f>
        <v>2301.3310000000001</v>
      </c>
      <c r="CD131" s="39">
        <f>CC134</f>
        <v>2301.3310000000001</v>
      </c>
      <c r="CE131" s="39">
        <f>CD134</f>
        <v>2301.3310000000001</v>
      </c>
      <c r="CF131" s="39">
        <f>CE134</f>
        <v>2301.3310000000001</v>
      </c>
      <c r="CG131" s="388">
        <f>+CA134</f>
        <v>2301.3310000000001</v>
      </c>
      <c r="CH131" s="35"/>
      <c r="CI131" s="35"/>
      <c r="CJ131" s="35"/>
      <c r="CK131" s="35"/>
      <c r="CL131" s="35"/>
      <c r="CM131" s="35"/>
      <c r="CN131" s="35"/>
      <c r="CO131"/>
      <c r="CP131"/>
      <c r="CQ131"/>
      <c r="CR131"/>
      <c r="CS131"/>
      <c r="CT131"/>
    </row>
    <row r="132" spans="1:98" s="7" customFormat="1" ht="11.25" customHeight="1" x14ac:dyDescent="0.2">
      <c r="B132" s="429" t="s">
        <v>172</v>
      </c>
      <c r="C132" s="237">
        <f>-C138*C139</f>
        <v>12.3444</v>
      </c>
      <c r="D132" s="39">
        <f>-D138*D139</f>
        <v>6.475950000000001</v>
      </c>
      <c r="E132" s="39">
        <f>-E138*E139</f>
        <v>37.113749999999996</v>
      </c>
      <c r="F132" s="39">
        <f>-F138*F139</f>
        <v>36.847799999999992</v>
      </c>
      <c r="G132" s="388">
        <f>SUM(C132:F132)</f>
        <v>92.781899999999993</v>
      </c>
      <c r="H132" s="138"/>
      <c r="I132" s="237">
        <f>-I138*I139</f>
        <v>3.8357999999999999</v>
      </c>
      <c r="J132" s="39">
        <f>-J138*J139</f>
        <v>6.7756500000000006</v>
      </c>
      <c r="K132" s="39">
        <f>-K138*K139</f>
        <v>1.05705</v>
      </c>
      <c r="L132" s="39">
        <f>-L138*L139</f>
        <v>46.143000000000001</v>
      </c>
      <c r="M132" s="388">
        <f>SUM(I132:L132)</f>
        <v>57.811500000000002</v>
      </c>
      <c r="N132" s="138"/>
      <c r="O132" s="237">
        <f>-O138*O139</f>
        <v>6.1843500000000002</v>
      </c>
      <c r="P132" s="39">
        <f>-P138*P139</f>
        <v>5.7357000000000005</v>
      </c>
      <c r="Q132" s="39">
        <f>-Q138*Q139</f>
        <v>8.5360499999999977</v>
      </c>
      <c r="R132" s="39">
        <f>-R138*R139</f>
        <v>5.0355000000000034</v>
      </c>
      <c r="S132" s="388">
        <f>SUM(O132:R132)</f>
        <v>25.491600000000002</v>
      </c>
      <c r="T132" s="138"/>
      <c r="U132" s="237">
        <f>-U138*U139</f>
        <v>49.025700000000001</v>
      </c>
      <c r="V132" s="39">
        <f>-V138*V139</f>
        <v>43.043400000000005</v>
      </c>
      <c r="W132" s="39">
        <f>-W138*W139</f>
        <v>44.840699999999984</v>
      </c>
      <c r="X132" s="39">
        <f>-X138*X139</f>
        <v>21.759300000000021</v>
      </c>
      <c r="Y132" s="388">
        <f>SUM(U132:X132)</f>
        <v>158.66910000000001</v>
      </c>
      <c r="Z132" s="138"/>
      <c r="AA132" s="237">
        <f>-AA138*AA139</f>
        <v>60.126300000000001</v>
      </c>
      <c r="AB132" s="39">
        <f>-AB138*AB139</f>
        <v>4.5098999999999965</v>
      </c>
      <c r="AC132" s="39">
        <f>-AC138*AC139</f>
        <v>0</v>
      </c>
      <c r="AD132" s="39">
        <f>-AD138*AD139</f>
        <v>2.5951499999999981</v>
      </c>
      <c r="AE132" s="388">
        <f>SUM(AA132:AD132)</f>
        <v>67.231350000000006</v>
      </c>
      <c r="AF132" s="138"/>
      <c r="AG132" s="237">
        <f>-AG138*AG139</f>
        <v>8.5410000000000004</v>
      </c>
      <c r="AH132" s="39">
        <f>-AH138*AH139</f>
        <v>45.615600000000001</v>
      </c>
      <c r="AI132" s="39">
        <f>-AI138*AI139</f>
        <v>38.660849999999996</v>
      </c>
      <c r="AJ132" s="39">
        <f>-AJ138*AJ139</f>
        <v>6.2896499999999973</v>
      </c>
      <c r="AK132" s="388">
        <f>SUM(AG132:AJ132)</f>
        <v>99.107099999999988</v>
      </c>
      <c r="AL132" s="138"/>
      <c r="AM132" s="237">
        <f>-AM138*AM139</f>
        <v>14.56155</v>
      </c>
      <c r="AN132" s="39">
        <f>-AN138*AN139</f>
        <v>0.60704999999999854</v>
      </c>
      <c r="AO132" s="39">
        <f>-AO138*AO139</f>
        <v>6.3765000000000009</v>
      </c>
      <c r="AP132" s="39">
        <f>-AP138*AP139</f>
        <v>60.518249999999995</v>
      </c>
      <c r="AQ132" s="388">
        <f>SUM(AM132:AP132)</f>
        <v>82.06335</v>
      </c>
      <c r="AR132" s="138"/>
      <c r="AS132" s="237">
        <f>-AS138*AS139</f>
        <v>65.105550000000008</v>
      </c>
      <c r="AT132" s="39">
        <f>-AT138*AT139</f>
        <v>35.180100000000003</v>
      </c>
      <c r="AU132" s="39">
        <f>-AU138*AU139</f>
        <v>63.563850000000009</v>
      </c>
      <c r="AV132" s="39">
        <f>-AV138*AV139</f>
        <v>27.077849999999987</v>
      </c>
      <c r="AW132" s="388">
        <f>SUM(AS132:AV132)</f>
        <v>190.92734999999999</v>
      </c>
      <c r="AX132" s="138"/>
      <c r="AY132" s="237">
        <f>-AY138*AY139</f>
        <v>6.1366500000000004</v>
      </c>
      <c r="AZ132" s="39">
        <f>-AZ138*AZ139</f>
        <v>21.455550000000002</v>
      </c>
      <c r="BA132" s="39">
        <f>-BA138*BA139</f>
        <v>36.3429</v>
      </c>
      <c r="BB132" s="39">
        <f>-BB138*BB139</f>
        <v>13.402349999999995</v>
      </c>
      <c r="BC132" s="388">
        <f>SUM(AY132:BB132)</f>
        <v>77.337450000000004</v>
      </c>
      <c r="BD132" s="138"/>
      <c r="BE132" s="237">
        <f>-BE138*BE139</f>
        <v>23.652899999999999</v>
      </c>
      <c r="BF132" s="39">
        <f>-BF138*BF139</f>
        <v>17.945550000000004</v>
      </c>
      <c r="BG132" s="39">
        <f>-BG138*BG139</f>
        <v>15.345900000000002</v>
      </c>
      <c r="BH132" s="39">
        <f>-BH138*BH139</f>
        <v>45.914400000000001</v>
      </c>
      <c r="BI132" s="388">
        <f>SUM(BE132:BH132)</f>
        <v>102.85875</v>
      </c>
      <c r="BJ132" s="138"/>
      <c r="BK132" s="237">
        <f>-BK138*BK139</f>
        <v>5.319</v>
      </c>
      <c r="BL132" s="39">
        <f>-BL138*BL139</f>
        <v>61.994700000000009</v>
      </c>
      <c r="BM132" s="39">
        <f>-BM138*BM139</f>
        <v>49.139999999999993</v>
      </c>
      <c r="BN132" s="39">
        <f>-BN138*BN139</f>
        <v>13.449149999999998</v>
      </c>
      <c r="BO132" s="388">
        <f>SUM(BK132:BN132)</f>
        <v>129.90285</v>
      </c>
      <c r="BP132" s="138"/>
      <c r="BQ132" s="237">
        <f>-BQ138*BQ139</f>
        <v>0</v>
      </c>
      <c r="BR132" s="39">
        <f>-BR138*BR139</f>
        <v>0</v>
      </c>
      <c r="BS132" s="39">
        <f>-BS138*BS139</f>
        <v>0</v>
      </c>
      <c r="BT132" s="39">
        <f>-BT138*BT139</f>
        <v>0</v>
      </c>
      <c r="BU132" s="388">
        <f>+SUM(BQ132:BT132)</f>
        <v>0</v>
      </c>
      <c r="BV132" s="138"/>
      <c r="BW132" s="237">
        <f>-BW138*BW139</f>
        <v>0</v>
      </c>
      <c r="BX132" s="39">
        <f>-BX138*BX139</f>
        <v>0</v>
      </c>
      <c r="BY132" s="39">
        <f>-BY138*BY139</f>
        <v>0</v>
      </c>
      <c r="BZ132" s="39">
        <f>-BZ138*BZ139</f>
        <v>0</v>
      </c>
      <c r="CA132" s="388">
        <f>+SUM(BW132:BZ132)</f>
        <v>0</v>
      </c>
      <c r="CB132" s="138"/>
      <c r="CC132" s="237">
        <f>-CC138*CC139</f>
        <v>0</v>
      </c>
      <c r="CD132" s="39">
        <f>-CD138*CD139</f>
        <v>0</v>
      </c>
      <c r="CE132" s="39">
        <f>-CE138*CE139</f>
        <v>0</v>
      </c>
      <c r="CF132" s="39">
        <f>-CF138*CF139</f>
        <v>0</v>
      </c>
      <c r="CG132" s="388">
        <f>+SUM(CC132:CF132)</f>
        <v>0</v>
      </c>
      <c r="CH132" s="35"/>
      <c r="CI132" s="35"/>
      <c r="CJ132" s="35"/>
      <c r="CK132" s="35"/>
      <c r="CL132" s="35"/>
      <c r="CM132" s="35"/>
      <c r="CN132" s="35"/>
      <c r="CO132"/>
      <c r="CP132"/>
      <c r="CQ132"/>
      <c r="CR132"/>
      <c r="CS132"/>
      <c r="CT132"/>
    </row>
    <row r="133" spans="1:98" s="7" customFormat="1" ht="11.25" customHeight="1" x14ac:dyDescent="0.2">
      <c r="B133" s="623" t="s">
        <v>134</v>
      </c>
      <c r="C133" s="608">
        <f>+C134-C131-C132</f>
        <v>0.87259999999998428</v>
      </c>
      <c r="D133" s="140">
        <f>+D134-D131-D132</f>
        <v>-21.659950000000084</v>
      </c>
      <c r="E133" s="140">
        <f>+E134-E131-E132</f>
        <v>78.337250000000026</v>
      </c>
      <c r="F133" s="140">
        <f>+F134-F131-F132</f>
        <v>-6.9388000000000005</v>
      </c>
      <c r="G133" s="612">
        <f>SUM(C133:F133)</f>
        <v>50.611099999999922</v>
      </c>
      <c r="H133" s="13"/>
      <c r="I133" s="608">
        <f>+I134-I131-I132</f>
        <v>26.855200000000032</v>
      </c>
      <c r="J133" s="140">
        <f>+J134-J131-J132</f>
        <v>-0.45765000000001699</v>
      </c>
      <c r="K133" s="140">
        <f>+K134-K131-K132</f>
        <v>-38.002049999999933</v>
      </c>
      <c r="L133" s="140">
        <f>+L134-L131-L132</f>
        <v>-40.449000000000041</v>
      </c>
      <c r="M133" s="612">
        <f>SUM(I133:L133)</f>
        <v>-52.053499999999957</v>
      </c>
      <c r="N133" s="13"/>
      <c r="O133" s="608">
        <f>+O134-O131-O132</f>
        <v>-29.252349999999986</v>
      </c>
      <c r="P133" s="140">
        <f>+P134-P131-P132</f>
        <v>43.24229999999995</v>
      </c>
      <c r="Q133" s="140">
        <f>+Q134-Q131-Q132</f>
        <v>19.655950000000011</v>
      </c>
      <c r="R133" s="140">
        <f>+R134-R131-R132</f>
        <v>4.3055000000000048</v>
      </c>
      <c r="S133" s="612">
        <f>SUM(O133:R133)</f>
        <v>37.951399999999978</v>
      </c>
      <c r="T133" s="13"/>
      <c r="U133" s="608">
        <f>+U134-U131-U132</f>
        <v>223.3013</v>
      </c>
      <c r="V133" s="140">
        <f>+V134-V131-V132</f>
        <v>66.340600000000009</v>
      </c>
      <c r="W133" s="140">
        <f>+W134-W131-W132</f>
        <v>12.704300000000089</v>
      </c>
      <c r="X133" s="140">
        <f>+X134-X131-X132</f>
        <v>-22.616299999999992</v>
      </c>
      <c r="Y133" s="612">
        <f>SUM(U133:X133)</f>
        <v>279.72990000000016</v>
      </c>
      <c r="Z133" s="13"/>
      <c r="AA133" s="608">
        <f>+AA134-AA131-AA132</f>
        <v>14.768699999999981</v>
      </c>
      <c r="AB133" s="140">
        <f>+AB134-AB131-AB132</f>
        <v>8.5030999999999235</v>
      </c>
      <c r="AC133" s="140">
        <f>+AC134-AC131-AC132</f>
        <v>-17.445999999999913</v>
      </c>
      <c r="AD133" s="140">
        <f>+AD134-AD131-AD132</f>
        <v>-0.74315000000013631</v>
      </c>
      <c r="AE133" s="612">
        <f>SUM(AA133:AD133)</f>
        <v>5.0826499999998571</v>
      </c>
      <c r="AF133" s="13"/>
      <c r="AG133" s="608">
        <f>+AG134-AG131-AG132</f>
        <v>-22.554999999999897</v>
      </c>
      <c r="AH133" s="140">
        <f>+AH134-AH131-AH132</f>
        <v>-5.2636000000001388</v>
      </c>
      <c r="AI133" s="140">
        <f>+AI134-AI131-AI132</f>
        <v>29.375150000000062</v>
      </c>
      <c r="AJ133" s="140">
        <f>+AJ134-AJ131-AJ132</f>
        <v>3.2743500000000809</v>
      </c>
      <c r="AK133" s="612">
        <f>SUM(AG133:AJ133)</f>
        <v>4.8309000000001072</v>
      </c>
      <c r="AL133" s="13"/>
      <c r="AM133" s="608">
        <f>+AM134-AM131-AM132</f>
        <v>-4.611549999999955</v>
      </c>
      <c r="AN133" s="140">
        <f>+AN134-AN131-AN132</f>
        <v>-3.8720500000000984</v>
      </c>
      <c r="AO133" s="140">
        <f>+AO134-AO131-AO132</f>
        <v>20.372500000000024</v>
      </c>
      <c r="AP133" s="140">
        <f>+AP134-AP131-AP132</f>
        <v>-59.993249999999904</v>
      </c>
      <c r="AQ133" s="612">
        <f>SUM(AM133:AP133)</f>
        <v>-48.104349999999933</v>
      </c>
      <c r="AR133" s="13"/>
      <c r="AS133" s="608">
        <f>+AS134-AS131-AS132</f>
        <v>102.79444999999986</v>
      </c>
      <c r="AT133" s="140">
        <f>+AT134-AT131-AT132</f>
        <v>-5.708100000000023</v>
      </c>
      <c r="AU133" s="140">
        <f>+AU134-AU131-AU132</f>
        <v>-9.6598500000000129</v>
      </c>
      <c r="AV133" s="140">
        <f>+AV134-AV131-AV132</f>
        <v>-29.235849999999889</v>
      </c>
      <c r="AW133" s="612">
        <f>SUM(AS133:AV133)</f>
        <v>58.190649999999948</v>
      </c>
      <c r="AX133" s="13"/>
      <c r="AY133" s="608">
        <f>+AY134-AY131-AY132</f>
        <v>-34.545650000000109</v>
      </c>
      <c r="AZ133" s="140">
        <f>+AZ134-AZ131-AZ132</f>
        <v>-5.3255499999998932</v>
      </c>
      <c r="BA133" s="140">
        <f>+BA134-BA131-BA132</f>
        <v>-6.6669000000000693</v>
      </c>
      <c r="BB133" s="140">
        <f>+BB134-BB131-BB132</f>
        <v>-7.3293499999999021</v>
      </c>
      <c r="BC133" s="612">
        <f>SUM(AY133:BB133)</f>
        <v>-53.867449999999977</v>
      </c>
      <c r="BD133" s="13"/>
      <c r="BE133" s="608">
        <f>+BE134-BE131-BE132</f>
        <v>-6.1348999999999698</v>
      </c>
      <c r="BF133" s="140">
        <f>+BF134-BF131-BF132</f>
        <v>11.527449999999952</v>
      </c>
      <c r="BG133" s="140">
        <f>+BG134-BG131-BG132</f>
        <v>5.6360999999999688</v>
      </c>
      <c r="BH133" s="140">
        <f>+BH134-BH131-BH132</f>
        <v>-1.7404000000000224</v>
      </c>
      <c r="BI133" s="612">
        <f>SUM(BE133:BH133)</f>
        <v>9.2882499999999286</v>
      </c>
      <c r="BJ133" s="13"/>
      <c r="BK133" s="608">
        <f>+BK134-BK131-BK132</f>
        <v>33.627999999999886</v>
      </c>
      <c r="BL133" s="140">
        <f>+BL134-BL131-BL132</f>
        <v>51.881300000000195</v>
      </c>
      <c r="BM133" s="140">
        <f>+BM134-BM131-BM132</f>
        <v>2.9540000000000575</v>
      </c>
      <c r="BN133" s="140">
        <f>+BN134-BN131-BN132</f>
        <v>63.224849999999982</v>
      </c>
      <c r="BO133" s="612">
        <f>SUM(BK133:BN133)</f>
        <v>151.68815000000012</v>
      </c>
      <c r="BP133" s="13"/>
      <c r="BQ133" s="619">
        <v>0</v>
      </c>
      <c r="BR133" s="157">
        <v>0</v>
      </c>
      <c r="BS133" s="157">
        <v>0</v>
      </c>
      <c r="BT133" s="157">
        <v>0</v>
      </c>
      <c r="BU133" s="612">
        <f>+SUM(BQ133:BT133)</f>
        <v>0</v>
      </c>
      <c r="BV133" s="13"/>
      <c r="BW133" s="619">
        <v>0</v>
      </c>
      <c r="BX133" s="157">
        <v>0</v>
      </c>
      <c r="BY133" s="157">
        <v>0</v>
      </c>
      <c r="BZ133" s="157">
        <v>0</v>
      </c>
      <c r="CA133" s="612">
        <f>+SUM(BW133:BZ133)</f>
        <v>0</v>
      </c>
      <c r="CB133" s="13"/>
      <c r="CC133" s="619">
        <v>0</v>
      </c>
      <c r="CD133" s="157">
        <v>0</v>
      </c>
      <c r="CE133" s="157">
        <v>0</v>
      </c>
      <c r="CF133" s="157">
        <v>0</v>
      </c>
      <c r="CG133" s="612">
        <f>+SUM(CC133:CF133)</f>
        <v>0</v>
      </c>
      <c r="CH133" s="27"/>
      <c r="CI133" s="27"/>
      <c r="CJ133" s="27"/>
      <c r="CK133" s="27"/>
      <c r="CL133" s="27"/>
      <c r="CM133" s="27"/>
      <c r="CN133" s="27"/>
      <c r="CO133"/>
      <c r="CP133"/>
      <c r="CQ133"/>
      <c r="CR133"/>
      <c r="CS133"/>
      <c r="CT133"/>
    </row>
    <row r="134" spans="1:98" s="7" customFormat="1" ht="11.25" customHeight="1" x14ac:dyDescent="0.2">
      <c r="B134" s="493" t="s">
        <v>92</v>
      </c>
      <c r="C134" s="526">
        <f>+C17</f>
        <v>787.01800000000003</v>
      </c>
      <c r="D134" s="40">
        <f>+D17</f>
        <v>771.83399999999995</v>
      </c>
      <c r="E134" s="40">
        <f>+E17</f>
        <v>887.28499999999997</v>
      </c>
      <c r="F134" s="40">
        <f>+F17</f>
        <v>917.19399999999996</v>
      </c>
      <c r="G134" s="502">
        <f>G131+G132+G133</f>
        <v>917.19399999999996</v>
      </c>
      <c r="H134" s="26"/>
      <c r="I134" s="526">
        <f>+I17</f>
        <v>947.88499999999999</v>
      </c>
      <c r="J134" s="40">
        <f>+J17</f>
        <v>954.20299999999997</v>
      </c>
      <c r="K134" s="40">
        <f>+K17</f>
        <v>917.25800000000004</v>
      </c>
      <c r="L134" s="40">
        <f>+L17</f>
        <v>922.952</v>
      </c>
      <c r="M134" s="502">
        <f>M131+M132+M133</f>
        <v>922.952</v>
      </c>
      <c r="N134" s="26"/>
      <c r="O134" s="526">
        <f>+O17</f>
        <v>899.88400000000001</v>
      </c>
      <c r="P134" s="40">
        <f>+P17</f>
        <v>948.86199999999997</v>
      </c>
      <c r="Q134" s="40">
        <f>+Q17</f>
        <v>977.05399999999997</v>
      </c>
      <c r="R134" s="40">
        <f>+R17</f>
        <v>986.39499999999998</v>
      </c>
      <c r="S134" s="502">
        <f>S131+S132+S133</f>
        <v>986.39499999999998</v>
      </c>
      <c r="T134" s="26"/>
      <c r="U134" s="526">
        <f>+U17</f>
        <v>1258.722</v>
      </c>
      <c r="V134" s="40">
        <f>+V17</f>
        <v>1368.106</v>
      </c>
      <c r="W134" s="40">
        <f>+W17</f>
        <v>1425.6510000000001</v>
      </c>
      <c r="X134" s="40">
        <f>+X17</f>
        <v>1424.7940000000001</v>
      </c>
      <c r="Y134" s="502">
        <f>Y131+Y132+Y133</f>
        <v>1424.7940000000003</v>
      </c>
      <c r="Z134" s="26"/>
      <c r="AA134" s="526">
        <f>+AA17</f>
        <v>1499.6890000000001</v>
      </c>
      <c r="AB134" s="40">
        <f>+AB17</f>
        <v>1512.702</v>
      </c>
      <c r="AC134" s="40">
        <f>+AC17</f>
        <v>1495.2560000000001</v>
      </c>
      <c r="AD134" s="40">
        <f>+AD17</f>
        <v>1497.1079999999999</v>
      </c>
      <c r="AE134" s="502">
        <f>AE131+AE132+AE133</f>
        <v>1497.1080000000002</v>
      </c>
      <c r="AF134" s="26"/>
      <c r="AG134" s="526">
        <f>+AG17</f>
        <v>1483.0940000000001</v>
      </c>
      <c r="AH134" s="40">
        <f>+AH17</f>
        <v>1523.4459999999999</v>
      </c>
      <c r="AI134" s="40">
        <f>+AI17</f>
        <v>1591.482</v>
      </c>
      <c r="AJ134" s="40">
        <f>+AJ17</f>
        <v>1601.046</v>
      </c>
      <c r="AK134" s="502">
        <f>AK131+AK132+AK133</f>
        <v>1601.0460000000003</v>
      </c>
      <c r="AL134" s="26"/>
      <c r="AM134" s="526">
        <f>+AM17</f>
        <v>1610.9960000000001</v>
      </c>
      <c r="AN134" s="40">
        <f>+AN17</f>
        <v>1607.731</v>
      </c>
      <c r="AO134" s="40">
        <f>+AO17</f>
        <v>1634.48</v>
      </c>
      <c r="AP134" s="40">
        <f>+AP17</f>
        <v>1635.0050000000001</v>
      </c>
      <c r="AQ134" s="502">
        <f>AQ131+AQ132+AQ133</f>
        <v>1635.0050000000003</v>
      </c>
      <c r="AR134" s="26"/>
      <c r="AS134" s="526">
        <f>+AS17</f>
        <v>1802.905</v>
      </c>
      <c r="AT134" s="40">
        <f>+AT17</f>
        <v>1832.377</v>
      </c>
      <c r="AU134" s="40">
        <f>+AU17</f>
        <v>1886.2809999999999</v>
      </c>
      <c r="AV134" s="40">
        <f>+AV17</f>
        <v>1884.123</v>
      </c>
      <c r="AW134" s="502">
        <f>AW131+AW132+AW133</f>
        <v>1884.1230000000003</v>
      </c>
      <c r="AX134" s="26"/>
      <c r="AY134" s="526">
        <f>+AY17</f>
        <v>1855.7139999999999</v>
      </c>
      <c r="AZ134" s="40">
        <f>+AZ17</f>
        <v>1871.8440000000001</v>
      </c>
      <c r="BA134" s="40">
        <f>+BA17</f>
        <v>1901.52</v>
      </c>
      <c r="BB134" s="40">
        <f>+BB17</f>
        <v>1907.5930000000001</v>
      </c>
      <c r="BC134" s="502">
        <f>BC131+BC132+BC133</f>
        <v>1907.5930000000003</v>
      </c>
      <c r="BD134" s="26"/>
      <c r="BE134" s="526">
        <f>+BE17</f>
        <v>1925.1110000000001</v>
      </c>
      <c r="BF134" s="40">
        <f>+BF17</f>
        <v>1954.5840000000001</v>
      </c>
      <c r="BG134" s="40">
        <f>+BG17</f>
        <v>1975.566</v>
      </c>
      <c r="BH134" s="40">
        <f>+BH17</f>
        <v>2019.74</v>
      </c>
      <c r="BI134" s="502">
        <f>BI131+BI132+BI133</f>
        <v>2019.7400000000002</v>
      </c>
      <c r="BJ134" s="26"/>
      <c r="BK134" s="526">
        <f>+BK17</f>
        <v>2058.6869999999999</v>
      </c>
      <c r="BL134" s="40">
        <f>+BL17</f>
        <v>2172.5630000000001</v>
      </c>
      <c r="BM134" s="40">
        <f>+BM17</f>
        <v>2224.6570000000002</v>
      </c>
      <c r="BN134" s="40">
        <f>+BN17</f>
        <v>2301.3310000000001</v>
      </c>
      <c r="BO134" s="502">
        <f>BO131+BO132+BO133</f>
        <v>2301.3310000000001</v>
      </c>
      <c r="BP134" s="26"/>
      <c r="BQ134" s="526">
        <f>BQ131+BQ132+BQ133</f>
        <v>2301.3310000000001</v>
      </c>
      <c r="BR134" s="40">
        <f>BR131+BR132+BR133</f>
        <v>2301.3310000000001</v>
      </c>
      <c r="BS134" s="40">
        <f>BS131+BS132+BS133</f>
        <v>2301.3310000000001</v>
      </c>
      <c r="BT134" s="40">
        <f>BT131+BT132+BT133</f>
        <v>2301.3310000000001</v>
      </c>
      <c r="BU134" s="502">
        <f>BU131+BU132+BU133</f>
        <v>2301.3310000000001</v>
      </c>
      <c r="BV134" s="26"/>
      <c r="BW134" s="526">
        <f>BW131+BW132+BW133</f>
        <v>2301.3310000000001</v>
      </c>
      <c r="BX134" s="40">
        <f>BX131+BX132+BX133</f>
        <v>2301.3310000000001</v>
      </c>
      <c r="BY134" s="40">
        <f>BY131+BY132+BY133</f>
        <v>2301.3310000000001</v>
      </c>
      <c r="BZ134" s="40">
        <f>BZ131+BZ132+BZ133</f>
        <v>2301.3310000000001</v>
      </c>
      <c r="CA134" s="502">
        <f>CA131+CA132+CA133</f>
        <v>2301.3310000000001</v>
      </c>
      <c r="CB134" s="26"/>
      <c r="CC134" s="526">
        <f>CC131+CC132+CC133</f>
        <v>2301.3310000000001</v>
      </c>
      <c r="CD134" s="40">
        <f>CD131+CD132+CD133</f>
        <v>2301.3310000000001</v>
      </c>
      <c r="CE134" s="40">
        <f>CE131+CE132+CE133</f>
        <v>2301.3310000000001</v>
      </c>
      <c r="CF134" s="40">
        <f>CF131+CF132+CF133</f>
        <v>2301.3310000000001</v>
      </c>
      <c r="CG134" s="502">
        <f>CG131+CG132+CG133</f>
        <v>2301.3310000000001</v>
      </c>
      <c r="CH134" s="35"/>
      <c r="CI134" s="35"/>
      <c r="CJ134" s="35"/>
      <c r="CK134" s="35"/>
      <c r="CL134" s="35"/>
      <c r="CM134" s="35"/>
      <c r="CN134" s="35"/>
      <c r="CO134"/>
      <c r="CP134"/>
      <c r="CQ134"/>
      <c r="CR134"/>
      <c r="CS134"/>
      <c r="CT134"/>
    </row>
    <row r="135" spans="1:98" s="7" customFormat="1" ht="11.25" customHeight="1" x14ac:dyDescent="0.2">
      <c r="B135" s="554" t="s">
        <v>44</v>
      </c>
      <c r="C135" s="596">
        <f>+C134-C17</f>
        <v>0</v>
      </c>
      <c r="D135" s="597">
        <f>+D134-D17</f>
        <v>0</v>
      </c>
      <c r="E135" s="597">
        <f>+E134-E17</f>
        <v>0</v>
      </c>
      <c r="F135" s="597">
        <f>+F134-F17</f>
        <v>0</v>
      </c>
      <c r="G135" s="598">
        <f>+G134-G17</f>
        <v>0</v>
      </c>
      <c r="H135" s="198"/>
      <c r="I135" s="596">
        <f>+I134-I17</f>
        <v>0</v>
      </c>
      <c r="J135" s="597">
        <f>+J134-J17</f>
        <v>0</v>
      </c>
      <c r="K135" s="597">
        <f>+K134-K17</f>
        <v>0</v>
      </c>
      <c r="L135" s="597">
        <f>+L134-L17</f>
        <v>0</v>
      </c>
      <c r="M135" s="598">
        <f>+M134-M17</f>
        <v>0</v>
      </c>
      <c r="N135" s="198"/>
      <c r="O135" s="596">
        <f>+O134-O17</f>
        <v>0</v>
      </c>
      <c r="P135" s="597">
        <f>+P134-P17</f>
        <v>0</v>
      </c>
      <c r="Q135" s="597">
        <f>+Q134-Q17</f>
        <v>0</v>
      </c>
      <c r="R135" s="597">
        <f>+R134-R17</f>
        <v>0</v>
      </c>
      <c r="S135" s="598">
        <f>+S134-S17</f>
        <v>0</v>
      </c>
      <c r="T135" s="198"/>
      <c r="U135" s="596">
        <f>+U134-U17</f>
        <v>0</v>
      </c>
      <c r="V135" s="597">
        <f>+V134-V17</f>
        <v>0</v>
      </c>
      <c r="W135" s="597">
        <f>+W134-W17</f>
        <v>0</v>
      </c>
      <c r="X135" s="597">
        <f>+X134-X17</f>
        <v>0</v>
      </c>
      <c r="Y135" s="598">
        <f>+Y134-Y17</f>
        <v>0</v>
      </c>
      <c r="Z135" s="198"/>
      <c r="AA135" s="596">
        <f>+AA134-AA17</f>
        <v>0</v>
      </c>
      <c r="AB135" s="597">
        <f>+AB134-AB17</f>
        <v>0</v>
      </c>
      <c r="AC135" s="597">
        <f>+AC134-AC17</f>
        <v>0</v>
      </c>
      <c r="AD135" s="597">
        <f>+AD134-AD17</f>
        <v>0</v>
      </c>
      <c r="AE135" s="598">
        <f>+AE134-AE17</f>
        <v>0</v>
      </c>
      <c r="AF135" s="198"/>
      <c r="AG135" s="596">
        <f>+AG134-AG17</f>
        <v>0</v>
      </c>
      <c r="AH135" s="597">
        <f>+AH134-AH17</f>
        <v>0</v>
      </c>
      <c r="AI135" s="597">
        <f>+AI134-AI17</f>
        <v>0</v>
      </c>
      <c r="AJ135" s="597">
        <f>+AJ134-AJ17</f>
        <v>0</v>
      </c>
      <c r="AK135" s="598">
        <f>+AK134-AK17</f>
        <v>0</v>
      </c>
      <c r="AL135" s="198"/>
      <c r="AM135" s="596">
        <f>+AM134-AM17</f>
        <v>0</v>
      </c>
      <c r="AN135" s="597">
        <f>+AN134-AN17</f>
        <v>0</v>
      </c>
      <c r="AO135" s="597">
        <f>+AO134-AO17</f>
        <v>0</v>
      </c>
      <c r="AP135" s="597">
        <f>+AP134-AP17</f>
        <v>0</v>
      </c>
      <c r="AQ135" s="598">
        <f>+AQ134-AQ17</f>
        <v>0</v>
      </c>
      <c r="AR135" s="198"/>
      <c r="AS135" s="596">
        <f>+AS134-AS17</f>
        <v>0</v>
      </c>
      <c r="AT135" s="597">
        <f>+AT134-AT17</f>
        <v>0</v>
      </c>
      <c r="AU135" s="597">
        <f>+AU134-AU17</f>
        <v>0</v>
      </c>
      <c r="AV135" s="597">
        <f>+AV134-AV17</f>
        <v>0</v>
      </c>
      <c r="AW135" s="598">
        <f>+AW134-AW17</f>
        <v>0</v>
      </c>
      <c r="AX135" s="198"/>
      <c r="AY135" s="596">
        <f>+AY134-AY17</f>
        <v>0</v>
      </c>
      <c r="AZ135" s="597">
        <f>+AZ134-AZ17</f>
        <v>0</v>
      </c>
      <c r="BA135" s="597">
        <f>+BA134-BA17</f>
        <v>0</v>
      </c>
      <c r="BB135" s="597">
        <f>+BB134-BB17</f>
        <v>0</v>
      </c>
      <c r="BC135" s="598">
        <f>+BC134-BC17</f>
        <v>0</v>
      </c>
      <c r="BD135" s="198"/>
      <c r="BE135" s="596">
        <f>+BE134-BE17</f>
        <v>0</v>
      </c>
      <c r="BF135" s="597">
        <f>+BF134-BF17</f>
        <v>0</v>
      </c>
      <c r="BG135" s="597">
        <f>+BG134-BG17</f>
        <v>0</v>
      </c>
      <c r="BH135" s="597">
        <f>+BH134-BH17</f>
        <v>0</v>
      </c>
      <c r="BI135" s="598">
        <f>+BI134-BI17</f>
        <v>0</v>
      </c>
      <c r="BJ135" s="198"/>
      <c r="BK135" s="596">
        <f>+BK134-BK17</f>
        <v>0</v>
      </c>
      <c r="BL135" s="597">
        <f>+BL134-BL17</f>
        <v>0</v>
      </c>
      <c r="BM135" s="597">
        <f>+BM134-BM17</f>
        <v>0</v>
      </c>
      <c r="BN135" s="597">
        <f>+BN134-BN17</f>
        <v>0</v>
      </c>
      <c r="BO135" s="598">
        <f>+BO134-BO17</f>
        <v>0</v>
      </c>
      <c r="BP135" s="198"/>
      <c r="BQ135" s="596">
        <f>+BQ134-BQ17</f>
        <v>0</v>
      </c>
      <c r="BR135" s="597">
        <f>+BR134-BR17</f>
        <v>0</v>
      </c>
      <c r="BS135" s="597">
        <f>+BS134-BS17</f>
        <v>0</v>
      </c>
      <c r="BT135" s="597">
        <f>+BT134-BT17</f>
        <v>0</v>
      </c>
      <c r="BU135" s="598">
        <f>+BU134-BU17</f>
        <v>0</v>
      </c>
      <c r="BV135" s="198"/>
      <c r="BW135" s="596">
        <f>+BW134-BW17</f>
        <v>0</v>
      </c>
      <c r="BX135" s="597">
        <f>+BX134-BX17</f>
        <v>0</v>
      </c>
      <c r="BY135" s="597">
        <f>+BY134-BY17</f>
        <v>0</v>
      </c>
      <c r="BZ135" s="597">
        <f>+BZ134-BZ17</f>
        <v>0</v>
      </c>
      <c r="CA135" s="598">
        <f>+CA134-CA17</f>
        <v>0</v>
      </c>
      <c r="CB135" s="198"/>
      <c r="CC135" s="596">
        <f>+CC134-CC17</f>
        <v>0</v>
      </c>
      <c r="CD135" s="597">
        <f>+CD134-CD17</f>
        <v>0</v>
      </c>
      <c r="CE135" s="597">
        <f>+CE134-CE17</f>
        <v>0</v>
      </c>
      <c r="CF135" s="597">
        <f>+CF134-CF17</f>
        <v>0</v>
      </c>
      <c r="CG135" s="598">
        <f>+CG134-CG17</f>
        <v>0</v>
      </c>
      <c r="CH135" s="126"/>
      <c r="CI135" s="126"/>
      <c r="CJ135" s="126"/>
      <c r="CK135" s="126"/>
      <c r="CL135" s="126"/>
      <c r="CM135" s="126"/>
      <c r="CN135" s="126"/>
      <c r="CO135"/>
      <c r="CP135"/>
      <c r="CQ135"/>
      <c r="CR135"/>
      <c r="CS135"/>
      <c r="CT135"/>
    </row>
    <row r="136" spans="1:98" s="7" customFormat="1" ht="11.25" customHeight="1" x14ac:dyDescent="0.2">
      <c r="B136" s="31"/>
      <c r="C136" s="142"/>
      <c r="D136" s="142"/>
      <c r="E136" s="142"/>
      <c r="F136" s="142"/>
      <c r="G136" s="142"/>
      <c r="H136" s="141"/>
      <c r="I136" s="142"/>
      <c r="J136" s="142"/>
      <c r="K136" s="142"/>
      <c r="L136" s="142"/>
      <c r="M136" s="142"/>
      <c r="N136" s="141"/>
      <c r="O136" s="142"/>
      <c r="P136" s="142"/>
      <c r="Q136" s="142"/>
      <c r="R136" s="142"/>
      <c r="S136" s="142"/>
      <c r="T136" s="141"/>
      <c r="U136" s="142"/>
      <c r="V136" s="142"/>
      <c r="W136" s="142"/>
      <c r="X136" s="142"/>
      <c r="Y136" s="142"/>
      <c r="Z136" s="141"/>
      <c r="AA136" s="142"/>
      <c r="AB136" s="142"/>
      <c r="AC136" s="142"/>
      <c r="AD136" s="142"/>
      <c r="AE136" s="142"/>
      <c r="AF136" s="141"/>
      <c r="AG136" s="142"/>
      <c r="AH136" s="142"/>
      <c r="AI136" s="142"/>
      <c r="AJ136" s="142"/>
      <c r="AK136" s="142"/>
      <c r="AL136" s="141"/>
      <c r="AM136" s="142"/>
      <c r="AN136" s="142"/>
      <c r="AO136" s="142"/>
      <c r="AP136" s="142"/>
      <c r="AQ136" s="142"/>
      <c r="AR136" s="141"/>
      <c r="AS136" s="142"/>
      <c r="AT136" s="142"/>
      <c r="AU136" s="142"/>
      <c r="AV136" s="142"/>
      <c r="AW136" s="142"/>
      <c r="AX136" s="141"/>
      <c r="AY136" s="142"/>
      <c r="AZ136" s="142"/>
      <c r="BA136" s="142"/>
      <c r="BB136" s="142"/>
      <c r="BC136" s="142"/>
      <c r="BD136" s="141"/>
      <c r="BE136" s="142"/>
      <c r="BF136" s="142"/>
      <c r="BG136" s="142"/>
      <c r="BH136" s="142"/>
      <c r="BI136" s="142"/>
      <c r="BJ136" s="141"/>
      <c r="BK136" s="142"/>
      <c r="BL136" s="142"/>
      <c r="BM136" s="142"/>
      <c r="BN136" s="142"/>
      <c r="BO136" s="142"/>
      <c r="BP136" s="141"/>
      <c r="BQ136" s="142"/>
      <c r="BR136" s="142"/>
      <c r="BS136" s="142"/>
      <c r="BT136" s="142"/>
      <c r="BU136" s="142"/>
      <c r="BV136" s="141"/>
      <c r="BW136" s="142"/>
      <c r="BX136" s="142"/>
      <c r="BY136" s="142"/>
      <c r="BZ136" s="142"/>
      <c r="CA136" s="142"/>
      <c r="CB136" s="141"/>
      <c r="CC136" s="142"/>
      <c r="CD136" s="142"/>
      <c r="CE136" s="142"/>
      <c r="CF136" s="142"/>
      <c r="CG136" s="142"/>
      <c r="CH136" s="126"/>
      <c r="CI136" s="126"/>
      <c r="CJ136" s="126"/>
      <c r="CK136" s="126"/>
      <c r="CL136" s="126"/>
      <c r="CM136" s="126"/>
      <c r="CN136" s="126"/>
      <c r="CO136"/>
      <c r="CP136"/>
      <c r="CQ136"/>
      <c r="CR136"/>
      <c r="CS136"/>
      <c r="CT136"/>
    </row>
    <row r="137" spans="1:98" s="7" customFormat="1" ht="11.25" customHeight="1" x14ac:dyDescent="0.2">
      <c r="B137" s="815" t="s">
        <v>102</v>
      </c>
      <c r="C137" s="816"/>
      <c r="D137" s="816"/>
      <c r="E137" s="816"/>
      <c r="F137" s="816"/>
      <c r="G137" s="816"/>
      <c r="H137" s="816"/>
      <c r="I137" s="816"/>
      <c r="J137" s="816"/>
      <c r="K137" s="816"/>
      <c r="L137" s="816"/>
      <c r="M137" s="816"/>
      <c r="N137" s="816"/>
      <c r="O137" s="816"/>
      <c r="P137" s="816"/>
      <c r="Q137" s="816"/>
      <c r="R137" s="816"/>
      <c r="S137" s="816"/>
      <c r="T137" s="816"/>
      <c r="U137" s="816"/>
      <c r="V137" s="816"/>
      <c r="W137" s="816"/>
      <c r="X137" s="816"/>
      <c r="Y137" s="816"/>
      <c r="Z137" s="816"/>
      <c r="AA137" s="816"/>
      <c r="AB137" s="816"/>
      <c r="AC137" s="816"/>
      <c r="AD137" s="816"/>
      <c r="AE137" s="816"/>
      <c r="AF137" s="816"/>
      <c r="AG137" s="816"/>
      <c r="AH137" s="816"/>
      <c r="AI137" s="816"/>
      <c r="AJ137" s="816"/>
      <c r="AK137" s="816"/>
      <c r="AL137" s="816"/>
      <c r="AM137" s="816"/>
      <c r="AN137" s="816"/>
      <c r="AO137" s="816"/>
      <c r="AP137" s="816"/>
      <c r="AQ137" s="816"/>
      <c r="AR137" s="816"/>
      <c r="AS137" s="816"/>
      <c r="AT137" s="816"/>
      <c r="AU137" s="816"/>
      <c r="AV137" s="816"/>
      <c r="AW137" s="816"/>
      <c r="AX137" s="816"/>
      <c r="AY137" s="816"/>
      <c r="AZ137" s="816"/>
      <c r="BA137" s="816"/>
      <c r="BB137" s="816"/>
      <c r="BC137" s="816"/>
      <c r="BD137" s="816"/>
      <c r="BE137" s="816"/>
      <c r="BF137" s="816"/>
      <c r="BG137" s="816"/>
      <c r="BH137" s="816"/>
      <c r="BI137" s="816"/>
      <c r="BJ137" s="816"/>
      <c r="BK137" s="816"/>
      <c r="BL137" s="816"/>
      <c r="BM137" s="816"/>
      <c r="BN137" s="816"/>
      <c r="BO137" s="816"/>
      <c r="BP137" s="816"/>
      <c r="BQ137" s="816"/>
      <c r="BR137" s="816"/>
      <c r="BS137" s="816"/>
      <c r="BT137" s="816"/>
      <c r="BU137" s="816"/>
      <c r="BV137" s="816"/>
      <c r="BW137" s="816"/>
      <c r="BX137" s="816"/>
      <c r="BY137" s="816"/>
      <c r="BZ137" s="816"/>
      <c r="CA137" s="816"/>
      <c r="CB137" s="816"/>
      <c r="CC137" s="816"/>
      <c r="CD137" s="816"/>
      <c r="CE137" s="816"/>
      <c r="CF137" s="816"/>
      <c r="CG137" s="816"/>
      <c r="CH137" s="16"/>
      <c r="CI137" s="16"/>
      <c r="CJ137" s="16"/>
      <c r="CK137" s="16"/>
      <c r="CL137" s="16"/>
      <c r="CM137" s="16"/>
      <c r="CN137" s="16"/>
      <c r="CO137"/>
      <c r="CP137"/>
      <c r="CQ137"/>
      <c r="CR137"/>
      <c r="CS137"/>
      <c r="CT137"/>
    </row>
    <row r="138" spans="1:98" s="7" customFormat="1" ht="11.25" customHeight="1" x14ac:dyDescent="0.2">
      <c r="B138" s="428" t="s">
        <v>103</v>
      </c>
      <c r="C138" s="237">
        <f>+'Cash Flow'!C28</f>
        <v>-27.431999999999999</v>
      </c>
      <c r="D138" s="39">
        <f>+'Cash Flow'!D28</f>
        <v>-14.391000000000002</v>
      </c>
      <c r="E138" s="39">
        <f>+'Cash Flow'!E28</f>
        <v>-82.474999999999994</v>
      </c>
      <c r="F138" s="39">
        <f>+'Cash Flow'!F28</f>
        <v>-81.883999999999986</v>
      </c>
      <c r="G138" s="388">
        <f>+'Cash Flow'!G28</f>
        <v>-206.18199999999999</v>
      </c>
      <c r="H138" s="39"/>
      <c r="I138" s="237">
        <f>+'Cash Flow'!I28</f>
        <v>-8.5239999999999991</v>
      </c>
      <c r="J138" s="39">
        <f>+'Cash Flow'!J28</f>
        <v>-15.057</v>
      </c>
      <c r="K138" s="39">
        <f>+'Cash Flow'!K28</f>
        <v>-2.3490000000000002</v>
      </c>
      <c r="L138" s="39">
        <f>+'Cash Flow'!L28</f>
        <v>-102.53999999999999</v>
      </c>
      <c r="M138" s="388">
        <f>+'Cash Flow'!M28</f>
        <v>-128.47</v>
      </c>
      <c r="N138" s="39"/>
      <c r="O138" s="237">
        <f>+'Cash Flow'!O28</f>
        <v>-13.743</v>
      </c>
      <c r="P138" s="39">
        <f>+'Cash Flow'!P28</f>
        <v>-12.746</v>
      </c>
      <c r="Q138" s="39">
        <f>+'Cash Flow'!Q28</f>
        <v>-18.968999999999994</v>
      </c>
      <c r="R138" s="39">
        <f>+'Cash Flow'!R28</f>
        <v>-11.190000000000007</v>
      </c>
      <c r="S138" s="388">
        <f>+'Cash Flow'!S28</f>
        <v>-56.648000000000003</v>
      </c>
      <c r="T138" s="39"/>
      <c r="U138" s="237">
        <f>+'Cash Flow'!U28</f>
        <v>-108.946</v>
      </c>
      <c r="V138" s="39">
        <f>+'Cash Flow'!V28</f>
        <v>-95.652000000000015</v>
      </c>
      <c r="W138" s="39">
        <f>+'Cash Flow'!W28</f>
        <v>-99.645999999999958</v>
      </c>
      <c r="X138" s="39">
        <f>+'Cash Flow'!X28</f>
        <v>-48.354000000000042</v>
      </c>
      <c r="Y138" s="388">
        <f>+'Cash Flow'!Y28</f>
        <v>-352.59800000000001</v>
      </c>
      <c r="Z138" s="39"/>
      <c r="AA138" s="237">
        <f>+'Cash Flow'!AA28</f>
        <v>-133.614</v>
      </c>
      <c r="AB138" s="39">
        <f>+'Cash Flow'!AB28</f>
        <v>-10.021999999999991</v>
      </c>
      <c r="AC138" s="39">
        <f>+'Cash Flow'!AC28</f>
        <v>0</v>
      </c>
      <c r="AD138" s="39">
        <f>+'Cash Flow'!AD28</f>
        <v>-5.7669999999999959</v>
      </c>
      <c r="AE138" s="388">
        <f>+'Cash Flow'!AE28</f>
        <v>-149.40299999999999</v>
      </c>
      <c r="AF138" s="39"/>
      <c r="AG138" s="237">
        <f>+'Cash Flow'!AG28</f>
        <v>-18.98</v>
      </c>
      <c r="AH138" s="39">
        <f>+'Cash Flow'!AH28</f>
        <v>-101.36799999999999</v>
      </c>
      <c r="AI138" s="39">
        <f>+'Cash Flow'!AI28</f>
        <v>-85.912999999999997</v>
      </c>
      <c r="AJ138" s="39">
        <f>+'Cash Flow'!AJ28</f>
        <v>-13.976999999999993</v>
      </c>
      <c r="AK138" s="617">
        <f>+'Cash Flow'!AK28</f>
        <v>-220.238</v>
      </c>
      <c r="AL138" s="534"/>
      <c r="AM138" s="538">
        <f>+'Cash Flow'!AM28</f>
        <v>-32.359000000000002</v>
      </c>
      <c r="AN138" s="534">
        <f>+'Cash Flow'!AN28</f>
        <v>-1.3489999999999966</v>
      </c>
      <c r="AO138" s="534">
        <f>+'Cash Flow'!AO28</f>
        <v>-14.170000000000002</v>
      </c>
      <c r="AP138" s="534">
        <f>+'Cash Flow'!AP28</f>
        <v>-134.48499999999999</v>
      </c>
      <c r="AQ138" s="617">
        <f>+'Cash Flow'!AQ28</f>
        <v>-182.363</v>
      </c>
      <c r="AR138" s="534"/>
      <c r="AS138" s="538">
        <f>+'Cash Flow'!AS28</f>
        <v>-144.679</v>
      </c>
      <c r="AT138" s="534">
        <f>+'Cash Flow'!AT28</f>
        <v>-78.177999999999997</v>
      </c>
      <c r="AU138" s="534">
        <f>+'Cash Flow'!AU28</f>
        <v>-141.25300000000001</v>
      </c>
      <c r="AV138" s="534">
        <f>+'Cash Flow'!AV28</f>
        <v>-60.172999999999973</v>
      </c>
      <c r="AW138" s="617">
        <f>+'Cash Flow'!AW28</f>
        <v>-424.28300000000002</v>
      </c>
      <c r="AX138" s="534"/>
      <c r="AY138" s="538">
        <f>+'Cash Flow'!AY28</f>
        <v>-13.637</v>
      </c>
      <c r="AZ138" s="534">
        <f>+'Cash Flow'!AZ28</f>
        <v>-47.679000000000002</v>
      </c>
      <c r="BA138" s="534">
        <f>+'Cash Flow'!BA28</f>
        <v>-80.762</v>
      </c>
      <c r="BB138" s="534">
        <f>+'Cash Flow'!BB28</f>
        <v>-29.782999999999987</v>
      </c>
      <c r="BC138" s="617">
        <f>+'Cash Flow'!BC28</f>
        <v>-171.86099999999999</v>
      </c>
      <c r="BD138" s="534"/>
      <c r="BE138" s="538">
        <f>+'Cash Flow'!BE28</f>
        <v>-52.561999999999998</v>
      </c>
      <c r="BF138" s="534">
        <f>+'Cash Flow'!BF28</f>
        <v>-39.879000000000005</v>
      </c>
      <c r="BG138" s="534">
        <f>+'Cash Flow'!BG28</f>
        <v>-34.102000000000004</v>
      </c>
      <c r="BH138" s="534">
        <f>+'Cash Flow'!BH28</f>
        <v>-102.032</v>
      </c>
      <c r="BI138" s="617">
        <f>+'Cash Flow'!BI28</f>
        <v>-228.57499999999999</v>
      </c>
      <c r="BJ138" s="39"/>
      <c r="BK138" s="538">
        <f>+'Cash Flow'!BK28</f>
        <v>-11.82</v>
      </c>
      <c r="BL138" s="534">
        <f>+'Cash Flow'!BL28</f>
        <v>-137.76600000000002</v>
      </c>
      <c r="BM138" s="534">
        <f>+'Cash Flow'!BM28</f>
        <v>-109.19999999999999</v>
      </c>
      <c r="BN138" s="534">
        <f>+'Cash Flow'!BN28</f>
        <v>-29.886999999999993</v>
      </c>
      <c r="BO138" s="617">
        <f>+'Cash Flow'!BO28</f>
        <v>-288.673</v>
      </c>
      <c r="BP138" s="39"/>
      <c r="BQ138" s="237">
        <f>+'Cash Flow'!BQ28</f>
        <v>0</v>
      </c>
      <c r="BR138" s="39">
        <f>+'Cash Flow'!BR28</f>
        <v>0</v>
      </c>
      <c r="BS138" s="39">
        <f>+'Cash Flow'!BS28</f>
        <v>0</v>
      </c>
      <c r="BT138" s="39">
        <f>+'Cash Flow'!BT28</f>
        <v>0</v>
      </c>
      <c r="BU138" s="388">
        <f>+'Cash Flow'!BU28</f>
        <v>0</v>
      </c>
      <c r="BV138" s="39"/>
      <c r="BW138" s="237">
        <f>+'Cash Flow'!BW28</f>
        <v>0</v>
      </c>
      <c r="BX138" s="39">
        <f>+'Cash Flow'!BX28</f>
        <v>0</v>
      </c>
      <c r="BY138" s="39">
        <f>+'Cash Flow'!BY28</f>
        <v>0</v>
      </c>
      <c r="BZ138" s="39">
        <f>+'Cash Flow'!BZ28</f>
        <v>0</v>
      </c>
      <c r="CA138" s="388">
        <f>+'Cash Flow'!CA28</f>
        <v>0</v>
      </c>
      <c r="CB138" s="39"/>
      <c r="CC138" s="237">
        <f>+'Cash Flow'!CC28</f>
        <v>0</v>
      </c>
      <c r="CD138" s="39">
        <f>+'Cash Flow'!CD28</f>
        <v>0</v>
      </c>
      <c r="CE138" s="39">
        <f>+'Cash Flow'!CE28</f>
        <v>0</v>
      </c>
      <c r="CF138" s="39">
        <f>+'Cash Flow'!CF28</f>
        <v>0</v>
      </c>
      <c r="CG138" s="388">
        <f>+'Cash Flow'!CG28</f>
        <v>0</v>
      </c>
      <c r="CH138" s="35"/>
      <c r="CI138" s="35"/>
      <c r="CJ138" s="35"/>
      <c r="CK138" s="35"/>
      <c r="CL138" s="35"/>
      <c r="CM138" s="35"/>
      <c r="CN138" s="35"/>
      <c r="CO138"/>
      <c r="CP138"/>
      <c r="CQ138"/>
      <c r="CR138"/>
      <c r="CS138"/>
      <c r="CT138"/>
    </row>
    <row r="139" spans="1:98" s="7" customFormat="1" ht="11.25" customHeight="1" x14ac:dyDescent="0.2">
      <c r="B139" s="429" t="s">
        <v>37</v>
      </c>
      <c r="C139" s="620">
        <v>0.45</v>
      </c>
      <c r="D139" s="621">
        <v>0.45</v>
      </c>
      <c r="E139" s="621">
        <v>0.45</v>
      </c>
      <c r="F139" s="621">
        <v>0.45</v>
      </c>
      <c r="G139" s="386">
        <f>-G132/G$138</f>
        <v>0.45</v>
      </c>
      <c r="H139" s="104"/>
      <c r="I139" s="620">
        <v>0.45</v>
      </c>
      <c r="J139" s="621">
        <v>0.45</v>
      </c>
      <c r="K139" s="621">
        <v>0.45</v>
      </c>
      <c r="L139" s="621">
        <v>0.45</v>
      </c>
      <c r="M139" s="386">
        <f>-M132/M$138</f>
        <v>0.45</v>
      </c>
      <c r="N139" s="104"/>
      <c r="O139" s="620">
        <v>0.45</v>
      </c>
      <c r="P139" s="621">
        <v>0.45</v>
      </c>
      <c r="Q139" s="621">
        <v>0.45</v>
      </c>
      <c r="R139" s="621">
        <v>0.45</v>
      </c>
      <c r="S139" s="386">
        <f>-S132/S$138</f>
        <v>0.45</v>
      </c>
      <c r="T139" s="104"/>
      <c r="U139" s="620">
        <v>0.45</v>
      </c>
      <c r="V139" s="621">
        <v>0.45</v>
      </c>
      <c r="W139" s="621">
        <v>0.45</v>
      </c>
      <c r="X139" s="621">
        <v>0.45</v>
      </c>
      <c r="Y139" s="386">
        <f>-Y132/Y$138</f>
        <v>0.45</v>
      </c>
      <c r="Z139" s="104"/>
      <c r="AA139" s="620">
        <v>0.45</v>
      </c>
      <c r="AB139" s="621">
        <v>0.45</v>
      </c>
      <c r="AC139" s="621">
        <v>0.45</v>
      </c>
      <c r="AD139" s="621">
        <v>0.45</v>
      </c>
      <c r="AE139" s="386">
        <f>-AE132/AE$138</f>
        <v>0.45000000000000007</v>
      </c>
      <c r="AF139" s="104"/>
      <c r="AG139" s="620">
        <v>0.45</v>
      </c>
      <c r="AH139" s="621">
        <v>0.45</v>
      </c>
      <c r="AI139" s="621">
        <v>0.45</v>
      </c>
      <c r="AJ139" s="621">
        <v>0.45</v>
      </c>
      <c r="AK139" s="386">
        <f>-AK132/AK$138</f>
        <v>0.44999999999999996</v>
      </c>
      <c r="AL139" s="104"/>
      <c r="AM139" s="620">
        <v>0.45</v>
      </c>
      <c r="AN139" s="621">
        <v>0.45</v>
      </c>
      <c r="AO139" s="621">
        <v>0.45</v>
      </c>
      <c r="AP139" s="621">
        <v>0.45</v>
      </c>
      <c r="AQ139" s="386">
        <f>-AQ132/AQ$138</f>
        <v>0.45</v>
      </c>
      <c r="AR139" s="104"/>
      <c r="AS139" s="620">
        <v>0.45</v>
      </c>
      <c r="AT139" s="621">
        <v>0.45</v>
      </c>
      <c r="AU139" s="621">
        <v>0.45</v>
      </c>
      <c r="AV139" s="621">
        <v>0.45</v>
      </c>
      <c r="AW139" s="386">
        <f>-AW132/AW$138</f>
        <v>0.44999999999999996</v>
      </c>
      <c r="AX139" s="104"/>
      <c r="AY139" s="620">
        <v>0.45</v>
      </c>
      <c r="AZ139" s="621">
        <v>0.45</v>
      </c>
      <c r="BA139" s="621">
        <v>0.45</v>
      </c>
      <c r="BB139" s="621">
        <v>0.45</v>
      </c>
      <c r="BC139" s="386">
        <f>-BC132/BC$138</f>
        <v>0.45000000000000007</v>
      </c>
      <c r="BD139" s="104"/>
      <c r="BE139" s="620">
        <v>0.45</v>
      </c>
      <c r="BF139" s="621">
        <v>0.45</v>
      </c>
      <c r="BG139" s="621">
        <v>0.45</v>
      </c>
      <c r="BH139" s="621">
        <v>0.45</v>
      </c>
      <c r="BI139" s="386">
        <f>-BI132/BI$138</f>
        <v>0.45</v>
      </c>
      <c r="BJ139" s="104"/>
      <c r="BK139" s="620">
        <v>0.45</v>
      </c>
      <c r="BL139" s="621">
        <v>0.45</v>
      </c>
      <c r="BM139" s="621">
        <v>0.45</v>
      </c>
      <c r="BN139" s="621">
        <v>0.45</v>
      </c>
      <c r="BO139" s="386">
        <f>-BO132/BO$138</f>
        <v>0.45</v>
      </c>
      <c r="BP139" s="104"/>
      <c r="BQ139" s="620">
        <v>0.45</v>
      </c>
      <c r="BR139" s="621">
        <v>0.45</v>
      </c>
      <c r="BS139" s="621">
        <v>0.45</v>
      </c>
      <c r="BT139" s="621">
        <v>0.45</v>
      </c>
      <c r="BU139" s="386" t="e">
        <f>-BU132/BU$138</f>
        <v>#DIV/0!</v>
      </c>
      <c r="BV139" s="104"/>
      <c r="BW139" s="620">
        <v>0.45</v>
      </c>
      <c r="BX139" s="621">
        <v>0.45</v>
      </c>
      <c r="BY139" s="621">
        <v>0.45</v>
      </c>
      <c r="BZ139" s="621">
        <v>0.45</v>
      </c>
      <c r="CA139" s="386" t="e">
        <f>-CA132/CA$138</f>
        <v>#DIV/0!</v>
      </c>
      <c r="CB139" s="104"/>
      <c r="CC139" s="620">
        <v>0.45</v>
      </c>
      <c r="CD139" s="621">
        <v>0.45</v>
      </c>
      <c r="CE139" s="621">
        <v>0.45</v>
      </c>
      <c r="CF139" s="621">
        <v>0.45</v>
      </c>
      <c r="CG139" s="386" t="e">
        <f>-CG132/CG$138</f>
        <v>#DIV/0!</v>
      </c>
      <c r="CH139" s="104"/>
      <c r="CI139" s="104"/>
      <c r="CJ139" s="104"/>
      <c r="CK139" s="104"/>
      <c r="CL139" s="104"/>
      <c r="CM139" s="104"/>
      <c r="CN139" s="104"/>
      <c r="CO139"/>
      <c r="CP139"/>
      <c r="CQ139"/>
      <c r="CR139"/>
      <c r="CS139"/>
      <c r="CT139"/>
    </row>
    <row r="140" spans="1:98" s="7" customFormat="1" ht="11.25" customHeight="1" x14ac:dyDescent="0.2">
      <c r="B140" s="429" t="s">
        <v>86</v>
      </c>
      <c r="C140" s="620">
        <v>0.3</v>
      </c>
      <c r="D140" s="621">
        <v>0.3</v>
      </c>
      <c r="E140" s="621">
        <v>0.3</v>
      </c>
      <c r="F140" s="621">
        <v>0.3</v>
      </c>
      <c r="G140" s="386">
        <f>-G122/G$138</f>
        <v>0.3</v>
      </c>
      <c r="H140" s="104"/>
      <c r="I140" s="620">
        <v>0.3</v>
      </c>
      <c r="J140" s="621">
        <v>0.3</v>
      </c>
      <c r="K140" s="621">
        <v>0.3</v>
      </c>
      <c r="L140" s="621">
        <v>0.3</v>
      </c>
      <c r="M140" s="386">
        <f>-M122/M$138</f>
        <v>0.3</v>
      </c>
      <c r="N140" s="104"/>
      <c r="O140" s="620">
        <v>0.3</v>
      </c>
      <c r="P140" s="621">
        <v>0.3</v>
      </c>
      <c r="Q140" s="621">
        <v>0.3</v>
      </c>
      <c r="R140" s="621">
        <v>0.3</v>
      </c>
      <c r="S140" s="386">
        <f>-S122/S$138</f>
        <v>0.3</v>
      </c>
      <c r="T140" s="104"/>
      <c r="U140" s="620">
        <v>0.3</v>
      </c>
      <c r="V140" s="621">
        <v>0.3</v>
      </c>
      <c r="W140" s="621">
        <v>0.3</v>
      </c>
      <c r="X140" s="621">
        <v>0.3</v>
      </c>
      <c r="Y140" s="386">
        <f>-Y122/Y$138</f>
        <v>0.3</v>
      </c>
      <c r="Z140" s="104"/>
      <c r="AA140" s="620">
        <v>0.3</v>
      </c>
      <c r="AB140" s="621">
        <v>0.3</v>
      </c>
      <c r="AC140" s="621">
        <v>0.3</v>
      </c>
      <c r="AD140" s="621">
        <v>0.3</v>
      </c>
      <c r="AE140" s="386">
        <f>-AE122/AE$138</f>
        <v>0.30000000000000004</v>
      </c>
      <c r="AF140" s="104"/>
      <c r="AG140" s="620">
        <v>0.3</v>
      </c>
      <c r="AH140" s="621">
        <v>0.3</v>
      </c>
      <c r="AI140" s="621">
        <v>0.3</v>
      </c>
      <c r="AJ140" s="621">
        <v>0.3</v>
      </c>
      <c r="AK140" s="386">
        <f>-AK122/AK$138</f>
        <v>0.3</v>
      </c>
      <c r="AL140" s="104"/>
      <c r="AM140" s="620">
        <v>0.3</v>
      </c>
      <c r="AN140" s="621">
        <v>0.3</v>
      </c>
      <c r="AO140" s="621">
        <v>0.3</v>
      </c>
      <c r="AP140" s="621">
        <v>0.3</v>
      </c>
      <c r="AQ140" s="386">
        <f>-AQ122/AQ$138</f>
        <v>0.29999999999999993</v>
      </c>
      <c r="AR140" s="104"/>
      <c r="AS140" s="620">
        <v>0.3</v>
      </c>
      <c r="AT140" s="621">
        <v>0.3</v>
      </c>
      <c r="AU140" s="621">
        <v>0.3</v>
      </c>
      <c r="AV140" s="621">
        <v>0.3</v>
      </c>
      <c r="AW140" s="386">
        <f>-AW122/AW$138</f>
        <v>0.3</v>
      </c>
      <c r="AX140" s="104"/>
      <c r="AY140" s="620">
        <v>0.3</v>
      </c>
      <c r="AZ140" s="621">
        <v>0.3</v>
      </c>
      <c r="BA140" s="621">
        <v>0.3</v>
      </c>
      <c r="BB140" s="621">
        <v>0.3</v>
      </c>
      <c r="BC140" s="386">
        <f>-BC122/BC$138</f>
        <v>0.30000000000000004</v>
      </c>
      <c r="BD140" s="104"/>
      <c r="BE140" s="620">
        <v>0.3</v>
      </c>
      <c r="BF140" s="621">
        <v>0.3</v>
      </c>
      <c r="BG140" s="621">
        <v>0.3</v>
      </c>
      <c r="BH140" s="621">
        <v>0.3</v>
      </c>
      <c r="BI140" s="386">
        <f>-BI122/BI$138</f>
        <v>0.30000000000000004</v>
      </c>
      <c r="BJ140" s="104"/>
      <c r="BK140" s="620">
        <v>0.3</v>
      </c>
      <c r="BL140" s="621">
        <v>0.3</v>
      </c>
      <c r="BM140" s="621">
        <v>0.3</v>
      </c>
      <c r="BN140" s="621">
        <v>0.3</v>
      </c>
      <c r="BO140" s="386">
        <f>-BO122/BO$138</f>
        <v>0.3</v>
      </c>
      <c r="BP140" s="104"/>
      <c r="BQ140" s="620">
        <v>0.3</v>
      </c>
      <c r="BR140" s="621">
        <v>0.3</v>
      </c>
      <c r="BS140" s="621">
        <v>0.3</v>
      </c>
      <c r="BT140" s="621">
        <v>0.3</v>
      </c>
      <c r="BU140" s="386" t="e">
        <f>-BU122/BU$138</f>
        <v>#DIV/0!</v>
      </c>
      <c r="BV140" s="104"/>
      <c r="BW140" s="620">
        <v>0.3</v>
      </c>
      <c r="BX140" s="621">
        <v>0.3</v>
      </c>
      <c r="BY140" s="621">
        <v>0.3</v>
      </c>
      <c r="BZ140" s="621">
        <v>0.3</v>
      </c>
      <c r="CA140" s="386" t="e">
        <f>-CA122/CA$138</f>
        <v>#DIV/0!</v>
      </c>
      <c r="CB140" s="104"/>
      <c r="CC140" s="620">
        <v>0.3</v>
      </c>
      <c r="CD140" s="621">
        <v>0.3</v>
      </c>
      <c r="CE140" s="621">
        <v>0.3</v>
      </c>
      <c r="CF140" s="621">
        <v>0.3</v>
      </c>
      <c r="CG140" s="386" t="e">
        <f>-CG122/CG$138</f>
        <v>#DIV/0!</v>
      </c>
      <c r="CH140" s="104"/>
      <c r="CI140" s="104"/>
      <c r="CJ140" s="104"/>
      <c r="CK140" s="104"/>
      <c r="CL140" s="104"/>
      <c r="CM140" s="104"/>
      <c r="CN140" s="104"/>
      <c r="CO140"/>
      <c r="CP140"/>
      <c r="CQ140"/>
      <c r="CR140"/>
      <c r="CS140"/>
      <c r="CT140"/>
    </row>
    <row r="141" spans="1:98" s="7" customFormat="1" ht="11.25" customHeight="1" x14ac:dyDescent="0.2">
      <c r="B141" s="429" t="s">
        <v>76</v>
      </c>
      <c r="C141" s="620">
        <v>0.25</v>
      </c>
      <c r="D141" s="621">
        <v>0.25</v>
      </c>
      <c r="E141" s="621">
        <v>0.25</v>
      </c>
      <c r="F141" s="621">
        <v>0.25</v>
      </c>
      <c r="G141" s="386">
        <f>-G106/G$138</f>
        <v>0.25</v>
      </c>
      <c r="H141" s="104"/>
      <c r="I141" s="620">
        <v>0.25</v>
      </c>
      <c r="J141" s="621">
        <v>0.25</v>
      </c>
      <c r="K141" s="621">
        <v>0.25</v>
      </c>
      <c r="L141" s="621">
        <v>0.25</v>
      </c>
      <c r="M141" s="386">
        <f>-M106/M$138</f>
        <v>0.25</v>
      </c>
      <c r="N141" s="104"/>
      <c r="O141" s="620">
        <v>0.25</v>
      </c>
      <c r="P141" s="621">
        <v>0.25</v>
      </c>
      <c r="Q141" s="621">
        <v>0.25</v>
      </c>
      <c r="R141" s="621">
        <v>0.25</v>
      </c>
      <c r="S141" s="386">
        <f>-S106/S$138</f>
        <v>0.25</v>
      </c>
      <c r="T141" s="104"/>
      <c r="U141" s="620">
        <v>0.25</v>
      </c>
      <c r="V141" s="621">
        <v>0.25</v>
      </c>
      <c r="W141" s="621">
        <v>0.25</v>
      </c>
      <c r="X141" s="621">
        <v>0.25</v>
      </c>
      <c r="Y141" s="386">
        <f>-Y106/Y$138</f>
        <v>0.25</v>
      </c>
      <c r="Z141" s="104"/>
      <c r="AA141" s="620">
        <v>0.25</v>
      </c>
      <c r="AB141" s="621">
        <v>0.25</v>
      </c>
      <c r="AC141" s="621">
        <v>0.25</v>
      </c>
      <c r="AD141" s="621">
        <v>0.25</v>
      </c>
      <c r="AE141" s="386">
        <f>-AE106/AE$138</f>
        <v>0.25</v>
      </c>
      <c r="AF141" s="104"/>
      <c r="AG141" s="620">
        <v>0.25</v>
      </c>
      <c r="AH141" s="621">
        <v>0.25</v>
      </c>
      <c r="AI141" s="621">
        <v>0.25</v>
      </c>
      <c r="AJ141" s="621">
        <v>0.25</v>
      </c>
      <c r="AK141" s="386">
        <f>-AK106/AK$138</f>
        <v>0.25</v>
      </c>
      <c r="AL141" s="104"/>
      <c r="AM141" s="620">
        <v>0.25</v>
      </c>
      <c r="AN141" s="621">
        <v>0.25</v>
      </c>
      <c r="AO141" s="621">
        <v>0.25</v>
      </c>
      <c r="AP141" s="621">
        <v>0.25</v>
      </c>
      <c r="AQ141" s="386">
        <f>-AQ106/AQ$138</f>
        <v>0.25</v>
      </c>
      <c r="AR141" s="104"/>
      <c r="AS141" s="620">
        <v>0.25</v>
      </c>
      <c r="AT141" s="621">
        <v>0.25</v>
      </c>
      <c r="AU141" s="621">
        <v>0.25</v>
      </c>
      <c r="AV141" s="621">
        <v>0.25</v>
      </c>
      <c r="AW141" s="386">
        <f>-AW106/AW$138</f>
        <v>0.25</v>
      </c>
      <c r="AX141" s="104"/>
      <c r="AY141" s="620">
        <v>0.25</v>
      </c>
      <c r="AZ141" s="621">
        <v>0.25</v>
      </c>
      <c r="BA141" s="621">
        <v>0.25</v>
      </c>
      <c r="BB141" s="621">
        <v>0.25</v>
      </c>
      <c r="BC141" s="386">
        <f>-BC106/BC$138</f>
        <v>0.25</v>
      </c>
      <c r="BD141" s="104"/>
      <c r="BE141" s="620">
        <v>0.25</v>
      </c>
      <c r="BF141" s="621">
        <v>0.25</v>
      </c>
      <c r="BG141" s="621">
        <v>0.25</v>
      </c>
      <c r="BH141" s="621">
        <v>0.25</v>
      </c>
      <c r="BI141" s="386">
        <f>-BI106/BI$138</f>
        <v>0.25</v>
      </c>
      <c r="BJ141" s="104"/>
      <c r="BK141" s="620">
        <v>0.25</v>
      </c>
      <c r="BL141" s="621">
        <v>0.25</v>
      </c>
      <c r="BM141" s="621">
        <v>0.25</v>
      </c>
      <c r="BN141" s="621">
        <v>0.25</v>
      </c>
      <c r="BO141" s="386">
        <f>-BO106/BO$138</f>
        <v>0.25</v>
      </c>
      <c r="BP141" s="104"/>
      <c r="BQ141" s="620">
        <v>0.25</v>
      </c>
      <c r="BR141" s="621">
        <v>0.25</v>
      </c>
      <c r="BS141" s="621">
        <v>0.25</v>
      </c>
      <c r="BT141" s="621">
        <v>0.25</v>
      </c>
      <c r="BU141" s="386" t="e">
        <f>-BU106/BU$138</f>
        <v>#DIV/0!</v>
      </c>
      <c r="BV141" s="104"/>
      <c r="BW141" s="620">
        <v>0.25</v>
      </c>
      <c r="BX141" s="621">
        <v>0.25</v>
      </c>
      <c r="BY141" s="621">
        <v>0.25</v>
      </c>
      <c r="BZ141" s="621">
        <v>0.25</v>
      </c>
      <c r="CA141" s="386" t="e">
        <f>-CA106/CA$138</f>
        <v>#DIV/0!</v>
      </c>
      <c r="CB141" s="104"/>
      <c r="CC141" s="620">
        <v>0.25</v>
      </c>
      <c r="CD141" s="621">
        <v>0.25</v>
      </c>
      <c r="CE141" s="621">
        <v>0.25</v>
      </c>
      <c r="CF141" s="621">
        <v>0.25</v>
      </c>
      <c r="CG141" s="386" t="e">
        <f>-CG106/CG$138</f>
        <v>#DIV/0!</v>
      </c>
      <c r="CH141" s="104"/>
      <c r="CI141" s="104"/>
      <c r="CJ141" s="104"/>
      <c r="CK141" s="104"/>
      <c r="CL141" s="104"/>
      <c r="CM141" s="104"/>
      <c r="CN141" s="104"/>
      <c r="CO141"/>
      <c r="CP141"/>
      <c r="CQ141"/>
      <c r="CR141"/>
      <c r="CS141"/>
      <c r="CT141"/>
    </row>
    <row r="142" spans="1:98" s="7" customFormat="1" ht="11.25" customHeight="1" x14ac:dyDescent="0.2">
      <c r="B142" s="275" t="s">
        <v>104</v>
      </c>
      <c r="C142" s="235">
        <f>+SUM(C139:C141)</f>
        <v>1</v>
      </c>
      <c r="D142" s="43">
        <f>+SUM(D139:D141)</f>
        <v>1</v>
      </c>
      <c r="E142" s="43">
        <f>+SUM(E139:E141)</f>
        <v>1</v>
      </c>
      <c r="F142" s="43">
        <f>+SUM(F139:F141)</f>
        <v>1</v>
      </c>
      <c r="G142" s="386">
        <f>+SUM(G139:G141)</f>
        <v>1</v>
      </c>
      <c r="H142" s="197"/>
      <c r="I142" s="235">
        <f>+SUM(I139:I141)</f>
        <v>1</v>
      </c>
      <c r="J142" s="43">
        <f>+SUM(J139:J141)</f>
        <v>1</v>
      </c>
      <c r="K142" s="43">
        <f>+SUM(K139:K141)</f>
        <v>1</v>
      </c>
      <c r="L142" s="43">
        <f>+SUM(L139:L141)</f>
        <v>1</v>
      </c>
      <c r="M142" s="386">
        <f>+SUM(M139:M141)</f>
        <v>1</v>
      </c>
      <c r="N142" s="197"/>
      <c r="O142" s="235">
        <f>+SUM(O139:O141)</f>
        <v>1</v>
      </c>
      <c r="P142" s="43">
        <f>+SUM(P139:P141)</f>
        <v>1</v>
      </c>
      <c r="Q142" s="43">
        <f>+SUM(Q139:Q141)</f>
        <v>1</v>
      </c>
      <c r="R142" s="43">
        <f>+SUM(R139:R141)</f>
        <v>1</v>
      </c>
      <c r="S142" s="386">
        <f>+SUM(S139:S141)</f>
        <v>1</v>
      </c>
      <c r="T142" s="197"/>
      <c r="U142" s="235">
        <f>+SUM(U139:U141)</f>
        <v>1</v>
      </c>
      <c r="V142" s="43">
        <f>+SUM(V139:V141)</f>
        <v>1</v>
      </c>
      <c r="W142" s="43">
        <f>+SUM(W139:W141)</f>
        <v>1</v>
      </c>
      <c r="X142" s="43">
        <f>+SUM(X139:X141)</f>
        <v>1</v>
      </c>
      <c r="Y142" s="386">
        <f>+SUM(Y139:Y141)</f>
        <v>1</v>
      </c>
      <c r="Z142" s="197"/>
      <c r="AA142" s="235">
        <f>+SUM(AA139:AA141)</f>
        <v>1</v>
      </c>
      <c r="AB142" s="43">
        <f>+SUM(AB139:AB141)</f>
        <v>1</v>
      </c>
      <c r="AC142" s="43">
        <f>+SUM(AC139:AC141)</f>
        <v>1</v>
      </c>
      <c r="AD142" s="43">
        <f>+SUM(AD139:AD141)</f>
        <v>1</v>
      </c>
      <c r="AE142" s="386">
        <f>+SUM(AE139:AE141)</f>
        <v>1</v>
      </c>
      <c r="AF142" s="197"/>
      <c r="AG142" s="235">
        <f>+SUM(AG139:AG141)</f>
        <v>1</v>
      </c>
      <c r="AH142" s="43">
        <f>+SUM(AH139:AH141)</f>
        <v>1</v>
      </c>
      <c r="AI142" s="43">
        <f>+SUM(AI139:AI141)</f>
        <v>1</v>
      </c>
      <c r="AJ142" s="43">
        <f>+SUM(AJ139:AJ141)</f>
        <v>1</v>
      </c>
      <c r="AK142" s="386">
        <f>+SUM(AK139:AK141)</f>
        <v>1</v>
      </c>
      <c r="AL142" s="197"/>
      <c r="AM142" s="235">
        <f>+SUM(AM139:AM141)</f>
        <v>1</v>
      </c>
      <c r="AN142" s="43">
        <f>+SUM(AN139:AN141)</f>
        <v>1</v>
      </c>
      <c r="AO142" s="43">
        <f>+SUM(AO139:AO141)</f>
        <v>1</v>
      </c>
      <c r="AP142" s="43">
        <f>+SUM(AP139:AP141)</f>
        <v>1</v>
      </c>
      <c r="AQ142" s="386">
        <f>+SUM(AQ139:AQ141)</f>
        <v>1</v>
      </c>
      <c r="AR142" s="197"/>
      <c r="AS142" s="235">
        <f>+SUM(AS139:AS141)</f>
        <v>1</v>
      </c>
      <c r="AT142" s="43">
        <f>+SUM(AT139:AT141)</f>
        <v>1</v>
      </c>
      <c r="AU142" s="43">
        <f>+SUM(AU139:AU141)</f>
        <v>1</v>
      </c>
      <c r="AV142" s="43">
        <f>+SUM(AV139:AV141)</f>
        <v>1</v>
      </c>
      <c r="AW142" s="386">
        <f>+SUM(AW139:AW141)</f>
        <v>1</v>
      </c>
      <c r="AX142" s="197"/>
      <c r="AY142" s="235">
        <f>+SUM(AY139:AY141)</f>
        <v>1</v>
      </c>
      <c r="AZ142" s="43">
        <f>+SUM(AZ139:AZ141)</f>
        <v>1</v>
      </c>
      <c r="BA142" s="43">
        <f>+SUM(BA139:BA141)</f>
        <v>1</v>
      </c>
      <c r="BB142" s="43">
        <f>+SUM(BB139:BB141)</f>
        <v>1</v>
      </c>
      <c r="BC142" s="386">
        <f>+SUM(BC139:BC141)</f>
        <v>1</v>
      </c>
      <c r="BD142" s="197"/>
      <c r="BE142" s="235">
        <f>+SUM(BE139:BE141)</f>
        <v>1</v>
      </c>
      <c r="BF142" s="43">
        <f>+SUM(BF139:BF141)</f>
        <v>1</v>
      </c>
      <c r="BG142" s="43">
        <f>+SUM(BG139:BG141)</f>
        <v>1</v>
      </c>
      <c r="BH142" s="43">
        <f>+SUM(BH139:BH141)</f>
        <v>1</v>
      </c>
      <c r="BI142" s="386">
        <f>+SUM(BI139:BI141)</f>
        <v>1</v>
      </c>
      <c r="BJ142" s="197"/>
      <c r="BK142" s="235">
        <f>+SUM(BK139:BK141)</f>
        <v>1</v>
      </c>
      <c r="BL142" s="43">
        <f>+SUM(BL139:BL141)</f>
        <v>1</v>
      </c>
      <c r="BM142" s="43">
        <f>+SUM(BM139:BM141)</f>
        <v>1</v>
      </c>
      <c r="BN142" s="43">
        <f>+SUM(BN139:BN141)</f>
        <v>1</v>
      </c>
      <c r="BO142" s="386">
        <f>+SUM(BO139:BO141)</f>
        <v>1</v>
      </c>
      <c r="BP142" s="197"/>
      <c r="BQ142" s="235">
        <f>+SUM(BQ139:BQ141)</f>
        <v>1</v>
      </c>
      <c r="BR142" s="43">
        <f>+SUM(BR139:BR141)</f>
        <v>1</v>
      </c>
      <c r="BS142" s="43">
        <f>+SUM(BS139:BS141)</f>
        <v>1</v>
      </c>
      <c r="BT142" s="43">
        <f>+SUM(BT139:BT141)</f>
        <v>1</v>
      </c>
      <c r="BU142" s="386" t="e">
        <f>+SUM(BU139:BU141)</f>
        <v>#DIV/0!</v>
      </c>
      <c r="BV142" s="197"/>
      <c r="BW142" s="235">
        <f>+SUM(BW139:BW141)</f>
        <v>1</v>
      </c>
      <c r="BX142" s="43">
        <f>+SUM(BX139:BX141)</f>
        <v>1</v>
      </c>
      <c r="BY142" s="43">
        <f>+SUM(BY139:BY141)</f>
        <v>1</v>
      </c>
      <c r="BZ142" s="43">
        <f>+SUM(BZ139:BZ141)</f>
        <v>1</v>
      </c>
      <c r="CA142" s="386" t="e">
        <f>+SUM(CA139:CA141)</f>
        <v>#DIV/0!</v>
      </c>
      <c r="CB142" s="197"/>
      <c r="CC142" s="235">
        <f>+SUM(CC139:CC141)</f>
        <v>1</v>
      </c>
      <c r="CD142" s="43">
        <f>+SUM(CD139:CD141)</f>
        <v>1</v>
      </c>
      <c r="CE142" s="43">
        <f>+SUM(CE139:CE141)</f>
        <v>1</v>
      </c>
      <c r="CF142" s="43">
        <f>+SUM(CF139:CF141)</f>
        <v>1</v>
      </c>
      <c r="CG142" s="386" t="e">
        <f>+SUM(CG139:CG141)</f>
        <v>#DIV/0!</v>
      </c>
      <c r="CH142" s="47"/>
      <c r="CI142" s="47"/>
      <c r="CJ142" s="47"/>
      <c r="CK142" s="47"/>
      <c r="CL142" s="47"/>
      <c r="CM142" s="47"/>
      <c r="CN142" s="47"/>
      <c r="CO142"/>
      <c r="CP142"/>
      <c r="CQ142"/>
      <c r="CR142"/>
      <c r="CS142"/>
      <c r="CT142"/>
    </row>
    <row r="143" spans="1:98" s="7" customFormat="1" ht="11.25" customHeight="1" x14ac:dyDescent="0.2">
      <c r="B143" s="426"/>
      <c r="C143" s="555"/>
      <c r="D143" s="11"/>
      <c r="E143" s="11"/>
      <c r="F143" s="11"/>
      <c r="G143" s="622"/>
      <c r="I143" s="555"/>
      <c r="J143" s="11"/>
      <c r="K143" s="11"/>
      <c r="L143" s="11"/>
      <c r="M143" s="622"/>
      <c r="O143" s="555"/>
      <c r="P143" s="11"/>
      <c r="Q143" s="11"/>
      <c r="R143" s="11"/>
      <c r="S143" s="622"/>
      <c r="U143" s="555"/>
      <c r="V143" s="11"/>
      <c r="W143" s="11"/>
      <c r="X143" s="11"/>
      <c r="Y143" s="622"/>
      <c r="AA143" s="555"/>
      <c r="AB143" s="11"/>
      <c r="AC143" s="11"/>
      <c r="AD143" s="11"/>
      <c r="AE143" s="622"/>
      <c r="AG143" s="555"/>
      <c r="AH143" s="11"/>
      <c r="AI143" s="11"/>
      <c r="AJ143" s="11"/>
      <c r="AK143" s="622"/>
      <c r="AM143" s="555"/>
      <c r="AN143" s="11"/>
      <c r="AO143" s="11"/>
      <c r="AP143" s="11"/>
      <c r="AQ143" s="622"/>
      <c r="AS143" s="555"/>
      <c r="AT143" s="11"/>
      <c r="AU143" s="11"/>
      <c r="AV143" s="11"/>
      <c r="AW143" s="622"/>
      <c r="AY143" s="555"/>
      <c r="AZ143" s="11"/>
      <c r="BA143" s="11"/>
      <c r="BB143" s="11"/>
      <c r="BC143" s="622"/>
      <c r="BE143" s="555"/>
      <c r="BF143" s="11"/>
      <c r="BG143" s="11"/>
      <c r="BH143" s="11"/>
      <c r="BI143" s="622"/>
      <c r="BK143" s="555"/>
      <c r="BL143" s="11"/>
      <c r="BM143" s="11"/>
      <c r="BN143" s="11"/>
      <c r="BO143" s="622"/>
      <c r="BQ143" s="555"/>
      <c r="BR143" s="11"/>
      <c r="BS143" s="11"/>
      <c r="BT143" s="11"/>
      <c r="BU143" s="622"/>
      <c r="BW143" s="555"/>
      <c r="BX143" s="11"/>
      <c r="BY143" s="11"/>
      <c r="BZ143" s="11"/>
      <c r="CA143" s="622"/>
      <c r="CC143" s="555"/>
      <c r="CD143" s="11"/>
      <c r="CE143" s="11"/>
      <c r="CF143" s="11"/>
      <c r="CG143" s="622"/>
      <c r="CO143"/>
      <c r="CP143"/>
      <c r="CQ143"/>
      <c r="CR143"/>
      <c r="CS143"/>
      <c r="CT143"/>
    </row>
    <row r="144" spans="1:98" s="7" customFormat="1" ht="11.25" customHeight="1" x14ac:dyDescent="0.2">
      <c r="B144" s="548" t="s">
        <v>268</v>
      </c>
      <c r="C144" s="555"/>
      <c r="D144" s="11"/>
      <c r="E144" s="11"/>
      <c r="F144" s="11"/>
      <c r="G144" s="622"/>
      <c r="I144" s="555"/>
      <c r="J144" s="11"/>
      <c r="K144" s="11"/>
      <c r="L144" s="11"/>
      <c r="M144" s="622"/>
      <c r="O144" s="555"/>
      <c r="P144" s="11"/>
      <c r="Q144" s="11"/>
      <c r="R144" s="11"/>
      <c r="S144" s="622"/>
      <c r="U144" s="555"/>
      <c r="V144" s="11"/>
      <c r="W144" s="11"/>
      <c r="X144" s="11"/>
      <c r="Y144" s="622"/>
      <c r="AA144" s="555"/>
      <c r="AB144" s="11"/>
      <c r="AC144" s="11"/>
      <c r="AD144" s="11"/>
      <c r="AE144" s="622"/>
      <c r="AG144" s="555"/>
      <c r="AH144" s="11"/>
      <c r="AI144" s="11"/>
      <c r="AJ144" s="11"/>
      <c r="AK144" s="622"/>
      <c r="AM144" s="555"/>
      <c r="AN144" s="11"/>
      <c r="AO144" s="11"/>
      <c r="AP144" s="11"/>
      <c r="AQ144" s="622"/>
      <c r="AS144" s="555"/>
      <c r="AT144" s="11"/>
      <c r="AU144" s="11"/>
      <c r="AV144" s="11"/>
      <c r="AW144" s="622"/>
      <c r="AY144" s="555"/>
      <c r="AZ144" s="11"/>
      <c r="BA144" s="11"/>
      <c r="BB144" s="11"/>
      <c r="BC144" s="622"/>
      <c r="BE144" s="555"/>
      <c r="BF144" s="11"/>
      <c r="BG144" s="11"/>
      <c r="BH144" s="11"/>
      <c r="BI144" s="622"/>
      <c r="BK144" s="555"/>
      <c r="BL144" s="11"/>
      <c r="BM144" s="11"/>
      <c r="BN144" s="11"/>
      <c r="BO144" s="622"/>
      <c r="BQ144" s="555"/>
      <c r="BR144" s="11"/>
      <c r="BS144" s="11"/>
      <c r="BT144" s="11"/>
      <c r="BU144" s="622"/>
      <c r="BW144" s="555"/>
      <c r="BX144" s="11"/>
      <c r="BY144" s="11"/>
      <c r="BZ144" s="11"/>
      <c r="CA144" s="622"/>
      <c r="CC144" s="555"/>
      <c r="CD144" s="11"/>
      <c r="CE144" s="11"/>
      <c r="CF144" s="11"/>
      <c r="CG144" s="622"/>
      <c r="CO144"/>
      <c r="CP144"/>
      <c r="CQ144"/>
      <c r="CR144"/>
      <c r="CS144"/>
      <c r="CT144"/>
    </row>
    <row r="145" spans="2:98" s="7" customFormat="1" ht="11.25" customHeight="1" x14ac:dyDescent="0.2">
      <c r="B145" s="426" t="s">
        <v>92</v>
      </c>
      <c r="C145" s="237">
        <f>+C19</f>
        <v>97.486999999999995</v>
      </c>
      <c r="D145" s="39">
        <f>+D19</f>
        <v>97.11</v>
      </c>
      <c r="E145" s="39">
        <f>+E19</f>
        <v>103.041</v>
      </c>
      <c r="F145" s="39">
        <f>+F19</f>
        <v>107.9</v>
      </c>
      <c r="G145" s="388">
        <f>+G19</f>
        <v>107.9</v>
      </c>
      <c r="H145" s="39"/>
      <c r="I145" s="237">
        <f>+I19</f>
        <v>118.367</v>
      </c>
      <c r="J145" s="39">
        <f>+J19</f>
        <v>139.04</v>
      </c>
      <c r="K145" s="39">
        <f>+K19</f>
        <v>152.93700000000001</v>
      </c>
      <c r="L145" s="39">
        <f>+L19</f>
        <v>148.26400000000001</v>
      </c>
      <c r="M145" s="388">
        <f>+M19</f>
        <v>148.26400000000001</v>
      </c>
      <c r="N145" s="39"/>
      <c r="O145" s="237">
        <f>+O19</f>
        <v>147.006</v>
      </c>
      <c r="P145" s="39">
        <f>+P19</f>
        <v>146.90100000000001</v>
      </c>
      <c r="Q145" s="39">
        <f>+Q19</f>
        <v>176.88800000000001</v>
      </c>
      <c r="R145" s="39">
        <f>+R19</f>
        <v>182.036</v>
      </c>
      <c r="S145" s="388">
        <f>+S19</f>
        <v>182.036</v>
      </c>
      <c r="T145" s="39"/>
      <c r="U145" s="237">
        <f>+U19</f>
        <v>185.16</v>
      </c>
      <c r="V145" s="39">
        <f>+V19</f>
        <v>181.953</v>
      </c>
      <c r="W145" s="39">
        <f>+W19</f>
        <v>263.32900000000001</v>
      </c>
      <c r="X145" s="39">
        <f>+X19</f>
        <v>295.334</v>
      </c>
      <c r="Y145" s="388">
        <f>+Y19</f>
        <v>295.334</v>
      </c>
      <c r="Z145" s="39"/>
      <c r="AA145" s="237">
        <f>+AA19</f>
        <v>303.56400000000002</v>
      </c>
      <c r="AB145" s="39">
        <f>+AB19</f>
        <v>304.52499999999998</v>
      </c>
      <c r="AC145" s="39">
        <f>+AC19</f>
        <v>297.34500000000003</v>
      </c>
      <c r="AD145" s="39">
        <f>+AD19</f>
        <v>298.82799999999997</v>
      </c>
      <c r="AE145" s="388">
        <f>+AE19</f>
        <v>298.82799999999997</v>
      </c>
      <c r="AF145" s="39"/>
      <c r="AG145" s="237">
        <f>+AG19</f>
        <v>300.62700000000001</v>
      </c>
      <c r="AH145" s="39">
        <f>+AH19</f>
        <v>299.91300000000001</v>
      </c>
      <c r="AI145" s="39">
        <f>+AI19</f>
        <v>278.04500000000002</v>
      </c>
      <c r="AJ145" s="39">
        <f>+AJ19</f>
        <v>292.93400000000003</v>
      </c>
      <c r="AK145" s="388">
        <f>+AK19</f>
        <v>292.93400000000003</v>
      </c>
      <c r="AL145" s="39"/>
      <c r="AM145" s="237">
        <f>+AM19</f>
        <v>292.94799999999998</v>
      </c>
      <c r="AN145" s="39">
        <f>+AN19</f>
        <v>291.322</v>
      </c>
      <c r="AO145" s="39">
        <f>+AO19</f>
        <v>311.41199999999998</v>
      </c>
      <c r="AP145" s="39">
        <f>+AP19</f>
        <v>461.94499999999999</v>
      </c>
      <c r="AQ145" s="388">
        <f>+AQ19</f>
        <v>461.94499999999999</v>
      </c>
      <c r="AR145" s="39"/>
      <c r="AS145" s="237">
        <f>+AS19</f>
        <v>327.56900000000002</v>
      </c>
      <c r="AT145" s="39">
        <f>+AT19</f>
        <v>360.04399999999998</v>
      </c>
      <c r="AU145" s="39">
        <f>+AU19</f>
        <v>358.88600000000002</v>
      </c>
      <c r="AV145" s="39">
        <f>+AV19</f>
        <v>386.286</v>
      </c>
      <c r="AW145" s="388">
        <f>+AW19</f>
        <v>386.286</v>
      </c>
      <c r="AX145" s="39"/>
      <c r="AY145" s="237">
        <f>+AY19</f>
        <v>387.78</v>
      </c>
      <c r="AZ145" s="39">
        <f>+AZ19</f>
        <v>416.99400000000003</v>
      </c>
      <c r="BA145" s="39">
        <f>+BA19</f>
        <v>422.71600000000001</v>
      </c>
      <c r="BB145" s="39">
        <f>+BB19</f>
        <v>454.6</v>
      </c>
      <c r="BC145" s="388">
        <f>+BC19</f>
        <v>454.6</v>
      </c>
      <c r="BD145" s="39"/>
      <c r="BE145" s="237">
        <f>+BE19</f>
        <v>476.92399999999998</v>
      </c>
      <c r="BF145" s="39">
        <f>+BF19</f>
        <v>487.404</v>
      </c>
      <c r="BG145" s="39">
        <f>+BG19</f>
        <v>454.70400000000001</v>
      </c>
      <c r="BH145" s="39">
        <f>+BH19</f>
        <v>442.79</v>
      </c>
      <c r="BI145" s="388">
        <f>+BI19</f>
        <v>442.79</v>
      </c>
      <c r="BJ145" s="39"/>
      <c r="BK145" s="237">
        <f>+BK19</f>
        <v>458.02800000000002</v>
      </c>
      <c r="BL145" s="39">
        <f>+BL19</f>
        <v>472.92200000000003</v>
      </c>
      <c r="BM145" s="39">
        <f>+BM19</f>
        <v>450.77</v>
      </c>
      <c r="BN145" s="39">
        <f>+BN19</f>
        <v>432.00200000000001</v>
      </c>
      <c r="BO145" s="388">
        <f>+BO19</f>
        <v>432.00200000000001</v>
      </c>
      <c r="BP145" s="39"/>
      <c r="BQ145" s="237">
        <f>+BQ19</f>
        <v>432.00200000000001</v>
      </c>
      <c r="BR145" s="39">
        <f>+BR19</f>
        <v>432.00200000000001</v>
      </c>
      <c r="BS145" s="39">
        <f>+BS19</f>
        <v>432.00200000000001</v>
      </c>
      <c r="BT145" s="39">
        <f>+BT19</f>
        <v>432.00200000000001</v>
      </c>
      <c r="BU145" s="388">
        <f>+BU19</f>
        <v>432.00200000000001</v>
      </c>
      <c r="BV145" s="39"/>
      <c r="BW145" s="237">
        <f>+BW19</f>
        <v>432.00200000000001</v>
      </c>
      <c r="BX145" s="39">
        <f>+BX19</f>
        <v>432.00200000000001</v>
      </c>
      <c r="BY145" s="39">
        <f>+BY19</f>
        <v>432.00200000000001</v>
      </c>
      <c r="BZ145" s="39">
        <f>+BZ19</f>
        <v>432.00200000000001</v>
      </c>
      <c r="CA145" s="388">
        <f>+CA19</f>
        <v>432.00200000000001</v>
      </c>
      <c r="CB145" s="39"/>
      <c r="CC145" s="237">
        <f>+CC19</f>
        <v>432.00200000000001</v>
      </c>
      <c r="CD145" s="39">
        <f>+CD19</f>
        <v>432.00200000000001</v>
      </c>
      <c r="CE145" s="39">
        <f>+CE19</f>
        <v>432.00200000000001</v>
      </c>
      <c r="CF145" s="39">
        <f>+CF19</f>
        <v>432.00200000000001</v>
      </c>
      <c r="CG145" s="388">
        <f>+CG19</f>
        <v>432.00200000000001</v>
      </c>
      <c r="CH145" s="35"/>
      <c r="CI145" s="35"/>
      <c r="CJ145" s="35"/>
      <c r="CK145" s="35"/>
      <c r="CL145" s="35"/>
      <c r="CM145" s="35"/>
      <c r="CN145" s="35"/>
      <c r="CO145"/>
      <c r="CP145"/>
      <c r="CQ145"/>
      <c r="CR145"/>
      <c r="CS145"/>
      <c r="CT145"/>
    </row>
    <row r="146" spans="2:98" s="7" customFormat="1" ht="11.25" customHeight="1" x14ac:dyDescent="0.2">
      <c r="B146" s="426" t="s">
        <v>299</v>
      </c>
      <c r="C146" s="237">
        <f>+'P&amp;L'!C23</f>
        <v>2.3E-2</v>
      </c>
      <c r="D146" s="39">
        <f>+'P&amp;L'!D23</f>
        <v>-0.52800000000000002</v>
      </c>
      <c r="E146" s="39">
        <f>+'P&amp;L'!E23</f>
        <v>-0.182</v>
      </c>
      <c r="F146" s="39">
        <f>+'P&amp;L'!F23</f>
        <v>0.6140000000000001</v>
      </c>
      <c r="G146" s="388">
        <f>+'P&amp;L'!G23</f>
        <v>-7.2999999999999954E-2</v>
      </c>
      <c r="H146" s="39"/>
      <c r="I146" s="237">
        <f>+'P&amp;L'!I23</f>
        <v>1.51</v>
      </c>
      <c r="J146" s="39">
        <f>+'P&amp;L'!J23</f>
        <v>0.90800000000000003</v>
      </c>
      <c r="K146" s="39">
        <f>+'P&amp;L'!K23</f>
        <v>1.6020000000000001</v>
      </c>
      <c r="L146" s="39">
        <f>+'P&amp;L'!L23</f>
        <v>1.0169999999999995</v>
      </c>
      <c r="M146" s="388">
        <f>+'P&amp;L'!M23</f>
        <v>5.0369999999999999</v>
      </c>
      <c r="N146" s="39"/>
      <c r="O146" s="237">
        <f>+'P&amp;L'!O23</f>
        <v>1.365</v>
      </c>
      <c r="P146" s="39">
        <f>+'P&amp;L'!P23</f>
        <v>1.212</v>
      </c>
      <c r="Q146" s="39">
        <f>+'P&amp;L'!Q23</f>
        <v>1.2</v>
      </c>
      <c r="R146" s="39">
        <f>+'P&amp;L'!R23</f>
        <v>1.4660000000000002</v>
      </c>
      <c r="S146" s="388">
        <f>+'P&amp;L'!S23</f>
        <v>5.2430000000000003</v>
      </c>
      <c r="T146" s="39"/>
      <c r="U146" s="237">
        <f>+'P&amp;L'!U23</f>
        <v>1.5309999999999999</v>
      </c>
      <c r="V146" s="39">
        <f>+'P&amp;L'!V23</f>
        <v>1.7949999999999999</v>
      </c>
      <c r="W146" s="39">
        <f>+'P&amp;L'!W23</f>
        <v>3.7210000000000001</v>
      </c>
      <c r="X146" s="39">
        <f>+'P&amp;L'!X23</f>
        <v>3.1179999999999994</v>
      </c>
      <c r="Y146" s="388">
        <f>+'P&amp;L'!Y23</f>
        <v>10.164999999999999</v>
      </c>
      <c r="Z146" s="39"/>
      <c r="AA146" s="237">
        <f>+'P&amp;L'!AA23</f>
        <v>1.653</v>
      </c>
      <c r="AB146" s="39">
        <f>+'P&amp;L'!AB23</f>
        <v>4.133</v>
      </c>
      <c r="AC146" s="39">
        <f>+'P&amp;L'!AC23</f>
        <v>4.5590000000000002</v>
      </c>
      <c r="AD146" s="39">
        <f>+'P&amp;L'!AD23</f>
        <v>5.2160000000000011</v>
      </c>
      <c r="AE146" s="388">
        <f>+'P&amp;L'!AE23</f>
        <v>15.561</v>
      </c>
      <c r="AF146" s="39"/>
      <c r="AG146" s="237">
        <f>+'P&amp;L'!AG23</f>
        <v>1.391</v>
      </c>
      <c r="AH146" s="39">
        <f>+'P&amp;L'!AH23</f>
        <v>3.073</v>
      </c>
      <c r="AI146" s="39">
        <f>+'P&amp;L'!AI23</f>
        <v>3.4340000000000002</v>
      </c>
      <c r="AJ146" s="39">
        <f>+'P&amp;L'!AJ23</f>
        <v>-0.84000000000000075</v>
      </c>
      <c r="AK146" s="617">
        <f>+'P&amp;L'!AK23</f>
        <v>7.0579999999999998</v>
      </c>
      <c r="AL146" s="534"/>
      <c r="AM146" s="538">
        <f>+'P&amp;L'!AM23</f>
        <v>0.80100000000000005</v>
      </c>
      <c r="AN146" s="534">
        <f>+'P&amp;L'!AN23</f>
        <v>1.766</v>
      </c>
      <c r="AO146" s="534">
        <f>+'P&amp;L'!AO23</f>
        <v>3.6419999999999995</v>
      </c>
      <c r="AP146" s="534">
        <f>+'P&amp;L'!AP23</f>
        <v>3.9850000000000012</v>
      </c>
      <c r="AQ146" s="617">
        <f>+'P&amp;L'!AQ23</f>
        <v>10.194000000000001</v>
      </c>
      <c r="AR146" s="534"/>
      <c r="AS146" s="538">
        <f>+'P&amp;L'!AS23</f>
        <v>0.70599999999999996</v>
      </c>
      <c r="AT146" s="534">
        <f>+'P&amp;L'!AT23</f>
        <v>2.8170000000000002</v>
      </c>
      <c r="AU146" s="534">
        <f>+'P&amp;L'!AU23</f>
        <v>4.7619999999999996</v>
      </c>
      <c r="AV146" s="534">
        <f>+'P&amp;L'!AV23</f>
        <v>3.4489999999999998</v>
      </c>
      <c r="AW146" s="617">
        <f>+'P&amp;L'!AW23</f>
        <v>11.734</v>
      </c>
      <c r="AX146" s="534"/>
      <c r="AY146" s="538">
        <f>+'P&amp;L'!AY23</f>
        <v>2.028</v>
      </c>
      <c r="AZ146" s="534">
        <f>+'P&amp;L'!AZ23</f>
        <v>3.5720000000000001</v>
      </c>
      <c r="BA146" s="534">
        <f>+'P&amp;L'!BA23</f>
        <v>5.1909999999999998</v>
      </c>
      <c r="BB146" s="534">
        <f>+'P&amp;L'!BB23</f>
        <v>3.2690000000000001</v>
      </c>
      <c r="BC146" s="617">
        <f>+'P&amp;L'!BC23</f>
        <v>14.06</v>
      </c>
      <c r="BD146" s="39"/>
      <c r="BE146" s="538">
        <f>+'P&amp;L'!BE23</f>
        <v>2.5139999999999998</v>
      </c>
      <c r="BF146" s="534">
        <f>+'P&amp;L'!BF23</f>
        <v>4.9290000000000003</v>
      </c>
      <c r="BG146" s="534">
        <f>+'P&amp;L'!BG23</f>
        <v>5.7169999999999996</v>
      </c>
      <c r="BH146" s="534">
        <f>+'P&amp;L'!BH23</f>
        <v>5.3579999999999997</v>
      </c>
      <c r="BI146" s="617">
        <f>+'P&amp;L'!BI23</f>
        <v>18.518000000000001</v>
      </c>
      <c r="BJ146" s="39"/>
      <c r="BK146" s="538">
        <f>+'P&amp;L'!BK23</f>
        <v>2.0859999999999999</v>
      </c>
      <c r="BL146" s="534">
        <f>+'P&amp;L'!BL23</f>
        <v>4.5890000000000004</v>
      </c>
      <c r="BM146" s="534">
        <f>+'P&amp;L'!BM23</f>
        <v>5.569</v>
      </c>
      <c r="BN146" s="534">
        <f>+'P&amp;L'!BN23</f>
        <v>4.343</v>
      </c>
      <c r="BO146" s="617">
        <f>+'P&amp;L'!BO23</f>
        <v>16.587</v>
      </c>
      <c r="BP146" s="39"/>
      <c r="BQ146" s="237">
        <f>+BN145*BQ147/4</f>
        <v>4.2506665050545331</v>
      </c>
      <c r="BR146" s="39">
        <f>+BQ145*BR147/4</f>
        <v>4.2506665050545331</v>
      </c>
      <c r="BS146" s="39">
        <f>+BR145*BS147/4</f>
        <v>4.2506665050545331</v>
      </c>
      <c r="BT146" s="39">
        <f>+BS145*BT147/4</f>
        <v>4.2506665050545331</v>
      </c>
      <c r="BU146" s="388">
        <f>+SUM(BQ146:BT146)</f>
        <v>17.002666020218133</v>
      </c>
      <c r="BV146" s="39"/>
      <c r="BW146" s="237">
        <f>+BT145*BW147/4</f>
        <v>4.2506665050545331</v>
      </c>
      <c r="BX146" s="39">
        <f>+BW145*BX147/4</f>
        <v>4.2506665050545331</v>
      </c>
      <c r="BY146" s="39">
        <f>+BX145*BY147/4</f>
        <v>4.2506665050545331</v>
      </c>
      <c r="BZ146" s="39">
        <f>+BY145*BZ147/4</f>
        <v>4.2506665050545331</v>
      </c>
      <c r="CA146" s="388">
        <f>+SUM(BW146:BZ146)</f>
        <v>17.002666020218133</v>
      </c>
      <c r="CB146" s="39"/>
      <c r="CC146" s="237">
        <f>+BZ145*CC147/4</f>
        <v>4.2506665050545331</v>
      </c>
      <c r="CD146" s="39">
        <f>+CC145*CD147/4</f>
        <v>4.2506665050545331</v>
      </c>
      <c r="CE146" s="39">
        <f>+CD145*CE147/4</f>
        <v>4.2506665050545331</v>
      </c>
      <c r="CF146" s="39">
        <f>+CE145*CF147/4</f>
        <v>4.2506665050545331</v>
      </c>
      <c r="CG146" s="388">
        <f>+SUM(CC146:CF146)</f>
        <v>17.002666020218133</v>
      </c>
      <c r="CH146" s="35"/>
      <c r="CI146" s="35"/>
      <c r="CJ146" s="35"/>
      <c r="CK146" s="35"/>
      <c r="CL146" s="35"/>
      <c r="CM146" s="35"/>
      <c r="CN146" s="35"/>
      <c r="CO146"/>
      <c r="CP146"/>
      <c r="CQ146"/>
      <c r="CR146"/>
      <c r="CS146"/>
      <c r="CT146"/>
    </row>
    <row r="147" spans="2:98" s="7" customFormat="1" ht="11.25" customHeight="1" x14ac:dyDescent="0.2">
      <c r="B147" s="491" t="s">
        <v>335</v>
      </c>
      <c r="C147" s="235"/>
      <c r="D147" s="43">
        <f>+D146/AVERAGE(C145,D145)*4</f>
        <v>-2.1706398351464824E-2</v>
      </c>
      <c r="E147" s="43">
        <f>+E146/AVERAGE(D145,E145)*4</f>
        <v>-7.2745077466512776E-3</v>
      </c>
      <c r="F147" s="43">
        <f>+F146/AVERAGE(E145,F145)*4</f>
        <v>2.3286132141214846E-2</v>
      </c>
      <c r="G147" s="386"/>
      <c r="H147" s="27"/>
      <c r="I147" s="235">
        <f>+I146/AVERAGE(F145,I145)*4</f>
        <v>5.3388253700274453E-2</v>
      </c>
      <c r="J147" s="43">
        <f>+J146/AVERAGE(I145,J145)*4</f>
        <v>2.8219900779699079E-2</v>
      </c>
      <c r="K147" s="43">
        <f>+K146/AVERAGE(J145,K145)*4</f>
        <v>4.3893868352644222E-2</v>
      </c>
      <c r="L147" s="43">
        <f>+L146/AVERAGE(K145,L145)*4</f>
        <v>2.7011862510416616E-2</v>
      </c>
      <c r="M147" s="386">
        <f>+M146/AVERAGE(G145,M145)</f>
        <v>3.932636904483066E-2</v>
      </c>
      <c r="N147" s="27"/>
      <c r="O147" s="235">
        <f>+O146/AVERAGE(L145,O145)*4</f>
        <v>3.698310021336404E-2</v>
      </c>
      <c r="P147" s="43">
        <f>+P146/AVERAGE(O145,P145)*4</f>
        <v>3.2990027457665175E-2</v>
      </c>
      <c r="Q147" s="43">
        <f>+Q146/AVERAGE(P145,Q145)*4</f>
        <v>2.9648938042984782E-2</v>
      </c>
      <c r="R147" s="43">
        <f>+R146/AVERAGE(Q145,R145)*4</f>
        <v>3.2675441040443107E-2</v>
      </c>
      <c r="S147" s="386">
        <f>+S146/AVERAGE(M145,S145)</f>
        <v>3.174689676052074E-2</v>
      </c>
      <c r="T147" s="27"/>
      <c r="U147" s="235">
        <f>+U146/AVERAGE(R145,U145)*4</f>
        <v>3.3355483175197979E-2</v>
      </c>
      <c r="V147" s="43">
        <f>+V146/AVERAGE(U145,V145)*4</f>
        <v>3.9116021497468081E-2</v>
      </c>
      <c r="W147" s="43">
        <f>+W146/AVERAGE(V145,W145)*4</f>
        <v>6.6852017373260089E-2</v>
      </c>
      <c r="X147" s="43">
        <f>+X146/AVERAGE(W145,X145)*4</f>
        <v>4.4649457723171207E-2</v>
      </c>
      <c r="Y147" s="386">
        <f>+Y146/AVERAGE(S145,Y145)</f>
        <v>4.2587510735907157E-2</v>
      </c>
      <c r="Z147" s="27"/>
      <c r="AA147" s="235">
        <f>+AA146/AVERAGE(X145,AA145)*4</f>
        <v>2.2080554618649585E-2</v>
      </c>
      <c r="AB147" s="43">
        <f>+AB146/AVERAGE(AA145,AB145)*4</f>
        <v>5.437361965107082E-2</v>
      </c>
      <c r="AC147" s="43">
        <f>+AC146/AVERAGE(AB145,AC145)*4</f>
        <v>6.0597803512386396E-2</v>
      </c>
      <c r="AD147" s="43">
        <f>+AD146/AVERAGE(AC145,AD145)*4</f>
        <v>6.9993106027948282E-2</v>
      </c>
      <c r="AE147" s="386">
        <f>+AE146/AVERAGE(Y145,AE145)</f>
        <v>5.237965403374837E-2</v>
      </c>
      <c r="AF147" s="27"/>
      <c r="AG147" s="235">
        <f>+AG146/AVERAGE(AD145,AG145)*4</f>
        <v>1.8563528538422403E-2</v>
      </c>
      <c r="AH147" s="43">
        <f>+AH146/AVERAGE(AG145,AH145)*4</f>
        <v>4.0936490491890631E-2</v>
      </c>
      <c r="AI147" s="43">
        <f>+AI146/AVERAGE(AH145,AI145)*4</f>
        <v>4.753286570996508E-2</v>
      </c>
      <c r="AJ147" s="43">
        <f>+AJ146/AVERAGE(AI145,AJ145)*4</f>
        <v>-1.1769259464884007E-2</v>
      </c>
      <c r="AK147" s="386">
        <f>+AK146/AVERAGE(AE145,AK145)</f>
        <v>2.3854184621520141E-2</v>
      </c>
      <c r="AL147" s="27"/>
      <c r="AM147" s="235">
        <f>+AM146/AVERAGE(AJ145,AM145)*4</f>
        <v>1.0937355986359027E-2</v>
      </c>
      <c r="AN147" s="43">
        <f>+AN146/AVERAGE(AM145,AN145)*4</f>
        <v>2.4180601434268405E-2</v>
      </c>
      <c r="AO147" s="43">
        <f>+AO146/AVERAGE(AN145,AO145)*4</f>
        <v>4.8339731954726295E-2</v>
      </c>
      <c r="AP147" s="43">
        <f>+AP146/AVERAGE(AO145,AP145)*4</f>
        <v>4.122287636886976E-2</v>
      </c>
      <c r="AQ147" s="386">
        <f>+AQ146/AVERAGE(AK145,AQ145)</f>
        <v>2.7008301992769705E-2</v>
      </c>
      <c r="AR147" s="27"/>
      <c r="AS147" s="235">
        <f>+AS146/AVERAGE(AP145,AS145)*4</f>
        <v>7.1537680142467388E-3</v>
      </c>
      <c r="AT147" s="43">
        <f>+AT146/AVERAGE(AS145,AT145)*4</f>
        <v>3.2774249468814583E-2</v>
      </c>
      <c r="AU147" s="43">
        <f>+AU146/AVERAGE(AT145,AU145)*4</f>
        <v>5.2989859930730382E-2</v>
      </c>
      <c r="AV147" s="43">
        <f>+AV146/AVERAGE(AU145,AV145)*4</f>
        <v>3.7027692935322314E-2</v>
      </c>
      <c r="AW147" s="386">
        <f>+AW146/AVERAGE(AQ145,AW145)</f>
        <v>2.7666991656753879E-2</v>
      </c>
      <c r="AX147" s="27"/>
      <c r="AY147" s="235">
        <f>+AY146/AVERAGE(AV145,AY145)*4</f>
        <v>2.0959453069893264E-2</v>
      </c>
      <c r="AZ147" s="43">
        <f>+AZ146/AVERAGE(AY145,AZ145)*4</f>
        <v>3.5508105381138057E-2</v>
      </c>
      <c r="BA147" s="43">
        <f>+BA146/AVERAGE(AZ145,BA145)*4</f>
        <v>4.9455169046456512E-2</v>
      </c>
      <c r="BB147" s="43">
        <f>+BB146/AVERAGE(BA145,BB145)*4</f>
        <v>2.9809099571876042E-2</v>
      </c>
      <c r="BC147" s="386">
        <f>+BC146/AVERAGE(AW145,BC145)</f>
        <v>3.3440918269539509E-2</v>
      </c>
      <c r="BD147" s="27"/>
      <c r="BE147" s="235">
        <f>+BE146/AVERAGE(BB145,BE145)*4</f>
        <v>2.1590426011568138E-2</v>
      </c>
      <c r="BF147" s="43">
        <f>+BF146/AVERAGE(BE145,BF145)*4</f>
        <v>4.0890651313660917E-2</v>
      </c>
      <c r="BG147" s="43">
        <f>+BG146/AVERAGE(BF145,BG145)*4</f>
        <v>4.8546451149974315E-2</v>
      </c>
      <c r="BH147" s="43">
        <f>+BH146/AVERAGE(BG145,BH145)*4</f>
        <v>4.7759650760896444E-2</v>
      </c>
      <c r="BI147" s="386">
        <f>+BI146/AVERAGE(BC145,BI145)</f>
        <v>4.1270796420731226E-2</v>
      </c>
      <c r="BJ147" s="27"/>
      <c r="BK147" s="235">
        <f>+BK146/AVERAGE(BH145,BK145)*4</f>
        <v>1.8525384705900635E-2</v>
      </c>
      <c r="BL147" s="43">
        <f>+BL146/AVERAGE(BK145,BL145)*4</f>
        <v>3.9434985767227031E-2</v>
      </c>
      <c r="BM147" s="43">
        <f>+BM146/AVERAGE(BL145,BM145)*4</f>
        <v>4.8232527725692115E-2</v>
      </c>
      <c r="BN147" s="43">
        <f>+BN146/AVERAGE(BM145,BN145)*4</f>
        <v>3.935784098272261E-2</v>
      </c>
      <c r="BO147" s="386">
        <f>+BO146/AVERAGE(BI145,BO145)</f>
        <v>3.7922157495724695E-2</v>
      </c>
      <c r="BP147" s="27"/>
      <c r="BQ147" s="236">
        <f>+BN147</f>
        <v>3.935784098272261E-2</v>
      </c>
      <c r="BR147" s="229">
        <f>+BQ147</f>
        <v>3.935784098272261E-2</v>
      </c>
      <c r="BS147" s="229">
        <f>+BR147</f>
        <v>3.935784098272261E-2</v>
      </c>
      <c r="BT147" s="229">
        <f>+BS147</f>
        <v>3.935784098272261E-2</v>
      </c>
      <c r="BU147" s="386">
        <f>+BU146/AVERAGE(BO145,BU145)</f>
        <v>3.935784098272261E-2</v>
      </c>
      <c r="BV147" s="27"/>
      <c r="BW147" s="236">
        <f>+BT147</f>
        <v>3.935784098272261E-2</v>
      </c>
      <c r="BX147" s="229">
        <f>+BW147</f>
        <v>3.935784098272261E-2</v>
      </c>
      <c r="BY147" s="229">
        <f>+BX147</f>
        <v>3.935784098272261E-2</v>
      </c>
      <c r="BZ147" s="229">
        <f>+BY147</f>
        <v>3.935784098272261E-2</v>
      </c>
      <c r="CA147" s="386">
        <f>+CA146/AVERAGE(BU145,CA145)</f>
        <v>3.935784098272261E-2</v>
      </c>
      <c r="CB147" s="27"/>
      <c r="CC147" s="236">
        <f>+BZ147</f>
        <v>3.935784098272261E-2</v>
      </c>
      <c r="CD147" s="229">
        <f>+CC147</f>
        <v>3.935784098272261E-2</v>
      </c>
      <c r="CE147" s="229">
        <f>+CD147</f>
        <v>3.935784098272261E-2</v>
      </c>
      <c r="CF147" s="229">
        <f>+CE147</f>
        <v>3.935784098272261E-2</v>
      </c>
      <c r="CG147" s="386">
        <f>+CG146/AVERAGE(CA145,CG145)</f>
        <v>3.935784098272261E-2</v>
      </c>
      <c r="CH147" s="102"/>
      <c r="CI147" s="102"/>
      <c r="CJ147" s="102"/>
      <c r="CK147" s="102"/>
      <c r="CL147" s="102"/>
      <c r="CM147" s="102"/>
      <c r="CN147" s="102"/>
      <c r="CO147"/>
      <c r="CP147"/>
      <c r="CQ147"/>
      <c r="CR147"/>
      <c r="CS147"/>
      <c r="CT147"/>
    </row>
    <row r="148" spans="2:98" s="7" customFormat="1" ht="11.25" customHeight="1" x14ac:dyDescent="0.2">
      <c r="B148" s="426"/>
      <c r="C148" s="555"/>
      <c r="D148" s="11"/>
      <c r="E148" s="11"/>
      <c r="F148" s="11"/>
      <c r="G148" s="622"/>
      <c r="I148" s="555"/>
      <c r="J148" s="11"/>
      <c r="K148" s="11"/>
      <c r="L148" s="11"/>
      <c r="M148" s="622"/>
      <c r="O148" s="555"/>
      <c r="P148" s="11"/>
      <c r="Q148" s="11"/>
      <c r="R148" s="11"/>
      <c r="S148" s="622"/>
      <c r="U148" s="555"/>
      <c r="V148" s="11"/>
      <c r="W148" s="11"/>
      <c r="X148" s="11"/>
      <c r="Y148" s="622"/>
      <c r="AA148" s="555"/>
      <c r="AB148" s="11"/>
      <c r="AC148" s="11"/>
      <c r="AD148" s="11"/>
      <c r="AE148" s="622"/>
      <c r="AG148" s="555"/>
      <c r="AH148" s="11"/>
      <c r="AI148" s="11"/>
      <c r="AJ148" s="11"/>
      <c r="AK148" s="622"/>
      <c r="AM148" s="555"/>
      <c r="AN148" s="11"/>
      <c r="AO148" s="11"/>
      <c r="AP148" s="11"/>
      <c r="AQ148" s="622"/>
      <c r="AS148" s="555"/>
      <c r="AT148" s="11"/>
      <c r="AU148" s="11"/>
      <c r="AV148" s="11"/>
      <c r="AW148" s="622"/>
      <c r="AY148" s="555"/>
      <c r="AZ148" s="11"/>
      <c r="BA148" s="11"/>
      <c r="BB148" s="11"/>
      <c r="BC148" s="622"/>
      <c r="BE148" s="555"/>
      <c r="BF148" s="11"/>
      <c r="BG148" s="11"/>
      <c r="BH148" s="11"/>
      <c r="BI148" s="622"/>
      <c r="BK148" s="555"/>
      <c r="BL148" s="11"/>
      <c r="BM148" s="11"/>
      <c r="BN148" s="11"/>
      <c r="BO148" s="622"/>
      <c r="BQ148" s="555"/>
      <c r="BR148" s="11"/>
      <c r="BS148" s="11"/>
      <c r="BT148" s="11"/>
      <c r="BU148" s="622"/>
      <c r="BW148" s="555"/>
      <c r="BX148" s="11"/>
      <c r="BY148" s="11"/>
      <c r="BZ148" s="11"/>
      <c r="CA148" s="622"/>
      <c r="CC148" s="555"/>
      <c r="CD148" s="11"/>
      <c r="CE148" s="11"/>
      <c r="CF148" s="11"/>
      <c r="CG148" s="622"/>
      <c r="CO148"/>
      <c r="CP148"/>
      <c r="CQ148"/>
      <c r="CR148"/>
      <c r="CS148"/>
      <c r="CT148"/>
    </row>
    <row r="149" spans="2:98" s="7" customFormat="1" ht="11.25" customHeight="1" x14ac:dyDescent="0.2">
      <c r="B149" s="548" t="s">
        <v>97</v>
      </c>
      <c r="C149" s="555"/>
      <c r="D149" s="11"/>
      <c r="E149" s="11"/>
      <c r="F149" s="11"/>
      <c r="G149" s="622"/>
      <c r="I149" s="555"/>
      <c r="J149" s="11"/>
      <c r="K149" s="11"/>
      <c r="L149" s="11"/>
      <c r="M149" s="622"/>
      <c r="O149" s="555"/>
      <c r="P149" s="11"/>
      <c r="Q149" s="11"/>
      <c r="R149" s="11"/>
      <c r="S149" s="622"/>
      <c r="U149" s="555"/>
      <c r="V149" s="11"/>
      <c r="W149" s="11"/>
      <c r="X149" s="11"/>
      <c r="Y149" s="622"/>
      <c r="AA149" s="555"/>
      <c r="AB149" s="11"/>
      <c r="AC149" s="11"/>
      <c r="AD149" s="11"/>
      <c r="AE149" s="622"/>
      <c r="AG149" s="555"/>
      <c r="AH149" s="11"/>
      <c r="AI149" s="11"/>
      <c r="AJ149" s="11"/>
      <c r="AK149" s="622"/>
      <c r="AM149" s="555"/>
      <c r="AN149" s="11"/>
      <c r="AO149" s="11"/>
      <c r="AP149" s="11"/>
      <c r="AQ149" s="622"/>
      <c r="AS149" s="555"/>
      <c r="AT149" s="11"/>
      <c r="AU149" s="11"/>
      <c r="AV149" s="11"/>
      <c r="AW149" s="622"/>
      <c r="AY149" s="555"/>
      <c r="AZ149" s="11"/>
      <c r="BA149" s="11"/>
      <c r="BB149" s="11"/>
      <c r="BC149" s="622"/>
      <c r="BE149" s="555"/>
      <c r="BF149" s="11"/>
      <c r="BG149" s="11"/>
      <c r="BH149" s="11"/>
      <c r="BI149" s="622"/>
      <c r="BK149" s="555"/>
      <c r="BL149" s="11"/>
      <c r="BM149" s="11"/>
      <c r="BN149" s="11"/>
      <c r="BO149" s="622"/>
      <c r="BQ149" s="555"/>
      <c r="BR149" s="11"/>
      <c r="BS149" s="11"/>
      <c r="BT149" s="11"/>
      <c r="BU149" s="622"/>
      <c r="BW149" s="555"/>
      <c r="BX149" s="11"/>
      <c r="BY149" s="11"/>
      <c r="BZ149" s="11"/>
      <c r="CA149" s="622"/>
      <c r="CC149" s="555"/>
      <c r="CD149" s="11"/>
      <c r="CE149" s="11"/>
      <c r="CF149" s="11"/>
      <c r="CG149" s="622"/>
      <c r="CO149"/>
      <c r="CP149"/>
      <c r="CQ149"/>
      <c r="CR149"/>
      <c r="CS149"/>
      <c r="CT149"/>
    </row>
    <row r="150" spans="2:98" s="7" customFormat="1" ht="11.25" customHeight="1" x14ac:dyDescent="0.2">
      <c r="B150" s="426" t="s">
        <v>92</v>
      </c>
      <c r="C150" s="237">
        <f>+C9</f>
        <v>154.45599999999999</v>
      </c>
      <c r="D150" s="39">
        <f>+D9</f>
        <v>190.971</v>
      </c>
      <c r="E150" s="39">
        <f>+E9</f>
        <v>207.458</v>
      </c>
      <c r="F150" s="39">
        <f>+F9</f>
        <v>247.59</v>
      </c>
      <c r="G150" s="388">
        <f>+G9</f>
        <v>247.59</v>
      </c>
      <c r="H150" s="39"/>
      <c r="I150" s="237">
        <f>+I9</f>
        <v>203.036</v>
      </c>
      <c r="J150" s="39">
        <f>+J9</f>
        <v>271.43200000000002</v>
      </c>
      <c r="K150" s="39">
        <f>+K9</f>
        <v>288.36399999999998</v>
      </c>
      <c r="L150" s="39">
        <f>+L9</f>
        <v>369.57</v>
      </c>
      <c r="M150" s="388">
        <f>+M9</f>
        <v>369.57</v>
      </c>
      <c r="N150" s="39"/>
      <c r="O150" s="237">
        <f>+O9</f>
        <v>308.15600000000001</v>
      </c>
      <c r="P150" s="39">
        <f>+P9</f>
        <v>393.87299999999999</v>
      </c>
      <c r="Q150" s="39">
        <f>+Q9</f>
        <v>317.60700000000003</v>
      </c>
      <c r="R150" s="39">
        <f>+R9</f>
        <v>471.154</v>
      </c>
      <c r="S150" s="388">
        <f>+S9</f>
        <v>471.154</v>
      </c>
      <c r="T150" s="39"/>
      <c r="U150" s="237">
        <f>+U9</f>
        <v>355.38799999999998</v>
      </c>
      <c r="V150" s="39">
        <f>+V9</f>
        <v>321.11599999999999</v>
      </c>
      <c r="W150" s="39">
        <f>+W9</f>
        <v>203.73</v>
      </c>
      <c r="X150" s="39">
        <f>+X9</f>
        <v>150.34800000000001</v>
      </c>
      <c r="Y150" s="388">
        <f>+Y9</f>
        <v>150.34800000000001</v>
      </c>
      <c r="Z150" s="39"/>
      <c r="AA150" s="237">
        <f>+AA9</f>
        <v>116.712</v>
      </c>
      <c r="AB150" s="39">
        <f>+AB9</f>
        <v>161.78899999999999</v>
      </c>
      <c r="AC150" s="39">
        <f>+AC9</f>
        <v>106.872</v>
      </c>
      <c r="AD150" s="39">
        <f>+AD9</f>
        <v>147.28399999999999</v>
      </c>
      <c r="AE150" s="388">
        <f>+AE9</f>
        <v>147.28399999999999</v>
      </c>
      <c r="AF150" s="39"/>
      <c r="AG150" s="237">
        <f>+AG9</f>
        <v>101.813</v>
      </c>
      <c r="AH150" s="39">
        <f>+AH9</f>
        <v>87.896000000000001</v>
      </c>
      <c r="AI150" s="39">
        <f>+AI9</f>
        <v>89.335999999999999</v>
      </c>
      <c r="AJ150" s="39">
        <f>+AJ9</f>
        <v>122.08</v>
      </c>
      <c r="AK150" s="388">
        <f>+AK9</f>
        <v>122.08</v>
      </c>
      <c r="AL150" s="39"/>
      <c r="AM150" s="237">
        <f>+AM9</f>
        <v>90.561999999999998</v>
      </c>
      <c r="AN150" s="39">
        <f>+AN9</f>
        <v>78.838999999999999</v>
      </c>
      <c r="AO150" s="39">
        <f>+AO9</f>
        <v>69.915000000000006</v>
      </c>
      <c r="AP150" s="39">
        <f>+AP9</f>
        <v>188.61600000000001</v>
      </c>
      <c r="AQ150" s="388">
        <f>+AQ9</f>
        <v>188.61600000000001</v>
      </c>
      <c r="AR150" s="39"/>
      <c r="AS150" s="237">
        <f>+AS9</f>
        <v>129.11500000000001</v>
      </c>
      <c r="AT150" s="39">
        <f>+AT9</f>
        <v>89.697999999999993</v>
      </c>
      <c r="AU150" s="39">
        <f>+AU9</f>
        <v>76.542000000000002</v>
      </c>
      <c r="AV150" s="39">
        <f>+AV9</f>
        <v>89.474000000000004</v>
      </c>
      <c r="AW150" s="388">
        <f>+AW9</f>
        <v>89.474000000000004</v>
      </c>
      <c r="AX150" s="39"/>
      <c r="AY150" s="237">
        <f>+AY9</f>
        <v>59.201999999999998</v>
      </c>
      <c r="AZ150" s="39">
        <f>+AZ9</f>
        <v>47.067999999999998</v>
      </c>
      <c r="BA150" s="39">
        <f>+BA9</f>
        <v>60.481000000000002</v>
      </c>
      <c r="BB150" s="39">
        <f>+BB9</f>
        <v>72.085999999999999</v>
      </c>
      <c r="BC150" s="388">
        <f>+BC9</f>
        <v>72.085999999999999</v>
      </c>
      <c r="BD150" s="39"/>
      <c r="BE150" s="237">
        <f>+BE9</f>
        <v>71.614000000000004</v>
      </c>
      <c r="BF150" s="39">
        <f>+BF9</f>
        <v>63.56</v>
      </c>
      <c r="BG150" s="39">
        <f>+BG9</f>
        <v>76.191999999999993</v>
      </c>
      <c r="BH150" s="39">
        <f>+BH9</f>
        <v>62.381</v>
      </c>
      <c r="BI150" s="388">
        <f>+BI9</f>
        <v>62.381</v>
      </c>
      <c r="BJ150" s="39"/>
      <c r="BK150" s="237">
        <f>+BK9</f>
        <v>62.887999999999998</v>
      </c>
      <c r="BL150" s="39">
        <f>+BL9</f>
        <v>74.653999999999996</v>
      </c>
      <c r="BM150" s="39">
        <f>+BM9</f>
        <v>79.879000000000005</v>
      </c>
      <c r="BN150" s="39">
        <f>+BN9</f>
        <v>174.65799999999999</v>
      </c>
      <c r="BO150" s="388">
        <f>+BO9</f>
        <v>174.65799999999999</v>
      </c>
      <c r="BP150" s="39"/>
      <c r="BQ150" s="237">
        <f>+BQ9</f>
        <v>162.45001371359501</v>
      </c>
      <c r="BR150" s="39">
        <f>+BR9</f>
        <v>125.35473561070265</v>
      </c>
      <c r="BS150" s="39">
        <f>+BS9</f>
        <v>198.24837612505166</v>
      </c>
      <c r="BT150" s="39">
        <f>+BT9</f>
        <v>281.98601556760855</v>
      </c>
      <c r="BU150" s="388">
        <f>+BU9</f>
        <v>281.98601556760855</v>
      </c>
      <c r="BV150" s="39"/>
      <c r="BW150" s="237">
        <f>+BW9</f>
        <v>329.16933568432955</v>
      </c>
      <c r="BX150" s="39">
        <f>+BX9</f>
        <v>277.72554383766573</v>
      </c>
      <c r="BY150" s="39">
        <f>+BY9</f>
        <v>338.96452073059669</v>
      </c>
      <c r="BZ150" s="39">
        <f>+BZ9</f>
        <v>411.19698577661728</v>
      </c>
      <c r="CA150" s="388">
        <f>+CA9</f>
        <v>411.19698577661728</v>
      </c>
      <c r="CB150" s="39"/>
      <c r="CC150" s="237">
        <f>+CC9</f>
        <v>467.99951866089896</v>
      </c>
      <c r="CD150" s="39">
        <f>+CD9</f>
        <v>398.4160391699628</v>
      </c>
      <c r="CE150" s="39">
        <f>+CE9</f>
        <v>351.62502394020612</v>
      </c>
      <c r="CF150" s="39">
        <f>+CF9</f>
        <v>414.00437005546837</v>
      </c>
      <c r="CG150" s="388">
        <f>+CG9</f>
        <v>414.00437005546837</v>
      </c>
      <c r="CO150"/>
      <c r="CP150"/>
      <c r="CQ150"/>
      <c r="CR150"/>
      <c r="CS150"/>
      <c r="CT150"/>
    </row>
    <row r="151" spans="2:98" s="7" customFormat="1" ht="11.25" customHeight="1" x14ac:dyDescent="0.2">
      <c r="B151" s="426" t="s">
        <v>97</v>
      </c>
      <c r="C151" s="237">
        <f>+'P&amp;L'!C17</f>
        <v>4.1189999999999998</v>
      </c>
      <c r="D151" s="39">
        <f>+'P&amp;L'!D17</f>
        <v>4.2690000000000001</v>
      </c>
      <c r="E151" s="39">
        <f>+'P&amp;L'!E17</f>
        <v>4.3780000000000001</v>
      </c>
      <c r="F151" s="39">
        <f>+'P&amp;L'!F17</f>
        <v>3.7649999999999988</v>
      </c>
      <c r="G151" s="388">
        <f>+'P&amp;L'!G17</f>
        <v>16.530999999999999</v>
      </c>
      <c r="H151" s="39"/>
      <c r="I151" s="237">
        <f>+'P&amp;L'!I17</f>
        <v>3.9830000000000001</v>
      </c>
      <c r="J151" s="39">
        <f>+'P&amp;L'!J17</f>
        <v>3.9740000000000002</v>
      </c>
      <c r="K151" s="39">
        <f>+'P&amp;L'!K17</f>
        <v>4.26</v>
      </c>
      <c r="L151" s="39">
        <f>+'P&amp;L'!L17</f>
        <v>4.1379999999999999</v>
      </c>
      <c r="M151" s="388">
        <f>+'P&amp;L'!M17</f>
        <v>16.355</v>
      </c>
      <c r="N151" s="39"/>
      <c r="O151" s="237">
        <f>+'P&amp;L'!O17</f>
        <v>2.8010000000000002</v>
      </c>
      <c r="P151" s="39">
        <f>+'P&amp;L'!P17</f>
        <v>2.4860000000000002</v>
      </c>
      <c r="Q151" s="39">
        <f>+'P&amp;L'!Q17</f>
        <v>2.387</v>
      </c>
      <c r="R151" s="39">
        <f>+'P&amp;L'!R17</f>
        <v>2.3049999999999979</v>
      </c>
      <c r="S151" s="388">
        <f>+'P&amp;L'!S17</f>
        <v>9.9789999999999992</v>
      </c>
      <c r="T151" s="39"/>
      <c r="U151" s="237">
        <f>+'P&amp;L'!U17</f>
        <v>3.3879999999999999</v>
      </c>
      <c r="V151" s="39">
        <f>+'P&amp;L'!V17</f>
        <v>3.508</v>
      </c>
      <c r="W151" s="39">
        <f>+'P&amp;L'!W17</f>
        <v>3.4220000000000002</v>
      </c>
      <c r="X151" s="39">
        <f>+'P&amp;L'!X17</f>
        <v>3.7800000000000011</v>
      </c>
      <c r="Y151" s="388">
        <f>+'P&amp;L'!Y17</f>
        <v>14.098000000000001</v>
      </c>
      <c r="Z151" s="39"/>
      <c r="AA151" s="237">
        <f>+'P&amp;L'!AA17</f>
        <v>3.9329999999999998</v>
      </c>
      <c r="AB151" s="39">
        <f>+'P&amp;L'!AB17</f>
        <v>4.1920000000000002</v>
      </c>
      <c r="AC151" s="39">
        <f>+'P&amp;L'!AC17</f>
        <v>3.83</v>
      </c>
      <c r="AD151" s="39">
        <f>+'P&amp;L'!AD17</f>
        <v>3.6379999999999999</v>
      </c>
      <c r="AE151" s="388">
        <f>+'P&amp;L'!AE17</f>
        <v>15.593</v>
      </c>
      <c r="AF151" s="39"/>
      <c r="AG151" s="237">
        <f>+'P&amp;L'!AG17</f>
        <v>3.33</v>
      </c>
      <c r="AH151" s="39">
        <f>+'P&amp;L'!AH17</f>
        <v>3.609</v>
      </c>
      <c r="AI151" s="39">
        <f>+'P&amp;L'!AI17</f>
        <v>3.2829999999999999</v>
      </c>
      <c r="AJ151" s="39">
        <f>+'P&amp;L'!AJ17</f>
        <v>3.1720000000000006</v>
      </c>
      <c r="AK151" s="617">
        <f>+'P&amp;L'!AK17</f>
        <v>13.394</v>
      </c>
      <c r="AL151" s="534"/>
      <c r="AM151" s="538">
        <f>+'P&amp;L'!AM17</f>
        <v>3.2050000000000001</v>
      </c>
      <c r="AN151" s="534">
        <f>+'P&amp;L'!AN17</f>
        <v>3.3029999999999999</v>
      </c>
      <c r="AO151" s="534">
        <f>+'P&amp;L'!AO17</f>
        <v>3.2360000000000002</v>
      </c>
      <c r="AP151" s="534">
        <f>+'P&amp;L'!AP17</f>
        <v>3.109</v>
      </c>
      <c r="AQ151" s="617">
        <f>+'P&amp;L'!AQ17</f>
        <v>12.853</v>
      </c>
      <c r="AR151" s="534"/>
      <c r="AS151" s="538">
        <f>+'P&amp;L'!AS17</f>
        <v>3.4550000000000001</v>
      </c>
      <c r="AT151" s="534">
        <f>+'P&amp;L'!AT17</f>
        <v>3.4159999999999999</v>
      </c>
      <c r="AU151" s="534">
        <f>+'P&amp;L'!AU17</f>
        <v>3.452</v>
      </c>
      <c r="AV151" s="534">
        <f>+'P&amp;L'!AV17</f>
        <v>3.331999999999999</v>
      </c>
      <c r="AW151" s="617">
        <f>+'P&amp;L'!AW17</f>
        <v>13.654999999999999</v>
      </c>
      <c r="AX151" s="534"/>
      <c r="AY151" s="538">
        <f>+'P&amp;L'!AY17</f>
        <v>3.4550000000000001</v>
      </c>
      <c r="AZ151" s="534">
        <f>+'P&amp;L'!AZ17</f>
        <v>3.2570000000000001</v>
      </c>
      <c r="BA151" s="534">
        <f>+'P&amp;L'!BA17</f>
        <v>3.129</v>
      </c>
      <c r="BB151" s="534">
        <f>+'P&amp;L'!BB17</f>
        <v>3.0940000000000012</v>
      </c>
      <c r="BC151" s="617">
        <f>+'P&amp;L'!BC17</f>
        <v>12.935</v>
      </c>
      <c r="BD151" s="534"/>
      <c r="BE151" s="538">
        <f>+'P&amp;L'!BE17</f>
        <v>3.3479999999999999</v>
      </c>
      <c r="BF151" s="534">
        <f>+'P&amp;L'!BF17</f>
        <v>3.556</v>
      </c>
      <c r="BG151" s="534">
        <f>+'P&amp;L'!BG17</f>
        <v>3.141</v>
      </c>
      <c r="BH151" s="534">
        <f>+'P&amp;L'!BH17</f>
        <v>3.23</v>
      </c>
      <c r="BI151" s="617">
        <f>+'P&amp;L'!BI17</f>
        <v>13.275</v>
      </c>
      <c r="BJ151" s="39"/>
      <c r="BK151" s="538">
        <f>+'P&amp;L'!BK17</f>
        <v>4.3040000000000003</v>
      </c>
      <c r="BL151" s="534">
        <f>+'P&amp;L'!BL17</f>
        <v>4.1070000000000002</v>
      </c>
      <c r="BM151" s="534">
        <f>+'P&amp;L'!BM17</f>
        <v>4.7930000000000001</v>
      </c>
      <c r="BN151" s="534">
        <f>+'P&amp;L'!BN17</f>
        <v>4.3490000000000002</v>
      </c>
      <c r="BO151" s="617">
        <f>+'P&amp;L'!BO17</f>
        <v>17.553000000000001</v>
      </c>
      <c r="BP151" s="39"/>
      <c r="BQ151" s="237">
        <f>+BN150*BQ152/4</f>
        <v>0.65496749999999992</v>
      </c>
      <c r="BR151" s="39">
        <f>+BQ150*BR152/4</f>
        <v>0.60918755142598124</v>
      </c>
      <c r="BS151" s="39">
        <f>+BR150*BS152/4</f>
        <v>0.47008025854013491</v>
      </c>
      <c r="BT151" s="39">
        <f>+BS150*BT152/4</f>
        <v>0.74343141046894368</v>
      </c>
      <c r="BU151" s="388">
        <f>+SUM(BQ151:BT151)</f>
        <v>2.4776667204350598</v>
      </c>
      <c r="BV151" s="39"/>
      <c r="BW151" s="237">
        <f>+BT150*BW152/4</f>
        <v>1.0574475583785321</v>
      </c>
      <c r="BX151" s="39">
        <f>+BW150*BX152/4</f>
        <v>1.2343850088162358</v>
      </c>
      <c r="BY151" s="39">
        <f>+BX150*BY152/4</f>
        <v>1.0414707893912465</v>
      </c>
      <c r="BZ151" s="39">
        <f>+BY150*BZ152/4</f>
        <v>1.2711169527397375</v>
      </c>
      <c r="CA151" s="388">
        <f>+SUM(BW151:BZ151)</f>
        <v>4.6044203093257519</v>
      </c>
      <c r="CB151" s="39"/>
      <c r="CC151" s="237">
        <f>+BZ150*CC152/4</f>
        <v>10.675306361508333</v>
      </c>
      <c r="CD151" s="39">
        <f>+CC150*CD152/4</f>
        <v>12.149987503696416</v>
      </c>
      <c r="CE151" s="39">
        <f>+CD150*CE152/4</f>
        <v>10.343493324604804</v>
      </c>
      <c r="CF151" s="39">
        <f>+CE150*CF152/4</f>
        <v>9.1287265830630435</v>
      </c>
      <c r="CG151" s="388">
        <f>+SUM(CC151:CF151)</f>
        <v>42.297513772872591</v>
      </c>
      <c r="CO151"/>
      <c r="CP151"/>
      <c r="CQ151"/>
      <c r="CR151"/>
      <c r="CS151"/>
      <c r="CT151"/>
    </row>
    <row r="152" spans="2:98" s="7" customFormat="1" ht="11.25" customHeight="1" x14ac:dyDescent="0.2">
      <c r="B152" s="496" t="s">
        <v>357</v>
      </c>
      <c r="C152" s="242"/>
      <c r="D152" s="243">
        <f>+D151/AVERAGE(C150,D150)*4</f>
        <v>9.886893612832813E-2</v>
      </c>
      <c r="E152" s="243">
        <f>+E151/AVERAGE(D150,E150)*4</f>
        <v>8.7905247860973978E-2</v>
      </c>
      <c r="F152" s="243">
        <f>+F151/AVERAGE(E150,F150)*4</f>
        <v>6.6190819430038128E-2</v>
      </c>
      <c r="G152" s="409"/>
      <c r="H152" s="27"/>
      <c r="I152" s="242">
        <f>+I151/AVERAGE(F150,I150)*4</f>
        <v>7.0710522695095271E-2</v>
      </c>
      <c r="J152" s="243">
        <f>+J151/AVERAGE(I150,J150)*4</f>
        <v>6.7005572557053375E-2</v>
      </c>
      <c r="K152" s="243">
        <f>+K151/AVERAGE(J150,K150)*4</f>
        <v>6.0879320323832246E-2</v>
      </c>
      <c r="L152" s="243">
        <f>+L151/AVERAGE(K150,L150)*4</f>
        <v>5.031507719619293E-2</v>
      </c>
      <c r="M152" s="409">
        <f>+M151/AVERAGE(G150,M150)</f>
        <v>5.3000842569187898E-2</v>
      </c>
      <c r="N152" s="27"/>
      <c r="O152" s="242">
        <f>+O151/AVERAGE(L150,O150)*4</f>
        <v>3.3063509441868838E-2</v>
      </c>
      <c r="P152" s="243">
        <f>+P151/AVERAGE(O150,P150)*4</f>
        <v>2.8329314031186749E-2</v>
      </c>
      <c r="Q152" s="243">
        <f>+Q151/AVERAGE(P150,Q150)*4</f>
        <v>2.6839826839826841E-2</v>
      </c>
      <c r="R152" s="243">
        <f>+R151/AVERAGE(Q150,R150)*4</f>
        <v>2.337843782844231E-2</v>
      </c>
      <c r="S152" s="409">
        <f>+S151/AVERAGE(M150,S150)</f>
        <v>2.3739062998082604E-2</v>
      </c>
      <c r="T152" s="27"/>
      <c r="U152" s="242">
        <f>+U151/AVERAGE(R150,U150)*4</f>
        <v>3.2792042025692587E-2</v>
      </c>
      <c r="V152" s="243">
        <f>+V151/AVERAGE(U150,V150)*4</f>
        <v>4.1483864101320912E-2</v>
      </c>
      <c r="W152" s="243">
        <f>+W151/AVERAGE(V150,W150)*4</f>
        <v>5.2160062189670876E-2</v>
      </c>
      <c r="X152" s="243">
        <f>+X151/AVERAGE(W150,X150)*4</f>
        <v>8.5404910782370017E-2</v>
      </c>
      <c r="Y152" s="409">
        <f>+Y151/AVERAGE(S150,Y150)</f>
        <v>4.5367512896177332E-2</v>
      </c>
      <c r="Z152" s="27"/>
      <c r="AA152" s="242">
        <f>+AA151/AVERAGE(X150,AA150)*4</f>
        <v>0.11781622107391597</v>
      </c>
      <c r="AB152" s="243">
        <f>+AB151/AVERAGE(AA150,AB150)*4</f>
        <v>0.12041608468192216</v>
      </c>
      <c r="AC152" s="243">
        <f>+AC151/AVERAGE(AB150,AC150)*4</f>
        <v>0.1140470704717097</v>
      </c>
      <c r="AD152" s="243">
        <f>+AD151/AVERAGE(AC150,AD150)*4</f>
        <v>0.11451234674766678</v>
      </c>
      <c r="AE152" s="409">
        <f>+AE151/AVERAGE(Y150,AE150)</f>
        <v>0.10478039995699387</v>
      </c>
      <c r="AF152" s="27"/>
      <c r="AG152" s="242">
        <f>+AG151/AVERAGE(AD150,AG150)*4</f>
        <v>0.10694628999947813</v>
      </c>
      <c r="AH152" s="243">
        <f>+AH151/AVERAGE(AG150,AH150)*4</f>
        <v>0.15219098724889171</v>
      </c>
      <c r="AI152" s="243">
        <f>+AI151/AVERAGE(AH150,AI150)*4</f>
        <v>0.14818994312539496</v>
      </c>
      <c r="AJ152" s="243">
        <f>+AJ151/AVERAGE(AI150,AJ150)*4</f>
        <v>0.12002875846671966</v>
      </c>
      <c r="AK152" s="409">
        <f>+AK151/AVERAGE(AE150,AK150)</f>
        <v>9.9449072630344082E-2</v>
      </c>
      <c r="AL152" s="27"/>
      <c r="AM152" s="242">
        <f>+AM151/AVERAGE(AJ150,AM150)*4</f>
        <v>0.12057824888780204</v>
      </c>
      <c r="AN152" s="243">
        <f>+AN151/AVERAGE(AM150,AN150)*4</f>
        <v>0.15598491154125418</v>
      </c>
      <c r="AO152" s="243">
        <f>+AO151/AVERAGE(AN150,AO150)*4</f>
        <v>0.17403229492988423</v>
      </c>
      <c r="AP152" s="243">
        <f>+AP151/AVERAGE(AO150,AP150)*4</f>
        <v>9.6205097261063466E-2</v>
      </c>
      <c r="AQ152" s="409">
        <f>+AQ151/AVERAGE(AK150,AQ150)</f>
        <v>8.2736823132579754E-2</v>
      </c>
      <c r="AR152" s="27"/>
      <c r="AS152" s="242">
        <f>+AS151/AVERAGE(AP150,AS150)*4</f>
        <v>8.6991826419203666E-2</v>
      </c>
      <c r="AT152" s="243">
        <f>+AT151/AVERAGE(AS150,AT150)*4</f>
        <v>0.12489203109504463</v>
      </c>
      <c r="AU152" s="243">
        <f>+AU151/AVERAGE(AT150,AU150)*4</f>
        <v>0.16612127045235803</v>
      </c>
      <c r="AV152" s="243">
        <f>+AV151/AVERAGE(AU150,AV150)*4</f>
        <v>0.16056283731688506</v>
      </c>
      <c r="AW152" s="409">
        <f>+AW151/AVERAGE(AQ150,AW150)</f>
        <v>9.8205616886619426E-2</v>
      </c>
      <c r="AX152" s="27"/>
      <c r="AY152" s="242">
        <f>+AY151/AVERAGE(AV150,AY150)*4</f>
        <v>0.18590761118136084</v>
      </c>
      <c r="AZ152" s="243">
        <f>+AZ151/AVERAGE(AY150,AZ150)*4</f>
        <v>0.24518678836924815</v>
      </c>
      <c r="BA152" s="243">
        <f>+BA151/AVERAGE(AZ150,BA150)*4</f>
        <v>0.23274972338190034</v>
      </c>
      <c r="BB152" s="243">
        <f>+BB151/AVERAGE(BA150,BB150)*4</f>
        <v>0.18671313373614856</v>
      </c>
      <c r="BC152" s="409">
        <f>+BC151/AVERAGE(AW150,BC150)</f>
        <v>0.16012626887843526</v>
      </c>
      <c r="BD152" s="27"/>
      <c r="BE152" s="242">
        <f>+BE151/AVERAGE(BB150,BE150)*4</f>
        <v>0.18638830897703551</v>
      </c>
      <c r="BF152" s="243">
        <f>+BF151/AVERAGE(BE150,BF150)*4</f>
        <v>0.21045467323597733</v>
      </c>
      <c r="BG152" s="243">
        <f>+BG151/AVERAGE(BF150,BG150)*4</f>
        <v>0.17980422462648118</v>
      </c>
      <c r="BH152" s="243">
        <f>+BH151/AVERAGE(BG150,BH150)*4</f>
        <v>0.18647211217192386</v>
      </c>
      <c r="BI152" s="409">
        <f>+BI151/AVERAGE(BC150,BI150)</f>
        <v>0.1974462135691285</v>
      </c>
      <c r="BJ152" s="27"/>
      <c r="BK152" s="242">
        <f>+BK151/AVERAGE(BH150,BK150)*4</f>
        <v>0.27486449161404658</v>
      </c>
      <c r="BL152" s="243">
        <f>+BL151/AVERAGE(BK150,BL150)*4</f>
        <v>0.23887976036410696</v>
      </c>
      <c r="BM152" s="243">
        <f>+BM151/AVERAGE(BL150,BM150)*4</f>
        <v>0.24812823151042171</v>
      </c>
      <c r="BN152" s="243">
        <f>+BN151/AVERAGE(BM150,BN150)*4</f>
        <v>0.13668739711711855</v>
      </c>
      <c r="BO152" s="409">
        <f>+BO151/AVERAGE(BI150,BO150)</f>
        <v>0.14810221102856494</v>
      </c>
      <c r="BP152" s="27"/>
      <c r="BQ152" s="603">
        <v>1.4999999999999999E-2</v>
      </c>
      <c r="BR152" s="602">
        <f>BQ152</f>
        <v>1.4999999999999999E-2</v>
      </c>
      <c r="BS152" s="602">
        <f>BR152</f>
        <v>1.4999999999999999E-2</v>
      </c>
      <c r="BT152" s="602">
        <f>BS152</f>
        <v>1.4999999999999999E-2</v>
      </c>
      <c r="BU152" s="409">
        <f>+BU151/AVERAGE(BO150,BU150)</f>
        <v>1.0851633377283265E-2</v>
      </c>
      <c r="BV152" s="27"/>
      <c r="BW152" s="603">
        <v>1.4999999999999999E-2</v>
      </c>
      <c r="BX152" s="602">
        <f>BW152</f>
        <v>1.4999999999999999E-2</v>
      </c>
      <c r="BY152" s="602">
        <f>BX152</f>
        <v>1.4999999999999999E-2</v>
      </c>
      <c r="BZ152" s="602">
        <f>BY152</f>
        <v>1.4999999999999999E-2</v>
      </c>
      <c r="CA152" s="409">
        <f>+CA151/AVERAGE(BU150,CA150)</f>
        <v>1.328486215154389E-2</v>
      </c>
      <c r="CB152" s="27"/>
      <c r="CC152" s="603">
        <v>0.10384615384615385</v>
      </c>
      <c r="CD152" s="602">
        <f>+CC152</f>
        <v>0.10384615384615385</v>
      </c>
      <c r="CE152" s="602">
        <f>+CD152</f>
        <v>0.10384615384615385</v>
      </c>
      <c r="CF152" s="602">
        <f>+CE152</f>
        <v>0.10384615384615385</v>
      </c>
      <c r="CG152" s="409">
        <f>+CG151/AVERAGE(CA150,CG150)</f>
        <v>0.10251440687520975</v>
      </c>
      <c r="CO152"/>
      <c r="CP152"/>
      <c r="CQ152"/>
      <c r="CR152"/>
      <c r="CS152"/>
      <c r="CT152"/>
    </row>
    <row r="153" spans="2:98" s="7" customFormat="1" ht="11.25" customHeight="1" x14ac:dyDescent="0.2">
      <c r="B153" s="11"/>
      <c r="CO153"/>
      <c r="CP153"/>
      <c r="CQ153"/>
      <c r="CR153"/>
      <c r="CS153"/>
      <c r="CT153"/>
    </row>
    <row r="154" spans="2:98" s="7" customFormat="1" ht="11.25" customHeight="1" x14ac:dyDescent="0.2">
      <c r="B154" s="1178" t="s">
        <v>603</v>
      </c>
      <c r="C154" s="1183"/>
      <c r="D154" s="1183"/>
      <c r="E154" s="1183"/>
      <c r="F154" s="1183"/>
      <c r="G154" s="1184"/>
      <c r="H154" s="1184"/>
      <c r="I154" s="1183"/>
      <c r="J154" s="1183"/>
      <c r="K154" s="1183"/>
      <c r="L154" s="1183"/>
      <c r="M154" s="1184"/>
      <c r="N154" s="1184"/>
      <c r="O154" s="1183"/>
      <c r="P154" s="1183"/>
      <c r="Q154" s="1183"/>
      <c r="R154" s="1183"/>
      <c r="S154" s="1184"/>
      <c r="T154" s="1184"/>
      <c r="U154" s="1183"/>
      <c r="V154" s="1183"/>
      <c r="W154" s="1183"/>
      <c r="X154" s="1183"/>
      <c r="Y154" s="1184"/>
      <c r="Z154" s="1184"/>
      <c r="AA154" s="1183"/>
      <c r="AB154" s="1183"/>
      <c r="AC154" s="1183"/>
      <c r="AD154" s="1183"/>
      <c r="AE154" s="1184"/>
      <c r="AF154" s="1184"/>
      <c r="AG154" s="1183"/>
      <c r="AH154" s="1183"/>
      <c r="AI154" s="1183"/>
      <c r="AJ154" s="1183"/>
      <c r="AK154" s="1184"/>
      <c r="AL154" s="1184"/>
      <c r="AM154" s="1183"/>
      <c r="AN154" s="1183"/>
      <c r="AO154" s="1183"/>
      <c r="AP154" s="1183"/>
      <c r="AQ154" s="1184"/>
      <c r="AR154" s="1184"/>
      <c r="AS154" s="1183"/>
      <c r="AT154" s="1183"/>
      <c r="AU154" s="1183"/>
      <c r="AV154" s="1183"/>
      <c r="AW154" s="1184"/>
      <c r="AX154" s="1184"/>
      <c r="AY154" s="1183"/>
      <c r="AZ154" s="1183"/>
      <c r="BA154" s="1183"/>
      <c r="BB154" s="1183"/>
      <c r="BC154" s="1184"/>
      <c r="BD154" s="1184"/>
      <c r="BE154" s="1183"/>
      <c r="BF154" s="1183"/>
      <c r="BG154" s="1183"/>
      <c r="BH154" s="1183"/>
      <c r="BI154" s="1184"/>
      <c r="BJ154" s="1184"/>
      <c r="BK154" s="1183"/>
      <c r="BL154" s="1183"/>
      <c r="BM154" s="1183"/>
      <c r="BN154" s="1183"/>
      <c r="BO154" s="1184"/>
      <c r="BP154" s="1184"/>
      <c r="BQ154" s="1183"/>
      <c r="BR154" s="1183"/>
      <c r="BS154" s="1183"/>
      <c r="BT154" s="1183"/>
      <c r="BU154" s="1184"/>
      <c r="BV154" s="1184"/>
      <c r="BW154" s="1183"/>
      <c r="BX154" s="1183"/>
      <c r="BY154" s="1183"/>
      <c r="BZ154" s="1183"/>
      <c r="CA154" s="1184"/>
      <c r="CB154" s="1184"/>
      <c r="CC154" s="1183"/>
      <c r="CD154" s="1183"/>
      <c r="CE154" s="1183"/>
      <c r="CF154" s="1183"/>
      <c r="CG154" s="1184"/>
      <c r="CO154"/>
      <c r="CP154"/>
      <c r="CQ154"/>
      <c r="CR154"/>
      <c r="CS154"/>
      <c r="CT154"/>
    </row>
    <row r="155" spans="2:98" s="7" customFormat="1" ht="11.25" customHeight="1" x14ac:dyDescent="0.2">
      <c r="B155" s="1179" t="s">
        <v>127</v>
      </c>
      <c r="C155" s="1185">
        <f>+'P&amp;L'!C8</f>
        <v>1310.1279999999999</v>
      </c>
      <c r="D155" s="1186">
        <f>+'P&amp;L'!D8</f>
        <v>1387.0170000000001</v>
      </c>
      <c r="E155" s="1186">
        <f>+'P&amp;L'!E8</f>
        <v>1505.575</v>
      </c>
      <c r="F155" s="1186">
        <f>+'P&amp;L'!F8</f>
        <v>1701.6959999999999</v>
      </c>
      <c r="G155" s="1187">
        <f>+'P&amp;L'!G8</f>
        <v>5904.4160000000002</v>
      </c>
      <c r="H155" s="1188"/>
      <c r="I155" s="1185">
        <f>+'P&amp;L'!I8</f>
        <v>1521.777</v>
      </c>
      <c r="J155" s="1186">
        <f>+'P&amp;L'!J8</f>
        <v>1640.8510000000001</v>
      </c>
      <c r="K155" s="1186">
        <f>+'P&amp;L'!K8</f>
        <v>1644.2090000000001</v>
      </c>
      <c r="L155" s="1186">
        <f>+'P&amp;L'!L8</f>
        <v>1573.5759999999991</v>
      </c>
      <c r="M155" s="1187">
        <f>+'P&amp;L'!M8</f>
        <v>6380.4129999999996</v>
      </c>
      <c r="N155" s="1188"/>
      <c r="O155" s="1185">
        <f>+'P&amp;L'!O8</f>
        <v>1485.3879999999999</v>
      </c>
      <c r="P155" s="1186">
        <f>+'P&amp;L'!P8</f>
        <v>1607.434</v>
      </c>
      <c r="Q155" s="1186">
        <f>+'P&amp;L'!Q8</f>
        <v>1659.433</v>
      </c>
      <c r="R155" s="1186">
        <f>+'P&amp;L'!R8</f>
        <v>1786.0810000000001</v>
      </c>
      <c r="S155" s="1187">
        <f>+'P&amp;L'!S8</f>
        <v>6538.3360000000002</v>
      </c>
      <c r="T155" s="1188"/>
      <c r="U155" s="1185">
        <f>+'P&amp;L'!U8</f>
        <v>1760.31</v>
      </c>
      <c r="V155" s="1186">
        <f>+'P&amp;L'!V8</f>
        <v>1849.4010000000001</v>
      </c>
      <c r="W155" s="1186">
        <f>+'P&amp;L'!W8</f>
        <v>1893.511</v>
      </c>
      <c r="X155" s="1186">
        <f>+'P&amp;L'!X8</f>
        <v>2023.5680000000002</v>
      </c>
      <c r="Y155" s="1187">
        <f>+'P&amp;L'!Y8</f>
        <v>7526.79</v>
      </c>
      <c r="Z155" s="1188"/>
      <c r="AA155" s="1185">
        <f>+'P&amp;L'!AA8</f>
        <v>1947.761</v>
      </c>
      <c r="AB155" s="1186">
        <f>+'P&amp;L'!AB8</f>
        <v>2130.64</v>
      </c>
      <c r="AC155" s="1186">
        <f>+'P&amp;L'!AC8</f>
        <v>2111.6930000000002</v>
      </c>
      <c r="AD155" s="1186">
        <f>+'P&amp;L'!AD8</f>
        <v>2340.1480000000001</v>
      </c>
      <c r="AE155" s="1187">
        <f>+'P&amp;L'!AE8</f>
        <v>8530.2420000000002</v>
      </c>
      <c r="AF155" s="1188"/>
      <c r="AG155" s="1185">
        <f>+'P&amp;L'!AG8</f>
        <v>2099.0189999999998</v>
      </c>
      <c r="AH155" s="1186">
        <f>+'P&amp;L'!AH8</f>
        <v>2201.4520000000002</v>
      </c>
      <c r="AI155" s="1186">
        <f>+'P&amp;L'!AI8</f>
        <v>2231.058</v>
      </c>
      <c r="AJ155" s="1186">
        <f>+'P&amp;L'!AJ8</f>
        <v>2408.438000000001</v>
      </c>
      <c r="AK155" s="1187">
        <f>+'P&amp;L'!AK8</f>
        <v>8939.9670000000006</v>
      </c>
      <c r="AL155" s="1188"/>
      <c r="AM155" s="1185">
        <f>+'P&amp;L'!AM8</f>
        <v>2293.511</v>
      </c>
      <c r="AN155" s="1186">
        <f>+'P&amp;L'!AN8</f>
        <v>2391.81</v>
      </c>
      <c r="AO155" s="1186">
        <f>+'P&amp;L'!AO8</f>
        <v>2348.9560000000001</v>
      </c>
      <c r="AP155" s="1186">
        <f>+'P&amp;L'!AP8</f>
        <v>2526.3700000000008</v>
      </c>
      <c r="AQ155" s="1187">
        <f>+'P&amp;L'!AQ8</f>
        <v>9560.6470000000008</v>
      </c>
      <c r="AR155" s="1188"/>
      <c r="AS155" s="1185">
        <f>+'P&amp;L'!AS8</f>
        <v>2430.1590000000001</v>
      </c>
      <c r="AT155" s="1186">
        <f>+'P&amp;L'!AT8</f>
        <v>2615.4059999999999</v>
      </c>
      <c r="AU155" s="1186">
        <f>+'P&amp;L'!AU8</f>
        <v>2623.7289999999998</v>
      </c>
      <c r="AV155" s="1186">
        <f>+'P&amp;L'!AV8</f>
        <v>2702.0959999999995</v>
      </c>
      <c r="AW155" s="1187">
        <f>+'P&amp;L'!AW8</f>
        <v>10371.39</v>
      </c>
      <c r="AX155" s="1188"/>
      <c r="AY155" s="1185">
        <f>+'P&amp;L'!AY8</f>
        <v>2463.6460000000002</v>
      </c>
      <c r="AZ155" s="1186">
        <f>+'P&amp;L'!AZ8</f>
        <v>2629.32</v>
      </c>
      <c r="BA155" s="1186">
        <f>+'P&amp;L'!BA8</f>
        <v>2685.835</v>
      </c>
      <c r="BB155" s="1186">
        <f>+'P&amp;L'!BB8</f>
        <v>2850.9179999999988</v>
      </c>
      <c r="BC155" s="1187">
        <f>+'P&amp;L'!BC8</f>
        <v>10629.718999999999</v>
      </c>
      <c r="BD155" s="1188"/>
      <c r="BE155" s="1185">
        <f>+'P&amp;L'!BE8</f>
        <v>2712.9560000000001</v>
      </c>
      <c r="BF155" s="1186">
        <f>+'P&amp;L'!BF8</f>
        <v>2872.63</v>
      </c>
      <c r="BG155" s="1186">
        <f>+'P&amp;L'!BG8</f>
        <v>2865.1480000000001</v>
      </c>
      <c r="BH155" s="1186">
        <f>+'P&amp;L'!BH8</f>
        <v>3120.9340000000002</v>
      </c>
      <c r="BI155" s="1187">
        <f>+'P&amp;L'!BI8</f>
        <v>11571.668000000001</v>
      </c>
      <c r="BJ155" s="1188"/>
      <c r="BK155" s="1185">
        <f>+'P&amp;L'!BK8</f>
        <v>2922.9479999999999</v>
      </c>
      <c r="BL155" s="1186">
        <f>+'P&amp;L'!BL8</f>
        <v>3059.4580000000001</v>
      </c>
      <c r="BM155" s="1186">
        <f>+'P&amp;L'!BM8</f>
        <v>3161.0830000000001</v>
      </c>
      <c r="BN155" s="1186">
        <f>+'P&amp;L'!BN8</f>
        <v>3318.0540000000001</v>
      </c>
      <c r="BO155" s="1187">
        <f>+'P&amp;L'!BO8</f>
        <v>12461.543</v>
      </c>
      <c r="BP155" s="1188"/>
      <c r="BQ155" s="1185">
        <f>+'P&amp;L'!BQ8</f>
        <v>3072.1614140000001</v>
      </c>
      <c r="BR155" s="1186">
        <f>+'P&amp;L'!BR8</f>
        <v>3269.8201400000003</v>
      </c>
      <c r="BS155" s="1186">
        <f>+'P&amp;L'!BS8</f>
        <v>3340.2211599999996</v>
      </c>
      <c r="BT155" s="1186">
        <f>+'P&amp;L'!BT8</f>
        <v>3463.4065399999999</v>
      </c>
      <c r="BU155" s="1187">
        <f>+'P&amp;L'!BU8</f>
        <v>13145.609253999999</v>
      </c>
      <c r="BV155" s="1188"/>
      <c r="BW155" s="1185">
        <f>+'P&amp;L'!BW8</f>
        <v>3229.45109069</v>
      </c>
      <c r="BX155" s="1186">
        <f>+'P&amp;L'!BX8</f>
        <v>3411.0425015499995</v>
      </c>
      <c r="BY155" s="1186">
        <f>+'P&amp;L'!BY8</f>
        <v>3484.8114650500002</v>
      </c>
      <c r="BZ155" s="1186">
        <f>+'P&amp;L'!BZ8</f>
        <v>3610.6675447000002</v>
      </c>
      <c r="CA155" s="1187">
        <f>+'P&amp;L'!CA8</f>
        <v>13735.972601989999</v>
      </c>
      <c r="CB155" s="1188"/>
      <c r="CC155" s="1185">
        <f>+'P&amp;L'!CC8</f>
        <v>3357.1791090189504</v>
      </c>
      <c r="CD155" s="1186">
        <f>+'P&amp;L'!CD8</f>
        <v>3546.9621311562501</v>
      </c>
      <c r="CE155" s="1186">
        <f>+'P&amp;L'!CE8</f>
        <v>3623.5099933157489</v>
      </c>
      <c r="CF155" s="1186">
        <f>+'P&amp;L'!CF8</f>
        <v>3752.8663800914992</v>
      </c>
      <c r="CG155" s="1187">
        <f>+'P&amp;L'!CG8</f>
        <v>14280.517613582448</v>
      </c>
      <c r="CO155"/>
      <c r="CP155"/>
      <c r="CQ155"/>
      <c r="CR155"/>
      <c r="CS155"/>
      <c r="CT155"/>
    </row>
    <row r="156" spans="2:98" s="7" customFormat="1" ht="11.25" customHeight="1" x14ac:dyDescent="0.2">
      <c r="B156" s="1179" t="s">
        <v>604</v>
      </c>
      <c r="C156" s="1185">
        <f>+'P&amp;L'!C14</f>
        <v>73.720999999999947</v>
      </c>
      <c r="D156" s="1189">
        <f>+'P&amp;L'!D14</f>
        <v>90.852000000000032</v>
      </c>
      <c r="E156" s="1189">
        <f>+'P&amp;L'!E14</f>
        <v>96.700000000000159</v>
      </c>
      <c r="F156" s="1189">
        <f>+'P&amp;L'!F14</f>
        <v>126.66600000000028</v>
      </c>
      <c r="G156" s="1190">
        <f>+'P&amp;L'!G14</f>
        <v>387.93900000000053</v>
      </c>
      <c r="H156" s="1188"/>
      <c r="I156" s="1185">
        <f>+'P&amp;L'!I14</f>
        <v>85.275000000000091</v>
      </c>
      <c r="J156" s="1189">
        <f>+'P&amp;L'!J14</f>
        <v>113.99200000000013</v>
      </c>
      <c r="K156" s="1189">
        <f>+'P&amp;L'!K14</f>
        <v>115.41400000000004</v>
      </c>
      <c r="L156" s="1189">
        <f>+'P&amp;L'!L14</f>
        <v>127.84499999999821</v>
      </c>
      <c r="M156" s="1190">
        <f>+'P&amp;L'!M14</f>
        <v>442.52599999999916</v>
      </c>
      <c r="N156" s="1188"/>
      <c r="O156" s="1185">
        <f>+'P&amp;L'!O14</f>
        <v>94.630999999999801</v>
      </c>
      <c r="P156" s="1189">
        <f>+'P&amp;L'!P14</f>
        <v>121.96999999999991</v>
      </c>
      <c r="Q156" s="1189">
        <f>+'P&amp;L'!Q14</f>
        <v>113.88500000000005</v>
      </c>
      <c r="R156" s="1189">
        <f>+'P&amp;L'!R14</f>
        <v>136.61900000000105</v>
      </c>
      <c r="S156" s="1190">
        <f>+'P&amp;L'!S14</f>
        <v>467.1050000000007</v>
      </c>
      <c r="T156" s="1188"/>
      <c r="U156" s="1185">
        <f>+'P&amp;L'!U14</f>
        <v>116.04399999999993</v>
      </c>
      <c r="V156" s="1189">
        <f>+'P&amp;L'!V14</f>
        <v>138.00600000000003</v>
      </c>
      <c r="W156" s="1189">
        <f>+'P&amp;L'!W14</f>
        <v>137.36799999999988</v>
      </c>
      <c r="X156" s="1189">
        <f>+'P&amp;L'!X14</f>
        <v>141.99800000000027</v>
      </c>
      <c r="Y156" s="1190">
        <f>+'P&amp;L'!Y14</f>
        <v>533.41600000000017</v>
      </c>
      <c r="Z156" s="1188"/>
      <c r="AA156" s="1185">
        <f>+'P&amp;L'!AA14</f>
        <v>124.2999999999999</v>
      </c>
      <c r="AB156" s="1189">
        <f>+'P&amp;L'!AB14</f>
        <v>151.21499999999992</v>
      </c>
      <c r="AC156" s="1189">
        <f>+'P&amp;L'!AC14</f>
        <v>143.26100000000031</v>
      </c>
      <c r="AD156" s="1189">
        <f>+'P&amp;L'!AD14</f>
        <v>163.37300000000005</v>
      </c>
      <c r="AE156" s="1190">
        <f>+'P&amp;L'!AE14</f>
        <v>582.14900000000034</v>
      </c>
      <c r="AF156" s="1188"/>
      <c r="AG156" s="1185">
        <f>+'P&amp;L'!AG14</f>
        <v>145.12699999999973</v>
      </c>
      <c r="AH156" s="1189">
        <f>+'P&amp;L'!AH14</f>
        <v>158.06200000000018</v>
      </c>
      <c r="AI156" s="1189">
        <f>+'P&amp;L'!AI14</f>
        <v>149.62200000000007</v>
      </c>
      <c r="AJ156" s="1189">
        <f>+'P&amp;L'!AJ14</f>
        <v>181.34200000000192</v>
      </c>
      <c r="AK156" s="1190">
        <f>+'P&amp;L'!AK14</f>
        <v>634.15300000000093</v>
      </c>
      <c r="AL156" s="1188"/>
      <c r="AM156" s="1185">
        <f>+'P&amp;L'!AM14</f>
        <v>153.62899999999996</v>
      </c>
      <c r="AN156" s="1189">
        <f>+'P&amp;L'!AN14</f>
        <v>176.065</v>
      </c>
      <c r="AO156" s="1189">
        <f>+'P&amp;L'!AO14</f>
        <v>160.47700000000015</v>
      </c>
      <c r="AP156" s="1189">
        <f>+'P&amp;L'!AP14</f>
        <v>186.8830000000014</v>
      </c>
      <c r="AQ156" s="1190">
        <f>+'P&amp;L'!AQ14</f>
        <v>677.054000000001</v>
      </c>
      <c r="AR156" s="1188"/>
      <c r="AS156" s="1185">
        <f>+'P&amp;L'!AS14</f>
        <v>157.26800000000014</v>
      </c>
      <c r="AT156" s="1189">
        <f>+'P&amp;L'!AT14</f>
        <v>180.84399999999994</v>
      </c>
      <c r="AU156" s="1189">
        <f>+'P&amp;L'!AU14</f>
        <v>174.08799999999974</v>
      </c>
      <c r="AV156" s="1189">
        <f>+'P&amp;L'!AV14</f>
        <v>202.94200000000023</v>
      </c>
      <c r="AW156" s="1190">
        <f>+'P&amp;L'!AW14</f>
        <v>715.14199999999983</v>
      </c>
      <c r="AX156" s="1188"/>
      <c r="AY156" s="1185">
        <f>+'P&amp;L'!AY14</f>
        <v>168.22900000000016</v>
      </c>
      <c r="AZ156" s="1189">
        <f>+'P&amp;L'!AZ14</f>
        <v>190.25200000000007</v>
      </c>
      <c r="BA156" s="1189">
        <f>+'P&amp;L'!BA14</f>
        <v>197.32000000000016</v>
      </c>
      <c r="BB156" s="1189">
        <f>+'P&amp;L'!BB14</f>
        <v>213.10199999999827</v>
      </c>
      <c r="BC156" s="1190">
        <f>+'P&amp;L'!BC14</f>
        <v>768.90299999999888</v>
      </c>
      <c r="BD156" s="1188"/>
      <c r="BE156" s="1185">
        <f>+'P&amp;L'!BE14</f>
        <v>180.25200000000007</v>
      </c>
      <c r="BF156" s="1189">
        <f>+'P&amp;L'!BF14</f>
        <v>201.06000000000029</v>
      </c>
      <c r="BG156" s="1189">
        <f>+'P&amp;L'!BG14</f>
        <v>206.09100000000001</v>
      </c>
      <c r="BH156" s="1189">
        <f>+'P&amp;L'!BH14</f>
        <v>230.06200000000001</v>
      </c>
      <c r="BI156" s="1190">
        <f>+'P&amp;L'!BI14</f>
        <v>817.46500000000015</v>
      </c>
      <c r="BJ156" s="1188"/>
      <c r="BK156" s="1185">
        <f>+'P&amp;L'!BK14</f>
        <v>193.96800000000007</v>
      </c>
      <c r="BL156" s="1189">
        <f>+'P&amp;L'!BL14</f>
        <v>210.66200000000026</v>
      </c>
      <c r="BM156" s="1189">
        <f>+'P&amp;L'!BM14</f>
        <v>213.54800000000012</v>
      </c>
      <c r="BN156" s="1189">
        <f>+'P&amp;L'!BN14</f>
        <v>241.19100000000014</v>
      </c>
      <c r="BO156" s="1190">
        <f>+'P&amp;L'!BO14</f>
        <v>859.3690000000006</v>
      </c>
      <c r="BP156" s="1188"/>
      <c r="BQ156" s="1185">
        <f>+'P&amp;L'!BQ14</f>
        <v>207.12669688982498</v>
      </c>
      <c r="BR156" s="1189">
        <f>+'P&amp;L'!BR14</f>
        <v>233.87449187218294</v>
      </c>
      <c r="BS156" s="1189">
        <f>+'P&amp;L'!BS14</f>
        <v>235.65961442250341</v>
      </c>
      <c r="BT156" s="1189">
        <f>+'P&amp;L'!BT14</f>
        <v>260.55829637262718</v>
      </c>
      <c r="BU156" s="1190">
        <f>+'P&amp;L'!BU14</f>
        <v>937.21909955713909</v>
      </c>
      <c r="BV156" s="1188"/>
      <c r="BW156" s="1185">
        <f>+'P&amp;L'!BW14</f>
        <v>212.10083368458095</v>
      </c>
      <c r="BX156" s="1189">
        <f>+'P&amp;L'!BX14</f>
        <v>231.59044496601712</v>
      </c>
      <c r="BY156" s="1189">
        <f>+'P&amp;L'!BY14</f>
        <v>233.17123012073864</v>
      </c>
      <c r="BZ156" s="1189">
        <f>+'P&amp;L'!BZ14</f>
        <v>258.498981713852</v>
      </c>
      <c r="CA156" s="1190">
        <f>+'P&amp;L'!CA14</f>
        <v>935.36149048518928</v>
      </c>
      <c r="CB156" s="1188"/>
      <c r="CC156" s="1185">
        <f>+'P&amp;L'!CC14</f>
        <v>208.4856795223576</v>
      </c>
      <c r="CD156" s="1189">
        <f>+'P&amp;L'!CD14</f>
        <v>228.10431946895869</v>
      </c>
      <c r="CE156" s="1189">
        <f>+'P&amp;L'!CE14</f>
        <v>229.42399891490436</v>
      </c>
      <c r="CF156" s="1189">
        <f>+'P&amp;L'!CF14</f>
        <v>255.17866724257169</v>
      </c>
      <c r="CG156" s="1190">
        <f>+'P&amp;L'!CG14</f>
        <v>921.19266514879246</v>
      </c>
      <c r="CO156"/>
      <c r="CP156"/>
      <c r="CQ156"/>
      <c r="CR156"/>
      <c r="CS156"/>
      <c r="CT156"/>
    </row>
    <row r="157" spans="2:98" s="7" customFormat="1" ht="11.25" customHeight="1" x14ac:dyDescent="0.2">
      <c r="B157" s="1179" t="s">
        <v>369</v>
      </c>
      <c r="C157" s="1191">
        <f>+'P&amp;L'!C21</f>
        <v>0.35485399019170777</v>
      </c>
      <c r="D157" s="1192">
        <f>+'P&amp;L'!D21</f>
        <v>0.3425121583095756</v>
      </c>
      <c r="E157" s="1192">
        <f>+'P&amp;L'!E21</f>
        <v>0.3409834074044073</v>
      </c>
      <c r="F157" s="1192">
        <f>+'P&amp;L'!F21</f>
        <v>0.32845393677975859</v>
      </c>
      <c r="G157" s="1193">
        <f>+'P&amp;L'!G21</f>
        <v>0.33987831282659792</v>
      </c>
      <c r="H157" s="1194"/>
      <c r="I157" s="1191">
        <f>+'P&amp;L'!I21</f>
        <v>0.34006542102393778</v>
      </c>
      <c r="J157" s="1192">
        <f>+'P&amp;L'!J21</f>
        <v>0.34116689180437038</v>
      </c>
      <c r="K157" s="1192">
        <f>+'P&amp;L'!K21</f>
        <v>0.31629778301539352</v>
      </c>
      <c r="L157" s="1192">
        <f>+'P&amp;L'!L21</f>
        <v>0.31999227848916229</v>
      </c>
      <c r="M157" s="1193">
        <f>+'P&amp;L'!M21</f>
        <v>0.32830883922093135</v>
      </c>
      <c r="N157" s="1194"/>
      <c r="O157" s="1191">
        <f>+'P&amp;L'!O21</f>
        <v>0.33191489361702203</v>
      </c>
      <c r="P157" s="1192">
        <f>+'P&amp;L'!P21</f>
        <v>0.32877282731544849</v>
      </c>
      <c r="Q157" s="1192">
        <f>+'P&amp;L'!Q21</f>
        <v>0.3190475764061142</v>
      </c>
      <c r="R157" s="1192">
        <f>+'P&amp;L'!R21</f>
        <v>0.32626531858182811</v>
      </c>
      <c r="S157" s="1193">
        <f>+'P&amp;L'!S21</f>
        <v>0.32626866854177344</v>
      </c>
      <c r="T157" s="1194"/>
      <c r="U157" s="1191">
        <f>+'P&amp;L'!U21</f>
        <v>0.32893949015694479</v>
      </c>
      <c r="V157" s="1192">
        <f>+'P&amp;L'!V21</f>
        <v>0.31200349389697518</v>
      </c>
      <c r="W157" s="1192">
        <f>+'P&amp;L'!W21</f>
        <v>0.31750065791947091</v>
      </c>
      <c r="X157" s="1192">
        <f>+'P&amp;L'!X21</f>
        <v>0.31949787406357483</v>
      </c>
      <c r="Y157" s="1193">
        <f>+'P&amp;L'!Y21</f>
        <v>0.31906983978845843</v>
      </c>
      <c r="Z157" s="1194"/>
      <c r="AA157" s="1191">
        <f>+'P&amp;L'!AA21</f>
        <v>0.32499937744353441</v>
      </c>
      <c r="AB157" s="1192">
        <f>+'P&amp;L'!AB21</f>
        <v>0.3192974646405376</v>
      </c>
      <c r="AC157" s="1192">
        <f>+'P&amp;L'!AC21</f>
        <v>0.31500249092591209</v>
      </c>
      <c r="AD157" s="1192">
        <f>+'P&amp;L'!AD21</f>
        <v>0.30899083485877427</v>
      </c>
      <c r="AE157" s="1193">
        <f>+'P&amp;L'!AE21</f>
        <v>0.31654625711610762</v>
      </c>
      <c r="AF157" s="1194"/>
      <c r="AG157" s="1191">
        <f>+'P&amp;L'!AG21</f>
        <v>0.32100154235825223</v>
      </c>
      <c r="AH157" s="1192">
        <f>+'P&amp;L'!AH21</f>
        <v>0.31219717035984201</v>
      </c>
      <c r="AI157" s="1192">
        <f>+'P&amp;L'!AI21</f>
        <v>0.30500392263874193</v>
      </c>
      <c r="AJ157" s="1192">
        <f>+'P&amp;L'!AJ21</f>
        <v>0.30627805482754972</v>
      </c>
      <c r="AK157" s="1193">
        <f>+'P&amp;L'!AK21</f>
        <v>0.31081565436404102</v>
      </c>
      <c r="AL157" s="1194"/>
      <c r="AM157" s="1191">
        <f>+'P&amp;L'!AM21</f>
        <v>0.32929163582037796</v>
      </c>
      <c r="AN157" s="1192">
        <f>+'P&amp;L'!AN21</f>
        <v>0.31399761528054848</v>
      </c>
      <c r="AO157" s="1192">
        <f>+'P&amp;L'!AO21</f>
        <v>0.30050336095044516</v>
      </c>
      <c r="AP157" s="1192">
        <f>+'P&amp;L'!AP21</f>
        <v>0.29800415889553228</v>
      </c>
      <c r="AQ157" s="1193">
        <f>+'P&amp;L'!AQ21</f>
        <v>0.30975086973500982</v>
      </c>
      <c r="AR157" s="1194"/>
      <c r="AS157" s="1191">
        <f>+'P&amp;L'!AS21</f>
        <v>0.31200603602753912</v>
      </c>
      <c r="AT157" s="1192">
        <f>+'P&amp;L'!AT21</f>
        <v>0.30799122601908469</v>
      </c>
      <c r="AU157" s="1192">
        <f>+'P&amp;L'!AU21</f>
        <v>0.30040520916288049</v>
      </c>
      <c r="AV157" s="1192">
        <f>+'P&amp;L'!AV21</f>
        <v>0.29700954124951823</v>
      </c>
      <c r="AW157" s="1193">
        <f>+'P&amp;L'!AW21</f>
        <v>0.30397060813859073</v>
      </c>
      <c r="AX157" s="1194"/>
      <c r="AY157" s="1191">
        <f>+'P&amp;L'!AY21</f>
        <v>0.30800224717743613</v>
      </c>
      <c r="AZ157" s="1192">
        <f>+'P&amp;L'!AZ21</f>
        <v>0.29799189486853211</v>
      </c>
      <c r="BA157" s="1192">
        <f>+'P&amp;L'!BA21</f>
        <v>0.28292456479690498</v>
      </c>
      <c r="BB157" s="1192">
        <f>+'P&amp;L'!BB21</f>
        <v>0.29799599485736106</v>
      </c>
      <c r="BC157" s="1193">
        <f>+'P&amp;L'!BC21</f>
        <v>0.29632031166260236</v>
      </c>
      <c r="BD157" s="1194"/>
      <c r="BE157" s="1191">
        <f>+'P&amp;L'!BE21</f>
        <v>0.30369689883636758</v>
      </c>
      <c r="BF157" s="1192">
        <f>+'P&amp;L'!BF21</f>
        <v>0.27370302303092864</v>
      </c>
      <c r="BG157" s="1192">
        <f>+'P&amp;L'!BG21</f>
        <v>0.28749906968667044</v>
      </c>
      <c r="BH157" s="1192">
        <f>+'P&amp;L'!BH21</f>
        <v>0.28190034700117461</v>
      </c>
      <c r="BI157" s="1193">
        <f>+'P&amp;L'!BI21</f>
        <v>0.28617133534399536</v>
      </c>
      <c r="BJ157" s="1194"/>
      <c r="BK157" s="1191">
        <f>+'P&amp;L'!BK21</f>
        <v>0.20680203643527459</v>
      </c>
      <c r="BL157" s="1192">
        <f>+'P&amp;L'!BL21</f>
        <v>0.27108347802989646</v>
      </c>
      <c r="BM157" s="1192">
        <f>+'P&amp;L'!BM21</f>
        <v>0.28986073593559941</v>
      </c>
      <c r="BN157" s="1192">
        <f>+'P&amp;L'!BN21</f>
        <v>0.21693275094226611</v>
      </c>
      <c r="BO157" s="1193">
        <f>+'P&amp;L'!BO21</f>
        <v>0.246795874875188</v>
      </c>
      <c r="BP157" s="1194"/>
      <c r="BQ157" s="1191">
        <f>+'P&amp;L'!BQ21</f>
        <v>0.21</v>
      </c>
      <c r="BR157" s="1192">
        <f>+'P&amp;L'!BR21</f>
        <v>0.25</v>
      </c>
      <c r="BS157" s="1192">
        <f>+'P&amp;L'!BS21</f>
        <v>0.25</v>
      </c>
      <c r="BT157" s="1192">
        <f>+'P&amp;L'!BT21</f>
        <v>0.25</v>
      </c>
      <c r="BU157" s="1193">
        <f>+'P&amp;L'!BU21</f>
        <v>0.2412331118440644</v>
      </c>
      <c r="BV157" s="1194"/>
      <c r="BW157" s="1191">
        <f>+'P&amp;L'!BW21</f>
        <v>0.24</v>
      </c>
      <c r="BX157" s="1192">
        <f>+'P&amp;L'!BX21</f>
        <v>0.24</v>
      </c>
      <c r="BY157" s="1192">
        <f>+'P&amp;L'!BY21</f>
        <v>0.24</v>
      </c>
      <c r="BZ157" s="1192">
        <f>+'P&amp;L'!BZ21</f>
        <v>0.24</v>
      </c>
      <c r="CA157" s="1193">
        <f>+'P&amp;L'!CA21</f>
        <v>0.2399999999999998</v>
      </c>
      <c r="CB157" s="1194"/>
      <c r="CC157" s="1191">
        <f>+'P&amp;L'!CC21</f>
        <v>0.24</v>
      </c>
      <c r="CD157" s="1192">
        <f>+'P&amp;L'!CD21</f>
        <v>0.24</v>
      </c>
      <c r="CE157" s="1192">
        <f>+'P&amp;L'!CE21</f>
        <v>0.24</v>
      </c>
      <c r="CF157" s="1192">
        <f>+'P&amp;L'!CF21</f>
        <v>0.24</v>
      </c>
      <c r="CG157" s="1193">
        <f>+'P&amp;L'!CG21</f>
        <v>0.23999999999999996</v>
      </c>
      <c r="CO157"/>
      <c r="CP157"/>
      <c r="CQ157"/>
      <c r="CR157"/>
      <c r="CS157"/>
      <c r="CT157"/>
    </row>
    <row r="158" spans="2:98" s="7" customFormat="1" ht="11.25" customHeight="1" x14ac:dyDescent="0.2">
      <c r="B158" s="1179" t="s">
        <v>605</v>
      </c>
      <c r="C158" s="283">
        <f>C156*C157</f>
        <v>26.160191010922869</v>
      </c>
      <c r="D158" s="1195">
        <f>D156*D157</f>
        <v>31.117914606741575</v>
      </c>
      <c r="E158" s="1195">
        <f>E156*E157</f>
        <v>32.973095496006238</v>
      </c>
      <c r="F158" s="1195">
        <f>F156*F157</f>
        <v>41.603946356144995</v>
      </c>
      <c r="G158" s="1196">
        <f>G156*G157</f>
        <v>131.85205279963776</v>
      </c>
      <c r="H158" s="1194"/>
      <c r="I158" s="283">
        <f>I156*I157</f>
        <v>28.999078777816326</v>
      </c>
      <c r="J158" s="1195">
        <f>J156*J157</f>
        <v>38.890296330563835</v>
      </c>
      <c r="K158" s="1195">
        <f>K156*K157</f>
        <v>36.505192328938641</v>
      </c>
      <c r="L158" s="1195">
        <f>L156*L157</f>
        <v>40.909412843446376</v>
      </c>
      <c r="M158" s="1196">
        <f>M156*M157</f>
        <v>145.2851973850816</v>
      </c>
      <c r="N158" s="1194"/>
      <c r="O158" s="283">
        <f>O156*O157</f>
        <v>31.409438297872345</v>
      </c>
      <c r="P158" s="1195">
        <f>P156*P157</f>
        <v>40.100421747665223</v>
      </c>
      <c r="Q158" s="1195">
        <f>Q156*Q157</f>
        <v>36.334733239010333</v>
      </c>
      <c r="R158" s="1195">
        <f>R156*R157</f>
        <v>44.574041559331121</v>
      </c>
      <c r="S158" s="1196">
        <f>S156*S157</f>
        <v>152.40172641920532</v>
      </c>
      <c r="T158" s="1194"/>
      <c r="U158" s="283">
        <f>U156*U157</f>
        <v>38.171454195772476</v>
      </c>
      <c r="V158" s="1195">
        <f>V156*V157</f>
        <v>43.058354178745965</v>
      </c>
      <c r="W158" s="1195">
        <f>W156*W157</f>
        <v>43.614430377081845</v>
      </c>
      <c r="X158" s="1195">
        <f>X156*X157</f>
        <v>45.368059121279586</v>
      </c>
      <c r="Y158" s="1196">
        <f>Y156*Y157</f>
        <v>170.19695766060039</v>
      </c>
      <c r="Z158" s="1194"/>
      <c r="AA158" s="283">
        <f>AA156*AA157</f>
        <v>40.397422616231296</v>
      </c>
      <c r="AB158" s="1195">
        <f>AB156*AB157</f>
        <v>48.28256611561887</v>
      </c>
      <c r="AC158" s="1195">
        <f>AC156*AC157</f>
        <v>45.127571852537187</v>
      </c>
      <c r="AD158" s="1195">
        <f>AD156*AD157</f>
        <v>50.480759663382543</v>
      </c>
      <c r="AE158" s="1196">
        <f>AE156*AE157</f>
        <v>184.27708703388504</v>
      </c>
      <c r="AF158" s="1194"/>
      <c r="AG158" s="283">
        <f>AG156*AG157</f>
        <v>46.585990837825982</v>
      </c>
      <c r="AH158" s="1195">
        <f>AH156*AH157</f>
        <v>49.346509141417407</v>
      </c>
      <c r="AI158" s="1195">
        <f>AI156*AI157</f>
        <v>45.635296913053864</v>
      </c>
      <c r="AJ158" s="1195">
        <f>AJ156*AJ157</f>
        <v>55.541075018538109</v>
      </c>
      <c r="AK158" s="1196">
        <f>AK156*AK157</f>
        <v>197.10467966191999</v>
      </c>
      <c r="AL158" s="1194"/>
      <c r="AM158" s="283">
        <f>AM156*AM157</f>
        <v>50.588744719448833</v>
      </c>
      <c r="AN158" s="1195">
        <f>AN156*AN157</f>
        <v>55.283990134369766</v>
      </c>
      <c r="AO158" s="1195">
        <f>AO156*AO157</f>
        <v>48.223877855244631</v>
      </c>
      <c r="AP158" s="1195">
        <f>AP156*AP157</f>
        <v>55.691911226874176</v>
      </c>
      <c r="AQ158" s="1196">
        <f>AQ156*AQ157</f>
        <v>209.71806535756764</v>
      </c>
      <c r="AR158" s="1194"/>
      <c r="AS158" s="283">
        <f>AS156*AS157</f>
        <v>49.068565273979068</v>
      </c>
      <c r="AT158" s="1195">
        <f>AT156*AT157</f>
        <v>55.698365278195332</v>
      </c>
      <c r="AU158" s="1195">
        <f>AU156*AU157</f>
        <v>52.296942052747461</v>
      </c>
      <c r="AV158" s="1195">
        <f>AV156*AV157</f>
        <v>60.275710320259797</v>
      </c>
      <c r="AW158" s="1196">
        <f>AW156*AW157</f>
        <v>217.38214864544798</v>
      </c>
      <c r="AX158" s="1194"/>
      <c r="AY158" s="283">
        <f>AY156*AY157</f>
        <v>51.814910040412947</v>
      </c>
      <c r="AZ158" s="1195">
        <f>AZ156*AZ157</f>
        <v>56.693553982527995</v>
      </c>
      <c r="BA158" s="1195">
        <f>BA156*BA157</f>
        <v>55.826675125725338</v>
      </c>
      <c r="BB158" s="1195">
        <f>BB156*BB157</f>
        <v>63.503542496092841</v>
      </c>
      <c r="BC158" s="1196">
        <f>BC156*BC157</f>
        <v>227.84157659830962</v>
      </c>
      <c r="BD158" s="1194"/>
      <c r="BE158" s="283">
        <f>BE156*BE157</f>
        <v>54.741973409052946</v>
      </c>
      <c r="BF158" s="1195">
        <f>BF156*BF157</f>
        <v>55.030729810598594</v>
      </c>
      <c r="BG158" s="1195">
        <f>BG156*BG157</f>
        <v>59.250970770795597</v>
      </c>
      <c r="BH158" s="1195">
        <f>BH156*BH157</f>
        <v>64.854557631784232</v>
      </c>
      <c r="BI158" s="1196">
        <f>BI156*BI157</f>
        <v>233.93505064697922</v>
      </c>
      <c r="BJ158" s="1194"/>
      <c r="BK158" s="283">
        <f>BK156*BK157</f>
        <v>40.112977403277355</v>
      </c>
      <c r="BL158" s="1195">
        <f>BL156*BL157</f>
        <v>57.106987648734119</v>
      </c>
      <c r="BM158" s="1195">
        <f>BM156*BM157</f>
        <v>61.899180437575417</v>
      </c>
      <c r="BN158" s="1195">
        <f>BN156*BN157</f>
        <v>52.322227132516133</v>
      </c>
      <c r="BO158" s="1196">
        <f>BO156*BO157</f>
        <v>212.08872419561558</v>
      </c>
      <c r="BP158" s="1194"/>
      <c r="BQ158" s="283">
        <f>BQ156*BQ157</f>
        <v>43.496606346863246</v>
      </c>
      <c r="BR158" s="1195">
        <f>BR156*BR157</f>
        <v>58.468622968045736</v>
      </c>
      <c r="BS158" s="1195">
        <f>BS156*BS157</f>
        <v>58.914903605625852</v>
      </c>
      <c r="BT158" s="1195">
        <f>BT156*BT157</f>
        <v>65.139574093156796</v>
      </c>
      <c r="BU158" s="1196">
        <f>BU156*BU157</f>
        <v>226.08827986586067</v>
      </c>
      <c r="BV158" s="1194"/>
      <c r="BW158" s="283">
        <f>BW156*BW157</f>
        <v>50.904200084299426</v>
      </c>
      <c r="BX158" s="1195">
        <f>BX156*BX157</f>
        <v>55.581706791844105</v>
      </c>
      <c r="BY158" s="1195">
        <f>BY156*BY157</f>
        <v>55.961095228977271</v>
      </c>
      <c r="BZ158" s="1195">
        <f>BZ156*BZ157</f>
        <v>62.03975561132448</v>
      </c>
      <c r="CA158" s="1196">
        <f>CA156*CA157</f>
        <v>224.48675771644523</v>
      </c>
      <c r="CB158" s="1194"/>
      <c r="CC158" s="283">
        <f>CC156*CC157</f>
        <v>50.03656308536582</v>
      </c>
      <c r="CD158" s="1195">
        <f>CD156*CD157</f>
        <v>54.745036672550086</v>
      </c>
      <c r="CE158" s="1195">
        <f>CE156*CE157</f>
        <v>55.061759739577042</v>
      </c>
      <c r="CF158" s="1195">
        <f>CF156*CF157</f>
        <v>61.242880138217203</v>
      </c>
      <c r="CG158" s="1196">
        <f>CG156*CG157</f>
        <v>221.08623963571014</v>
      </c>
      <c r="CO158"/>
      <c r="CP158"/>
      <c r="CQ158"/>
      <c r="CR158"/>
      <c r="CS158"/>
      <c r="CT158"/>
    </row>
    <row r="159" spans="2:98" s="7" customFormat="1" ht="11.25" customHeight="1" x14ac:dyDescent="0.2">
      <c r="B159" s="1180" t="s">
        <v>606</v>
      </c>
      <c r="C159" s="284">
        <f>C156-C158</f>
        <v>47.560808989077074</v>
      </c>
      <c r="D159" s="1197">
        <f>D156-D158</f>
        <v>59.734085393258454</v>
      </c>
      <c r="E159" s="1197">
        <f>E156-E158</f>
        <v>63.726904503993921</v>
      </c>
      <c r="F159" s="1197">
        <f>F156-F158</f>
        <v>85.062053643855279</v>
      </c>
      <c r="G159" s="1198">
        <f>G156-G158</f>
        <v>256.08694720036277</v>
      </c>
      <c r="H159" s="1199"/>
      <c r="I159" s="284">
        <f>I156-I158</f>
        <v>56.275921222183769</v>
      </c>
      <c r="J159" s="1197">
        <f>J156-J158</f>
        <v>75.10170366943629</v>
      </c>
      <c r="K159" s="1197">
        <f>K156-K158</f>
        <v>78.908807671061396</v>
      </c>
      <c r="L159" s="1197">
        <f>L156-L158</f>
        <v>86.935587156551833</v>
      </c>
      <c r="M159" s="1198">
        <f>M156-M158</f>
        <v>297.24080261491758</v>
      </c>
      <c r="N159" s="1199"/>
      <c r="O159" s="284">
        <f>O156-O158</f>
        <v>63.22156170212746</v>
      </c>
      <c r="P159" s="1197">
        <f>P156-P158</f>
        <v>81.869578252334691</v>
      </c>
      <c r="Q159" s="1197">
        <f>Q156-Q158</f>
        <v>77.550266760989714</v>
      </c>
      <c r="R159" s="1197">
        <f>R156-R158</f>
        <v>92.04495844066993</v>
      </c>
      <c r="S159" s="1198">
        <f>S156-S158</f>
        <v>314.70327358079538</v>
      </c>
      <c r="T159" s="1199"/>
      <c r="U159" s="284">
        <f>U156-U158</f>
        <v>77.872545804227457</v>
      </c>
      <c r="V159" s="1197">
        <f>V156-V158</f>
        <v>94.947645821254071</v>
      </c>
      <c r="W159" s="1197">
        <f>W156-W158</f>
        <v>93.753569622918036</v>
      </c>
      <c r="X159" s="1197">
        <f>X156-X158</f>
        <v>96.629940878720689</v>
      </c>
      <c r="Y159" s="1198">
        <f>Y156-Y158</f>
        <v>363.21904233939978</v>
      </c>
      <c r="Z159" s="1199"/>
      <c r="AA159" s="284">
        <f>AA156-AA158</f>
        <v>83.902577383768602</v>
      </c>
      <c r="AB159" s="1197">
        <f>AB156-AB158</f>
        <v>102.93243388438106</v>
      </c>
      <c r="AC159" s="1197">
        <f>AC156-AC158</f>
        <v>98.133428147463121</v>
      </c>
      <c r="AD159" s="1197">
        <f>AD156-AD158</f>
        <v>112.8922403366175</v>
      </c>
      <c r="AE159" s="1198">
        <f>AE156-AE158</f>
        <v>397.8719129661153</v>
      </c>
      <c r="AF159" s="1199"/>
      <c r="AG159" s="284">
        <f>AG156-AG158</f>
        <v>98.541009162173737</v>
      </c>
      <c r="AH159" s="1197">
        <f>AH156-AH158</f>
        <v>108.71549085858277</v>
      </c>
      <c r="AI159" s="1197">
        <f>AI156-AI158</f>
        <v>103.98670308694621</v>
      </c>
      <c r="AJ159" s="1197">
        <f>AJ156-AJ158</f>
        <v>125.80092498146381</v>
      </c>
      <c r="AK159" s="1198">
        <f>AK156-AK158</f>
        <v>437.04832033808094</v>
      </c>
      <c r="AL159" s="1199"/>
      <c r="AM159" s="284">
        <f>AM156-AM158</f>
        <v>103.04025528055112</v>
      </c>
      <c r="AN159" s="1197">
        <f>AN156-AN158</f>
        <v>120.78100986563024</v>
      </c>
      <c r="AO159" s="1197">
        <f>AO156-AO158</f>
        <v>112.25312214475551</v>
      </c>
      <c r="AP159" s="1197">
        <f>AP156-AP158</f>
        <v>131.19108877312723</v>
      </c>
      <c r="AQ159" s="1198">
        <f>AQ156-AQ158</f>
        <v>467.33593464243336</v>
      </c>
      <c r="AR159" s="1199"/>
      <c r="AS159" s="284">
        <f>AS156-AS158</f>
        <v>108.19943472602108</v>
      </c>
      <c r="AT159" s="1197">
        <f>AT156-AT158</f>
        <v>125.14563472180461</v>
      </c>
      <c r="AU159" s="1197">
        <f>AU156-AU158</f>
        <v>121.79105794725228</v>
      </c>
      <c r="AV159" s="1197">
        <f>AV156-AV158</f>
        <v>142.66628967974043</v>
      </c>
      <c r="AW159" s="1198">
        <f>AW156-AW158</f>
        <v>497.75985135455187</v>
      </c>
      <c r="AX159" s="1199"/>
      <c r="AY159" s="284">
        <f>AY156-AY158</f>
        <v>116.41408995958722</v>
      </c>
      <c r="AZ159" s="1197">
        <f>AZ156-AZ158</f>
        <v>133.55844601747208</v>
      </c>
      <c r="BA159" s="1197">
        <f>BA156-BA158</f>
        <v>141.49332487427483</v>
      </c>
      <c r="BB159" s="1197">
        <f>BB156-BB158</f>
        <v>149.59845750390542</v>
      </c>
      <c r="BC159" s="1198">
        <f>BC156-BC158</f>
        <v>541.06142340168924</v>
      </c>
      <c r="BD159" s="1199"/>
      <c r="BE159" s="284">
        <f>BE156-BE158</f>
        <v>125.51002659094712</v>
      </c>
      <c r="BF159" s="1197">
        <f>BF156-BF158</f>
        <v>146.0292701894017</v>
      </c>
      <c r="BG159" s="1197">
        <f>BG156-BG158</f>
        <v>146.84002922920442</v>
      </c>
      <c r="BH159" s="1197">
        <f>BH156-BH158</f>
        <v>165.20744236821577</v>
      </c>
      <c r="BI159" s="1198">
        <f>BI156-BI158</f>
        <v>583.52994935302092</v>
      </c>
      <c r="BJ159" s="1199"/>
      <c r="BK159" s="284">
        <f>BK156-BK158</f>
        <v>153.85502259672273</v>
      </c>
      <c r="BL159" s="1197">
        <f>BL156-BL158</f>
        <v>153.55501235126616</v>
      </c>
      <c r="BM159" s="1197">
        <f>BM156-BM158</f>
        <v>151.64881956242471</v>
      </c>
      <c r="BN159" s="1197">
        <f>BN156-BN158</f>
        <v>188.86877286748401</v>
      </c>
      <c r="BO159" s="1198">
        <f>BO156-BO158</f>
        <v>647.28027580438504</v>
      </c>
      <c r="BP159" s="1199"/>
      <c r="BQ159" s="284">
        <f>BQ156-BQ158</f>
        <v>163.63009054296174</v>
      </c>
      <c r="BR159" s="1197">
        <f>BR156-BR158</f>
        <v>175.40586890413721</v>
      </c>
      <c r="BS159" s="1197">
        <f>BS156-BS158</f>
        <v>176.74471081687756</v>
      </c>
      <c r="BT159" s="1197">
        <f>BT156-BT158</f>
        <v>195.41872227947039</v>
      </c>
      <c r="BU159" s="1198">
        <f>BU156-BU158</f>
        <v>711.13081969127848</v>
      </c>
      <c r="BV159" s="1199"/>
      <c r="BW159" s="284">
        <f>BW156-BW158</f>
        <v>161.19663360028153</v>
      </c>
      <c r="BX159" s="1197">
        <f>BX156-BX158</f>
        <v>176.008738174173</v>
      </c>
      <c r="BY159" s="1197">
        <f>BY156-BY158</f>
        <v>177.21013489176136</v>
      </c>
      <c r="BZ159" s="1197">
        <f>BZ156-BZ158</f>
        <v>196.45922610252751</v>
      </c>
      <c r="CA159" s="1198">
        <f>CA156-CA158</f>
        <v>710.87473276874402</v>
      </c>
      <c r="CB159" s="1199"/>
      <c r="CC159" s="284">
        <f>CC156-CC158</f>
        <v>158.44911643699177</v>
      </c>
      <c r="CD159" s="1197">
        <f>CD156-CD158</f>
        <v>173.35928279640859</v>
      </c>
      <c r="CE159" s="1197">
        <f>CE156-CE158</f>
        <v>174.36223917532732</v>
      </c>
      <c r="CF159" s="1197">
        <f>CF156-CF158</f>
        <v>193.93578710435449</v>
      </c>
      <c r="CG159" s="1198">
        <f>CG156-CG158</f>
        <v>700.10642551308229</v>
      </c>
      <c r="CO159"/>
      <c r="CP159"/>
      <c r="CQ159"/>
      <c r="CR159"/>
      <c r="CS159"/>
      <c r="CT159"/>
    </row>
    <row r="160" spans="2:98" s="7" customFormat="1" ht="11.25" customHeight="1" x14ac:dyDescent="0.2">
      <c r="B160" s="1180" t="s">
        <v>607</v>
      </c>
      <c r="C160" s="285">
        <f>C159/C155</f>
        <v>3.6302413954267886E-2</v>
      </c>
      <c r="D160" s="1200">
        <f>D159/D155</f>
        <v>4.3066584903615784E-2</v>
      </c>
      <c r="E160" s="1200">
        <f>E159/E155</f>
        <v>4.2327286587512357E-2</v>
      </c>
      <c r="F160" s="1200">
        <f>F159/F155</f>
        <v>4.9986633125925717E-2</v>
      </c>
      <c r="G160" s="1201">
        <f>G159/G155</f>
        <v>4.3372104404629137E-2</v>
      </c>
      <c r="H160" s="1202"/>
      <c r="I160" s="285">
        <f>I159/I155</f>
        <v>3.6980399376639134E-2</v>
      </c>
      <c r="J160" s="1200">
        <f>J159/J155</f>
        <v>4.5769971599759082E-2</v>
      </c>
      <c r="K160" s="1200">
        <f>K159/K155</f>
        <v>4.7991957026790023E-2</v>
      </c>
      <c r="L160" s="1200">
        <f>L159/L155</f>
        <v>5.5247148632510845E-2</v>
      </c>
      <c r="M160" s="1201">
        <f>M159/M155</f>
        <v>4.6586451788452818E-2</v>
      </c>
      <c r="N160" s="1202"/>
      <c r="O160" s="285">
        <f>O159/O155</f>
        <v>4.2562321563206017E-2</v>
      </c>
      <c r="P160" s="1200">
        <f>P159/P155</f>
        <v>5.0931844326009459E-2</v>
      </c>
      <c r="Q160" s="1200">
        <f>Q159/Q155</f>
        <v>4.6732990582319209E-2</v>
      </c>
      <c r="R160" s="1200">
        <f>R159/R155</f>
        <v>5.1534593582637025E-2</v>
      </c>
      <c r="S160" s="1201">
        <f>S159/S155</f>
        <v>4.8132013035242512E-2</v>
      </c>
      <c r="T160" s="1202"/>
      <c r="U160" s="285">
        <f>U159/U155</f>
        <v>4.423797274583878E-2</v>
      </c>
      <c r="V160" s="1200">
        <f>V159/V155</f>
        <v>5.1339674749421062E-2</v>
      </c>
      <c r="W160" s="1200">
        <f>W159/W155</f>
        <v>4.9513084224447619E-2</v>
      </c>
      <c r="X160" s="1200">
        <f>X159/X155</f>
        <v>4.775225783305561E-2</v>
      </c>
      <c r="Y160" s="1201">
        <f>Y159/Y155</f>
        <v>4.8256832240490273E-2</v>
      </c>
      <c r="Z160" s="1202"/>
      <c r="AA160" s="285">
        <f>AA159/AA155</f>
        <v>4.3076423331080457E-2</v>
      </c>
      <c r="AB160" s="1200">
        <f>AB159/AB155</f>
        <v>4.8310570478532773E-2</v>
      </c>
      <c r="AC160" s="1200">
        <f>AC159/AC155</f>
        <v>4.6471446440113744E-2</v>
      </c>
      <c r="AD160" s="1200">
        <f>AD159/AD155</f>
        <v>4.8241495980859972E-2</v>
      </c>
      <c r="AE160" s="1201">
        <f>AE159/AE155</f>
        <v>4.6642511779397967E-2</v>
      </c>
      <c r="AF160" s="1202"/>
      <c r="AG160" s="285">
        <f>AG159/AG155</f>
        <v>4.6946220668880913E-2</v>
      </c>
      <c r="AH160" s="1200">
        <f>AH159/AH155</f>
        <v>4.9383539072658751E-2</v>
      </c>
      <c r="AI160" s="1200">
        <f>AI159/AI155</f>
        <v>4.6608695554730628E-2</v>
      </c>
      <c r="AJ160" s="1200">
        <f>AJ159/AJ155</f>
        <v>5.2233408118234209E-2</v>
      </c>
      <c r="AK160" s="1201">
        <f>AK159/AK155</f>
        <v>4.8887017182287239E-2</v>
      </c>
      <c r="AL160" s="1202"/>
      <c r="AM160" s="285">
        <f>AM159/AM155</f>
        <v>4.4926863346437459E-2</v>
      </c>
      <c r="AN160" s="1200">
        <f>AN159/AN155</f>
        <v>5.049774432987162E-2</v>
      </c>
      <c r="AO160" s="1200">
        <f>AO159/AO155</f>
        <v>4.7788516321615009E-2</v>
      </c>
      <c r="AP160" s="1200">
        <f>AP159/AP155</f>
        <v>5.1928691669520771E-2</v>
      </c>
      <c r="AQ160" s="1201">
        <f>AQ159/AQ155</f>
        <v>4.8881203818364312E-2</v>
      </c>
      <c r="AR160" s="1202"/>
      <c r="AS160" s="285">
        <f>AS159/AS155</f>
        <v>4.4523603075363002E-2</v>
      </c>
      <c r="AT160" s="1200">
        <f>AT159/AT155</f>
        <v>4.784941027198248E-2</v>
      </c>
      <c r="AU160" s="1200">
        <f>AU159/AU155</f>
        <v>4.6419069174923284E-2</v>
      </c>
      <c r="AV160" s="1200">
        <f>AV159/AV155</f>
        <v>5.2798379361703084E-2</v>
      </c>
      <c r="AW160" s="1201">
        <f>AW159/AW155</f>
        <v>4.7993552585965035E-2</v>
      </c>
      <c r="AX160" s="1202"/>
      <c r="AY160" s="285">
        <f>AY159/AY155</f>
        <v>4.7252766817792495E-2</v>
      </c>
      <c r="AZ160" s="1200">
        <f>AZ159/AZ155</f>
        <v>5.0795812612185687E-2</v>
      </c>
      <c r="BA160" s="1200">
        <f>BA159/BA155</f>
        <v>5.2681316936548532E-2</v>
      </c>
      <c r="BB160" s="1200">
        <f>BB159/BB155</f>
        <v>5.2473784761226203E-2</v>
      </c>
      <c r="BC160" s="1201">
        <f>BC159/BC155</f>
        <v>5.090082093437176E-2</v>
      </c>
      <c r="BD160" s="1202"/>
      <c r="BE160" s="285">
        <f>BE159/BE155</f>
        <v>4.6263200210746917E-2</v>
      </c>
      <c r="BF160" s="1200">
        <f>BF159/BF155</f>
        <v>5.0834695101492952E-2</v>
      </c>
      <c r="BG160" s="1200">
        <f>BG159/BG155</f>
        <v>5.1250416812396574E-2</v>
      </c>
      <c r="BH160" s="1200">
        <f>BH159/BH155</f>
        <v>5.2935256678999218E-2</v>
      </c>
      <c r="BI160" s="1201">
        <f>BI159/BI155</f>
        <v>5.0427470728767958E-2</v>
      </c>
      <c r="BJ160" s="1202"/>
      <c r="BK160" s="285">
        <f>BK159/BK155</f>
        <v>5.2636934559466247E-2</v>
      </c>
      <c r="BL160" s="1200">
        <f>BL159/BL155</f>
        <v>5.0190266495328963E-2</v>
      </c>
      <c r="BM160" s="1200">
        <f>BM159/BM155</f>
        <v>4.7973691156614588E-2</v>
      </c>
      <c r="BN160" s="1200">
        <f>BN159/BN155</f>
        <v>5.6921548855890833E-2</v>
      </c>
      <c r="BO160" s="1201">
        <f>BO159/BO155</f>
        <v>5.1942225437442625E-2</v>
      </c>
      <c r="BP160" s="1202"/>
      <c r="BQ160" s="285">
        <f>BQ159/BQ155</f>
        <v>5.3262204842913156E-2</v>
      </c>
      <c r="BR160" s="1200">
        <f>BR159/BR155</f>
        <v>5.3643889080742281E-2</v>
      </c>
      <c r="BS160" s="1200">
        <f>BS159/BS155</f>
        <v>5.2914074353351374E-2</v>
      </c>
      <c r="BT160" s="1200">
        <f>BT159/BT155</f>
        <v>5.6423847452650014E-2</v>
      </c>
      <c r="BU160" s="1201">
        <f>BU159/BU155</f>
        <v>5.4096451975011561E-2</v>
      </c>
      <c r="BV160" s="1202"/>
      <c r="BW160" s="285">
        <f>BW159/BW155</f>
        <v>4.9914561042582774E-2</v>
      </c>
      <c r="BX160" s="1200">
        <f>BX159/BX155</f>
        <v>5.1599690738005612E-2</v>
      </c>
      <c r="BY160" s="1200">
        <f>BY159/BY155</f>
        <v>5.0852144131481369E-2</v>
      </c>
      <c r="BZ160" s="1200">
        <f>BZ159/BZ155</f>
        <v>5.4410776863382124E-2</v>
      </c>
      <c r="CA160" s="1201">
        <f>CA159/CA155</f>
        <v>5.175277742369376E-2</v>
      </c>
      <c r="CB160" s="1202"/>
      <c r="CC160" s="285">
        <f>CC159/CC155</f>
        <v>4.7197099496813701E-2</v>
      </c>
      <c r="CD160" s="1200">
        <f>CD159/CD155</f>
        <v>4.8875425331901243E-2</v>
      </c>
      <c r="CE160" s="1200">
        <f>CE159/CE155</f>
        <v>4.8119706995971179E-2</v>
      </c>
      <c r="CF160" s="1200">
        <f>CF159/CF155</f>
        <v>5.1676709869863821E-2</v>
      </c>
      <c r="CG160" s="1201">
        <f>CG159/CG155</f>
        <v>4.9025283568657131E-2</v>
      </c>
      <c r="CO160"/>
      <c r="CP160"/>
      <c r="CQ160"/>
      <c r="CR160"/>
      <c r="CS160"/>
      <c r="CT160"/>
    </row>
    <row r="161" spans="2:98" s="7" customFormat="1" ht="11.25" customHeight="1" x14ac:dyDescent="0.2">
      <c r="B161" s="1180"/>
      <c r="C161" s="285"/>
      <c r="D161" s="1200"/>
      <c r="E161" s="1200"/>
      <c r="F161" s="1200"/>
      <c r="G161" s="1201"/>
      <c r="H161" s="1202"/>
      <c r="I161" s="285"/>
      <c r="J161" s="1200"/>
      <c r="K161" s="1200"/>
      <c r="L161" s="1200"/>
      <c r="M161" s="1201"/>
      <c r="N161" s="1202"/>
      <c r="O161" s="285"/>
      <c r="P161" s="1200"/>
      <c r="Q161" s="1200"/>
      <c r="R161" s="1200"/>
      <c r="S161" s="1201"/>
      <c r="T161" s="1202"/>
      <c r="U161" s="285"/>
      <c r="V161" s="1200"/>
      <c r="W161" s="1200"/>
      <c r="X161" s="1200"/>
      <c r="Y161" s="1201"/>
      <c r="Z161" s="1202"/>
      <c r="AA161" s="285"/>
      <c r="AB161" s="1200"/>
      <c r="AC161" s="1200"/>
      <c r="AD161" s="1200"/>
      <c r="AE161" s="1201"/>
      <c r="AF161" s="1202"/>
      <c r="AG161" s="285"/>
      <c r="AH161" s="1200"/>
      <c r="AI161" s="1200"/>
      <c r="AJ161" s="1200"/>
      <c r="AK161" s="1201"/>
      <c r="AL161" s="1202"/>
      <c r="AM161" s="285"/>
      <c r="AN161" s="1200"/>
      <c r="AO161" s="1200"/>
      <c r="AP161" s="1200"/>
      <c r="AQ161" s="1201"/>
      <c r="AR161" s="1202"/>
      <c r="AS161" s="285"/>
      <c r="AT161" s="1200"/>
      <c r="AU161" s="1200"/>
      <c r="AV161" s="1200"/>
      <c r="AW161" s="1201"/>
      <c r="AX161" s="1202"/>
      <c r="AY161" s="285"/>
      <c r="AZ161" s="1200"/>
      <c r="BA161" s="1200"/>
      <c r="BB161" s="1200"/>
      <c r="BC161" s="1201"/>
      <c r="BD161" s="1202"/>
      <c r="BE161" s="285"/>
      <c r="BF161" s="1200"/>
      <c r="BG161" s="1200"/>
      <c r="BH161" s="1200"/>
      <c r="BI161" s="1201"/>
      <c r="BJ161" s="1202"/>
      <c r="BK161" s="285"/>
      <c r="BL161" s="1200"/>
      <c r="BM161" s="1200"/>
      <c r="BN161" s="1200"/>
      <c r="BO161" s="1201"/>
      <c r="BP161" s="1202"/>
      <c r="BQ161" s="285"/>
      <c r="BR161" s="1200"/>
      <c r="BS161" s="1200"/>
      <c r="BT161" s="1200"/>
      <c r="BU161" s="1201"/>
      <c r="BV161" s="1202"/>
      <c r="BW161" s="285"/>
      <c r="BX161" s="1200"/>
      <c r="BY161" s="1200"/>
      <c r="BZ161" s="1200"/>
      <c r="CA161" s="1201"/>
      <c r="CB161" s="1202"/>
      <c r="CC161" s="285"/>
      <c r="CD161" s="1200"/>
      <c r="CE161" s="1200"/>
      <c r="CF161" s="1200"/>
      <c r="CG161" s="1201"/>
      <c r="CO161"/>
      <c r="CP161"/>
      <c r="CQ161"/>
      <c r="CR161"/>
      <c r="CS161"/>
      <c r="CT161"/>
    </row>
    <row r="162" spans="2:98" s="7" customFormat="1" ht="11.25" customHeight="1" x14ac:dyDescent="0.2">
      <c r="B162" s="1180" t="s">
        <v>608</v>
      </c>
      <c r="C162" s="1203"/>
      <c r="D162" s="1204"/>
      <c r="E162" s="1204"/>
      <c r="F162" s="1204"/>
      <c r="G162" s="1205"/>
      <c r="H162" s="1206"/>
      <c r="I162" s="1203"/>
      <c r="J162" s="1204"/>
      <c r="K162" s="1204"/>
      <c r="L162" s="1204"/>
      <c r="M162" s="1205"/>
      <c r="N162" s="1206"/>
      <c r="O162" s="1203"/>
      <c r="P162" s="1204"/>
      <c r="Q162" s="1204"/>
      <c r="R162" s="1204"/>
      <c r="S162" s="1205"/>
      <c r="T162" s="1206"/>
      <c r="U162" s="1203"/>
      <c r="V162" s="1204"/>
      <c r="W162" s="1204"/>
      <c r="X162" s="1204"/>
      <c r="Y162" s="1205"/>
      <c r="Z162" s="1206"/>
      <c r="AA162" s="1203"/>
      <c r="AB162" s="1204"/>
      <c r="AC162" s="1204"/>
      <c r="AD162" s="1204"/>
      <c r="AE162" s="1205"/>
      <c r="AF162" s="1206"/>
      <c r="AG162" s="1203"/>
      <c r="AH162" s="1204"/>
      <c r="AI162" s="1204"/>
      <c r="AJ162" s="1204"/>
      <c r="AK162" s="1205"/>
      <c r="AL162" s="1206"/>
      <c r="AM162" s="1203"/>
      <c r="AN162" s="1204"/>
      <c r="AO162" s="1204"/>
      <c r="AP162" s="1204"/>
      <c r="AQ162" s="1205"/>
      <c r="AR162" s="1206"/>
      <c r="AS162" s="1203"/>
      <c r="AT162" s="1204"/>
      <c r="AU162" s="1204"/>
      <c r="AV162" s="1204"/>
      <c r="AW162" s="1205"/>
      <c r="AX162" s="1206"/>
      <c r="AY162" s="1207"/>
      <c r="AZ162" s="1208"/>
      <c r="BA162" s="1208"/>
      <c r="BB162" s="1208"/>
      <c r="BC162" s="1205"/>
      <c r="BD162" s="1206"/>
      <c r="BE162" s="1203"/>
      <c r="BF162" s="1204"/>
      <c r="BG162" s="1204"/>
      <c r="BH162" s="1204"/>
      <c r="BI162" s="1205"/>
      <c r="BJ162" s="1206"/>
      <c r="BK162" s="1203"/>
      <c r="BL162" s="1204"/>
      <c r="BM162" s="1204"/>
      <c r="BN162" s="1204"/>
      <c r="BO162" s="1205"/>
      <c r="BP162" s="1206"/>
      <c r="BQ162" s="1203"/>
      <c r="BR162" s="1204"/>
      <c r="BS162" s="1204"/>
      <c r="BT162" s="1204"/>
      <c r="BU162" s="1205"/>
      <c r="BV162" s="1206"/>
      <c r="BW162" s="1203"/>
      <c r="BX162" s="1204"/>
      <c r="BY162" s="1204"/>
      <c r="BZ162" s="1204"/>
      <c r="CA162" s="1205"/>
      <c r="CB162" s="1206"/>
      <c r="CC162" s="1203"/>
      <c r="CD162" s="1204"/>
      <c r="CE162" s="1204"/>
      <c r="CF162" s="1204"/>
      <c r="CG162" s="1205"/>
      <c r="CO162"/>
      <c r="CP162"/>
      <c r="CQ162"/>
      <c r="CR162"/>
      <c r="CS162"/>
      <c r="CT162"/>
    </row>
    <row r="163" spans="2:98" s="7" customFormat="1" ht="11.25" customHeight="1" x14ac:dyDescent="0.2">
      <c r="B163" s="1179" t="s">
        <v>46</v>
      </c>
      <c r="C163" s="1209">
        <f>+C29+C24+C25</f>
        <v>497.17199999999997</v>
      </c>
      <c r="D163" s="1210">
        <f>+D29+D24+D25</f>
        <v>480.45699999999999</v>
      </c>
      <c r="E163" s="1210">
        <f>+E29+E24+E25</f>
        <v>464.185</v>
      </c>
      <c r="F163" s="1210">
        <f>+F29+F24+F25</f>
        <v>456.57</v>
      </c>
      <c r="G163" s="1211">
        <f>+G29+G24+G25</f>
        <v>456.57</v>
      </c>
      <c r="H163" s="1206"/>
      <c r="I163" s="1209">
        <f>+I29+I24+I25</f>
        <v>458.58500000000004</v>
      </c>
      <c r="J163" s="1210">
        <f>+J29+J24+J25</f>
        <v>454.30100000000004</v>
      </c>
      <c r="K163" s="1210">
        <f>+K29+K24+K25</f>
        <v>429.01800000000003</v>
      </c>
      <c r="L163" s="1210">
        <f>+L29+L24+L25</f>
        <v>417.98900000000003</v>
      </c>
      <c r="M163" s="1211">
        <f>+M29+M24+M25</f>
        <v>417.98900000000003</v>
      </c>
      <c r="N163" s="1206"/>
      <c r="O163" s="1209">
        <f>+O29+O24+O25</f>
        <v>413.28800000000001</v>
      </c>
      <c r="P163" s="1210">
        <f>+P29+P24+P25</f>
        <v>417.49400000000003</v>
      </c>
      <c r="Q163" s="1210">
        <f>+Q29+Q24+Q25</f>
        <v>268.17500000000001</v>
      </c>
      <c r="R163" s="1210">
        <f>+R29+R24+R25</f>
        <v>267.86499999999995</v>
      </c>
      <c r="S163" s="1211">
        <f>+S29+S24+S25</f>
        <v>267.86499999999995</v>
      </c>
      <c r="T163" s="1206"/>
      <c r="U163" s="1209">
        <f>+U29+U24+U25</f>
        <v>548.52099999999996</v>
      </c>
      <c r="V163" s="1210">
        <f>+V29+V24+V25</f>
        <v>548.89100000000008</v>
      </c>
      <c r="W163" s="1210">
        <f>+W29+W24+W25</f>
        <v>609.7589999999999</v>
      </c>
      <c r="X163" s="1210">
        <f>+X29+X24+X25</f>
        <v>441.30400000000003</v>
      </c>
      <c r="Y163" s="1211">
        <f>+Y29+Y24+Y25</f>
        <v>441.30400000000003</v>
      </c>
      <c r="Z163" s="1206"/>
      <c r="AA163" s="1209">
        <f>+AA29+AA24+AA25</f>
        <v>513.01300000000003</v>
      </c>
      <c r="AB163" s="1210">
        <f>+AB29+AB24+AB25</f>
        <v>443.34599999999995</v>
      </c>
      <c r="AC163" s="1210">
        <f>+AC29+AC24+AC25</f>
        <v>431.95499999999998</v>
      </c>
      <c r="AD163" s="1210">
        <f>+AD29+AD24+AD25</f>
        <v>441.35700000000003</v>
      </c>
      <c r="AE163" s="1211">
        <f>+AE29+AE24+AE25</f>
        <v>441.35700000000003</v>
      </c>
      <c r="AF163" s="1206"/>
      <c r="AG163" s="1209">
        <f>+AG29+AG24+AG25</f>
        <v>481.09000000000003</v>
      </c>
      <c r="AH163" s="1210">
        <f>+AH29+AH24+AH25</f>
        <v>535</v>
      </c>
      <c r="AI163" s="1210">
        <f>+AI29+AI24+AI25</f>
        <v>609.38400000000001</v>
      </c>
      <c r="AJ163" s="1210">
        <f>+AJ29+AJ24+AJ25</f>
        <v>533.279</v>
      </c>
      <c r="AK163" s="1211">
        <f>+AK29+AK24+AK25</f>
        <v>533.279</v>
      </c>
      <c r="AL163" s="1206"/>
      <c r="AM163" s="1209">
        <f>+AM29+AM24+AM25</f>
        <v>652.58000000000004</v>
      </c>
      <c r="AN163" s="1210">
        <f>+AN29+AN24+AN25</f>
        <v>468.19100000000003</v>
      </c>
      <c r="AO163" s="1210">
        <f>+AO29+AO24+AO25</f>
        <v>407.79700000000003</v>
      </c>
      <c r="AP163" s="1210">
        <f>+AP29+AP24+AP25</f>
        <v>485.18199999999996</v>
      </c>
      <c r="AQ163" s="1211">
        <f>+AQ29+AQ24+AQ25</f>
        <v>485.18199999999996</v>
      </c>
      <c r="AR163" s="1206"/>
      <c r="AS163" s="1209">
        <f>+AS29+AS24+AS25</f>
        <v>791.71300000000008</v>
      </c>
      <c r="AT163" s="1210">
        <f>+AT29+AT24+AT25</f>
        <v>755.88200000000006</v>
      </c>
      <c r="AU163" s="1210">
        <f>+AU29+AU24+AU25</f>
        <v>825.40300000000013</v>
      </c>
      <c r="AV163" s="1210">
        <f>+AV29+AV24+AV25</f>
        <v>731.49</v>
      </c>
      <c r="AW163" s="1211">
        <f>+AW29+AW24+AW25</f>
        <v>731.49</v>
      </c>
      <c r="AX163" s="1206"/>
      <c r="AY163" s="1209">
        <f>+AY29+AY24+AY25</f>
        <v>831.37099999999998</v>
      </c>
      <c r="AZ163" s="1210">
        <f>+AZ29+AZ24+AZ25</f>
        <v>735.66700000000003</v>
      </c>
      <c r="BA163" s="1210">
        <f>+BA29+BA24+BA25</f>
        <v>798.44799999999998</v>
      </c>
      <c r="BB163" s="1210">
        <f>+BB29+BB24+BB25</f>
        <v>809.71400000000006</v>
      </c>
      <c r="BC163" s="1211">
        <f>+BC29+BC24+BC25</f>
        <v>809.71400000000006</v>
      </c>
      <c r="BD163" s="1206"/>
      <c r="BE163" s="1209">
        <f>+BE29+BE24+BE25</f>
        <v>1107.6460000000002</v>
      </c>
      <c r="BF163" s="1210">
        <f>+BF29+BF24+BF25</f>
        <v>955.05</v>
      </c>
      <c r="BG163" s="1210">
        <f>+BG29+BG24+BG25</f>
        <v>1068.607</v>
      </c>
      <c r="BH163" s="1210">
        <f>+BH29+BH24+BH25</f>
        <v>1218.856</v>
      </c>
      <c r="BI163" s="1211">
        <f>+BI29+BI24+BI25</f>
        <v>1218.856</v>
      </c>
      <c r="BJ163" s="1206"/>
      <c r="BK163" s="1209">
        <f>+BK29+BK24+BK25</f>
        <v>1398.7500000000002</v>
      </c>
      <c r="BL163" s="1210">
        <f>+BL29+BL24+BL25</f>
        <v>1402.3429999999998</v>
      </c>
      <c r="BM163" s="1210">
        <f>+BM29+BM24+BM25</f>
        <v>1556.704</v>
      </c>
      <c r="BN163" s="1210">
        <f>+BN29+BN24+BN25</f>
        <v>1666.0680000000002</v>
      </c>
      <c r="BO163" s="1211">
        <f>+BO29+BO24+BO25</f>
        <v>1666.0680000000002</v>
      </c>
      <c r="BP163" s="1206"/>
      <c r="BQ163" s="1209">
        <f>+BQ29+BQ24+BQ25</f>
        <v>1666.0680000000002</v>
      </c>
      <c r="BR163" s="1210">
        <f>+BR29+BR24+BR25</f>
        <v>1666.0680000000002</v>
      </c>
      <c r="BS163" s="1210">
        <f>+BS29+BS24+BS25</f>
        <v>1666.0680000000002</v>
      </c>
      <c r="BT163" s="1210">
        <f>+BT29+BT24+BT25</f>
        <v>1666.0680000000002</v>
      </c>
      <c r="BU163" s="1211">
        <f>+BU29+BU24+BU25</f>
        <v>1666.0680000000002</v>
      </c>
      <c r="BV163" s="1206"/>
      <c r="BW163" s="1209">
        <f>+BW29+BW24+BW25</f>
        <v>1666.0680000000002</v>
      </c>
      <c r="BX163" s="1210">
        <f>+BX29+BX24+BX25</f>
        <v>1666.0680000000002</v>
      </c>
      <c r="BY163" s="1210">
        <f>+BY29+BY24+BY25</f>
        <v>1666.0680000000002</v>
      </c>
      <c r="BZ163" s="1210">
        <f>+BZ29+BZ24+BZ25</f>
        <v>1666.0680000000002</v>
      </c>
      <c r="CA163" s="1211">
        <f>+CA29+CA24+CA25</f>
        <v>1666.0680000000002</v>
      </c>
      <c r="CB163" s="1206"/>
      <c r="CC163" s="1209">
        <f>+CC29+CC24+CC25</f>
        <v>1666.0680000000002</v>
      </c>
      <c r="CD163" s="1210">
        <f>+CD29+CD24+CD25</f>
        <v>1666.0680000000002</v>
      </c>
      <c r="CE163" s="1210">
        <f>+CE29+CE24+CE25</f>
        <v>1566.0680000000002</v>
      </c>
      <c r="CF163" s="1210">
        <f>+CF29+CF24+CF25</f>
        <v>1566.0680000000002</v>
      </c>
      <c r="CG163" s="1211">
        <f>+CG29+CG24+CG25</f>
        <v>1566.0680000000002</v>
      </c>
      <c r="CO163"/>
      <c r="CP163"/>
      <c r="CQ163"/>
      <c r="CR163"/>
      <c r="CS163"/>
      <c r="CT163"/>
    </row>
    <row r="164" spans="2:98" s="7" customFormat="1" ht="11.25" customHeight="1" x14ac:dyDescent="0.2">
      <c r="B164" s="1179" t="s">
        <v>609</v>
      </c>
      <c r="C164" s="1209">
        <f>+C30-C12</f>
        <v>37.558999999999997</v>
      </c>
      <c r="D164" s="1210">
        <f>+D30-D12</f>
        <v>28.619</v>
      </c>
      <c r="E164" s="1210">
        <f>+E30-E12</f>
        <v>40.173999999999992</v>
      </c>
      <c r="F164" s="1210">
        <f>+F30-F12</f>
        <v>47.433000000000007</v>
      </c>
      <c r="G164" s="1211">
        <f>+G30-G12</f>
        <v>47.433000000000007</v>
      </c>
      <c r="H164" s="1206"/>
      <c r="I164" s="1209">
        <f>+I30-I12</f>
        <v>54.521999999999991</v>
      </c>
      <c r="J164" s="1210">
        <f>+J30-J12</f>
        <v>56.495999999999995</v>
      </c>
      <c r="K164" s="1210">
        <f>+K30-K12</f>
        <v>54.010999999999996</v>
      </c>
      <c r="L164" s="1210">
        <f>+L30-L12</f>
        <v>58.425000000000004</v>
      </c>
      <c r="M164" s="1211">
        <f>+M30-M12</f>
        <v>58.425000000000004</v>
      </c>
      <c r="N164" s="1206"/>
      <c r="O164" s="1209">
        <f>+O30-O12</f>
        <v>48.749000000000002</v>
      </c>
      <c r="P164" s="1210">
        <f>+P30-P12</f>
        <v>57.875</v>
      </c>
      <c r="Q164" s="1210">
        <f>+Q30-Q12</f>
        <v>67.206000000000003</v>
      </c>
      <c r="R164" s="1210">
        <f>+R30-R12</f>
        <v>52.975000000000001</v>
      </c>
      <c r="S164" s="1211">
        <f>+S30-S12</f>
        <v>52.975000000000001</v>
      </c>
      <c r="T164" s="1206"/>
      <c r="U164" s="1209">
        <f>+U30-U12</f>
        <v>128.82400000000001</v>
      </c>
      <c r="V164" s="1210">
        <f>+V30-V12</f>
        <v>144.66800000000001</v>
      </c>
      <c r="W164" s="1210">
        <f>+W30-W12</f>
        <v>149.70499999999998</v>
      </c>
      <c r="X164" s="1210">
        <f>+X30-X12</f>
        <v>141.274</v>
      </c>
      <c r="Y164" s="1211">
        <f>+Y30-Y12</f>
        <v>141.274</v>
      </c>
      <c r="Z164" s="1206"/>
      <c r="AA164" s="1209">
        <f>+AA30-AA12</f>
        <v>144.995</v>
      </c>
      <c r="AB164" s="1210">
        <f>+AB30-AB12</f>
        <v>143.36000000000001</v>
      </c>
      <c r="AC164" s="1210">
        <f>+AC30-AC12</f>
        <v>136.61799999999999</v>
      </c>
      <c r="AD164" s="1210">
        <f>+AD30-AD12</f>
        <v>133.76900000000001</v>
      </c>
      <c r="AE164" s="1211">
        <f>+AE30-AE12</f>
        <v>133.76900000000001</v>
      </c>
      <c r="AF164" s="1206"/>
      <c r="AG164" s="1209">
        <f>+AG30-AG12</f>
        <v>132.291</v>
      </c>
      <c r="AH164" s="1210">
        <f>+AH30-AH12</f>
        <v>124.55400000000002</v>
      </c>
      <c r="AI164" s="1210">
        <f>+AI30-AI12</f>
        <v>121.548</v>
      </c>
      <c r="AJ164" s="1210">
        <f>+AJ30-AJ12</f>
        <v>132.76499999999999</v>
      </c>
      <c r="AK164" s="1211">
        <f>+AK30-AK12</f>
        <v>132.76499999999999</v>
      </c>
      <c r="AL164" s="1206"/>
      <c r="AM164" s="1209">
        <f>+AM30-AM12</f>
        <v>134.697</v>
      </c>
      <c r="AN164" s="1210">
        <f>+AN30-AN12</f>
        <v>137.624</v>
      </c>
      <c r="AO164" s="1210">
        <f>+AO30-AO12</f>
        <v>138.49700000000001</v>
      </c>
      <c r="AP164" s="1210">
        <f>+AP30-AP12</f>
        <v>134.809</v>
      </c>
      <c r="AQ164" s="1211">
        <f>+AQ30-AQ12</f>
        <v>134.809</v>
      </c>
      <c r="AR164" s="1206"/>
      <c r="AS164" s="1209">
        <f>+AS30-AS12</f>
        <v>209.76300000000001</v>
      </c>
      <c r="AT164" s="1210">
        <f>+AT30-AT12</f>
        <v>212.02500000000003</v>
      </c>
      <c r="AU164" s="1210">
        <f>+AU30-AU12</f>
        <v>195.21200000000005</v>
      </c>
      <c r="AV164" s="1210">
        <f>+AV30-AV12</f>
        <v>196.52699999999999</v>
      </c>
      <c r="AW164" s="1211">
        <f>+AW30-AW12</f>
        <v>196.52699999999999</v>
      </c>
      <c r="AX164" s="1206"/>
      <c r="AY164" s="1209">
        <f>+AY30-AY12</f>
        <v>195.82599999999999</v>
      </c>
      <c r="AZ164" s="1210">
        <f>+AZ30-AZ12</f>
        <v>195.434</v>
      </c>
      <c r="BA164" s="1210">
        <f>+BA30-BA12</f>
        <v>193.91</v>
      </c>
      <c r="BB164" s="1210">
        <f>+BB30-BB12</f>
        <v>194.703</v>
      </c>
      <c r="BC164" s="1211">
        <f>+BC30-BC12</f>
        <v>194.703</v>
      </c>
      <c r="BD164" s="1206"/>
      <c r="BE164" s="1209">
        <f>+BE30-BE12</f>
        <v>197.77200000000002</v>
      </c>
      <c r="BF164" s="1210">
        <f>+BF30-BF12</f>
        <v>190.666</v>
      </c>
      <c r="BG164" s="1210">
        <f>+BG30-BG12</f>
        <v>143.61199999999999</v>
      </c>
      <c r="BH164" s="1210">
        <f>+BH30-BH12</f>
        <v>51.588999999999999</v>
      </c>
      <c r="BI164" s="1211">
        <f>+BI30-BI12</f>
        <v>51.588999999999999</v>
      </c>
      <c r="BJ164" s="1206"/>
      <c r="BK164" s="1209">
        <f>+BK30-BK12</f>
        <v>79.106999999999999</v>
      </c>
      <c r="BL164" s="1210">
        <f>+BL30-BL12</f>
        <v>89.756</v>
      </c>
      <c r="BM164" s="1210">
        <f>+BM30-BM12</f>
        <v>91.786000000000001</v>
      </c>
      <c r="BN164" s="1210">
        <f>+BN30-BN12</f>
        <v>50.430999999999997</v>
      </c>
      <c r="BO164" s="1211">
        <f>+BO30-BO12</f>
        <v>50.430999999999997</v>
      </c>
      <c r="BP164" s="1206"/>
      <c r="BQ164" s="1209">
        <f>+BQ30-BQ12</f>
        <v>50.430999999999997</v>
      </c>
      <c r="BR164" s="1210">
        <f>+BR30-BR12</f>
        <v>50.430999999999997</v>
      </c>
      <c r="BS164" s="1210">
        <f>+BS30-BS12</f>
        <v>50.430999999999997</v>
      </c>
      <c r="BT164" s="1210">
        <f>+BT30-BT12</f>
        <v>50.430999999999997</v>
      </c>
      <c r="BU164" s="1211">
        <f>+BU30-BU12</f>
        <v>50.430999999999997</v>
      </c>
      <c r="BV164" s="1206"/>
      <c r="BW164" s="1209">
        <f>+BW30-BW12</f>
        <v>50.430999999999997</v>
      </c>
      <c r="BX164" s="1210">
        <f>+BX30-BX12</f>
        <v>50.430999999999997</v>
      </c>
      <c r="BY164" s="1210">
        <f>+BY30-BY12</f>
        <v>50.430999999999997</v>
      </c>
      <c r="BZ164" s="1210">
        <f>+BZ30-BZ12</f>
        <v>50.430999999999997</v>
      </c>
      <c r="CA164" s="1211">
        <f>+CA30-CA12</f>
        <v>50.430999999999997</v>
      </c>
      <c r="CB164" s="1206"/>
      <c r="CC164" s="1209">
        <f>+CC30-CC12</f>
        <v>50.430999999999997</v>
      </c>
      <c r="CD164" s="1210">
        <f>+CD30-CD12</f>
        <v>50.430999999999997</v>
      </c>
      <c r="CE164" s="1210">
        <f>+CE30-CE12</f>
        <v>50.430999999999997</v>
      </c>
      <c r="CF164" s="1210">
        <f>+CF30-CF12</f>
        <v>50.430999999999997</v>
      </c>
      <c r="CG164" s="1211">
        <f>+CG30-CG12</f>
        <v>50.430999999999997</v>
      </c>
      <c r="CO164"/>
      <c r="CP164"/>
      <c r="CQ164"/>
      <c r="CR164"/>
      <c r="CS164"/>
      <c r="CT164"/>
    </row>
    <row r="165" spans="2:98" s="7" customFormat="1" ht="11.25" customHeight="1" x14ac:dyDescent="0.2">
      <c r="B165" s="1179" t="s">
        <v>610</v>
      </c>
      <c r="C165" s="1209">
        <f>+C31</f>
        <v>61.290999999999997</v>
      </c>
      <c r="D165" s="1210">
        <f>+D31</f>
        <v>62.962000000000003</v>
      </c>
      <c r="E165" s="1210">
        <f>+E31</f>
        <v>62.206000000000003</v>
      </c>
      <c r="F165" s="1210">
        <f>+F31</f>
        <v>53.905999999999999</v>
      </c>
      <c r="G165" s="1211">
        <f>+G31</f>
        <v>53.905999999999999</v>
      </c>
      <c r="H165" s="1206"/>
      <c r="I165" s="1209">
        <f>+I31</f>
        <v>52.709000000000003</v>
      </c>
      <c r="J165" s="1210">
        <f>+J31</f>
        <v>54.643999999999998</v>
      </c>
      <c r="K165" s="1210">
        <f>+K31</f>
        <v>52.302999999999997</v>
      </c>
      <c r="L165" s="1210">
        <f>+L31</f>
        <v>58.109000000000002</v>
      </c>
      <c r="M165" s="1211">
        <f>+M31</f>
        <v>58.109000000000002</v>
      </c>
      <c r="N165" s="1206"/>
      <c r="O165" s="1209">
        <f>+O31</f>
        <v>56.131</v>
      </c>
      <c r="P165" s="1210">
        <f>+P31</f>
        <v>58.481999999999999</v>
      </c>
      <c r="Q165" s="1210">
        <f>+Q31</f>
        <v>72.037999999999997</v>
      </c>
      <c r="R165" s="1210">
        <f>+R31</f>
        <v>75.304000000000002</v>
      </c>
      <c r="S165" s="1211">
        <f>+S31</f>
        <v>75.304000000000002</v>
      </c>
      <c r="T165" s="1206"/>
      <c r="U165" s="1209">
        <f>+U31</f>
        <v>74.504000000000005</v>
      </c>
      <c r="V165" s="1210">
        <f>+V31</f>
        <v>72.347999999999999</v>
      </c>
      <c r="W165" s="1210">
        <f>+W31</f>
        <v>75.581999999999994</v>
      </c>
      <c r="X165" s="1210">
        <f>+X31</f>
        <v>76.753</v>
      </c>
      <c r="Y165" s="1211">
        <f>+Y31</f>
        <v>76.753</v>
      </c>
      <c r="Z165" s="1206"/>
      <c r="AA165" s="1209">
        <f>+AA31</f>
        <v>82.710999999999999</v>
      </c>
      <c r="AB165" s="1210">
        <f>+AB31</f>
        <v>77.367999999999995</v>
      </c>
      <c r="AC165" s="1210">
        <f>+AC31</f>
        <v>76.731999999999999</v>
      </c>
      <c r="AD165" s="1210">
        <f>+AD31</f>
        <v>80.567999999999998</v>
      </c>
      <c r="AE165" s="1211">
        <f>+AE31</f>
        <v>80.567999999999998</v>
      </c>
      <c r="AF165" s="1206"/>
      <c r="AG165" s="1209">
        <f>+AG31</f>
        <v>84.081000000000003</v>
      </c>
      <c r="AH165" s="1210">
        <f>+AH31</f>
        <v>82.98</v>
      </c>
      <c r="AI165" s="1210">
        <f>+AI31</f>
        <v>96.402000000000001</v>
      </c>
      <c r="AJ165" s="1210">
        <f>+AJ31</f>
        <v>125.31399999999999</v>
      </c>
      <c r="AK165" s="1211">
        <f>+AK31</f>
        <v>125.31399999999999</v>
      </c>
      <c r="AL165" s="1206"/>
      <c r="AM165" s="1209">
        <f>+AM31</f>
        <v>119.71299999999999</v>
      </c>
      <c r="AN165" s="1210">
        <f>+AN31</f>
        <v>119.291</v>
      </c>
      <c r="AO165" s="1210">
        <f>+AO31</f>
        <v>128.93700000000001</v>
      </c>
      <c r="AP165" s="1210">
        <f>+AP31</f>
        <v>139.52600000000001</v>
      </c>
      <c r="AQ165" s="1211">
        <f>+AQ31</f>
        <v>139.52600000000001</v>
      </c>
      <c r="AR165" s="1206"/>
      <c r="AS165" s="1209">
        <f>+AS31</f>
        <v>136.25299999999999</v>
      </c>
      <c r="AT165" s="1210">
        <f>+AT31</f>
        <v>152.029</v>
      </c>
      <c r="AU165" s="1210">
        <f>+AU31</f>
        <v>158.73599999999999</v>
      </c>
      <c r="AV165" s="1210">
        <f>+AV31</f>
        <v>181.83</v>
      </c>
      <c r="AW165" s="1211">
        <f>+AW31</f>
        <v>181.83</v>
      </c>
      <c r="AX165" s="1206"/>
      <c r="AY165" s="1209">
        <f>+AY31</f>
        <v>181.24600000000001</v>
      </c>
      <c r="AZ165" s="1210">
        <f>+AZ31</f>
        <v>193.70400000000001</v>
      </c>
      <c r="BA165" s="1210">
        <f>+BA31</f>
        <v>202.38499999999999</v>
      </c>
      <c r="BB165" s="1210">
        <f>+BB31</f>
        <v>212.12100000000001</v>
      </c>
      <c r="BC165" s="1211">
        <f>+BC31</f>
        <v>212.12100000000001</v>
      </c>
      <c r="BD165" s="1206"/>
      <c r="BE165" s="1209">
        <f>+BE31</f>
        <v>242.67500000000001</v>
      </c>
      <c r="BF165" s="1210">
        <f>+BF31</f>
        <v>250.018</v>
      </c>
      <c r="BG165" s="1210">
        <f>+BG31</f>
        <v>257.755</v>
      </c>
      <c r="BH165" s="1210">
        <f>+BH31</f>
        <v>264.26400000000001</v>
      </c>
      <c r="BI165" s="1211">
        <f>+BI31</f>
        <v>264.26400000000001</v>
      </c>
      <c r="BJ165" s="1206"/>
      <c r="BK165" s="1209">
        <f>+BK31</f>
        <v>256.875</v>
      </c>
      <c r="BL165" s="1210">
        <f>+BL31</f>
        <v>288.47800000000001</v>
      </c>
      <c r="BM165" s="1210">
        <f>+BM31</f>
        <v>292.17899999999997</v>
      </c>
      <c r="BN165" s="1210">
        <f>+BN31</f>
        <v>420.28500000000003</v>
      </c>
      <c r="BO165" s="1211">
        <f>+BO31</f>
        <v>420.28500000000003</v>
      </c>
      <c r="BP165" s="1206"/>
      <c r="BQ165" s="1209">
        <f>+BQ31</f>
        <v>420.28500000000003</v>
      </c>
      <c r="BR165" s="1210">
        <f>+BR31</f>
        <v>420.28500000000003</v>
      </c>
      <c r="BS165" s="1210">
        <f>+BS31</f>
        <v>420.28500000000003</v>
      </c>
      <c r="BT165" s="1210">
        <f>+BT31</f>
        <v>420.28500000000003</v>
      </c>
      <c r="BU165" s="1211">
        <f>+BU31</f>
        <v>420.28500000000003</v>
      </c>
      <c r="BV165" s="1206"/>
      <c r="BW165" s="1209">
        <f>+BW31</f>
        <v>420.28500000000003</v>
      </c>
      <c r="BX165" s="1210">
        <f>+BX31</f>
        <v>420.28500000000003</v>
      </c>
      <c r="BY165" s="1210">
        <f>+BY31</f>
        <v>420.28500000000003</v>
      </c>
      <c r="BZ165" s="1210">
        <f>+BZ31</f>
        <v>420.28500000000003</v>
      </c>
      <c r="CA165" s="1211">
        <f>+CA31</f>
        <v>420.28500000000003</v>
      </c>
      <c r="CB165" s="1206"/>
      <c r="CC165" s="1209">
        <f>+CC31</f>
        <v>420.28500000000003</v>
      </c>
      <c r="CD165" s="1210">
        <f>+CD31</f>
        <v>420.28500000000003</v>
      </c>
      <c r="CE165" s="1210">
        <f>+CE31</f>
        <v>420.28500000000003</v>
      </c>
      <c r="CF165" s="1210">
        <f>+CF31</f>
        <v>420.28500000000003</v>
      </c>
      <c r="CG165" s="1211">
        <f>+CG31</f>
        <v>420.28500000000003</v>
      </c>
      <c r="CO165"/>
      <c r="CP165"/>
      <c r="CQ165"/>
      <c r="CR165"/>
      <c r="CS165"/>
      <c r="CT165"/>
    </row>
    <row r="166" spans="2:98" s="7" customFormat="1" ht="11.25" customHeight="1" x14ac:dyDescent="0.2">
      <c r="B166" s="1181" t="s">
        <v>611</v>
      </c>
      <c r="C166" s="1209"/>
      <c r="D166" s="1210"/>
      <c r="E166" s="1210"/>
      <c r="F166" s="1210"/>
      <c r="G166" s="1211"/>
      <c r="H166" s="1206"/>
      <c r="I166" s="1209"/>
      <c r="J166" s="1210"/>
      <c r="K166" s="1210"/>
      <c r="L166" s="1210"/>
      <c r="M166" s="1211"/>
      <c r="N166" s="1206"/>
      <c r="O166" s="1209"/>
      <c r="P166" s="1210"/>
      <c r="Q166" s="1210"/>
      <c r="R166" s="1210"/>
      <c r="S166" s="1211"/>
      <c r="T166" s="1206"/>
      <c r="U166" s="1209"/>
      <c r="V166" s="1210"/>
      <c r="W166" s="1210"/>
      <c r="X166" s="1210"/>
      <c r="Y166" s="1211"/>
      <c r="Z166" s="1206"/>
      <c r="AA166" s="1209"/>
      <c r="AB166" s="1210"/>
      <c r="AC166" s="1210"/>
      <c r="AD166" s="1210"/>
      <c r="AE166" s="1211"/>
      <c r="AF166" s="1206"/>
      <c r="AG166" s="1209"/>
      <c r="AH166" s="1210"/>
      <c r="AI166" s="1210"/>
      <c r="AJ166" s="1210"/>
      <c r="AK166" s="1211"/>
      <c r="AL166" s="1206"/>
      <c r="AM166" s="1209"/>
      <c r="AN166" s="1210"/>
      <c r="AO166" s="1210"/>
      <c r="AP166" s="1210"/>
      <c r="AQ166" s="1211"/>
      <c r="AR166" s="1206"/>
      <c r="AS166" s="1209"/>
      <c r="AT166" s="1210"/>
      <c r="AU166" s="1210"/>
      <c r="AV166" s="1210"/>
      <c r="AW166" s="1211"/>
      <c r="AX166" s="1206"/>
      <c r="AY166" s="1209"/>
      <c r="AZ166" s="1210"/>
      <c r="BA166" s="1210"/>
      <c r="BB166" s="1210"/>
      <c r="BC166" s="1211"/>
      <c r="BD166" s="1206"/>
      <c r="BE166" s="1209"/>
      <c r="BF166" s="1210"/>
      <c r="BG166" s="1210"/>
      <c r="BH166" s="1210"/>
      <c r="BI166" s="1211"/>
      <c r="BJ166" s="1206"/>
      <c r="BK166" s="1209"/>
      <c r="BL166" s="1210"/>
      <c r="BM166" s="1210"/>
      <c r="BN166" s="1210"/>
      <c r="BO166" s="1211"/>
      <c r="BP166" s="1206"/>
      <c r="BQ166" s="1209"/>
      <c r="BR166" s="1210"/>
      <c r="BS166" s="1210"/>
      <c r="BT166" s="1210"/>
      <c r="BU166" s="1211"/>
      <c r="BV166" s="1206"/>
      <c r="BW166" s="1209"/>
      <c r="BX166" s="1210"/>
      <c r="BY166" s="1210"/>
      <c r="BZ166" s="1210"/>
      <c r="CA166" s="1211"/>
      <c r="CB166" s="1206"/>
      <c r="CC166" s="1209"/>
      <c r="CD166" s="1210"/>
      <c r="CE166" s="1210"/>
      <c r="CF166" s="1210"/>
      <c r="CG166" s="1211"/>
      <c r="CO166"/>
      <c r="CP166"/>
      <c r="CQ166"/>
      <c r="CR166"/>
      <c r="CS166"/>
      <c r="CT166"/>
    </row>
    <row r="167" spans="2:98" s="7" customFormat="1" ht="11.25" customHeight="1" x14ac:dyDescent="0.2">
      <c r="B167" s="1180" t="s">
        <v>612</v>
      </c>
      <c r="C167" s="1209"/>
      <c r="D167" s="1210"/>
      <c r="E167" s="1210"/>
      <c r="F167" s="1210"/>
      <c r="G167" s="1211"/>
      <c r="H167" s="1206"/>
      <c r="I167" s="1209"/>
      <c r="J167" s="1210"/>
      <c r="K167" s="1210"/>
      <c r="L167" s="1210"/>
      <c r="M167" s="1211"/>
      <c r="N167" s="1206"/>
      <c r="O167" s="1209"/>
      <c r="P167" s="1210"/>
      <c r="Q167" s="1210"/>
      <c r="R167" s="1210"/>
      <c r="S167" s="1211"/>
      <c r="T167" s="1206"/>
      <c r="U167" s="1209"/>
      <c r="V167" s="1210"/>
      <c r="W167" s="1210"/>
      <c r="X167" s="1210"/>
      <c r="Y167" s="1211"/>
      <c r="Z167" s="1206"/>
      <c r="AA167" s="1209"/>
      <c r="AB167" s="1210"/>
      <c r="AC167" s="1210"/>
      <c r="AD167" s="1210"/>
      <c r="AE167" s="1211"/>
      <c r="AF167" s="1206"/>
      <c r="AG167" s="1209"/>
      <c r="AH167" s="1210"/>
      <c r="AI167" s="1210"/>
      <c r="AJ167" s="1210"/>
      <c r="AK167" s="1211"/>
      <c r="AL167" s="1206"/>
      <c r="AM167" s="1209"/>
      <c r="AN167" s="1210"/>
      <c r="AO167" s="1210"/>
      <c r="AP167" s="1210"/>
      <c r="AQ167" s="1211"/>
      <c r="AR167" s="1206"/>
      <c r="AS167" s="1209"/>
      <c r="AT167" s="1210"/>
      <c r="AU167" s="1210"/>
      <c r="AV167" s="1210"/>
      <c r="AW167" s="1211"/>
      <c r="AX167" s="1206"/>
      <c r="AY167" s="1209"/>
      <c r="AZ167" s="1210"/>
      <c r="BA167" s="1210"/>
      <c r="BB167" s="1210"/>
      <c r="BC167" s="1211"/>
      <c r="BD167" s="1206"/>
      <c r="BE167" s="1209"/>
      <c r="BF167" s="1210"/>
      <c r="BG167" s="1210"/>
      <c r="BH167" s="1210"/>
      <c r="BI167" s="1211"/>
      <c r="BJ167" s="1206"/>
      <c r="BK167" s="1209"/>
      <c r="BL167" s="1210"/>
      <c r="BM167" s="1210"/>
      <c r="BN167" s="1210"/>
      <c r="BO167" s="1211"/>
      <c r="BP167" s="1206"/>
      <c r="BQ167" s="1209"/>
      <c r="BR167" s="1210"/>
      <c r="BS167" s="1210"/>
      <c r="BT167" s="1210"/>
      <c r="BU167" s="1211"/>
      <c r="BV167" s="1206"/>
      <c r="BW167" s="1209"/>
      <c r="BX167" s="1210"/>
      <c r="BY167" s="1210"/>
      <c r="BZ167" s="1210"/>
      <c r="CA167" s="1211"/>
      <c r="CB167" s="1206"/>
      <c r="CC167" s="1209"/>
      <c r="CD167" s="1210"/>
      <c r="CE167" s="1210"/>
      <c r="CF167" s="1210"/>
      <c r="CG167" s="1211"/>
      <c r="CO167"/>
      <c r="CP167"/>
      <c r="CQ167"/>
      <c r="CR167"/>
      <c r="CS167"/>
      <c r="CT167"/>
    </row>
    <row r="168" spans="2:98" s="7" customFormat="1" ht="11.25" customHeight="1" x14ac:dyDescent="0.2">
      <c r="B168" s="1179" t="s">
        <v>613</v>
      </c>
      <c r="C168" s="1209">
        <f>+C34+C43</f>
        <v>21.925999999999998</v>
      </c>
      <c r="D168" s="1210">
        <f>+D34+D43</f>
        <v>24.687000000000001</v>
      </c>
      <c r="E168" s="1210">
        <f>+E34+E43</f>
        <v>29.646000000000001</v>
      </c>
      <c r="F168" s="1210">
        <f>+F34+F43</f>
        <v>35.923000000000002</v>
      </c>
      <c r="G168" s="1211">
        <f>+G34+G43</f>
        <v>35.923000000000002</v>
      </c>
      <c r="H168" s="1206"/>
      <c r="I168" s="1209">
        <f>+I34+I43</f>
        <v>40.052</v>
      </c>
      <c r="J168" s="1210">
        <f>+J34+J43</f>
        <v>46.816000000000003</v>
      </c>
      <c r="K168" s="1210">
        <f>+K34+K43</f>
        <v>50.71</v>
      </c>
      <c r="L168" s="1210">
        <f>+L34+L43</f>
        <v>233.297</v>
      </c>
      <c r="M168" s="1211">
        <f>+M34+M43</f>
        <v>233.297</v>
      </c>
      <c r="N168" s="1206"/>
      <c r="O168" s="1209">
        <f>+O34+O43</f>
        <v>70.494</v>
      </c>
      <c r="P168" s="1210">
        <f>+P34+P43</f>
        <v>75.180999999999997</v>
      </c>
      <c r="Q168" s="1210">
        <f>+Q34+Q43</f>
        <v>239.22900000000001</v>
      </c>
      <c r="R168" s="1210">
        <f>+R34+R43</f>
        <v>178.59899999999999</v>
      </c>
      <c r="S168" s="1211">
        <f>+S34+S43</f>
        <v>178.59899999999999</v>
      </c>
      <c r="T168" s="1206"/>
      <c r="U168" s="1209">
        <f>+U34+U43</f>
        <v>286.69900000000001</v>
      </c>
      <c r="V168" s="1210">
        <f>+V34+V43</f>
        <v>341.28300000000002</v>
      </c>
      <c r="W168" s="1210">
        <f>+W34+W43</f>
        <v>300.52199999999999</v>
      </c>
      <c r="X168" s="1210">
        <f>+X34+X43</f>
        <v>305.47199999999998</v>
      </c>
      <c r="Y168" s="1211">
        <f>+Y34+Y43</f>
        <v>305.47199999999998</v>
      </c>
      <c r="Z168" s="1206"/>
      <c r="AA168" s="1209">
        <f>+AA34+AA43</f>
        <v>427.43</v>
      </c>
      <c r="AB168" s="1210">
        <f>+AB34+AB43</f>
        <v>425.62799999999999</v>
      </c>
      <c r="AC168" s="1210">
        <f>+AC34+AC43</f>
        <v>418.46800000000002</v>
      </c>
      <c r="AD168" s="1210">
        <f>+AD34+AD43</f>
        <v>403.45100000000002</v>
      </c>
      <c r="AE168" s="1211">
        <f>+AE34+AE43</f>
        <v>403.45100000000002</v>
      </c>
      <c r="AF168" s="1206"/>
      <c r="AG168" s="1209">
        <f>+AG34+AG43</f>
        <v>370.46499999999997</v>
      </c>
      <c r="AH168" s="1210">
        <f>+AH34+AH43</f>
        <v>360.51</v>
      </c>
      <c r="AI168" s="1210">
        <f>+AI34+AI43</f>
        <v>377.06799999999998</v>
      </c>
      <c r="AJ168" s="1210">
        <f>+AJ34+AJ43</f>
        <v>437.45400000000001</v>
      </c>
      <c r="AK168" s="1211">
        <f>+AK34+AK43</f>
        <v>437.45400000000001</v>
      </c>
      <c r="AL168" s="1206"/>
      <c r="AM168" s="1209">
        <f>+AM34+AM43</f>
        <v>464.80799999999999</v>
      </c>
      <c r="AN168" s="1210">
        <f>+AN34+AN43</f>
        <v>468.08300000000003</v>
      </c>
      <c r="AO168" s="1210">
        <f>+AO34+AO43</f>
        <v>477.14400000000001</v>
      </c>
      <c r="AP168" s="1210">
        <f>+AP34+AP43</f>
        <v>500.34299999999996</v>
      </c>
      <c r="AQ168" s="1211">
        <f>+AQ34+AQ43</f>
        <v>500.34299999999996</v>
      </c>
      <c r="AR168" s="1206"/>
      <c r="AS168" s="1209">
        <f>+AS34+AS43</f>
        <v>485.447</v>
      </c>
      <c r="AT168" s="1210">
        <f>+AT34+AT43</f>
        <v>500.71600000000001</v>
      </c>
      <c r="AU168" s="1210">
        <f>+AU34+AU43</f>
        <v>552.21699999999998</v>
      </c>
      <c r="AV168" s="1210">
        <f>+AV34+AV43</f>
        <v>567.37800000000004</v>
      </c>
      <c r="AW168" s="1211">
        <f>+AW34+AW43</f>
        <v>567.37800000000004</v>
      </c>
      <c r="AX168" s="1206"/>
      <c r="AY168" s="1209">
        <f>+AY34+AY43</f>
        <v>575.67599999999993</v>
      </c>
      <c r="AZ168" s="1210">
        <f>+AZ34+AZ43</f>
        <v>570.29500000000007</v>
      </c>
      <c r="BA168" s="1210">
        <f>+BA34+BA43</f>
        <v>587.18500000000006</v>
      </c>
      <c r="BB168" s="1210">
        <f>+BB34+BB43</f>
        <v>544.75199999999995</v>
      </c>
      <c r="BC168" s="1211">
        <f>+BC34+BC43</f>
        <v>544.75199999999995</v>
      </c>
      <c r="BD168" s="1206"/>
      <c r="BE168" s="1209">
        <f>+BE34+BE43</f>
        <v>532.5329999999999</v>
      </c>
      <c r="BF168" s="1210">
        <f>+BF34+BF43</f>
        <v>576.58299999999997</v>
      </c>
      <c r="BG168" s="1210">
        <f>+BG34+BG43</f>
        <v>579.23</v>
      </c>
      <c r="BH168" s="1210">
        <f>+BH34+BH43</f>
        <v>615.37400000000002</v>
      </c>
      <c r="BI168" s="1211">
        <f>+BI34+BI43</f>
        <v>615.37400000000002</v>
      </c>
      <c r="BJ168" s="1206"/>
      <c r="BK168" s="1209">
        <f>+BK34+BK43</f>
        <v>727.55899999999997</v>
      </c>
      <c r="BL168" s="1210">
        <f>+BL34+BL43</f>
        <v>755.39700000000005</v>
      </c>
      <c r="BM168" s="1210">
        <f>+BM34+BM43</f>
        <v>746.31799999999998</v>
      </c>
      <c r="BN168" s="1210">
        <f>+BN34+BN43</f>
        <v>845.04899999999998</v>
      </c>
      <c r="BO168" s="1211">
        <f>+BO34+BO43</f>
        <v>845.04899999999998</v>
      </c>
      <c r="BP168" s="1206"/>
      <c r="BQ168" s="1209">
        <f>+BQ34+BQ43</f>
        <v>860.84410475564027</v>
      </c>
      <c r="BR168" s="1210">
        <f>+BR34+BR43</f>
        <v>879.09673525501103</v>
      </c>
      <c r="BS168" s="1210">
        <f>+BS34+BS43</f>
        <v>897.48269299023389</v>
      </c>
      <c r="BT168" s="1210">
        <f>+BT34+BT43</f>
        <v>917.90758540672311</v>
      </c>
      <c r="BU168" s="1211">
        <f>+BU34+BU43</f>
        <v>917.90758540672311</v>
      </c>
      <c r="BV168" s="1206"/>
      <c r="BW168" s="1209">
        <f>+BW34+BW43</f>
        <v>934.64707467031712</v>
      </c>
      <c r="BX168" s="1210">
        <f>+BX34+BX43</f>
        <v>953.0007942538233</v>
      </c>
      <c r="BY168" s="1210">
        <f>+BY34+BY43</f>
        <v>971.46843028369858</v>
      </c>
      <c r="BZ168" s="1210">
        <f>+BZ34+BZ43</f>
        <v>992.03381752142434</v>
      </c>
      <c r="CA168" s="1211">
        <f>+CA34+CA43</f>
        <v>992.03381752142434</v>
      </c>
      <c r="CB168" s="1206"/>
      <c r="CC168" s="1209">
        <f>+CC34+CC43</f>
        <v>1009.266008781944</v>
      </c>
      <c r="CD168" s="1210">
        <f>+CD34+CD43</f>
        <v>1028.2295398374313</v>
      </c>
      <c r="CE168" s="1210">
        <f>+CE34+CE43</f>
        <v>1047.1919985396221</v>
      </c>
      <c r="CF168" s="1210">
        <f>+CF34+CF43</f>
        <v>1068.2075777640023</v>
      </c>
      <c r="CG168" s="1211">
        <f>+CG34+CG43</f>
        <v>1068.2075777640023</v>
      </c>
      <c r="CO168"/>
      <c r="CP168"/>
      <c r="CQ168"/>
      <c r="CR168"/>
      <c r="CS168"/>
      <c r="CT168"/>
    </row>
    <row r="169" spans="2:98" s="7" customFormat="1" ht="11.25" customHeight="1" x14ac:dyDescent="0.2">
      <c r="B169" s="1179" t="s">
        <v>614</v>
      </c>
      <c r="C169" s="1209">
        <v>0</v>
      </c>
      <c r="D169" s="1210">
        <v>0</v>
      </c>
      <c r="E169" s="1210">
        <v>0</v>
      </c>
      <c r="F169" s="1210">
        <v>0</v>
      </c>
      <c r="G169" s="1211">
        <v>0</v>
      </c>
      <c r="H169" s="1206"/>
      <c r="I169" s="1209">
        <v>0</v>
      </c>
      <c r="J169" s="1210">
        <v>0</v>
      </c>
      <c r="K169" s="1210">
        <v>0</v>
      </c>
      <c r="L169" s="1210">
        <v>0</v>
      </c>
      <c r="M169" s="1211">
        <v>0</v>
      </c>
      <c r="N169" s="1206"/>
      <c r="O169" s="1209">
        <v>0</v>
      </c>
      <c r="P169" s="1210">
        <v>0</v>
      </c>
      <c r="Q169" s="1210">
        <v>0</v>
      </c>
      <c r="R169" s="1210">
        <v>0</v>
      </c>
      <c r="S169" s="1211">
        <v>0</v>
      </c>
      <c r="T169" s="1206"/>
      <c r="U169" s="1209">
        <v>0</v>
      </c>
      <c r="V169" s="1210">
        <v>0</v>
      </c>
      <c r="W169" s="1210">
        <v>0</v>
      </c>
      <c r="X169" s="1210">
        <v>0</v>
      </c>
      <c r="Y169" s="1211">
        <v>0</v>
      </c>
      <c r="Z169" s="1206"/>
      <c r="AA169" s="1209">
        <v>0</v>
      </c>
      <c r="AB169" s="1210">
        <v>0</v>
      </c>
      <c r="AC169" s="1210">
        <v>0</v>
      </c>
      <c r="AD169" s="1210">
        <v>0</v>
      </c>
      <c r="AE169" s="1211">
        <v>0</v>
      </c>
      <c r="AF169" s="1206"/>
      <c r="AG169" s="1209">
        <v>0</v>
      </c>
      <c r="AH169" s="1210">
        <v>0</v>
      </c>
      <c r="AI169" s="1210">
        <v>0</v>
      </c>
      <c r="AJ169" s="1210">
        <v>0</v>
      </c>
      <c r="AK169" s="1211">
        <v>0</v>
      </c>
      <c r="AL169" s="1206"/>
      <c r="AM169" s="1209">
        <v>0</v>
      </c>
      <c r="AN169" s="1210">
        <v>0</v>
      </c>
      <c r="AO169" s="1210">
        <v>0</v>
      </c>
      <c r="AP169" s="1210">
        <v>0</v>
      </c>
      <c r="AQ169" s="1211">
        <v>0</v>
      </c>
      <c r="AR169" s="1206"/>
      <c r="AS169" s="1209">
        <v>0</v>
      </c>
      <c r="AT169" s="1210">
        <v>0</v>
      </c>
      <c r="AU169" s="1210">
        <v>0</v>
      </c>
      <c r="AV169" s="1210">
        <v>0</v>
      </c>
      <c r="AW169" s="1211">
        <v>0</v>
      </c>
      <c r="AX169" s="1206"/>
      <c r="AY169" s="1209">
        <v>0</v>
      </c>
      <c r="AZ169" s="1210">
        <v>0</v>
      </c>
      <c r="BA169" s="1210">
        <v>0</v>
      </c>
      <c r="BB169" s="1210">
        <v>0</v>
      </c>
      <c r="BC169" s="1211">
        <v>0</v>
      </c>
      <c r="BD169" s="1206"/>
      <c r="BE169" s="1209">
        <v>0</v>
      </c>
      <c r="BF169" s="1210">
        <v>0</v>
      </c>
      <c r="BG169" s="1210">
        <v>0</v>
      </c>
      <c r="BH169" s="1210">
        <v>0</v>
      </c>
      <c r="BI169" s="1211">
        <v>0</v>
      </c>
      <c r="BJ169" s="1206"/>
      <c r="BK169" s="1209">
        <v>0</v>
      </c>
      <c r="BL169" s="1210">
        <v>0</v>
      </c>
      <c r="BM169" s="1210">
        <v>0</v>
      </c>
      <c r="BN169" s="1210">
        <v>0</v>
      </c>
      <c r="BO169" s="1211">
        <v>0</v>
      </c>
      <c r="BP169" s="1206"/>
      <c r="BQ169" s="1209">
        <v>0</v>
      </c>
      <c r="BR169" s="1210">
        <v>0</v>
      </c>
      <c r="BS169" s="1210">
        <v>0</v>
      </c>
      <c r="BT169" s="1210">
        <v>0</v>
      </c>
      <c r="BU169" s="1211">
        <v>0</v>
      </c>
      <c r="BV169" s="1206"/>
      <c r="BW169" s="1209">
        <v>0</v>
      </c>
      <c r="BX169" s="1210">
        <v>0</v>
      </c>
      <c r="BY169" s="1210">
        <v>0</v>
      </c>
      <c r="BZ169" s="1210">
        <v>0</v>
      </c>
      <c r="CA169" s="1211">
        <v>0</v>
      </c>
      <c r="CB169" s="1206"/>
      <c r="CC169" s="1209">
        <v>0</v>
      </c>
      <c r="CD169" s="1210">
        <v>0</v>
      </c>
      <c r="CE169" s="1210">
        <v>0</v>
      </c>
      <c r="CF169" s="1210">
        <v>0</v>
      </c>
      <c r="CG169" s="1211">
        <v>0</v>
      </c>
      <c r="CO169"/>
      <c r="CP169"/>
      <c r="CQ169"/>
      <c r="CR169"/>
      <c r="CS169"/>
      <c r="CT169"/>
    </row>
    <row r="170" spans="2:98" s="7" customFormat="1" ht="11.25" customHeight="1" x14ac:dyDescent="0.2">
      <c r="B170" s="1179" t="s">
        <v>375</v>
      </c>
      <c r="C170" s="1209">
        <f>+C41</f>
        <v>1509.134</v>
      </c>
      <c r="D170" s="1210">
        <f>+D41</f>
        <v>1567.2809999999999</v>
      </c>
      <c r="E170" s="1210">
        <f>+E41</f>
        <v>1673.5550000000001</v>
      </c>
      <c r="F170" s="1210">
        <f>+F41</f>
        <v>1779.982</v>
      </c>
      <c r="G170" s="1211">
        <f>+G41</f>
        <v>1779.982</v>
      </c>
      <c r="H170" s="1206"/>
      <c r="I170" s="1209">
        <f>+I41</f>
        <v>1885.797</v>
      </c>
      <c r="J170" s="1210">
        <f>+J41</f>
        <v>1929.068</v>
      </c>
      <c r="K170" s="1210">
        <f>+K41</f>
        <v>1947.5219999999999</v>
      </c>
      <c r="L170" s="1210">
        <f>+L41</f>
        <v>1772.0920000000001</v>
      </c>
      <c r="M170" s="1211">
        <f>+M41</f>
        <v>1772.0920000000001</v>
      </c>
      <c r="N170" s="1206"/>
      <c r="O170" s="1209">
        <f>+O41</f>
        <v>1951.5660000000003</v>
      </c>
      <c r="P170" s="1210">
        <f>+P41</f>
        <v>2096.444</v>
      </c>
      <c r="Q170" s="1210">
        <f>+Q41</f>
        <v>2012.4740000000002</v>
      </c>
      <c r="R170" s="1210">
        <f>+R41</f>
        <v>2161.4789999999998</v>
      </c>
      <c r="S170" s="1211">
        <f>+S41</f>
        <v>2161.4789999999998</v>
      </c>
      <c r="T170" s="1206"/>
      <c r="U170" s="1209">
        <f>+U41</f>
        <v>2191.4059999999999</v>
      </c>
      <c r="V170" s="1210">
        <f>+V41</f>
        <v>2266.8139999999999</v>
      </c>
      <c r="W170" s="1210">
        <f>+W41</f>
        <v>2366.6479999999997</v>
      </c>
      <c r="X170" s="1210">
        <f>+X41</f>
        <v>2411.625</v>
      </c>
      <c r="Y170" s="1211">
        <f>+Y41</f>
        <v>2411.625</v>
      </c>
      <c r="Z170" s="1206"/>
      <c r="AA170" s="1209">
        <f>+AA41</f>
        <v>2446.83</v>
      </c>
      <c r="AB170" s="1210">
        <f>+AB41</f>
        <v>2573.3559999999998</v>
      </c>
      <c r="AC170" s="1210">
        <f>+AC41</f>
        <v>2539.154</v>
      </c>
      <c r="AD170" s="1210">
        <f>+AD41</f>
        <v>2432.2219999999998</v>
      </c>
      <c r="AE170" s="1211">
        <f>+AE41</f>
        <v>2432.2219999999998</v>
      </c>
      <c r="AF170" s="1206"/>
      <c r="AG170" s="1209">
        <f>+AG41</f>
        <v>2526.049</v>
      </c>
      <c r="AH170" s="1210">
        <f>+AH41</f>
        <v>2488.6480000000001</v>
      </c>
      <c r="AI170" s="1210">
        <f>+AI41</f>
        <v>2571.701</v>
      </c>
      <c r="AJ170" s="1210">
        <f>+AJ41</f>
        <v>2613.5850000000005</v>
      </c>
      <c r="AK170" s="1211">
        <f>+AK41</f>
        <v>2613.5850000000005</v>
      </c>
      <c r="AL170" s="1206"/>
      <c r="AM170" s="1209">
        <f>+AM41</f>
        <v>2578.2289999999998</v>
      </c>
      <c r="AN170" s="1210">
        <f>+AN41</f>
        <v>2615.3789999999999</v>
      </c>
      <c r="AO170" s="1210">
        <f>+AO41</f>
        <v>2708.8419999999996</v>
      </c>
      <c r="AP170" s="1210">
        <f>+AP41</f>
        <v>2785.1970000000001</v>
      </c>
      <c r="AQ170" s="1211">
        <f>+AQ41</f>
        <v>2785.1970000000001</v>
      </c>
      <c r="AR170" s="1206"/>
      <c r="AS170" s="1209">
        <f>+AS41</f>
        <v>2816.3110000000001</v>
      </c>
      <c r="AT170" s="1210">
        <f>+AT41</f>
        <v>2850.7429999999999</v>
      </c>
      <c r="AU170" s="1210">
        <f>+AU41</f>
        <v>2818.3539999999998</v>
      </c>
      <c r="AV170" s="1210">
        <f>+AV41</f>
        <v>2813.5940000000001</v>
      </c>
      <c r="AW170" s="1211">
        <f>+AW41</f>
        <v>2813.5940000000001</v>
      </c>
      <c r="AX170" s="1206"/>
      <c r="AY170" s="1209">
        <f>+AY41</f>
        <v>2733.3399999999997</v>
      </c>
      <c r="AZ170" s="1210">
        <f>+AZ41</f>
        <v>2863.393</v>
      </c>
      <c r="BA170" s="1210">
        <f>+BA41</f>
        <v>2939.3520000000003</v>
      </c>
      <c r="BB170" s="1210">
        <f>+BB41</f>
        <v>2884.2559999999999</v>
      </c>
      <c r="BC170" s="1211">
        <f>+BC41</f>
        <v>2884.2559999999999</v>
      </c>
      <c r="BD170" s="1206"/>
      <c r="BE170" s="1209">
        <f>+BE41</f>
        <v>2913.6979999999999</v>
      </c>
      <c r="BF170" s="1210">
        <f>+BF41</f>
        <v>2947.723</v>
      </c>
      <c r="BG170" s="1210">
        <f>+BG41</f>
        <v>2895.3170000000005</v>
      </c>
      <c r="BH170" s="1210">
        <f>+BH41</f>
        <v>2793.0659999999998</v>
      </c>
      <c r="BI170" s="1211">
        <f>+BI41</f>
        <v>2793.0659999999998</v>
      </c>
      <c r="BJ170" s="1206"/>
      <c r="BK170" s="1209">
        <f>+BK41</f>
        <v>2787.2249999999999</v>
      </c>
      <c r="BL170" s="1210">
        <f>+BL41</f>
        <v>2926.2550000000001</v>
      </c>
      <c r="BM170" s="1210">
        <f>+BM41</f>
        <v>3011.6390000000001</v>
      </c>
      <c r="BN170" s="1210">
        <f>+BN41</f>
        <v>2811.4989999999998</v>
      </c>
      <c r="BO170" s="1211">
        <f>+BO41</f>
        <v>2811.4989999999998</v>
      </c>
      <c r="BP170" s="1206"/>
      <c r="BQ170" s="1209">
        <f>+BQ41</f>
        <v>2859.1590764879948</v>
      </c>
      <c r="BR170" s="1210">
        <f>+BR41</f>
        <v>2917.1809630287826</v>
      </c>
      <c r="BS170" s="1210">
        <f>+BS41</f>
        <v>2976.461996156012</v>
      </c>
      <c r="BT170" s="1210">
        <f>+BT41</f>
        <v>3052.3550653427478</v>
      </c>
      <c r="BU170" s="1211">
        <f>+BU41</f>
        <v>3052.3550653427478</v>
      </c>
      <c r="BV170" s="1206"/>
      <c r="BW170" s="1209">
        <f>+BW41</f>
        <v>3090.6542057917982</v>
      </c>
      <c r="BX170" s="1210">
        <f>+BX41</f>
        <v>3142.7838559470874</v>
      </c>
      <c r="BY170" s="1210">
        <f>+BY41</f>
        <v>3196.0423086574374</v>
      </c>
      <c r="BZ170" s="1210">
        <f>+BZ41</f>
        <v>3266.5392641787957</v>
      </c>
      <c r="CA170" s="1211">
        <f>+CA41</f>
        <v>3266.5392641787957</v>
      </c>
      <c r="CB170" s="1206"/>
      <c r="CC170" s="1209">
        <f>+CC41</f>
        <v>3302.1903841844896</v>
      </c>
      <c r="CD170" s="1210">
        <f>+CD41</f>
        <v>3352.6792038579083</v>
      </c>
      <c r="CE170" s="1210">
        <f>+CE41</f>
        <v>3403.3710491205502</v>
      </c>
      <c r="CF170" s="1210">
        <f>+CF41</f>
        <v>3471.0448018951301</v>
      </c>
      <c r="CG170" s="1211">
        <f>+CG41</f>
        <v>3471.0448018951301</v>
      </c>
      <c r="CO170"/>
      <c r="CP170"/>
      <c r="CQ170"/>
      <c r="CR170"/>
      <c r="CS170"/>
      <c r="CT170"/>
    </row>
    <row r="171" spans="2:98" s="7" customFormat="1" ht="11.25" customHeight="1" x14ac:dyDescent="0.2">
      <c r="B171" s="1181" t="s">
        <v>615</v>
      </c>
      <c r="C171" s="1209"/>
      <c r="D171" s="1210"/>
      <c r="E171" s="1210"/>
      <c r="F171" s="1210"/>
      <c r="G171" s="1211"/>
      <c r="H171" s="1206"/>
      <c r="I171" s="1209"/>
      <c r="J171" s="1210"/>
      <c r="K171" s="1210"/>
      <c r="L171" s="1210"/>
      <c r="M171" s="1211"/>
      <c r="N171" s="1206"/>
      <c r="O171" s="1209"/>
      <c r="P171" s="1210"/>
      <c r="Q171" s="1210"/>
      <c r="R171" s="1210"/>
      <c r="S171" s="1211"/>
      <c r="T171" s="1206"/>
      <c r="U171" s="1209"/>
      <c r="V171" s="1210"/>
      <c r="W171" s="1210"/>
      <c r="X171" s="1210"/>
      <c r="Y171" s="1211"/>
      <c r="Z171" s="1206"/>
      <c r="AA171" s="1209"/>
      <c r="AB171" s="1210"/>
      <c r="AC171" s="1210"/>
      <c r="AD171" s="1210"/>
      <c r="AE171" s="1211"/>
      <c r="AF171" s="1206"/>
      <c r="AG171" s="1209"/>
      <c r="AH171" s="1210"/>
      <c r="AI171" s="1210"/>
      <c r="AJ171" s="1210"/>
      <c r="AK171" s="1211"/>
      <c r="AL171" s="1206"/>
      <c r="AM171" s="1209"/>
      <c r="AN171" s="1210"/>
      <c r="AO171" s="1210"/>
      <c r="AP171" s="1210"/>
      <c r="AQ171" s="1211"/>
      <c r="AR171" s="1206"/>
      <c r="AS171" s="1209"/>
      <c r="AT171" s="1210"/>
      <c r="AU171" s="1210"/>
      <c r="AV171" s="1210"/>
      <c r="AW171" s="1211"/>
      <c r="AX171" s="1206"/>
      <c r="AY171" s="1209"/>
      <c r="AZ171" s="1210"/>
      <c r="BA171" s="1210"/>
      <c r="BB171" s="1210"/>
      <c r="BC171" s="1211"/>
      <c r="BD171" s="1206"/>
      <c r="BE171" s="1209"/>
      <c r="BF171" s="1210"/>
      <c r="BG171" s="1210"/>
      <c r="BH171" s="1210"/>
      <c r="BI171" s="1211"/>
      <c r="BJ171" s="1206"/>
      <c r="BK171" s="1209"/>
      <c r="BL171" s="1210"/>
      <c r="BM171" s="1210"/>
      <c r="BN171" s="1210"/>
      <c r="BO171" s="1211"/>
      <c r="BP171" s="1206"/>
      <c r="BQ171" s="1209"/>
      <c r="BR171" s="1210"/>
      <c r="BS171" s="1210"/>
      <c r="BT171" s="1210"/>
      <c r="BU171" s="1211"/>
      <c r="BV171" s="1206"/>
      <c r="BW171" s="1209"/>
      <c r="BX171" s="1210"/>
      <c r="BY171" s="1210"/>
      <c r="BZ171" s="1210"/>
      <c r="CA171" s="1211"/>
      <c r="CB171" s="1206"/>
      <c r="CC171" s="1209"/>
      <c r="CD171" s="1210"/>
      <c r="CE171" s="1210"/>
      <c r="CF171" s="1210"/>
      <c r="CG171" s="1211"/>
      <c r="CO171"/>
      <c r="CP171"/>
      <c r="CQ171"/>
      <c r="CR171"/>
      <c r="CS171"/>
      <c r="CT171"/>
    </row>
    <row r="172" spans="2:98" s="7" customFormat="1" ht="11.25" customHeight="1" x14ac:dyDescent="0.2">
      <c r="B172" s="1180" t="s">
        <v>616</v>
      </c>
      <c r="C172" s="1209"/>
      <c r="D172" s="1210"/>
      <c r="E172" s="1210"/>
      <c r="F172" s="1210"/>
      <c r="G172" s="1211"/>
      <c r="H172" s="1206"/>
      <c r="I172" s="1209"/>
      <c r="J172" s="1210"/>
      <c r="K172" s="1210"/>
      <c r="L172" s="1210"/>
      <c r="M172" s="1211"/>
      <c r="N172" s="1206"/>
      <c r="O172" s="1209"/>
      <c r="P172" s="1210"/>
      <c r="Q172" s="1210"/>
      <c r="R172" s="1210"/>
      <c r="S172" s="1211"/>
      <c r="T172" s="1206"/>
      <c r="U172" s="1209"/>
      <c r="V172" s="1210"/>
      <c r="W172" s="1210"/>
      <c r="X172" s="1210"/>
      <c r="Y172" s="1211"/>
      <c r="Z172" s="1206"/>
      <c r="AA172" s="1209"/>
      <c r="AB172" s="1210"/>
      <c r="AC172" s="1210"/>
      <c r="AD172" s="1210"/>
      <c r="AE172" s="1211"/>
      <c r="AF172" s="1206"/>
      <c r="AG172" s="1209"/>
      <c r="AH172" s="1210"/>
      <c r="AI172" s="1210"/>
      <c r="AJ172" s="1210"/>
      <c r="AK172" s="1211"/>
      <c r="AL172" s="1206"/>
      <c r="AM172" s="1209"/>
      <c r="AN172" s="1210"/>
      <c r="AO172" s="1210"/>
      <c r="AP172" s="1210"/>
      <c r="AQ172" s="1211"/>
      <c r="AR172" s="1206"/>
      <c r="AS172" s="1209"/>
      <c r="AT172" s="1210"/>
      <c r="AU172" s="1210"/>
      <c r="AV172" s="1210"/>
      <c r="AW172" s="1211"/>
      <c r="AX172" s="1206"/>
      <c r="AY172" s="1209"/>
      <c r="AZ172" s="1210"/>
      <c r="BA172" s="1210"/>
      <c r="BB172" s="1210"/>
      <c r="BC172" s="1211"/>
      <c r="BD172" s="1206"/>
      <c r="BE172" s="1209"/>
      <c r="BF172" s="1210"/>
      <c r="BG172" s="1210"/>
      <c r="BH172" s="1210"/>
      <c r="BI172" s="1211"/>
      <c r="BJ172" s="1206"/>
      <c r="BK172" s="1209"/>
      <c r="BL172" s="1210"/>
      <c r="BM172" s="1210"/>
      <c r="BN172" s="1210"/>
      <c r="BO172" s="1211"/>
      <c r="BP172" s="1206"/>
      <c r="BQ172" s="1209"/>
      <c r="BR172" s="1210"/>
      <c r="BS172" s="1210"/>
      <c r="BT172" s="1210"/>
      <c r="BU172" s="1211"/>
      <c r="BV172" s="1206"/>
      <c r="BW172" s="1209"/>
      <c r="BX172" s="1210"/>
      <c r="BY172" s="1210"/>
      <c r="BZ172" s="1210"/>
      <c r="CA172" s="1211"/>
      <c r="CB172" s="1206"/>
      <c r="CC172" s="1209"/>
      <c r="CD172" s="1210"/>
      <c r="CE172" s="1210"/>
      <c r="CF172" s="1210"/>
      <c r="CG172" s="1211"/>
      <c r="CO172"/>
      <c r="CP172"/>
      <c r="CQ172"/>
      <c r="CR172"/>
      <c r="CS172"/>
      <c r="CT172"/>
    </row>
    <row r="173" spans="2:98" s="7" customFormat="1" ht="11.25" customHeight="1" x14ac:dyDescent="0.2">
      <c r="B173" s="1179" t="s">
        <v>617</v>
      </c>
      <c r="C173" s="1209">
        <f>-C9</f>
        <v>-154.45599999999999</v>
      </c>
      <c r="D173" s="1210">
        <f>-D9</f>
        <v>-190.971</v>
      </c>
      <c r="E173" s="1210">
        <f>-E9</f>
        <v>-207.458</v>
      </c>
      <c r="F173" s="1210">
        <f>-F9</f>
        <v>-247.59</v>
      </c>
      <c r="G173" s="1211">
        <f>-G9</f>
        <v>-247.59</v>
      </c>
      <c r="H173" s="1206"/>
      <c r="I173" s="1209">
        <f>-I9</f>
        <v>-203.036</v>
      </c>
      <c r="J173" s="1210">
        <f>-J9</f>
        <v>-271.43200000000002</v>
      </c>
      <c r="K173" s="1210">
        <f>-K9</f>
        <v>-288.36399999999998</v>
      </c>
      <c r="L173" s="1210">
        <f>-L9</f>
        <v>-369.57</v>
      </c>
      <c r="M173" s="1211">
        <f>-M9</f>
        <v>-369.57</v>
      </c>
      <c r="N173" s="1206"/>
      <c r="O173" s="1209">
        <f>-O9</f>
        <v>-308.15600000000001</v>
      </c>
      <c r="P173" s="1210">
        <f>-P9</f>
        <v>-393.87299999999999</v>
      </c>
      <c r="Q173" s="1210">
        <f>-Q9</f>
        <v>-317.60700000000003</v>
      </c>
      <c r="R173" s="1210">
        <f>-R9</f>
        <v>-471.154</v>
      </c>
      <c r="S173" s="1211">
        <f>-S9</f>
        <v>-471.154</v>
      </c>
      <c r="T173" s="1206"/>
      <c r="U173" s="1209">
        <f>-U9</f>
        <v>-355.38799999999998</v>
      </c>
      <c r="V173" s="1210">
        <f>-V9</f>
        <v>-321.11599999999999</v>
      </c>
      <c r="W173" s="1210">
        <f>-W9</f>
        <v>-203.73</v>
      </c>
      <c r="X173" s="1210">
        <f>-X9</f>
        <v>-150.34800000000001</v>
      </c>
      <c r="Y173" s="1211">
        <f>-Y9</f>
        <v>-150.34800000000001</v>
      </c>
      <c r="Z173" s="1206"/>
      <c r="AA173" s="1209">
        <f>-AA9</f>
        <v>-116.712</v>
      </c>
      <c r="AB173" s="1210">
        <f>-AB9</f>
        <v>-161.78899999999999</v>
      </c>
      <c r="AC173" s="1210">
        <f>-AC9</f>
        <v>-106.872</v>
      </c>
      <c r="AD173" s="1210">
        <f>-AD9</f>
        <v>-147.28399999999999</v>
      </c>
      <c r="AE173" s="1211">
        <f>-AE9</f>
        <v>-147.28399999999999</v>
      </c>
      <c r="AF173" s="1206"/>
      <c r="AG173" s="1209">
        <f>-AG9</f>
        <v>-101.813</v>
      </c>
      <c r="AH173" s="1210">
        <f>-AH9</f>
        <v>-87.896000000000001</v>
      </c>
      <c r="AI173" s="1210">
        <f>-AI9</f>
        <v>-89.335999999999999</v>
      </c>
      <c r="AJ173" s="1210">
        <f>-AJ9</f>
        <v>-122.08</v>
      </c>
      <c r="AK173" s="1211">
        <f>-AK9</f>
        <v>-122.08</v>
      </c>
      <c r="AL173" s="1206"/>
      <c r="AM173" s="1209">
        <f>-AM9</f>
        <v>-90.561999999999998</v>
      </c>
      <c r="AN173" s="1210">
        <f>-AN9</f>
        <v>-78.838999999999999</v>
      </c>
      <c r="AO173" s="1210">
        <f>-AO9</f>
        <v>-69.915000000000006</v>
      </c>
      <c r="AP173" s="1210">
        <f>-AP9</f>
        <v>-188.61600000000001</v>
      </c>
      <c r="AQ173" s="1211">
        <f>-AQ9</f>
        <v>-188.61600000000001</v>
      </c>
      <c r="AR173" s="1206"/>
      <c r="AS173" s="1209">
        <f>-AS9</f>
        <v>-129.11500000000001</v>
      </c>
      <c r="AT173" s="1210">
        <f>-AT9</f>
        <v>-89.697999999999993</v>
      </c>
      <c r="AU173" s="1210">
        <f>-AU9</f>
        <v>-76.542000000000002</v>
      </c>
      <c r="AV173" s="1210">
        <f>-AV9</f>
        <v>-89.474000000000004</v>
      </c>
      <c r="AW173" s="1211">
        <f>-AW9</f>
        <v>-89.474000000000004</v>
      </c>
      <c r="AX173" s="1206"/>
      <c r="AY173" s="1209">
        <f>-AY9</f>
        <v>-59.201999999999998</v>
      </c>
      <c r="AZ173" s="1210">
        <f>-AZ9</f>
        <v>-47.067999999999998</v>
      </c>
      <c r="BA173" s="1210">
        <f>-BA9</f>
        <v>-60.481000000000002</v>
      </c>
      <c r="BB173" s="1210">
        <f>-BB9</f>
        <v>-72.085999999999999</v>
      </c>
      <c r="BC173" s="1211">
        <f>-BC9</f>
        <v>-72.085999999999999</v>
      </c>
      <c r="BD173" s="1206"/>
      <c r="BE173" s="1209">
        <f>-BE9</f>
        <v>-71.614000000000004</v>
      </c>
      <c r="BF173" s="1210">
        <f>-BF9</f>
        <v>-63.56</v>
      </c>
      <c r="BG173" s="1210">
        <f>-BG9</f>
        <v>-76.191999999999993</v>
      </c>
      <c r="BH173" s="1210">
        <f>-BH9</f>
        <v>-62.381</v>
      </c>
      <c r="BI173" s="1211">
        <f>-BI9</f>
        <v>-62.381</v>
      </c>
      <c r="BJ173" s="1206"/>
      <c r="BK173" s="1209">
        <f>-BK9</f>
        <v>-62.887999999999998</v>
      </c>
      <c r="BL173" s="1210">
        <f>-BL9</f>
        <v>-74.653999999999996</v>
      </c>
      <c r="BM173" s="1210">
        <f>-BM9</f>
        <v>-79.879000000000005</v>
      </c>
      <c r="BN173" s="1210">
        <f>-BN9</f>
        <v>-174.65799999999999</v>
      </c>
      <c r="BO173" s="1211">
        <f>-BO9</f>
        <v>-174.65799999999999</v>
      </c>
      <c r="BP173" s="1206"/>
      <c r="BQ173" s="1209">
        <f>-BQ9</f>
        <v>-162.45001371359501</v>
      </c>
      <c r="BR173" s="1210">
        <f>-BR9</f>
        <v>-125.35473561070265</v>
      </c>
      <c r="BS173" s="1210">
        <f>-BS9</f>
        <v>-198.24837612505166</v>
      </c>
      <c r="BT173" s="1210">
        <f>-BT9</f>
        <v>-281.98601556760855</v>
      </c>
      <c r="BU173" s="1211">
        <f>-BU9</f>
        <v>-281.98601556760855</v>
      </c>
      <c r="BV173" s="1206"/>
      <c r="BW173" s="1209">
        <f>-BW9</f>
        <v>-329.16933568432955</v>
      </c>
      <c r="BX173" s="1210">
        <f>-BX9</f>
        <v>-277.72554383766573</v>
      </c>
      <c r="BY173" s="1210">
        <f>-BY9</f>
        <v>-338.96452073059669</v>
      </c>
      <c r="BZ173" s="1210">
        <f>-BZ9</f>
        <v>-411.19698577661728</v>
      </c>
      <c r="CA173" s="1211">
        <f>-CA9</f>
        <v>-411.19698577661728</v>
      </c>
      <c r="CB173" s="1206"/>
      <c r="CC173" s="1209">
        <f>-CC9</f>
        <v>-467.99951866089896</v>
      </c>
      <c r="CD173" s="1210">
        <f>-CD9</f>
        <v>-398.4160391699628</v>
      </c>
      <c r="CE173" s="1210">
        <f>-CE9</f>
        <v>-351.62502394020612</v>
      </c>
      <c r="CF173" s="1210">
        <f>-CF9</f>
        <v>-414.00437005546837</v>
      </c>
      <c r="CG173" s="1211">
        <f>-CG9</f>
        <v>-414.00437005546837</v>
      </c>
      <c r="CO173"/>
      <c r="CP173"/>
      <c r="CQ173"/>
      <c r="CR173"/>
      <c r="CS173"/>
      <c r="CT173"/>
    </row>
    <row r="174" spans="2:98" s="7" customFormat="1" ht="11.25" customHeight="1" x14ac:dyDescent="0.2">
      <c r="B174" s="1179" t="s">
        <v>618</v>
      </c>
      <c r="C174" s="1209">
        <f>-C19</f>
        <v>-97.486999999999995</v>
      </c>
      <c r="D174" s="1210">
        <f>-D19</f>
        <v>-97.11</v>
      </c>
      <c r="E174" s="1210">
        <f>-E19</f>
        <v>-103.041</v>
      </c>
      <c r="F174" s="1210">
        <f>-F19</f>
        <v>-107.9</v>
      </c>
      <c r="G174" s="1211">
        <f>-G19</f>
        <v>-107.9</v>
      </c>
      <c r="H174" s="1206"/>
      <c r="I174" s="1209">
        <f>-I19</f>
        <v>-118.367</v>
      </c>
      <c r="J174" s="1210">
        <f>-J19</f>
        <v>-139.04</v>
      </c>
      <c r="K174" s="1210">
        <f>-K19</f>
        <v>-152.93700000000001</v>
      </c>
      <c r="L174" s="1210">
        <f>-L19</f>
        <v>-148.26400000000001</v>
      </c>
      <c r="M174" s="1211">
        <f>-M19</f>
        <v>-148.26400000000001</v>
      </c>
      <c r="N174" s="1206"/>
      <c r="O174" s="1209">
        <f>-O19</f>
        <v>-147.006</v>
      </c>
      <c r="P174" s="1210">
        <f>-P19</f>
        <v>-146.90100000000001</v>
      </c>
      <c r="Q174" s="1210">
        <f>-Q19</f>
        <v>-176.88800000000001</v>
      </c>
      <c r="R174" s="1210">
        <f>-R19</f>
        <v>-182.036</v>
      </c>
      <c r="S174" s="1211">
        <f>-S19</f>
        <v>-182.036</v>
      </c>
      <c r="T174" s="1206"/>
      <c r="U174" s="1209">
        <f>-U19</f>
        <v>-185.16</v>
      </c>
      <c r="V174" s="1210">
        <f>-V19</f>
        <v>-181.953</v>
      </c>
      <c r="W174" s="1210">
        <f>-W19</f>
        <v>-263.32900000000001</v>
      </c>
      <c r="X174" s="1210">
        <f>-X19</f>
        <v>-295.334</v>
      </c>
      <c r="Y174" s="1211">
        <f>-Y19</f>
        <v>-295.334</v>
      </c>
      <c r="Z174" s="1206"/>
      <c r="AA174" s="1209">
        <f>-AA19</f>
        <v>-303.56400000000002</v>
      </c>
      <c r="AB174" s="1210">
        <f>-AB19</f>
        <v>-304.52499999999998</v>
      </c>
      <c r="AC174" s="1210">
        <f>-AC19</f>
        <v>-297.34500000000003</v>
      </c>
      <c r="AD174" s="1210">
        <f>-AD19</f>
        <v>-298.82799999999997</v>
      </c>
      <c r="AE174" s="1211">
        <f>-AE19</f>
        <v>-298.82799999999997</v>
      </c>
      <c r="AF174" s="1206"/>
      <c r="AG174" s="1209">
        <f>-AG19</f>
        <v>-300.62700000000001</v>
      </c>
      <c r="AH174" s="1210">
        <f>-AH19</f>
        <v>-299.91300000000001</v>
      </c>
      <c r="AI174" s="1210">
        <f>-AI19</f>
        <v>-278.04500000000002</v>
      </c>
      <c r="AJ174" s="1210">
        <f>-AJ19</f>
        <v>-292.93400000000003</v>
      </c>
      <c r="AK174" s="1211">
        <f>-AK19</f>
        <v>-292.93400000000003</v>
      </c>
      <c r="AL174" s="1206"/>
      <c r="AM174" s="1209">
        <f>-AM19</f>
        <v>-292.94799999999998</v>
      </c>
      <c r="AN174" s="1210">
        <f>-AN19</f>
        <v>-291.322</v>
      </c>
      <c r="AO174" s="1210">
        <f>-AO19</f>
        <v>-311.41199999999998</v>
      </c>
      <c r="AP174" s="1210">
        <f>-AP19</f>
        <v>-461.94499999999999</v>
      </c>
      <c r="AQ174" s="1211">
        <f>-AQ19</f>
        <v>-461.94499999999999</v>
      </c>
      <c r="AR174" s="1206"/>
      <c r="AS174" s="1209">
        <f>-AS19</f>
        <v>-327.56900000000002</v>
      </c>
      <c r="AT174" s="1210">
        <f>-AT19</f>
        <v>-360.04399999999998</v>
      </c>
      <c r="AU174" s="1210">
        <f>-AU19</f>
        <v>-358.88600000000002</v>
      </c>
      <c r="AV174" s="1210">
        <f>-AV19</f>
        <v>-386.286</v>
      </c>
      <c r="AW174" s="1211">
        <f>-AW19</f>
        <v>-386.286</v>
      </c>
      <c r="AX174" s="1206"/>
      <c r="AY174" s="1209">
        <f>-AY19</f>
        <v>-387.78</v>
      </c>
      <c r="AZ174" s="1210">
        <f>-AZ19</f>
        <v>-416.99400000000003</v>
      </c>
      <c r="BA174" s="1210">
        <f>-BA19</f>
        <v>-422.71600000000001</v>
      </c>
      <c r="BB174" s="1210">
        <f>-BB19</f>
        <v>-454.6</v>
      </c>
      <c r="BC174" s="1211">
        <f>-BC19</f>
        <v>-454.6</v>
      </c>
      <c r="BD174" s="1206"/>
      <c r="BE174" s="1209">
        <f>-BE19</f>
        <v>-476.92399999999998</v>
      </c>
      <c r="BF174" s="1210">
        <f>-BF19</f>
        <v>-487.404</v>
      </c>
      <c r="BG174" s="1210">
        <f>-BG19</f>
        <v>-454.70400000000001</v>
      </c>
      <c r="BH174" s="1210">
        <f>-BH19</f>
        <v>-442.79</v>
      </c>
      <c r="BI174" s="1211">
        <f>-BI19</f>
        <v>-442.79</v>
      </c>
      <c r="BJ174" s="1206"/>
      <c r="BK174" s="1209">
        <f>-BK19</f>
        <v>-458.02800000000002</v>
      </c>
      <c r="BL174" s="1210">
        <f>-BL19</f>
        <v>-472.92200000000003</v>
      </c>
      <c r="BM174" s="1210">
        <f>-BM19</f>
        <v>-450.77</v>
      </c>
      <c r="BN174" s="1210">
        <f>-BN19</f>
        <v>-432.00200000000001</v>
      </c>
      <c r="BO174" s="1211">
        <f>-BO19</f>
        <v>-432.00200000000001</v>
      </c>
      <c r="BP174" s="1206"/>
      <c r="BQ174" s="1209">
        <f>-BQ19</f>
        <v>-432.00200000000001</v>
      </c>
      <c r="BR174" s="1210">
        <f>-BR19</f>
        <v>-432.00200000000001</v>
      </c>
      <c r="BS174" s="1210">
        <f>-BS19</f>
        <v>-432.00200000000001</v>
      </c>
      <c r="BT174" s="1210">
        <f>-BT19</f>
        <v>-432.00200000000001</v>
      </c>
      <c r="BU174" s="1211">
        <f>-BU19</f>
        <v>-432.00200000000001</v>
      </c>
      <c r="BV174" s="1206"/>
      <c r="BW174" s="1209">
        <f>-BW19</f>
        <v>-432.00200000000001</v>
      </c>
      <c r="BX174" s="1210">
        <f>-BX19</f>
        <v>-432.00200000000001</v>
      </c>
      <c r="BY174" s="1210">
        <f>-BY19</f>
        <v>-432.00200000000001</v>
      </c>
      <c r="BZ174" s="1210">
        <f>-BZ19</f>
        <v>-432.00200000000001</v>
      </c>
      <c r="CA174" s="1211">
        <f>-CA19</f>
        <v>-432.00200000000001</v>
      </c>
      <c r="CB174" s="1206"/>
      <c r="CC174" s="1209">
        <f>-CC19</f>
        <v>-432.00200000000001</v>
      </c>
      <c r="CD174" s="1210">
        <f>-CD19</f>
        <v>-432.00200000000001</v>
      </c>
      <c r="CE174" s="1210">
        <f>-CE19</f>
        <v>-432.00200000000001</v>
      </c>
      <c r="CF174" s="1210">
        <f>-CF19</f>
        <v>-432.00200000000001</v>
      </c>
      <c r="CG174" s="1211">
        <f>-CG19</f>
        <v>-432.00200000000001</v>
      </c>
      <c r="CO174"/>
      <c r="CP174"/>
      <c r="CQ174"/>
      <c r="CR174"/>
      <c r="CS174"/>
      <c r="CT174"/>
    </row>
    <row r="175" spans="2:98" s="7" customFormat="1" ht="11.25" customHeight="1" x14ac:dyDescent="0.2">
      <c r="B175" s="1179" t="s">
        <v>619</v>
      </c>
      <c r="C175" s="1209">
        <f>-C17</f>
        <v>-787.01800000000003</v>
      </c>
      <c r="D175" s="1210">
        <f>-D17</f>
        <v>-771.83399999999995</v>
      </c>
      <c r="E175" s="1210">
        <f>-E17</f>
        <v>-887.28499999999997</v>
      </c>
      <c r="F175" s="1210">
        <f>-F17</f>
        <v>-917.19399999999996</v>
      </c>
      <c r="G175" s="1211">
        <f>-G17</f>
        <v>-917.19399999999996</v>
      </c>
      <c r="H175" s="1206"/>
      <c r="I175" s="1209">
        <f>-I17</f>
        <v>-947.88499999999999</v>
      </c>
      <c r="J175" s="1210">
        <f>-J17</f>
        <v>-954.20299999999997</v>
      </c>
      <c r="K175" s="1210">
        <f>-K17</f>
        <v>-917.25800000000004</v>
      </c>
      <c r="L175" s="1210">
        <f>-L17</f>
        <v>-922.952</v>
      </c>
      <c r="M175" s="1211">
        <f>-M17</f>
        <v>-922.952</v>
      </c>
      <c r="N175" s="1206"/>
      <c r="O175" s="1209">
        <f>-O17</f>
        <v>-899.88400000000001</v>
      </c>
      <c r="P175" s="1210">
        <f>-P17</f>
        <v>-948.86199999999997</v>
      </c>
      <c r="Q175" s="1210">
        <f>-Q17</f>
        <v>-977.05399999999997</v>
      </c>
      <c r="R175" s="1210">
        <f>-R17</f>
        <v>-986.39499999999998</v>
      </c>
      <c r="S175" s="1211">
        <f>-S17</f>
        <v>-986.39499999999998</v>
      </c>
      <c r="T175" s="1206"/>
      <c r="U175" s="1212">
        <f>-U17</f>
        <v>-1258.722</v>
      </c>
      <c r="V175" s="1213">
        <f>-V17</f>
        <v>-1368.106</v>
      </c>
      <c r="W175" s="1213">
        <f>-W17</f>
        <v>-1425.6510000000001</v>
      </c>
      <c r="X175" s="1213">
        <f>-X17</f>
        <v>-1424.7940000000001</v>
      </c>
      <c r="Y175" s="1214">
        <f>-Y17</f>
        <v>-1424.7940000000001</v>
      </c>
      <c r="Z175" s="1215"/>
      <c r="AA175" s="1212">
        <f>-AA17</f>
        <v>-1499.6890000000001</v>
      </c>
      <c r="AB175" s="1213">
        <f>-AB17</f>
        <v>-1512.702</v>
      </c>
      <c r="AC175" s="1213">
        <f>-AC17</f>
        <v>-1495.2560000000001</v>
      </c>
      <c r="AD175" s="1213">
        <f>-AD17</f>
        <v>-1497.1079999999999</v>
      </c>
      <c r="AE175" s="1214">
        <f>-AE17</f>
        <v>-1497.1079999999999</v>
      </c>
      <c r="AF175" s="1215"/>
      <c r="AG175" s="1212">
        <f>-AG17</f>
        <v>-1483.0940000000001</v>
      </c>
      <c r="AH175" s="1213">
        <f>-AH17</f>
        <v>-1523.4459999999999</v>
      </c>
      <c r="AI175" s="1213">
        <f>-AI17</f>
        <v>-1591.482</v>
      </c>
      <c r="AJ175" s="1213">
        <f>-AJ17</f>
        <v>-1601.046</v>
      </c>
      <c r="AK175" s="1214">
        <f>-AK17</f>
        <v>-1601.046</v>
      </c>
      <c r="AL175" s="1215"/>
      <c r="AM175" s="1212">
        <f>-AM17</f>
        <v>-1610.9960000000001</v>
      </c>
      <c r="AN175" s="1213">
        <f>-AN17</f>
        <v>-1607.731</v>
      </c>
      <c r="AO175" s="1213">
        <f>-AO17</f>
        <v>-1634.48</v>
      </c>
      <c r="AP175" s="1213">
        <f>-AP17</f>
        <v>-1635.0050000000001</v>
      </c>
      <c r="AQ175" s="1214">
        <f>-AQ17</f>
        <v>-1635.0050000000001</v>
      </c>
      <c r="AR175" s="1215"/>
      <c r="AS175" s="1212">
        <f>-AS17</f>
        <v>-1802.905</v>
      </c>
      <c r="AT175" s="1213">
        <f>-AT17</f>
        <v>-1832.377</v>
      </c>
      <c r="AU175" s="1213">
        <f>-AU17</f>
        <v>-1886.2809999999999</v>
      </c>
      <c r="AV175" s="1213">
        <f>-AV17</f>
        <v>-1884.123</v>
      </c>
      <c r="AW175" s="1214">
        <f>-AW17</f>
        <v>-1884.123</v>
      </c>
      <c r="AX175" s="1215"/>
      <c r="AY175" s="1212">
        <f>-AY17</f>
        <v>-1855.7139999999999</v>
      </c>
      <c r="AZ175" s="1213">
        <f>-AZ17</f>
        <v>-1871.8440000000001</v>
      </c>
      <c r="BA175" s="1213">
        <f>-BA17</f>
        <v>-1901.52</v>
      </c>
      <c r="BB175" s="1213">
        <f>-BB17</f>
        <v>-1907.5930000000001</v>
      </c>
      <c r="BC175" s="1214">
        <f>-BC17</f>
        <v>-1907.5930000000001</v>
      </c>
      <c r="BD175" s="1215"/>
      <c r="BE175" s="1212">
        <f>-BE17</f>
        <v>-1925.1110000000001</v>
      </c>
      <c r="BF175" s="1213">
        <f>-BF17</f>
        <v>-1954.5840000000001</v>
      </c>
      <c r="BG175" s="1213">
        <f>-BG17</f>
        <v>-1975.566</v>
      </c>
      <c r="BH175" s="1213">
        <f>-BH17</f>
        <v>-2019.74</v>
      </c>
      <c r="BI175" s="1214">
        <f>-BI17</f>
        <v>-2019.74</v>
      </c>
      <c r="BJ175" s="1215"/>
      <c r="BK175" s="1212">
        <f>-BK17</f>
        <v>-2058.6869999999999</v>
      </c>
      <c r="BL175" s="1213">
        <f>-BL17</f>
        <v>-2172.5630000000001</v>
      </c>
      <c r="BM175" s="1213">
        <f>-BM17</f>
        <v>-2224.6570000000002</v>
      </c>
      <c r="BN175" s="1213">
        <f>-BN17</f>
        <v>-2301.3310000000001</v>
      </c>
      <c r="BO175" s="1214">
        <f>-BO17</f>
        <v>-2301.3310000000001</v>
      </c>
      <c r="BP175" s="1215"/>
      <c r="BQ175" s="1212">
        <f>-BQ17</f>
        <v>-2301.3310000000001</v>
      </c>
      <c r="BR175" s="1213">
        <f>-BR17</f>
        <v>-2301.3310000000001</v>
      </c>
      <c r="BS175" s="1213">
        <f>-BS17</f>
        <v>-2301.3310000000001</v>
      </c>
      <c r="BT175" s="1213">
        <f>-BT17</f>
        <v>-2301.3310000000001</v>
      </c>
      <c r="BU175" s="1214">
        <f>-BU17</f>
        <v>-2301.3310000000001</v>
      </c>
      <c r="BV175" s="1215"/>
      <c r="BW175" s="1212">
        <f>-BW17</f>
        <v>-2301.3310000000001</v>
      </c>
      <c r="BX175" s="1213">
        <f>-BX17</f>
        <v>-2301.3310000000001</v>
      </c>
      <c r="BY175" s="1213">
        <f>-BY17</f>
        <v>-2301.3310000000001</v>
      </c>
      <c r="BZ175" s="1213">
        <f>-BZ17</f>
        <v>-2301.3310000000001</v>
      </c>
      <c r="CA175" s="1214">
        <f>-CA17</f>
        <v>-2301.3310000000001</v>
      </c>
      <c r="CB175" s="1215"/>
      <c r="CC175" s="1212">
        <f>-CC17</f>
        <v>-2301.3310000000001</v>
      </c>
      <c r="CD175" s="1213">
        <f>-CD17</f>
        <v>-2301.3310000000001</v>
      </c>
      <c r="CE175" s="1213">
        <f>-CE17</f>
        <v>-2301.3310000000001</v>
      </c>
      <c r="CF175" s="1213">
        <f>-CF17</f>
        <v>-2301.3310000000001</v>
      </c>
      <c r="CG175" s="1214">
        <f>-CG17</f>
        <v>-2301.3310000000001</v>
      </c>
      <c r="CO175"/>
      <c r="CP175"/>
      <c r="CQ175"/>
      <c r="CR175"/>
      <c r="CS175"/>
      <c r="CT175"/>
    </row>
    <row r="176" spans="2:98" s="7" customFormat="1" ht="11.25" customHeight="1" x14ac:dyDescent="0.2">
      <c r="B176" s="1180" t="s">
        <v>620</v>
      </c>
      <c r="C176" s="1216">
        <f t="shared" ref="C176:F177" si="22">+SUM(C162:C174)</f>
        <v>1875.1389999999999</v>
      </c>
      <c r="D176" s="1217">
        <f t="shared" si="22"/>
        <v>1875.925</v>
      </c>
      <c r="E176" s="1217">
        <f t="shared" si="22"/>
        <v>1959.2670000000001</v>
      </c>
      <c r="F176" s="1217">
        <f t="shared" si="22"/>
        <v>2018.3239999999996</v>
      </c>
      <c r="G176" s="1218">
        <f>+F176</f>
        <v>2018.3239999999996</v>
      </c>
      <c r="H176" s="1206"/>
      <c r="I176" s="1216">
        <f t="shared" ref="I176:L177" si="23">+SUM(I162:I174)</f>
        <v>2170.2619999999997</v>
      </c>
      <c r="J176" s="1217">
        <f t="shared" si="23"/>
        <v>2130.8530000000001</v>
      </c>
      <c r="K176" s="1217">
        <f t="shared" si="23"/>
        <v>2092.2629999999999</v>
      </c>
      <c r="L176" s="1217">
        <f t="shared" si="23"/>
        <v>2022.078</v>
      </c>
      <c r="M176" s="1218">
        <f>+L176</f>
        <v>2022.078</v>
      </c>
      <c r="N176" s="1206"/>
      <c r="O176" s="1216">
        <f t="shared" ref="O176:R177" si="24">+SUM(O162:O174)</f>
        <v>2085.0660000000003</v>
      </c>
      <c r="P176" s="1217">
        <f t="shared" si="24"/>
        <v>2164.7020000000002</v>
      </c>
      <c r="Q176" s="1217">
        <f t="shared" si="24"/>
        <v>2164.6270000000004</v>
      </c>
      <c r="R176" s="1217">
        <f t="shared" si="24"/>
        <v>2083.0319999999997</v>
      </c>
      <c r="S176" s="1218">
        <f>+R176</f>
        <v>2083.0319999999997</v>
      </c>
      <c r="T176" s="1206"/>
      <c r="U176" s="1219">
        <f t="shared" ref="U176:X177" si="25">+SUM(U162:U174)</f>
        <v>2689.4059999999999</v>
      </c>
      <c r="V176" s="1220">
        <f t="shared" si="25"/>
        <v>2870.9349999999999</v>
      </c>
      <c r="W176" s="1220">
        <f t="shared" si="25"/>
        <v>3035.1569999999992</v>
      </c>
      <c r="X176" s="1220">
        <f t="shared" si="25"/>
        <v>2930.7460000000001</v>
      </c>
      <c r="Y176" s="1221">
        <f>+X176</f>
        <v>2930.7460000000001</v>
      </c>
      <c r="Z176" s="1215"/>
      <c r="AA176" s="1219">
        <f t="shared" ref="AA176:AD177" si="26">+SUM(AA162:AA174)</f>
        <v>3194.7030000000004</v>
      </c>
      <c r="AB176" s="1220">
        <f t="shared" si="26"/>
        <v>3196.7439999999992</v>
      </c>
      <c r="AC176" s="1220">
        <f t="shared" si="26"/>
        <v>3198.71</v>
      </c>
      <c r="AD176" s="1220">
        <f t="shared" si="26"/>
        <v>3045.2549999999997</v>
      </c>
      <c r="AE176" s="1221">
        <f>+AD176</f>
        <v>3045.2549999999997</v>
      </c>
      <c r="AF176" s="1215"/>
      <c r="AG176" s="1219">
        <f t="shared" ref="AG176:AJ177" si="27">+SUM(AG162:AG174)</f>
        <v>3191.5360000000001</v>
      </c>
      <c r="AH176" s="1220">
        <f t="shared" si="27"/>
        <v>3203.8829999999998</v>
      </c>
      <c r="AI176" s="1220">
        <f t="shared" si="27"/>
        <v>3408.7220000000002</v>
      </c>
      <c r="AJ176" s="1220">
        <f t="shared" si="27"/>
        <v>3427.3830000000003</v>
      </c>
      <c r="AK176" s="1221">
        <f>+AJ176</f>
        <v>3427.3830000000003</v>
      </c>
      <c r="AL176" s="1215"/>
      <c r="AM176" s="1219">
        <f t="shared" ref="AM176:AP177" si="28">+SUM(AM162:AM174)</f>
        <v>3566.5170000000003</v>
      </c>
      <c r="AN176" s="1220">
        <f t="shared" si="28"/>
        <v>3438.4070000000002</v>
      </c>
      <c r="AO176" s="1220">
        <f t="shared" si="28"/>
        <v>3479.89</v>
      </c>
      <c r="AP176" s="1220">
        <f t="shared" si="28"/>
        <v>3394.4960000000001</v>
      </c>
      <c r="AQ176" s="1221">
        <f>+AP176</f>
        <v>3394.4960000000001</v>
      </c>
      <c r="AR176" s="1215"/>
      <c r="AS176" s="1219">
        <f t="shared" ref="AS176:AV177" si="29">+SUM(AS162:AS174)</f>
        <v>3982.8030000000003</v>
      </c>
      <c r="AT176" s="1220">
        <f t="shared" si="29"/>
        <v>4021.6530000000002</v>
      </c>
      <c r="AU176" s="1220">
        <f t="shared" si="29"/>
        <v>4114.4939999999997</v>
      </c>
      <c r="AV176" s="1220">
        <f t="shared" si="29"/>
        <v>4015.0589999999993</v>
      </c>
      <c r="AW176" s="1221">
        <f>+AV176</f>
        <v>4015.0589999999993</v>
      </c>
      <c r="AX176" s="1215"/>
      <c r="AY176" s="1219">
        <f t="shared" ref="AY176:BB177" si="30">+SUM(AY162:AY174)</f>
        <v>4070.4769999999999</v>
      </c>
      <c r="AZ176" s="1220">
        <f t="shared" si="30"/>
        <v>4094.431</v>
      </c>
      <c r="BA176" s="1220">
        <f t="shared" si="30"/>
        <v>4238.0830000000005</v>
      </c>
      <c r="BB176" s="1220">
        <f t="shared" si="30"/>
        <v>4118.8599999999997</v>
      </c>
      <c r="BC176" s="1221">
        <f>+BB176</f>
        <v>4118.8599999999997</v>
      </c>
      <c r="BD176" s="1215"/>
      <c r="BE176" s="1219">
        <f t="shared" ref="BE176:BH177" si="31">+SUM(BE162:BE174)</f>
        <v>4445.786000000001</v>
      </c>
      <c r="BF176" s="1220">
        <f t="shared" si="31"/>
        <v>4369.0759999999991</v>
      </c>
      <c r="BG176" s="1220">
        <f t="shared" si="31"/>
        <v>4413.6250000000009</v>
      </c>
      <c r="BH176" s="1220">
        <f t="shared" si="31"/>
        <v>4437.9779999999992</v>
      </c>
      <c r="BI176" s="1221">
        <f>+BH176</f>
        <v>4437.9779999999992</v>
      </c>
      <c r="BJ176" s="1215"/>
      <c r="BK176" s="1219">
        <f t="shared" ref="BK176:BN177" si="32">+SUM(BK162:BK174)</f>
        <v>4728.5999999999995</v>
      </c>
      <c r="BL176" s="1220">
        <f t="shared" si="32"/>
        <v>4914.6530000000002</v>
      </c>
      <c r="BM176" s="1220">
        <f t="shared" si="32"/>
        <v>5167.9770000000008</v>
      </c>
      <c r="BN176" s="1220">
        <f t="shared" si="32"/>
        <v>5186.6719999999996</v>
      </c>
      <c r="BO176" s="1221">
        <f>+BN176</f>
        <v>5186.6719999999996</v>
      </c>
      <c r="BP176" s="1215"/>
      <c r="BQ176" s="1219">
        <f t="shared" ref="BQ176:BT177" si="33">+SUM(BQ162:BQ174)</f>
        <v>5262.3351675300401</v>
      </c>
      <c r="BR176" s="1220">
        <f t="shared" si="33"/>
        <v>5375.7049626730904</v>
      </c>
      <c r="BS176" s="1220">
        <f t="shared" si="33"/>
        <v>5380.4783130211945</v>
      </c>
      <c r="BT176" s="1220">
        <f t="shared" si="33"/>
        <v>5393.058635181862</v>
      </c>
      <c r="BU176" s="1221">
        <f>+BT176</f>
        <v>5393.058635181862</v>
      </c>
      <c r="BV176" s="1215"/>
      <c r="BW176" s="1219">
        <f t="shared" ref="BW176:BZ177" si="34">+SUM(BW162:BW174)</f>
        <v>5400.9139447777852</v>
      </c>
      <c r="BX176" s="1220">
        <f t="shared" si="34"/>
        <v>5522.8411063632439</v>
      </c>
      <c r="BY176" s="1220">
        <f t="shared" si="34"/>
        <v>5533.3282182105395</v>
      </c>
      <c r="BZ176" s="1220">
        <f t="shared" si="34"/>
        <v>5552.1580959236026</v>
      </c>
      <c r="CA176" s="1221">
        <f>+BZ176</f>
        <v>5552.1580959236026</v>
      </c>
      <c r="CB176" s="1215"/>
      <c r="CC176" s="1219">
        <f t="shared" ref="CC176:CF177" si="35">+SUM(CC162:CC174)</f>
        <v>5548.2388743055344</v>
      </c>
      <c r="CD176" s="1220">
        <f t="shared" si="35"/>
        <v>5687.2747045253764</v>
      </c>
      <c r="CE176" s="1220">
        <f t="shared" si="35"/>
        <v>5703.7200237199659</v>
      </c>
      <c r="CF176" s="1220">
        <f t="shared" si="35"/>
        <v>5730.0300096036644</v>
      </c>
      <c r="CG176" s="1221">
        <f>+CF176</f>
        <v>5730.0300096036644</v>
      </c>
      <c r="CO176"/>
      <c r="CP176"/>
      <c r="CQ176"/>
      <c r="CR176"/>
      <c r="CS176"/>
      <c r="CT176"/>
    </row>
    <row r="177" spans="1:98" s="7" customFormat="1" ht="11.25" customHeight="1" x14ac:dyDescent="0.2">
      <c r="B177" s="1180" t="s">
        <v>621</v>
      </c>
      <c r="C177" s="1216">
        <f t="shared" si="22"/>
        <v>1088.1209999999999</v>
      </c>
      <c r="D177" s="1217">
        <f t="shared" si="22"/>
        <v>1104.0909999999999</v>
      </c>
      <c r="E177" s="1217">
        <f t="shared" si="22"/>
        <v>1071.982</v>
      </c>
      <c r="F177" s="1217">
        <f t="shared" si="22"/>
        <v>1101.1299999999997</v>
      </c>
      <c r="G177" s="1218">
        <f>+F177</f>
        <v>1101.1299999999997</v>
      </c>
      <c r="H177" s="1206"/>
      <c r="I177" s="1216">
        <f t="shared" si="23"/>
        <v>1222.3769999999997</v>
      </c>
      <c r="J177" s="1217">
        <f t="shared" si="23"/>
        <v>1176.6500000000001</v>
      </c>
      <c r="K177" s="1217">
        <f t="shared" si="23"/>
        <v>1175.0049999999999</v>
      </c>
      <c r="L177" s="1217">
        <f t="shared" si="23"/>
        <v>1099.126</v>
      </c>
      <c r="M177" s="1218">
        <f>+L177</f>
        <v>1099.126</v>
      </c>
      <c r="N177" s="1206"/>
      <c r="O177" s="1216">
        <f t="shared" si="24"/>
        <v>1185.1820000000002</v>
      </c>
      <c r="P177" s="1217">
        <f t="shared" si="24"/>
        <v>1215.8400000000001</v>
      </c>
      <c r="Q177" s="1217">
        <f t="shared" si="24"/>
        <v>1187.5730000000003</v>
      </c>
      <c r="R177" s="1217">
        <f t="shared" si="24"/>
        <v>1096.6369999999997</v>
      </c>
      <c r="S177" s="1218">
        <f>+R177</f>
        <v>1096.6369999999997</v>
      </c>
      <c r="T177" s="1206"/>
      <c r="U177" s="1219">
        <f t="shared" si="25"/>
        <v>1430.684</v>
      </c>
      <c r="V177" s="1220">
        <f t="shared" si="25"/>
        <v>1502.829</v>
      </c>
      <c r="W177" s="1220">
        <f t="shared" si="25"/>
        <v>1609.5059999999992</v>
      </c>
      <c r="X177" s="1220">
        <f t="shared" si="25"/>
        <v>1505.952</v>
      </c>
      <c r="Y177" s="1221">
        <f>+X177</f>
        <v>1505.952</v>
      </c>
      <c r="Z177" s="1215"/>
      <c r="AA177" s="1219">
        <f t="shared" si="26"/>
        <v>1695.0140000000004</v>
      </c>
      <c r="AB177" s="1220">
        <f t="shared" si="26"/>
        <v>1684.0419999999992</v>
      </c>
      <c r="AC177" s="1220">
        <f t="shared" si="26"/>
        <v>1703.454</v>
      </c>
      <c r="AD177" s="1220">
        <f t="shared" si="26"/>
        <v>1548.1469999999997</v>
      </c>
      <c r="AE177" s="1221">
        <f>+AD177</f>
        <v>1548.1469999999997</v>
      </c>
      <c r="AF177" s="1215"/>
      <c r="AG177" s="1219">
        <f t="shared" si="27"/>
        <v>1708.442</v>
      </c>
      <c r="AH177" s="1220">
        <f t="shared" si="27"/>
        <v>1680.4369999999999</v>
      </c>
      <c r="AI177" s="1220">
        <f t="shared" si="27"/>
        <v>1817.2400000000002</v>
      </c>
      <c r="AJ177" s="1220">
        <f t="shared" si="27"/>
        <v>1826.3370000000002</v>
      </c>
      <c r="AK177" s="1221">
        <f>+AJ177</f>
        <v>1826.3370000000002</v>
      </c>
      <c r="AL177" s="1215"/>
      <c r="AM177" s="1219">
        <f t="shared" si="28"/>
        <v>1955.5210000000002</v>
      </c>
      <c r="AN177" s="1220">
        <f t="shared" si="28"/>
        <v>1830.6760000000002</v>
      </c>
      <c r="AO177" s="1220">
        <f t="shared" si="28"/>
        <v>1845.4099999999999</v>
      </c>
      <c r="AP177" s="1220">
        <f t="shared" si="28"/>
        <v>1759.491</v>
      </c>
      <c r="AQ177" s="1221">
        <f>+AP177</f>
        <v>1759.491</v>
      </c>
      <c r="AR177" s="1215"/>
      <c r="AS177" s="1219">
        <f t="shared" si="29"/>
        <v>2179.8980000000001</v>
      </c>
      <c r="AT177" s="1220">
        <f t="shared" si="29"/>
        <v>2189.2760000000003</v>
      </c>
      <c r="AU177" s="1220">
        <f t="shared" si="29"/>
        <v>2228.2129999999997</v>
      </c>
      <c r="AV177" s="1220">
        <f t="shared" si="29"/>
        <v>2130.9359999999992</v>
      </c>
      <c r="AW177" s="1221">
        <f>+AV177</f>
        <v>2130.9359999999992</v>
      </c>
      <c r="AX177" s="1215"/>
      <c r="AY177" s="1219">
        <f t="shared" si="30"/>
        <v>2214.7629999999999</v>
      </c>
      <c r="AZ177" s="1220">
        <f t="shared" si="30"/>
        <v>2222.587</v>
      </c>
      <c r="BA177" s="1220">
        <f t="shared" si="30"/>
        <v>2336.5630000000006</v>
      </c>
      <c r="BB177" s="1220">
        <f t="shared" si="30"/>
        <v>2211.2669999999998</v>
      </c>
      <c r="BC177" s="1221">
        <f>+BB177</f>
        <v>2211.2669999999998</v>
      </c>
      <c r="BD177" s="1215"/>
      <c r="BE177" s="1219">
        <f t="shared" si="31"/>
        <v>2520.6750000000011</v>
      </c>
      <c r="BF177" s="1220">
        <f t="shared" si="31"/>
        <v>2414.4919999999993</v>
      </c>
      <c r="BG177" s="1220">
        <f t="shared" si="31"/>
        <v>2438.0590000000011</v>
      </c>
      <c r="BH177" s="1220">
        <f t="shared" si="31"/>
        <v>2418.2379999999994</v>
      </c>
      <c r="BI177" s="1221">
        <f>+BH177</f>
        <v>2418.2379999999994</v>
      </c>
      <c r="BJ177" s="1215"/>
      <c r="BK177" s="1219">
        <f t="shared" si="32"/>
        <v>2669.9129999999996</v>
      </c>
      <c r="BL177" s="1220">
        <f t="shared" si="32"/>
        <v>2742.09</v>
      </c>
      <c r="BM177" s="1220">
        <f t="shared" si="32"/>
        <v>2943.3200000000006</v>
      </c>
      <c r="BN177" s="1220">
        <f t="shared" si="32"/>
        <v>2885.3409999999994</v>
      </c>
      <c r="BO177" s="1221">
        <f>+BN177</f>
        <v>2885.3409999999994</v>
      </c>
      <c r="BP177" s="1215"/>
      <c r="BQ177" s="1219">
        <f t="shared" si="33"/>
        <v>2961.0041675300399</v>
      </c>
      <c r="BR177" s="1220">
        <f t="shared" si="33"/>
        <v>3074.3739626730903</v>
      </c>
      <c r="BS177" s="1220">
        <f t="shared" si="33"/>
        <v>3079.1473130211943</v>
      </c>
      <c r="BT177" s="1220">
        <f t="shared" si="33"/>
        <v>3091.7276351818618</v>
      </c>
      <c r="BU177" s="1221">
        <f>+BT177</f>
        <v>3091.7276351818618</v>
      </c>
      <c r="BV177" s="1215"/>
      <c r="BW177" s="1219">
        <f t="shared" si="34"/>
        <v>3099.5829447777851</v>
      </c>
      <c r="BX177" s="1220">
        <f t="shared" si="34"/>
        <v>3221.5101063632437</v>
      </c>
      <c r="BY177" s="1220">
        <f t="shared" si="34"/>
        <v>3231.9972182105394</v>
      </c>
      <c r="BZ177" s="1220">
        <f t="shared" si="34"/>
        <v>3250.8270959236024</v>
      </c>
      <c r="CA177" s="1221">
        <f>+BZ177</f>
        <v>3250.8270959236024</v>
      </c>
      <c r="CB177" s="1215"/>
      <c r="CC177" s="1219">
        <f t="shared" si="35"/>
        <v>3246.9078743055343</v>
      </c>
      <c r="CD177" s="1220">
        <f t="shared" si="35"/>
        <v>3385.9437045253762</v>
      </c>
      <c r="CE177" s="1220">
        <f t="shared" si="35"/>
        <v>3402.3890237199657</v>
      </c>
      <c r="CF177" s="1220">
        <f t="shared" si="35"/>
        <v>3428.6990096036643</v>
      </c>
      <c r="CG177" s="1221">
        <f>+CF177</f>
        <v>3428.6990096036643</v>
      </c>
      <c r="CO177"/>
      <c r="CP177"/>
      <c r="CQ177"/>
      <c r="CR177"/>
      <c r="CS177"/>
      <c r="CT177"/>
    </row>
    <row r="178" spans="1:98" s="7" customFormat="1" ht="11.25" customHeight="1" x14ac:dyDescent="0.2">
      <c r="B178" s="1179"/>
      <c r="C178" s="1222"/>
      <c r="D178" s="1223"/>
      <c r="E178" s="1223"/>
      <c r="F178" s="1223"/>
      <c r="G178" s="1224"/>
      <c r="H178" s="1225"/>
      <c r="I178" s="1222"/>
      <c r="J178" s="1223"/>
      <c r="K178" s="1223"/>
      <c r="L178" s="1223"/>
      <c r="M178" s="1224"/>
      <c r="N178" s="1225"/>
      <c r="O178" s="1222"/>
      <c r="P178" s="1223"/>
      <c r="Q178" s="1223"/>
      <c r="R178" s="1223"/>
      <c r="S178" s="1224"/>
      <c r="T178" s="1225"/>
      <c r="U178" s="1222"/>
      <c r="V178" s="1223"/>
      <c r="W178" s="1223"/>
      <c r="X178" s="1223"/>
      <c r="Y178" s="1224"/>
      <c r="Z178" s="1225"/>
      <c r="AA178" s="1222"/>
      <c r="AB178" s="1223"/>
      <c r="AC178" s="1223"/>
      <c r="AD178" s="1223"/>
      <c r="AE178" s="1224"/>
      <c r="AF178" s="1225"/>
      <c r="AG178" s="1222"/>
      <c r="AH178" s="1223"/>
      <c r="AI178" s="1223"/>
      <c r="AJ178" s="1223"/>
      <c r="AK178" s="1224"/>
      <c r="AL178" s="1225"/>
      <c r="AM178" s="1222"/>
      <c r="AN178" s="1223"/>
      <c r="AO178" s="1223"/>
      <c r="AP178" s="1223"/>
      <c r="AQ178" s="1224"/>
      <c r="AR178" s="1225"/>
      <c r="AS178" s="1222"/>
      <c r="AT178" s="1223"/>
      <c r="AU178" s="1223"/>
      <c r="AV178" s="1223"/>
      <c r="AW178" s="1224"/>
      <c r="AX178" s="1225"/>
      <c r="AY178" s="1226"/>
      <c r="AZ178" s="1189"/>
      <c r="BA178" s="1189"/>
      <c r="BB178" s="1189"/>
      <c r="BC178" s="1224"/>
      <c r="BD178" s="1225"/>
      <c r="BE178" s="1226"/>
      <c r="BF178" s="1189"/>
      <c r="BG178" s="1223"/>
      <c r="BH178" s="1223"/>
      <c r="BI178" s="1224"/>
      <c r="BJ178" s="1225"/>
      <c r="BK178" s="1226"/>
      <c r="BL178" s="1189"/>
      <c r="BM178" s="1223"/>
      <c r="BN178" s="1223"/>
      <c r="BO178" s="1224"/>
      <c r="BP178" s="1225"/>
      <c r="BQ178" s="1222"/>
      <c r="BR178" s="1223"/>
      <c r="BS178" s="1223"/>
      <c r="BT178" s="1223"/>
      <c r="BU178" s="1224"/>
      <c r="BV178" s="1225"/>
      <c r="BW178" s="1222"/>
      <c r="BX178" s="1223"/>
      <c r="BY178" s="1223"/>
      <c r="BZ178" s="1223"/>
      <c r="CA178" s="1224"/>
      <c r="CB178" s="1225"/>
      <c r="CC178" s="1222"/>
      <c r="CD178" s="1223"/>
      <c r="CE178" s="1223"/>
      <c r="CF178" s="1223"/>
      <c r="CG178" s="1224"/>
      <c r="CO178"/>
      <c r="CP178"/>
      <c r="CQ178"/>
      <c r="CR178"/>
      <c r="CS178"/>
      <c r="CT178"/>
    </row>
    <row r="179" spans="1:98" s="7" customFormat="1" ht="11.25" customHeight="1" x14ac:dyDescent="0.2">
      <c r="B179" s="1180" t="s">
        <v>622</v>
      </c>
      <c r="C179" s="1227">
        <f>+C159*4/C176</f>
        <v>0.10145553793948518</v>
      </c>
      <c r="D179" s="1200">
        <f>+D159*4/D176</f>
        <v>0.12736987969830021</v>
      </c>
      <c r="E179" s="1200">
        <f>+E159*4/E176</f>
        <v>0.13010356322848068</v>
      </c>
      <c r="F179" s="1200">
        <f>+F159*4/F176</f>
        <v>0.16857958116507615</v>
      </c>
      <c r="G179" s="1201">
        <f>+G159/AVERAGE(C176:F176)</f>
        <v>0.13253894614282188</v>
      </c>
      <c r="H179" s="1225"/>
      <c r="I179" s="1227">
        <f>+I159*4/I176</f>
        <v>0.10372189389517722</v>
      </c>
      <c r="J179" s="1200">
        <f>+J159*4/J176</f>
        <v>0.14097960519930053</v>
      </c>
      <c r="K179" s="1200">
        <f>+K159*4/K176</f>
        <v>0.15085829586636365</v>
      </c>
      <c r="L179" s="1200">
        <f>+L159*4/L176</f>
        <v>0.17197276693886554</v>
      </c>
      <c r="M179" s="1201">
        <f>+M159/AVERAGE(I176:L176)</f>
        <v>0.14128327810871691</v>
      </c>
      <c r="N179" s="1225"/>
      <c r="O179" s="1227">
        <f>+O159*4/O176</f>
        <v>0.1212845285513791</v>
      </c>
      <c r="P179" s="1200">
        <f>+P159*4/P176</f>
        <v>0.15128101374200179</v>
      </c>
      <c r="Q179" s="1200">
        <f>+Q159*4/Q176</f>
        <v>0.14330462802319235</v>
      </c>
      <c r="R179" s="1200">
        <f>+R159*4/R176</f>
        <v>0.1767518855988193</v>
      </c>
      <c r="S179" s="1201">
        <f>+S159/AVERAGE(O176:R176)</f>
        <v>0.14814050115678329</v>
      </c>
      <c r="T179" s="1225"/>
      <c r="U179" s="1227">
        <f>+U159*4/U176</f>
        <v>0.11582118252763243</v>
      </c>
      <c r="V179" s="1200">
        <f>+V159*4/V176</f>
        <v>0.13228811634015269</v>
      </c>
      <c r="W179" s="1200">
        <f>+W159*4/W176</f>
        <v>0.12355679738862677</v>
      </c>
      <c r="X179" s="1200">
        <f>+X159*4/X176</f>
        <v>0.13188442925960925</v>
      </c>
      <c r="Y179" s="1201">
        <f>+Y159/AVERAGE(U176:X176)</f>
        <v>0.12604940250766852</v>
      </c>
      <c r="Z179" s="1225"/>
      <c r="AA179" s="1227">
        <f>+AA159*4/AA176</f>
        <v>0.10505211581016274</v>
      </c>
      <c r="AB179" s="1200">
        <f>+AB159*4/AB176</f>
        <v>0.12879659288874065</v>
      </c>
      <c r="AC179" s="1200">
        <f>+AC159*4/AC176</f>
        <v>0.1227162551746962</v>
      </c>
      <c r="AD179" s="1200">
        <f>+AD159*4/AD176</f>
        <v>0.14828609142632393</v>
      </c>
      <c r="AE179" s="1201">
        <f>+AE159/AVERAGE(AA176:AD176)</f>
        <v>0.12595455153060789</v>
      </c>
      <c r="AF179" s="1225"/>
      <c r="AG179" s="1227">
        <f>+AG159*4/AG176</f>
        <v>0.12350292669382233</v>
      </c>
      <c r="AH179" s="1200">
        <f>+AH159*4/AH176</f>
        <v>0.13572966410893628</v>
      </c>
      <c r="AI179" s="1200">
        <f>+AI159*4/AI176</f>
        <v>0.12202426960831209</v>
      </c>
      <c r="AJ179" s="1200">
        <f>+AJ159*4/AJ176</f>
        <v>0.14681863682169607</v>
      </c>
      <c r="AK179" s="1201">
        <f>+AK159/AVERAGE(AG176:AJ176)</f>
        <v>0.13212335036782791</v>
      </c>
      <c r="AL179" s="1225"/>
      <c r="AM179" s="1227">
        <f>+AM159*4/AM176</f>
        <v>0.1155640141690631</v>
      </c>
      <c r="AN179" s="1200">
        <f>+AN159*4/AN176</f>
        <v>0.14050810141513814</v>
      </c>
      <c r="AO179" s="1200">
        <f>+AO159*4/AO176</f>
        <v>0.12903065573308986</v>
      </c>
      <c r="AP179" s="1200">
        <f>+AP159*4/AP176</f>
        <v>0.1545927157058099</v>
      </c>
      <c r="AQ179" s="1201">
        <f>+AQ159/AVERAGE(AM176:AP176)</f>
        <v>0.13468563916864262</v>
      </c>
      <c r="AR179" s="1225"/>
      <c r="AS179" s="1227">
        <f>+AS159*4/AS176</f>
        <v>0.10866661969072643</v>
      </c>
      <c r="AT179" s="1200">
        <f>+AT159*4/AT176</f>
        <v>0.12447183754720222</v>
      </c>
      <c r="AU179" s="1200">
        <f>+AU159*4/AU176</f>
        <v>0.11840197890409104</v>
      </c>
      <c r="AV179" s="1200">
        <f>+AV159*4/AV176</f>
        <v>0.14213120123987263</v>
      </c>
      <c r="AW179" s="1201">
        <f>+AW159/AVERAGE(AS176:AV176)</f>
        <v>0.12340636511472179</v>
      </c>
      <c r="AX179" s="1225"/>
      <c r="AY179" s="1227">
        <f>+AY159*4/AY176</f>
        <v>0.11439847463536801</v>
      </c>
      <c r="AZ179" s="1200">
        <f>+AZ159*4/AZ176</f>
        <v>0.13047815046092809</v>
      </c>
      <c r="BA179" s="1200">
        <f>+BA159*4/BA176</f>
        <v>0.13354464730801621</v>
      </c>
      <c r="BB179" s="1200">
        <f>+BB159*4/BB176</f>
        <v>0.14528142010547135</v>
      </c>
      <c r="BC179" s="1201">
        <f>+BC159/AVERAGE(AY176:BB176)</f>
        <v>0.13099293133721865</v>
      </c>
      <c r="BD179" s="1225"/>
      <c r="BE179" s="1227">
        <f>+BE159*4/BE176</f>
        <v>0.11292493753945609</v>
      </c>
      <c r="BF179" s="1200">
        <f>+BF159*4/BF176</f>
        <v>0.13369350424611678</v>
      </c>
      <c r="BG179" s="1200">
        <f>+BG159*4/BG176</f>
        <v>0.13307884492153674</v>
      </c>
      <c r="BH179" s="1200">
        <f>+BH159*4/BH176</f>
        <v>0.14890334505327948</v>
      </c>
      <c r="BI179" s="1201">
        <f>+BI159/AVERAGE(BE176:BH176)</f>
        <v>0.13212149671210871</v>
      </c>
      <c r="BJ179" s="1225"/>
      <c r="BK179" s="1227">
        <f>+BK159*4/BK176</f>
        <v>0.13014847743240937</v>
      </c>
      <c r="BL179" s="1200">
        <f>+BL159*4/BL176</f>
        <v>0.1249772973605796</v>
      </c>
      <c r="BM179" s="1200">
        <f>+BM159*4/BM176</f>
        <v>0.11737576971602209</v>
      </c>
      <c r="BN179" s="1200">
        <f>+BN159*4/BN176</f>
        <v>0.14565700153584729</v>
      </c>
      <c r="BO179" s="1201">
        <f>+BO159/AVERAGE(BK176:BN176)</f>
        <v>0.12946963652574855</v>
      </c>
      <c r="BP179" s="1225"/>
      <c r="BQ179" s="1227">
        <f>+BQ159*4/BQ176</f>
        <v>0.12437831140258905</v>
      </c>
      <c r="BR179" s="1200">
        <f>+BR159*4/BR176</f>
        <v>0.13051748198391896</v>
      </c>
      <c r="BS179" s="1200">
        <f>+BS159*4/BS176</f>
        <v>0.13139702497388828</v>
      </c>
      <c r="BT179" s="1200">
        <f>+BT159*4/BT176</f>
        <v>0.14494092165410369</v>
      </c>
      <c r="BU179" s="1201">
        <f>+BU159/AVERAGE(BQ176:BT176)</f>
        <v>0.13284977880652457</v>
      </c>
      <c r="BV179" s="1225"/>
      <c r="BW179" s="1227">
        <f>+BW159*4/BW176</f>
        <v>0.11938470803160615</v>
      </c>
      <c r="BX179" s="1200">
        <f>+BX159*4/BX176</f>
        <v>0.12747695237611037</v>
      </c>
      <c r="BY179" s="1200">
        <f>+BY159*4/BY176</f>
        <v>0.12810383039166293</v>
      </c>
      <c r="BZ179" s="1200">
        <f>+BZ159*4/BZ176</f>
        <v>0.14153719883932556</v>
      </c>
      <c r="CA179" s="1201">
        <f>+CA159/AVERAGE(BW176:BZ176)</f>
        <v>0.12919568120877051</v>
      </c>
      <c r="CB179" s="1225"/>
      <c r="CC179" s="1227">
        <f>+CC159*4/CC176</f>
        <v>0.11423381006235038</v>
      </c>
      <c r="CD179" s="1200">
        <f>+CD159*4/CD176</f>
        <v>0.12192784192996076</v>
      </c>
      <c r="CE179" s="1200">
        <f>+CE159*4/CE176</f>
        <v>0.12227966201020385</v>
      </c>
      <c r="CF179" s="1200">
        <f>+CF159*4/CF176</f>
        <v>0.13538203938151358</v>
      </c>
      <c r="CG179" s="1201">
        <f>+CG159/AVERAGE(CC176:CF176)</f>
        <v>0.12353403930380999</v>
      </c>
      <c r="CO179"/>
      <c r="CP179"/>
      <c r="CQ179"/>
      <c r="CR179"/>
      <c r="CS179"/>
      <c r="CT179"/>
    </row>
    <row r="180" spans="1:98" s="7" customFormat="1" ht="11.25" customHeight="1" x14ac:dyDescent="0.2">
      <c r="B180" s="1180" t="s">
        <v>623</v>
      </c>
      <c r="C180" s="1227">
        <f>+C159*4/C177</f>
        <v>0.17483647127140117</v>
      </c>
      <c r="D180" s="1200">
        <f>+D159*4/D177</f>
        <v>0.2164100074840152</v>
      </c>
      <c r="E180" s="1200">
        <f>+E159*4/E177</f>
        <v>0.23779094986294144</v>
      </c>
      <c r="F180" s="1200">
        <f>+F159*4/F177</f>
        <v>0.30899913232354148</v>
      </c>
      <c r="G180" s="1201">
        <f>+G159/AVERAGE(C177:F177)</f>
        <v>0.23465561520781766</v>
      </c>
      <c r="H180" s="1225"/>
      <c r="I180" s="1227">
        <f>+I159*4/I177</f>
        <v>0.18415242178864222</v>
      </c>
      <c r="J180" s="1200">
        <f>+J159*4/J177</f>
        <v>0.25530685818021087</v>
      </c>
      <c r="K180" s="1200">
        <f>+K159*4/K177</f>
        <v>0.26862458515857007</v>
      </c>
      <c r="L180" s="1200">
        <f>+L159*4/L177</f>
        <v>0.31638078675803077</v>
      </c>
      <c r="M180" s="1201">
        <f>+M159/AVERAGE(I177:L177)</f>
        <v>0.25442392713014844</v>
      </c>
      <c r="N180" s="1225"/>
      <c r="O180" s="1227">
        <f>+O159*4/O177</f>
        <v>0.21337334418554263</v>
      </c>
      <c r="P180" s="1200">
        <f>+P159*4/P177</f>
        <v>0.26934326310150902</v>
      </c>
      <c r="Q180" s="1200">
        <f>+Q159*4/Q177</f>
        <v>0.26120589390627674</v>
      </c>
      <c r="R180" s="1200">
        <f>+R159*4/R177</f>
        <v>0.33573537438795137</v>
      </c>
      <c r="S180" s="1201">
        <f>+S159/AVERAGE(O177:R177)</f>
        <v>0.26867679003370198</v>
      </c>
      <c r="T180" s="1225"/>
      <c r="U180" s="1227">
        <f>+U159*4/U177</f>
        <v>0.21772116219717969</v>
      </c>
      <c r="V180" s="1200">
        <f>+V159*4/V177</f>
        <v>0.2527170977436663</v>
      </c>
      <c r="W180" s="1200">
        <f>+W159*4/W177</f>
        <v>0.23299961509411729</v>
      </c>
      <c r="X180" s="1200">
        <f>+X159*4/X177</f>
        <v>0.25666140986889541</v>
      </c>
      <c r="Y180" s="1201">
        <f>+Y159/AVERAGE(U177:X177)</f>
        <v>0.24018567279585226</v>
      </c>
      <c r="Z180" s="1225"/>
      <c r="AA180" s="1227">
        <f>+AA159*4/AA177</f>
        <v>0.19799854723033222</v>
      </c>
      <c r="AB180" s="1200">
        <f>+AB159*4/AB177</f>
        <v>0.24448899465543283</v>
      </c>
      <c r="AC180" s="1200">
        <f>+AC159*4/AC177</f>
        <v>0.23043399621583704</v>
      </c>
      <c r="AD180" s="1200">
        <f>+AD159*4/AD177</f>
        <v>0.29168351671157206</v>
      </c>
      <c r="AE180" s="1201">
        <f>+AE159/AVERAGE(AA177:AD177)</f>
        <v>0.24001960165703962</v>
      </c>
      <c r="AF180" s="1225"/>
      <c r="AG180" s="1227">
        <f>+AG159*4/AG177</f>
        <v>0.23071549203818154</v>
      </c>
      <c r="AH180" s="1200">
        <f>+AH159*4/AH177</f>
        <v>0.25877909343482147</v>
      </c>
      <c r="AI180" s="1200">
        <f>+AI159*4/AI177</f>
        <v>0.22888931145461511</v>
      </c>
      <c r="AJ180" s="1200">
        <f>+AJ159*4/AJ177</f>
        <v>0.27552620350234114</v>
      </c>
      <c r="AK180" s="1201">
        <f>+AK159/AVERAGE(AG177:AJ177)</f>
        <v>0.24858929531195412</v>
      </c>
      <c r="AL180" s="1225"/>
      <c r="AM180" s="1227">
        <f>+AM159*4/AM177</f>
        <v>0.2107678828926943</v>
      </c>
      <c r="AN180" s="1200">
        <f>+AN159*4/AN177</f>
        <v>0.26390472124096287</v>
      </c>
      <c r="AO180" s="1200">
        <f>+AO159*4/AO177</f>
        <v>0.24331313289676662</v>
      </c>
      <c r="AP180" s="1200">
        <f>+AP159*4/AP177</f>
        <v>0.29824782001869232</v>
      </c>
      <c r="AQ180" s="1201">
        <f>+AQ159/AVERAGE(AM177:AP177)</f>
        <v>0.25291827257191468</v>
      </c>
      <c r="AR180" s="1225"/>
      <c r="AS180" s="1227">
        <f>+AS159*4/AS177</f>
        <v>0.19854036239497641</v>
      </c>
      <c r="AT180" s="1200">
        <f>+AT159*4/AT177</f>
        <v>0.22865209269512771</v>
      </c>
      <c r="AU180" s="1200">
        <f>+AU159*4/AU177</f>
        <v>0.21863449849229369</v>
      </c>
      <c r="AV180" s="1200">
        <f>+AV159*4/AV177</f>
        <v>0.26780023366209116</v>
      </c>
      <c r="AW180" s="1201">
        <f>+AW159/AVERAGE(AS177:AV177)</f>
        <v>0.22811247995957612</v>
      </c>
      <c r="AX180" s="1225"/>
      <c r="AY180" s="1227">
        <f>+AY159*4/AY177</f>
        <v>0.21025110128638996</v>
      </c>
      <c r="AZ180" s="1200">
        <f>+AZ159*4/AZ177</f>
        <v>0.24036574679411349</v>
      </c>
      <c r="BA180" s="1200">
        <f>+BA159*4/BA177</f>
        <v>0.24222471189396527</v>
      </c>
      <c r="BB180" s="1200">
        <f>+BB159*4/BB177</f>
        <v>0.2706112966076108</v>
      </c>
      <c r="BC180" s="1201">
        <f>+BC159/AVERAGE(AY177:BB177)</f>
        <v>0.24086837365603772</v>
      </c>
      <c r="BD180" s="1225"/>
      <c r="BE180" s="1227">
        <f>+BE159*4/BE177</f>
        <v>0.19916891561339256</v>
      </c>
      <c r="BF180" s="1200">
        <f>+BF159*4/BF177</f>
        <v>0.24192131543927542</v>
      </c>
      <c r="BG180" s="1200">
        <f>+BG159*4/BG177</f>
        <v>0.24091300371189434</v>
      </c>
      <c r="BH180" s="1200">
        <f>+BH159*4/BH177</f>
        <v>0.2732691196949445</v>
      </c>
      <c r="BI180" s="1201">
        <f>+BI159/AVERAGE(BE177:BH177)</f>
        <v>0.23838312609963982</v>
      </c>
      <c r="BJ180" s="1225"/>
      <c r="BK180" s="1227">
        <f>+BK159*4/BK177</f>
        <v>0.23050192661217464</v>
      </c>
      <c r="BL180" s="1200">
        <f>+BL159*4/BL177</f>
        <v>0.22399704218499925</v>
      </c>
      <c r="BM180" s="1200">
        <f>+BM159*4/BM177</f>
        <v>0.20609219461346326</v>
      </c>
      <c r="BN180" s="1200">
        <f>+BN159*4/BN177</f>
        <v>0.26183216870031523</v>
      </c>
      <c r="BO180" s="1201">
        <f>+BO159/AVERAGE(BK177:BN177)</f>
        <v>0.23033524560626845</v>
      </c>
      <c r="BP180" s="1225"/>
      <c r="BQ180" s="1227">
        <f>+BQ159*4/BQ177</f>
        <v>0.22104675479664171</v>
      </c>
      <c r="BR180" s="1200">
        <f>+BR159*4/BR177</f>
        <v>0.22821669846777684</v>
      </c>
      <c r="BS180" s="1200">
        <f>+BS159*4/BS177</f>
        <v>0.22960215001010703</v>
      </c>
      <c r="BT180" s="1200">
        <f>+BT159*4/BT177</f>
        <v>0.2528278623973621</v>
      </c>
      <c r="BU180" s="1201">
        <f>+BU159/AVERAGE(BQ177:BT177)</f>
        <v>0.23303820267312805</v>
      </c>
      <c r="BV180" s="1225"/>
      <c r="BW180" s="1227">
        <f>+BW159*4/BW177</f>
        <v>0.20802364249921762</v>
      </c>
      <c r="BX180" s="1200">
        <f>+BX159*4/BX177</f>
        <v>0.21854190409213883</v>
      </c>
      <c r="BY180" s="1200">
        <f>+BY159*4/BY177</f>
        <v>0.21931966264485503</v>
      </c>
      <c r="BZ180" s="1200">
        <f>+BZ159*4/BZ177</f>
        <v>0.24173445133255958</v>
      </c>
      <c r="CA180" s="1201">
        <f>+CA159/AVERAGE(BW177:BZ177)</f>
        <v>0.22208038758409046</v>
      </c>
      <c r="CB180" s="1225"/>
      <c r="CC180" s="1227">
        <f>+CC159*4/CC177</f>
        <v>0.19520001499381218</v>
      </c>
      <c r="CD180" s="1200">
        <f>+CD159*4/CD177</f>
        <v>0.20479877744536712</v>
      </c>
      <c r="CE180" s="1200">
        <f>+CE159*4/CE177</f>
        <v>0.20498801043590273</v>
      </c>
      <c r="CF180" s="1200">
        <f>+CF159*4/CF177</f>
        <v>0.2262499992692823</v>
      </c>
      <c r="CG180" s="1201">
        <f>+CG159/AVERAGE(CC177:CF177)</f>
        <v>0.20799452335067303</v>
      </c>
      <c r="CO180"/>
      <c r="CP180"/>
      <c r="CQ180"/>
      <c r="CR180"/>
      <c r="CS180"/>
      <c r="CT180"/>
    </row>
    <row r="181" spans="1:98" s="7" customFormat="1" ht="11.25" customHeight="1" x14ac:dyDescent="0.2">
      <c r="B181" s="1182"/>
      <c r="C181" s="1228"/>
      <c r="D181" s="1229"/>
      <c r="E181" s="1229"/>
      <c r="F181" s="1229"/>
      <c r="G181" s="1230"/>
      <c r="H181" s="1194"/>
      <c r="I181" s="1228"/>
      <c r="J181" s="1229"/>
      <c r="K181" s="1229"/>
      <c r="L181" s="1229"/>
      <c r="M181" s="1230"/>
      <c r="N181" s="1194"/>
      <c r="O181" s="1228"/>
      <c r="P181" s="1229"/>
      <c r="Q181" s="1229"/>
      <c r="R181" s="1229"/>
      <c r="S181" s="1230"/>
      <c r="T181" s="1194"/>
      <c r="U181" s="1228"/>
      <c r="V181" s="1229"/>
      <c r="W181" s="1229"/>
      <c r="X181" s="1229"/>
      <c r="Y181" s="1230"/>
      <c r="Z181" s="1194"/>
      <c r="AA181" s="1228"/>
      <c r="AB181" s="1229"/>
      <c r="AC181" s="1229"/>
      <c r="AD181" s="1229"/>
      <c r="AE181" s="1230"/>
      <c r="AF181" s="1194"/>
      <c r="AG181" s="1228"/>
      <c r="AH181" s="1229"/>
      <c r="AI181" s="1229"/>
      <c r="AJ181" s="1229"/>
      <c r="AK181" s="1230"/>
      <c r="AL181" s="1194"/>
      <c r="AM181" s="1228"/>
      <c r="AN181" s="1229"/>
      <c r="AO181" s="1229"/>
      <c r="AP181" s="1229"/>
      <c r="AQ181" s="1230"/>
      <c r="AR181" s="1194"/>
      <c r="AS181" s="1228"/>
      <c r="AT181" s="1229"/>
      <c r="AU181" s="1229"/>
      <c r="AV181" s="1229"/>
      <c r="AW181" s="1230"/>
      <c r="AX181" s="1194"/>
      <c r="AY181" s="1231"/>
      <c r="AZ181" s="1232"/>
      <c r="BA181" s="1232"/>
      <c r="BB181" s="1232"/>
      <c r="BC181" s="1230"/>
      <c r="BD181" s="1194"/>
      <c r="BE181" s="1231"/>
      <c r="BF181" s="1232"/>
      <c r="BG181" s="1229"/>
      <c r="BH181" s="1229"/>
      <c r="BI181" s="1230"/>
      <c r="BJ181" s="1194"/>
      <c r="BK181" s="1228"/>
      <c r="BL181" s="1229"/>
      <c r="BM181" s="1229"/>
      <c r="BN181" s="1229"/>
      <c r="BO181" s="1230"/>
      <c r="BP181" s="1194"/>
      <c r="BQ181" s="1228"/>
      <c r="BR181" s="1229"/>
      <c r="BS181" s="1229"/>
      <c r="BT181" s="1229"/>
      <c r="BU181" s="1230"/>
      <c r="BV181" s="1194"/>
      <c r="BW181" s="1228"/>
      <c r="BX181" s="1229"/>
      <c r="BY181" s="1229"/>
      <c r="BZ181" s="1229"/>
      <c r="CA181" s="1230"/>
      <c r="CB181" s="1194"/>
      <c r="CC181" s="1228"/>
      <c r="CD181" s="1229"/>
      <c r="CE181" s="1229"/>
      <c r="CF181" s="1229"/>
      <c r="CG181" s="1230"/>
      <c r="CO181"/>
      <c r="CP181"/>
      <c r="CQ181"/>
      <c r="CR181"/>
      <c r="CS181"/>
      <c r="CT181"/>
    </row>
    <row r="182" spans="1:98" s="7" customFormat="1" ht="11.25" customHeight="1" x14ac:dyDescent="0.2">
      <c r="B182" s="11"/>
      <c r="CO182"/>
      <c r="CP182"/>
      <c r="CQ182"/>
      <c r="CR182"/>
      <c r="CS182"/>
      <c r="CT182"/>
    </row>
    <row r="183" spans="1:98" s="7" customFormat="1" ht="11.25" customHeight="1" x14ac:dyDescent="0.2">
      <c r="B183" s="11"/>
      <c r="CO183"/>
      <c r="CP183"/>
      <c r="CQ183"/>
      <c r="CR183"/>
      <c r="CS183"/>
      <c r="CT183"/>
    </row>
    <row r="184" spans="1:98" s="7" customFormat="1" ht="11.25" customHeight="1" x14ac:dyDescent="0.2">
      <c r="B184" s="11"/>
      <c r="CO184"/>
      <c r="CP184"/>
      <c r="CQ184"/>
      <c r="CR184"/>
      <c r="CS184"/>
      <c r="CT184"/>
    </row>
    <row r="185" spans="1:98" s="7" customFormat="1" ht="11.25" customHeight="1" x14ac:dyDescent="0.2">
      <c r="B185" s="11"/>
      <c r="CO185"/>
      <c r="CP185"/>
      <c r="CQ185"/>
      <c r="CR185"/>
      <c r="CS185"/>
      <c r="CT185"/>
    </row>
    <row r="186" spans="1:98" s="7" customFormat="1" ht="11.25" customHeight="1" x14ac:dyDescent="0.2">
      <c r="B186" s="11"/>
      <c r="CO186"/>
      <c r="CP186"/>
      <c r="CQ186"/>
      <c r="CR186"/>
      <c r="CS186"/>
      <c r="CT186"/>
    </row>
    <row r="187" spans="1:98" s="7" customFormat="1" ht="11.25" customHeight="1" x14ac:dyDescent="0.2">
      <c r="B187" s="11"/>
      <c r="CO187"/>
      <c r="CP187"/>
      <c r="CQ187"/>
      <c r="CR187"/>
      <c r="CS187"/>
      <c r="CT187"/>
    </row>
    <row r="188" spans="1:98" customFormat="1" ht="11.25" customHeight="1" x14ac:dyDescent="0.2"/>
    <row r="189" spans="1:98" s="7" customFormat="1" ht="11.25" customHeight="1" x14ac:dyDescent="0.2">
      <c r="B189" s="11"/>
      <c r="CO189"/>
      <c r="CP189"/>
      <c r="CQ189"/>
      <c r="CR189"/>
      <c r="CS189"/>
      <c r="CT189"/>
    </row>
    <row r="190" spans="1:98" s="7" customFormat="1" ht="11.25" customHeight="1" x14ac:dyDescent="0.2">
      <c r="B190" s="11"/>
      <c r="CO190"/>
      <c r="CP190"/>
      <c r="CQ190"/>
      <c r="CR190"/>
      <c r="CS190"/>
      <c r="CT190"/>
    </row>
    <row r="191" spans="1:98" s="7" customFormat="1" ht="11.25" customHeight="1" x14ac:dyDescent="0.2">
      <c r="CO191"/>
      <c r="CP191"/>
      <c r="CQ191"/>
      <c r="CR191"/>
      <c r="CS191"/>
      <c r="CT191"/>
    </row>
    <row r="192" spans="1:98" s="7" customFormat="1" ht="11.25" customHeight="1" x14ac:dyDescent="0.2">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c r="BS192" s="9"/>
      <c r="BT192" s="9"/>
      <c r="BU192" s="9"/>
      <c r="BV192" s="9"/>
      <c r="BW192" s="9"/>
      <c r="BX192" s="9"/>
      <c r="BY192" s="9"/>
      <c r="BZ192" s="9"/>
      <c r="CA192" s="9"/>
      <c r="CB192" s="9"/>
      <c r="CC192" s="9"/>
      <c r="CD192" s="9"/>
      <c r="CE192" s="9"/>
      <c r="CF192" s="9"/>
      <c r="CG192" s="9"/>
      <c r="CH192" s="9"/>
      <c r="CI192" s="9"/>
      <c r="CJ192" s="9"/>
      <c r="CK192" s="9"/>
      <c r="CL192" s="9"/>
      <c r="CM192" s="9"/>
      <c r="CN192" s="9"/>
      <c r="CO192"/>
      <c r="CP192"/>
      <c r="CQ192"/>
      <c r="CR192"/>
      <c r="CS192"/>
      <c r="CT192"/>
    </row>
    <row r="193" spans="1:98" s="7" customFormat="1" ht="11.25" customHeight="1" x14ac:dyDescent="0.2">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c r="BS193" s="9"/>
      <c r="BT193" s="9"/>
      <c r="BU193" s="9"/>
      <c r="BV193" s="9"/>
      <c r="BW193" s="9"/>
      <c r="BX193" s="9"/>
      <c r="BY193" s="9"/>
      <c r="BZ193" s="9"/>
      <c r="CA193" s="9"/>
      <c r="CB193" s="9"/>
      <c r="CC193" s="9"/>
      <c r="CD193" s="9"/>
      <c r="CE193" s="9"/>
      <c r="CF193" s="9"/>
      <c r="CG193" s="9"/>
      <c r="CH193" s="9"/>
      <c r="CI193" s="9"/>
      <c r="CJ193" s="9"/>
      <c r="CK193" s="9"/>
      <c r="CL193" s="9"/>
      <c r="CM193" s="9"/>
      <c r="CN193" s="9"/>
      <c r="CO193"/>
      <c r="CP193"/>
      <c r="CQ193"/>
      <c r="CR193"/>
      <c r="CS193"/>
      <c r="CT193"/>
    </row>
    <row r="194" spans="1:98" s="7" customFormat="1" ht="11.25" customHeight="1" x14ac:dyDescent="0.2">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c r="BS194" s="9"/>
      <c r="BT194" s="9"/>
      <c r="BU194" s="9"/>
      <c r="BV194" s="9"/>
      <c r="BW194" s="9"/>
      <c r="BX194" s="9"/>
      <c r="BY194" s="9"/>
      <c r="BZ194" s="9"/>
      <c r="CA194" s="9"/>
      <c r="CB194" s="9"/>
      <c r="CC194" s="9"/>
      <c r="CD194" s="9"/>
      <c r="CE194" s="9"/>
      <c r="CF194" s="9"/>
      <c r="CG194" s="9"/>
      <c r="CH194" s="9"/>
      <c r="CI194" s="9"/>
      <c r="CJ194" s="9"/>
      <c r="CK194" s="9"/>
      <c r="CL194" s="9"/>
      <c r="CM194" s="9"/>
      <c r="CN194" s="9"/>
      <c r="CO194"/>
      <c r="CP194"/>
      <c r="CQ194"/>
      <c r="CR194"/>
      <c r="CS194"/>
      <c r="CT194"/>
    </row>
  </sheetData>
  <mergeCells count="14">
    <mergeCell ref="C5:F5"/>
    <mergeCell ref="I5:L5"/>
    <mergeCell ref="O5:R5"/>
    <mergeCell ref="U5:X5"/>
    <mergeCell ref="AA5:AD5"/>
    <mergeCell ref="BK5:BN5"/>
    <mergeCell ref="BQ5:BT5"/>
    <mergeCell ref="BW5:BZ5"/>
    <mergeCell ref="CC5:CF5"/>
    <mergeCell ref="AG5:AJ5"/>
    <mergeCell ref="AM5:AP5"/>
    <mergeCell ref="AS5:AV5"/>
    <mergeCell ref="AY5:BB5"/>
    <mergeCell ref="BE5:BH5"/>
  </mergeCells>
  <printOptions horizontalCentered="1" verticalCentered="1"/>
  <pageMargins left="0" right="0" top="0" bottom="0" header="0" footer="0"/>
  <pageSetup paperSize="5" scale="32" orientation="landscape" r:id="rId1"/>
  <headerFooter alignWithMargins="0"/>
  <rowBreaks count="1" manualBreakCount="1">
    <brk id="65"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pageSetUpPr fitToPage="1"/>
  </sheetPr>
  <dimension ref="A1:CU130"/>
  <sheetViews>
    <sheetView showGridLines="0" zoomScaleNormal="100" zoomScaleSheetLayoutView="115" workbookViewId="0">
      <pane xSplit="2" ySplit="6" topLeftCell="C7" activePane="bottomRight" state="frozen"/>
      <selection activeCell="S21" sqref="S21"/>
      <selection pane="topRight" activeCell="S21" sqref="S21"/>
      <selection pane="bottomLeft" activeCell="S21" sqref="S21"/>
      <selection pane="bottomRight" sqref="A1:XFD1048576"/>
    </sheetView>
  </sheetViews>
  <sheetFormatPr defaultRowHeight="12.75" outlineLevelRow="1" outlineLevelCol="1" x14ac:dyDescent="0.2"/>
  <cols>
    <col min="1" max="1" width="1.7109375" style="9" customWidth="1"/>
    <col min="2" max="2" width="32.42578125" style="9" customWidth="1"/>
    <col min="3" max="7" width="7.28515625" style="9" hidden="1" customWidth="1" outlineLevel="1"/>
    <col min="8" max="8" width="0.85546875" style="9" hidden="1" customWidth="1" outlineLevel="1"/>
    <col min="9" max="13" width="7.28515625" style="9" hidden="1" customWidth="1" outlineLevel="1"/>
    <col min="14" max="14" width="0.85546875" style="9" hidden="1" customWidth="1" outlineLevel="1"/>
    <col min="15" max="19" width="7.28515625" style="9" hidden="1" customWidth="1" outlineLevel="1"/>
    <col min="20" max="20" width="0.85546875" style="9" hidden="1" customWidth="1" outlineLevel="1"/>
    <col min="21" max="25" width="7.28515625" style="9" hidden="1" customWidth="1" outlineLevel="1"/>
    <col min="26" max="26" width="0.85546875" style="9" hidden="1" customWidth="1" outlineLevel="1"/>
    <col min="27" max="31" width="7.28515625" style="9" hidden="1" customWidth="1" outlineLevel="1"/>
    <col min="32" max="32" width="0.85546875" style="9" hidden="1" customWidth="1" outlineLevel="1"/>
    <col min="33" max="36" width="7.28515625" style="9" hidden="1" customWidth="1" outlineLevel="1"/>
    <col min="37" max="37" width="7.28515625" style="9" customWidth="1" collapsed="1"/>
    <col min="38" max="38" width="0.85546875" style="9" customWidth="1"/>
    <col min="39" max="42" width="7.28515625" style="9" hidden="1" customWidth="1" outlineLevel="1"/>
    <col min="43" max="43" width="7.28515625" style="9" customWidth="1" collapsed="1"/>
    <col min="44" max="44" width="0.85546875" style="9" customWidth="1"/>
    <col min="45" max="48" width="7.28515625" style="9" hidden="1" customWidth="1" outlineLevel="1"/>
    <col min="49" max="49" width="7.28515625" style="9" customWidth="1" collapsed="1"/>
    <col min="50" max="50" width="0.85546875" style="9" customWidth="1"/>
    <col min="51" max="54" width="7.28515625" style="9" hidden="1" customWidth="1" outlineLevel="1"/>
    <col min="55" max="55" width="7.28515625" style="9" customWidth="1" collapsed="1"/>
    <col min="56" max="56" width="0.85546875" style="9" customWidth="1"/>
    <col min="57" max="60" width="7.28515625" style="9" customWidth="1" outlineLevel="1"/>
    <col min="61" max="61" width="7.28515625" style="9" customWidth="1"/>
    <col min="62" max="62" width="0.85546875" style="9" customWidth="1"/>
    <col min="63" max="66" width="7.28515625" style="9" customWidth="1" outlineLevel="1"/>
    <col min="67" max="67" width="7.28515625" style="9" customWidth="1"/>
    <col min="68" max="68" width="0.85546875" style="9" customWidth="1"/>
    <col min="69" max="72" width="7.28515625" style="9" customWidth="1" outlineLevel="1"/>
    <col min="73" max="73" width="7.28515625" style="9" customWidth="1"/>
    <col min="74" max="74" width="0.85546875" style="9" customWidth="1"/>
    <col min="75" max="78" width="7.28515625" style="9" hidden="1" customWidth="1" outlineLevel="1"/>
    <col min="79" max="79" width="7.28515625" style="9" customWidth="1" collapsed="1"/>
    <col min="80" max="80" width="0.85546875" style="9" customWidth="1"/>
    <col min="81" max="84" width="7.28515625" style="9" hidden="1" customWidth="1" outlineLevel="1"/>
    <col min="85" max="85" width="7.28515625" style="9" customWidth="1" collapsed="1"/>
    <col min="86" max="92" width="7.28515625" style="9" customWidth="1"/>
    <col min="93" max="93" width="21.7109375" hidden="1" customWidth="1" outlineLevel="1"/>
    <col min="94" max="98" width="9.140625" hidden="1" customWidth="1" outlineLevel="1"/>
    <col min="99" max="99" width="9.140625" style="9" collapsed="1"/>
    <col min="100" max="16384" width="9.140625" style="9"/>
  </cols>
  <sheetData>
    <row r="1" spans="1:99" ht="11.25" customHeight="1" x14ac:dyDescent="0.2">
      <c r="B1" s="56" t="str">
        <f>'BalSht '!B1</f>
        <v>Henry Schein Inc.</v>
      </c>
      <c r="D1" s="7"/>
      <c r="H1" s="1"/>
      <c r="J1" s="7"/>
      <c r="N1" s="1"/>
      <c r="P1" s="7"/>
      <c r="T1" s="1"/>
      <c r="V1" s="7"/>
      <c r="Z1" s="1"/>
      <c r="AB1" s="7"/>
      <c r="AF1" s="1"/>
      <c r="AH1" s="7"/>
      <c r="AL1" s="1"/>
      <c r="AN1" s="7"/>
      <c r="AR1" s="1"/>
      <c r="AX1" s="1"/>
      <c r="BD1" s="1"/>
      <c r="BJ1" s="1"/>
      <c r="BP1" s="1"/>
      <c r="BV1" s="1"/>
      <c r="CB1" s="1"/>
    </row>
    <row r="2" spans="1:99" ht="11.25" customHeight="1" x14ac:dyDescent="0.2">
      <c r="B2" s="4" t="s">
        <v>249</v>
      </c>
      <c r="D2" s="7"/>
      <c r="H2" s="1"/>
      <c r="J2" s="7"/>
      <c r="N2" s="1"/>
      <c r="P2" s="7"/>
      <c r="T2" s="1"/>
      <c r="V2" s="7"/>
      <c r="Z2" s="1"/>
      <c r="AB2" s="7"/>
      <c r="AF2" s="1"/>
      <c r="AH2" s="7"/>
      <c r="AL2" s="1"/>
      <c r="AN2" s="7"/>
      <c r="AR2" s="1"/>
      <c r="AX2" s="1"/>
      <c r="BD2" s="1"/>
      <c r="BJ2" s="1"/>
      <c r="BP2" s="1"/>
      <c r="BV2" s="1"/>
      <c r="CB2" s="1"/>
    </row>
    <row r="3" spans="1:99" ht="11.25" customHeight="1" x14ac:dyDescent="0.2">
      <c r="B3" s="5" t="s">
        <v>42</v>
      </c>
      <c r="D3" s="7"/>
      <c r="H3" s="1"/>
      <c r="J3" s="7"/>
      <c r="N3" s="1"/>
      <c r="P3" s="7"/>
      <c r="T3" s="1"/>
      <c r="V3" s="7"/>
      <c r="Z3" s="1"/>
      <c r="AB3" s="7"/>
      <c r="AF3" s="1"/>
      <c r="AH3" s="7"/>
      <c r="AL3" s="1"/>
      <c r="AN3" s="7"/>
      <c r="AR3" s="1"/>
      <c r="AX3" s="1"/>
      <c r="BD3" s="1"/>
      <c r="BE3" s="182"/>
      <c r="BJ3" s="1"/>
      <c r="BP3" s="1"/>
      <c r="BV3" s="1"/>
      <c r="CB3" s="1"/>
    </row>
    <row r="4" spans="1:99" ht="11.25" customHeight="1" x14ac:dyDescent="0.2">
      <c r="B4" s="6" t="s">
        <v>213</v>
      </c>
      <c r="D4" s="7"/>
      <c r="H4" s="1"/>
      <c r="J4" s="7"/>
      <c r="N4" s="1"/>
      <c r="P4" s="7"/>
      <c r="T4" s="1"/>
      <c r="V4" s="7"/>
      <c r="Z4" s="1"/>
      <c r="AB4" s="7"/>
      <c r="AF4" s="1"/>
      <c r="AH4" s="7"/>
      <c r="AL4" s="1"/>
      <c r="AN4" s="7"/>
      <c r="AR4" s="1"/>
      <c r="AX4" s="1"/>
      <c r="BD4" s="1"/>
      <c r="BJ4" s="1"/>
      <c r="BP4" s="1"/>
      <c r="BV4" s="1"/>
      <c r="CB4" s="1"/>
    </row>
    <row r="5" spans="1:99" s="87" customFormat="1" ht="11.25" customHeight="1" x14ac:dyDescent="0.2">
      <c r="C5" s="1422" t="s">
        <v>32</v>
      </c>
      <c r="D5" s="1423"/>
      <c r="E5" s="1423"/>
      <c r="F5" s="1423"/>
      <c r="G5" s="389" t="str">
        <f>C5</f>
        <v>2007A</v>
      </c>
      <c r="H5" s="85"/>
      <c r="I5" s="1422" t="s">
        <v>33</v>
      </c>
      <c r="J5" s="1423"/>
      <c r="K5" s="1423"/>
      <c r="L5" s="1424"/>
      <c r="M5" s="389" t="str">
        <f>I5</f>
        <v>2008A</v>
      </c>
      <c r="N5" s="85"/>
      <c r="O5" s="1422" t="s">
        <v>34</v>
      </c>
      <c r="P5" s="1423"/>
      <c r="Q5" s="1423"/>
      <c r="R5" s="1424"/>
      <c r="S5" s="389" t="str">
        <f>O5</f>
        <v>2009A</v>
      </c>
      <c r="T5" s="85"/>
      <c r="U5" s="1422" t="s">
        <v>100</v>
      </c>
      <c r="V5" s="1423"/>
      <c r="W5" s="1423"/>
      <c r="X5" s="1423"/>
      <c r="Y5" s="389" t="str">
        <f>U5</f>
        <v>2010A</v>
      </c>
      <c r="Z5" s="85"/>
      <c r="AA5" s="1422" t="s">
        <v>130</v>
      </c>
      <c r="AB5" s="1423"/>
      <c r="AC5" s="1423"/>
      <c r="AD5" s="1423"/>
      <c r="AE5" s="389" t="str">
        <f>AA5</f>
        <v>2011A</v>
      </c>
      <c r="AF5" s="85"/>
      <c r="AG5" s="1422" t="s">
        <v>131</v>
      </c>
      <c r="AH5" s="1423"/>
      <c r="AI5" s="1423"/>
      <c r="AJ5" s="1423"/>
      <c r="AK5" s="389" t="str">
        <f>AG5</f>
        <v>2012A</v>
      </c>
      <c r="AL5" s="85"/>
      <c r="AM5" s="1422" t="s">
        <v>132</v>
      </c>
      <c r="AN5" s="1423"/>
      <c r="AO5" s="1423"/>
      <c r="AP5" s="1423"/>
      <c r="AQ5" s="389" t="str">
        <f>AM5</f>
        <v>2013A</v>
      </c>
      <c r="AR5" s="85"/>
      <c r="AS5" s="1422" t="s">
        <v>238</v>
      </c>
      <c r="AT5" s="1423"/>
      <c r="AU5" s="1423"/>
      <c r="AV5" s="1423"/>
      <c r="AW5" s="389" t="str">
        <f>AS5</f>
        <v>2014A</v>
      </c>
      <c r="AX5" s="85"/>
      <c r="AY5" s="1422" t="s">
        <v>251</v>
      </c>
      <c r="AZ5" s="1423"/>
      <c r="BA5" s="1423"/>
      <c r="BB5" s="1423"/>
      <c r="BC5" s="389" t="str">
        <f>AY5</f>
        <v>2015A</v>
      </c>
      <c r="BD5" s="85"/>
      <c r="BE5" s="1422" t="s">
        <v>449</v>
      </c>
      <c r="BF5" s="1423"/>
      <c r="BG5" s="1423"/>
      <c r="BH5" s="1423"/>
      <c r="BI5" s="389" t="str">
        <f>BE5</f>
        <v>2016A</v>
      </c>
      <c r="BJ5" s="85"/>
      <c r="BK5" s="1422" t="s">
        <v>678</v>
      </c>
      <c r="BL5" s="1423"/>
      <c r="BM5" s="1423"/>
      <c r="BN5" s="1423"/>
      <c r="BO5" s="389" t="str">
        <f>BK5</f>
        <v>2017A</v>
      </c>
      <c r="BP5" s="85"/>
      <c r="BQ5" s="1422" t="s">
        <v>244</v>
      </c>
      <c r="BR5" s="1423"/>
      <c r="BS5" s="1423"/>
      <c r="BT5" s="1423"/>
      <c r="BU5" s="389" t="str">
        <f>BQ5</f>
        <v>2018E</v>
      </c>
      <c r="BV5" s="85"/>
      <c r="BW5" s="1422" t="s">
        <v>245</v>
      </c>
      <c r="BX5" s="1423"/>
      <c r="BY5" s="1423"/>
      <c r="BZ5" s="1423"/>
      <c r="CA5" s="389" t="str">
        <f>BW5</f>
        <v>2019E</v>
      </c>
      <c r="CB5" s="85"/>
      <c r="CC5" s="1422" t="s">
        <v>457</v>
      </c>
      <c r="CD5" s="1423"/>
      <c r="CE5" s="1423"/>
      <c r="CF5" s="1423"/>
      <c r="CG5" s="389" t="str">
        <f>CC5</f>
        <v>2020E</v>
      </c>
      <c r="CO5"/>
      <c r="CP5"/>
      <c r="CQ5"/>
      <c r="CR5"/>
      <c r="CS5"/>
      <c r="CT5"/>
    </row>
    <row r="6" spans="1:99" ht="11.25" customHeight="1" x14ac:dyDescent="0.2">
      <c r="B6" s="183"/>
      <c r="C6" s="395">
        <v>39172</v>
      </c>
      <c r="D6" s="2">
        <v>39263</v>
      </c>
      <c r="E6" s="2">
        <v>39355</v>
      </c>
      <c r="F6" s="2">
        <v>39447</v>
      </c>
      <c r="G6" s="382" t="str">
        <f>+C5</f>
        <v>2007A</v>
      </c>
      <c r="H6" s="71"/>
      <c r="I6" s="395">
        <v>39538</v>
      </c>
      <c r="J6" s="2">
        <v>39629</v>
      </c>
      <c r="K6" s="2">
        <v>39721</v>
      </c>
      <c r="L6" s="390">
        <v>39813</v>
      </c>
      <c r="M6" s="382" t="str">
        <f>+I5</f>
        <v>2008A</v>
      </c>
      <c r="N6" s="71"/>
      <c r="O6" s="397">
        <v>39903</v>
      </c>
      <c r="P6" s="72">
        <v>39994</v>
      </c>
      <c r="Q6" s="72">
        <v>40086</v>
      </c>
      <c r="R6" s="398">
        <v>40178</v>
      </c>
      <c r="S6" s="382" t="str">
        <f>+O5</f>
        <v>2009A</v>
      </c>
      <c r="T6" s="71"/>
      <c r="U6" s="399">
        <v>40268</v>
      </c>
      <c r="V6" s="72">
        <v>40359</v>
      </c>
      <c r="W6" s="72">
        <v>40451</v>
      </c>
      <c r="X6" s="72">
        <v>40543</v>
      </c>
      <c r="Y6" s="403" t="str">
        <f>+U5</f>
        <v>2010A</v>
      </c>
      <c r="Z6" s="71"/>
      <c r="AA6" s="72">
        <v>40633</v>
      </c>
      <c r="AB6" s="72">
        <v>40724</v>
      </c>
      <c r="AC6" s="72">
        <v>40816</v>
      </c>
      <c r="AD6" s="72">
        <v>40908</v>
      </c>
      <c r="AE6" s="404" t="str">
        <f>+AA5</f>
        <v>2011A</v>
      </c>
      <c r="AF6" s="71"/>
      <c r="AG6" s="72">
        <v>40999</v>
      </c>
      <c r="AH6" s="72">
        <v>41090</v>
      </c>
      <c r="AI6" s="72">
        <v>41182</v>
      </c>
      <c r="AJ6" s="72">
        <v>41274</v>
      </c>
      <c r="AK6" s="404" t="str">
        <f>+AG5</f>
        <v>2012A</v>
      </c>
      <c r="AL6" s="71"/>
      <c r="AM6" s="72">
        <v>41364</v>
      </c>
      <c r="AN6" s="72">
        <v>41455</v>
      </c>
      <c r="AO6" s="72">
        <v>41547</v>
      </c>
      <c r="AP6" s="72">
        <v>41639</v>
      </c>
      <c r="AQ6" s="404" t="str">
        <f>+AM5</f>
        <v>2013A</v>
      </c>
      <c r="AR6" s="71"/>
      <c r="AS6" s="397">
        <v>41729</v>
      </c>
      <c r="AT6" s="72">
        <v>41820</v>
      </c>
      <c r="AU6" s="72">
        <v>41912</v>
      </c>
      <c r="AV6" s="72">
        <v>42004</v>
      </c>
      <c r="AW6" s="404" t="str">
        <f>+AS5</f>
        <v>2014A</v>
      </c>
      <c r="AX6" s="71"/>
      <c r="AY6" s="397">
        <v>42094</v>
      </c>
      <c r="AZ6" s="72">
        <v>42185</v>
      </c>
      <c r="BA6" s="72">
        <v>42277</v>
      </c>
      <c r="BB6" s="72">
        <v>42369</v>
      </c>
      <c r="BC6" s="404" t="str">
        <f>+AY5</f>
        <v>2015A</v>
      </c>
      <c r="BD6" s="71"/>
      <c r="BE6" s="397">
        <v>42460</v>
      </c>
      <c r="BF6" s="72">
        <v>42551</v>
      </c>
      <c r="BG6" s="72">
        <v>42643</v>
      </c>
      <c r="BH6" s="72">
        <v>42735</v>
      </c>
      <c r="BI6" s="404" t="str">
        <f>+BE5</f>
        <v>2016A</v>
      </c>
      <c r="BJ6" s="71"/>
      <c r="BK6" s="397">
        <v>42825</v>
      </c>
      <c r="BL6" s="1113">
        <f>BK6+FLOOR(365/4,1)</f>
        <v>42916</v>
      </c>
      <c r="BM6" s="1113">
        <f>BL6+FLOOR(365/4,1)+1</f>
        <v>43008</v>
      </c>
      <c r="BN6" s="1113">
        <f>BM6+FLOOR(365/4,1)+1</f>
        <v>43100</v>
      </c>
      <c r="BO6" s="404"/>
      <c r="BP6" s="71"/>
      <c r="BQ6" s="401">
        <f>BK6+365</f>
        <v>43190</v>
      </c>
      <c r="BR6" s="70">
        <f>BQ6+FLOOR(365/4,1)</f>
        <v>43281</v>
      </c>
      <c r="BS6" s="70">
        <f>BR6+FLOOR(365/4,1)+1</f>
        <v>43373</v>
      </c>
      <c r="BT6" s="70">
        <f>BS6+FLOOR(365/4,1)+1</f>
        <v>43465</v>
      </c>
      <c r="BU6" s="404"/>
      <c r="BV6" s="71"/>
      <c r="BW6" s="401">
        <f>BQ6+365</f>
        <v>43555</v>
      </c>
      <c r="BX6" s="70">
        <f>BW6+FLOOR(365/4,1)</f>
        <v>43646</v>
      </c>
      <c r="BY6" s="70">
        <f>BX6+FLOOR(365/4,1)+1</f>
        <v>43738</v>
      </c>
      <c r="BZ6" s="70">
        <f>BY6+FLOOR(365/4,1)+1</f>
        <v>43830</v>
      </c>
      <c r="CA6" s="404"/>
      <c r="CB6" s="71"/>
      <c r="CC6" s="401">
        <f>BW6+365</f>
        <v>43920</v>
      </c>
      <c r="CD6" s="70">
        <f>CC6+FLOOR(365/4,1)</f>
        <v>44011</v>
      </c>
      <c r="CE6" s="70">
        <f>CD6+FLOOR(365/4,1)+1</f>
        <v>44103</v>
      </c>
      <c r="CF6" s="70">
        <f>CE6+FLOOR(365/4,1)+1</f>
        <v>44195</v>
      </c>
      <c r="CG6" s="404"/>
    </row>
    <row r="7" spans="1:99" s="7" customFormat="1" ht="11.25" customHeight="1" x14ac:dyDescent="0.2">
      <c r="B7" s="759" t="s">
        <v>186</v>
      </c>
      <c r="C7" s="631"/>
      <c r="D7" s="632"/>
      <c r="E7" s="632"/>
      <c r="F7" s="632"/>
      <c r="G7" s="638"/>
      <c r="H7" s="191"/>
      <c r="I7" s="631"/>
      <c r="J7" s="632"/>
      <c r="K7" s="632"/>
      <c r="L7" s="632"/>
      <c r="M7" s="638"/>
      <c r="N7" s="191"/>
      <c r="O7" s="631"/>
      <c r="P7" s="632"/>
      <c r="Q7" s="632"/>
      <c r="R7" s="632"/>
      <c r="S7" s="638"/>
      <c r="T7" s="191"/>
      <c r="U7" s="631"/>
      <c r="V7" s="632"/>
      <c r="W7" s="632"/>
      <c r="X7" s="632"/>
      <c r="Y7" s="638"/>
      <c r="Z7" s="191"/>
      <c r="AA7" s="631"/>
      <c r="AB7" s="632"/>
      <c r="AC7" s="632"/>
      <c r="AD7" s="632"/>
      <c r="AE7" s="638"/>
      <c r="AF7" s="191"/>
      <c r="AG7" s="631"/>
      <c r="AH7" s="632"/>
      <c r="AI7" s="632"/>
      <c r="AJ7" s="632"/>
      <c r="AK7" s="638"/>
      <c r="AL7" s="191"/>
      <c r="AM7" s="631"/>
      <c r="AN7" s="632"/>
      <c r="AO7" s="632"/>
      <c r="AP7" s="632"/>
      <c r="AQ7" s="638"/>
      <c r="AR7" s="191"/>
      <c r="AS7" s="631"/>
      <c r="AT7" s="632"/>
      <c r="AU7" s="632"/>
      <c r="AV7" s="632"/>
      <c r="AW7" s="638"/>
      <c r="AX7" s="191"/>
      <c r="AY7" s="631"/>
      <c r="AZ7" s="632"/>
      <c r="BA7" s="632"/>
      <c r="BB7" s="632"/>
      <c r="BC7" s="638"/>
      <c r="BD7" s="191"/>
      <c r="BE7" s="631"/>
      <c r="BF7" s="632"/>
      <c r="BG7" s="632"/>
      <c r="BH7" s="632"/>
      <c r="BI7" s="638"/>
      <c r="BJ7" s="191"/>
      <c r="BK7" s="631"/>
      <c r="BL7" s="632"/>
      <c r="BM7" s="632"/>
      <c r="BN7" s="632"/>
      <c r="BO7" s="638"/>
      <c r="BP7" s="191"/>
      <c r="BQ7" s="631"/>
      <c r="BR7" s="632"/>
      <c r="BS7" s="632"/>
      <c r="BT7" s="632"/>
      <c r="BU7" s="638"/>
      <c r="BV7" s="191"/>
      <c r="BW7" s="631"/>
      <c r="BX7" s="632"/>
      <c r="BY7" s="632"/>
      <c r="BZ7" s="632"/>
      <c r="CA7" s="638"/>
      <c r="CB7" s="191"/>
      <c r="CC7" s="631"/>
      <c r="CD7" s="632"/>
      <c r="CE7" s="632"/>
      <c r="CF7" s="632"/>
      <c r="CG7" s="638"/>
      <c r="CO7"/>
      <c r="CP7"/>
      <c r="CQ7"/>
      <c r="CR7"/>
      <c r="CS7"/>
      <c r="CT7"/>
    </row>
    <row r="8" spans="1:99" s="7" customFormat="1" ht="11.25" customHeight="1" x14ac:dyDescent="0.2">
      <c r="A8" s="20"/>
      <c r="B8" s="647" t="s">
        <v>71</v>
      </c>
      <c r="C8" s="633">
        <v>43.494</v>
      </c>
      <c r="D8" s="532">
        <f>77.331-C8</f>
        <v>33.837000000000003</v>
      </c>
      <c r="E8" s="532">
        <f>136.904-D8-C8</f>
        <v>59.572999999999993</v>
      </c>
      <c r="F8" s="532">
        <f>215.173-E8-D8-C8</f>
        <v>78.26900000000002</v>
      </c>
      <c r="G8" s="639">
        <f t="shared" ref="G8:G17" si="0">SUM(C8:F8)</f>
        <v>215.173</v>
      </c>
      <c r="H8" s="38"/>
      <c r="I8" s="633">
        <v>51.44</v>
      </c>
      <c r="J8" s="532">
        <f>126.391-I8</f>
        <v>74.951000000000008</v>
      </c>
      <c r="K8" s="532">
        <f>199.157-J8-I8</f>
        <v>72.766000000000005</v>
      </c>
      <c r="L8" s="532">
        <f>261.374-K8-J8-I8</f>
        <v>62.216999999999999</v>
      </c>
      <c r="M8" s="639">
        <f t="shared" ref="M8:M17" si="1">SUM(I8:L8)</f>
        <v>261.37400000000002</v>
      </c>
      <c r="N8" s="38"/>
      <c r="O8" s="633">
        <v>59.3</v>
      </c>
      <c r="P8" s="532">
        <f>139.725-O8</f>
        <v>80.424999999999997</v>
      </c>
      <c r="Q8" s="532">
        <f>240.473-P8-O8</f>
        <v>100.748</v>
      </c>
      <c r="R8" s="532">
        <f>333.157-Q8-P8-O8</f>
        <v>92.683999999999983</v>
      </c>
      <c r="S8" s="639">
        <f t="shared" ref="S8:S17" si="2">SUM(O8:R8)</f>
        <v>333.15699999999998</v>
      </c>
      <c r="T8" s="38"/>
      <c r="U8" s="633">
        <v>67.251999999999995</v>
      </c>
      <c r="V8" s="532">
        <f>160.415-U8</f>
        <v>93.162999999999997</v>
      </c>
      <c r="W8" s="532">
        <f>254.905-V8-U8</f>
        <v>94.490000000000023</v>
      </c>
      <c r="X8" s="532">
        <f>352.131-W8-V8-U8</f>
        <v>97.225999999999956</v>
      </c>
      <c r="Y8" s="639">
        <f t="shared" ref="Y8:Y17" si="3">SUM(U8:X8)</f>
        <v>352.13099999999997</v>
      </c>
      <c r="Z8" s="38"/>
      <c r="AA8" s="633">
        <v>82.971000000000004</v>
      </c>
      <c r="AB8" s="532">
        <f>188.027-AA8</f>
        <v>105.05599999999998</v>
      </c>
      <c r="AC8" s="532">
        <f>288.835-AB8-AA8</f>
        <v>100.80799999999999</v>
      </c>
      <c r="AD8" s="532">
        <f>404.656-AC8-AB8-AA8</f>
        <v>115.82100000000003</v>
      </c>
      <c r="AE8" s="639">
        <f t="shared" ref="AE8:AE17" si="4">SUM(AA8:AD8)</f>
        <v>404.65600000000001</v>
      </c>
      <c r="AF8" s="38"/>
      <c r="AG8" s="633">
        <v>89.061000000000007</v>
      </c>
      <c r="AH8" s="532">
        <f>196.363-AG8</f>
        <v>107.30199999999999</v>
      </c>
      <c r="AI8" s="532">
        <f>301.673-AH8-AG8</f>
        <v>105.31</v>
      </c>
      <c r="AJ8" s="532">
        <f>423.388-AI8-AH8-AG8</f>
        <v>121.71499999999997</v>
      </c>
      <c r="AK8" s="639">
        <f t="shared" ref="AK8:AK17" si="5">SUM(AG8:AJ8)</f>
        <v>423.38799999999998</v>
      </c>
      <c r="AL8" s="38"/>
      <c r="AM8" s="633">
        <v>98.686000000000007</v>
      </c>
      <c r="AN8" s="532">
        <f>220.121-AM8</f>
        <v>121.435</v>
      </c>
      <c r="AO8" s="532">
        <f>336.493-AN8-AM8</f>
        <v>116.37199999999999</v>
      </c>
      <c r="AP8" s="532">
        <f>471.462-AO8-AN8-AM8</f>
        <v>134.96900000000002</v>
      </c>
      <c r="AQ8" s="639">
        <f t="shared" ref="AQ8:AQ17" si="6">SUM(AM8:AP8)</f>
        <v>471.46199999999999</v>
      </c>
      <c r="AR8" s="38"/>
      <c r="AS8" s="633">
        <v>110.128</v>
      </c>
      <c r="AT8" s="532">
        <f>237.245-AS8</f>
        <v>127.117</v>
      </c>
      <c r="AU8" s="532">
        <f>361.481-AT8-AS8</f>
        <v>124.23599999999998</v>
      </c>
      <c r="AV8" s="532">
        <f>505.436-AU8-AT8-AS8</f>
        <v>143.95499999999998</v>
      </c>
      <c r="AW8" s="639">
        <f t="shared" ref="AW8:AW17" si="7">SUM(AS8:AV8)</f>
        <v>505.43599999999998</v>
      </c>
      <c r="AX8" s="38"/>
      <c r="AY8" s="633">
        <v>111.58</v>
      </c>
      <c r="AZ8" s="532">
        <f>241.188-AY8</f>
        <v>129.608</v>
      </c>
      <c r="BA8" s="532">
        <f>382.584-AZ8-AY8</f>
        <v>141.39600000000002</v>
      </c>
      <c r="BB8" s="532">
        <f>523.427-BA8-AZ8-AY8</f>
        <v>140.84300000000002</v>
      </c>
      <c r="BC8" s="639">
        <f t="shared" ref="BC8:BC17" si="8">SUM(AY8:BB8)</f>
        <v>523.42700000000002</v>
      </c>
      <c r="BD8" s="38"/>
      <c r="BE8" s="633">
        <v>124.533</v>
      </c>
      <c r="BF8" s="532">
        <f>257.631-BE8</f>
        <v>133.09799999999996</v>
      </c>
      <c r="BG8" s="532">
        <f>402.922-BF8-BE8</f>
        <v>145.29100000000005</v>
      </c>
      <c r="BH8" s="532">
        <f>556.395-BG8-BF8-BE8</f>
        <v>153.47299999999996</v>
      </c>
      <c r="BI8" s="639">
        <f>SUM(BE8:BH8)</f>
        <v>556.39499999999998</v>
      </c>
      <c r="BJ8" s="38"/>
      <c r="BK8" s="633">
        <v>150.25299999999999</v>
      </c>
      <c r="BL8" s="532">
        <f>299.835-BK8</f>
        <v>149.58199999999999</v>
      </c>
      <c r="BM8" s="532">
        <f>450.783-SUM(BK8:BL8)</f>
        <v>150.94800000000004</v>
      </c>
      <c r="BN8" s="532">
        <f>459.293-BM8-BL8-BK8</f>
        <v>8.5099999999999909</v>
      </c>
      <c r="BO8" s="639">
        <f>SUM(BK8:BN8)</f>
        <v>459.29300000000001</v>
      </c>
      <c r="BP8" s="38"/>
      <c r="BQ8" s="644">
        <f>'P&amp;L'!BQ67+'P&amp;L'!BQ25</f>
        <v>156.69818855789129</v>
      </c>
      <c r="BR8" s="643">
        <f>'P&amp;L'!BR67+'P&amp;L'!BR25</f>
        <v>169.00583795713624</v>
      </c>
      <c r="BS8" s="643">
        <f>'P&amp;L'!BS67+'P&amp;L'!BS25</f>
        <v>170.24034940021221</v>
      </c>
      <c r="BT8" s="643">
        <f>'P&amp;L'!BT67+'P&amp;L'!BT25</f>
        <v>189.11937422675163</v>
      </c>
      <c r="BU8" s="639">
        <f>SUM(BQ8:BT8)</f>
        <v>685.06375014199136</v>
      </c>
      <c r="BV8" s="38"/>
      <c r="BW8" s="644">
        <f>'P&amp;L'!BW67+'P&amp;L'!BW25</f>
        <v>154.99527095920374</v>
      </c>
      <c r="BX8" s="643">
        <f>'P&amp;L'!BX67+'P&amp;L'!BX25</f>
        <v>169.94184799542791</v>
      </c>
      <c r="BY8" s="643">
        <f>'P&amp;L'!BY67+'P&amp;L'!BY25</f>
        <v>170.99662990625325</v>
      </c>
      <c r="BZ8" s="643">
        <f>'P&amp;L'!BZ67+'P&amp;L'!BZ25</f>
        <v>190.42025220116426</v>
      </c>
      <c r="CA8" s="639">
        <f>SUM(BW8:BZ8)</f>
        <v>686.35400106204906</v>
      </c>
      <c r="CB8" s="38"/>
      <c r="CC8" s="644">
        <f>'P&amp;L'!CC67+'P&amp;L'!CC25</f>
        <v>159.55732648629265</v>
      </c>
      <c r="CD8" s="643">
        <f>'P&amp;L'!CD67+'P&amp;L'!CD25</f>
        <v>175.58825051377244</v>
      </c>
      <c r="CE8" s="643">
        <f>'P&amp;L'!CE67+'P&amp;L'!CE25</f>
        <v>175.57832131658154</v>
      </c>
      <c r="CF8" s="643">
        <f>'P&amp;L'!CF67+'P&amp;L'!CF25</f>
        <v>194.58869652203694</v>
      </c>
      <c r="CG8" s="639">
        <f>SUM(CC8:CF8)</f>
        <v>705.31259483868359</v>
      </c>
      <c r="CO8"/>
      <c r="CP8"/>
      <c r="CQ8"/>
      <c r="CR8"/>
      <c r="CS8"/>
      <c r="CT8"/>
      <c r="CU8" s="184"/>
    </row>
    <row r="9" spans="1:99" s="7" customFormat="1" ht="11.25" customHeight="1" x14ac:dyDescent="0.2">
      <c r="B9" s="647" t="s">
        <v>187</v>
      </c>
      <c r="C9" s="634"/>
      <c r="D9" s="511"/>
      <c r="E9" s="511"/>
      <c r="F9" s="511"/>
      <c r="G9" s="388"/>
      <c r="H9" s="26"/>
      <c r="I9" s="634"/>
      <c r="J9" s="511"/>
      <c r="K9" s="511"/>
      <c r="L9" s="511"/>
      <c r="M9" s="388"/>
      <c r="N9" s="26"/>
      <c r="O9" s="634"/>
      <c r="P9" s="511"/>
      <c r="Q9" s="511"/>
      <c r="R9" s="511"/>
      <c r="S9" s="388"/>
      <c r="T9" s="26"/>
      <c r="U9" s="634"/>
      <c r="V9" s="511"/>
      <c r="W9" s="511"/>
      <c r="X9" s="511"/>
      <c r="Y9" s="388"/>
      <c r="Z9" s="26"/>
      <c r="AA9" s="634"/>
      <c r="AB9" s="511"/>
      <c r="AC9" s="511"/>
      <c r="AD9" s="511"/>
      <c r="AE9" s="388"/>
      <c r="AF9" s="26"/>
      <c r="AG9" s="634"/>
      <c r="AH9" s="511"/>
      <c r="AI9" s="511"/>
      <c r="AJ9" s="511"/>
      <c r="AK9" s="388"/>
      <c r="AL9" s="26"/>
      <c r="AM9" s="634"/>
      <c r="AN9" s="511"/>
      <c r="AO9" s="511"/>
      <c r="AP9" s="511"/>
      <c r="AQ9" s="388"/>
      <c r="AR9" s="26"/>
      <c r="AS9" s="634"/>
      <c r="AT9" s="511"/>
      <c r="AU9" s="511"/>
      <c r="AV9" s="511"/>
      <c r="AW9" s="388"/>
      <c r="AX9" s="26"/>
      <c r="AY9" s="634"/>
      <c r="AZ9" s="511"/>
      <c r="BA9" s="511"/>
      <c r="BB9" s="511"/>
      <c r="BC9" s="388"/>
      <c r="BD9" s="26"/>
      <c r="BE9" s="634"/>
      <c r="BF9" s="511"/>
      <c r="BG9" s="511"/>
      <c r="BH9" s="511"/>
      <c r="BI9" s="388"/>
      <c r="BJ9" s="26"/>
      <c r="BK9" s="634"/>
      <c r="BL9" s="511"/>
      <c r="BM9" s="511"/>
      <c r="BN9" s="511"/>
      <c r="BO9" s="388"/>
      <c r="BP9" s="26"/>
      <c r="BQ9" s="627"/>
      <c r="BR9" s="39"/>
      <c r="BS9" s="39"/>
      <c r="BT9" s="39"/>
      <c r="BU9" s="388"/>
      <c r="BV9" s="26"/>
      <c r="BW9" s="627"/>
      <c r="BX9" s="39"/>
      <c r="BY9" s="39"/>
      <c r="BZ9" s="39"/>
      <c r="CA9" s="388"/>
      <c r="CB9" s="26"/>
      <c r="CC9" s="627"/>
      <c r="CD9" s="39"/>
      <c r="CE9" s="39"/>
      <c r="CF9" s="39"/>
      <c r="CG9" s="388"/>
      <c r="CO9"/>
      <c r="CP9"/>
      <c r="CQ9"/>
      <c r="CR9"/>
      <c r="CS9"/>
      <c r="CT9"/>
    </row>
    <row r="10" spans="1:99" s="7" customFormat="1" ht="11.25" customHeight="1" x14ac:dyDescent="0.2">
      <c r="A10" s="136"/>
      <c r="B10" s="422" t="s">
        <v>274</v>
      </c>
      <c r="C10" s="380">
        <v>17.556999999999999</v>
      </c>
      <c r="D10" s="204">
        <f>35.227-C10</f>
        <v>17.669999999999998</v>
      </c>
      <c r="E10" s="204">
        <f>53.021-D10-C10</f>
        <v>17.794</v>
      </c>
      <c r="F10" s="204">
        <f>73.936-E10-D10-C10</f>
        <v>20.91500000000001</v>
      </c>
      <c r="G10" s="388">
        <f t="shared" si="0"/>
        <v>73.936000000000007</v>
      </c>
      <c r="H10" s="62"/>
      <c r="I10" s="380">
        <v>19.437999999999999</v>
      </c>
      <c r="J10" s="204">
        <f>39.708-I10</f>
        <v>20.27</v>
      </c>
      <c r="K10" s="204">
        <f>59.183-J10-I10</f>
        <v>19.474999999999998</v>
      </c>
      <c r="L10" s="204">
        <f>78.127-K10-J10-I10</f>
        <v>18.944000000000006</v>
      </c>
      <c r="M10" s="388">
        <f t="shared" si="1"/>
        <v>78.126999999999995</v>
      </c>
      <c r="N10" s="62"/>
      <c r="O10" s="380">
        <v>19.920999999999999</v>
      </c>
      <c r="P10" s="204">
        <f>40.734-O10</f>
        <v>20.813000000000002</v>
      </c>
      <c r="Q10" s="204">
        <f>60.93-P10-O10</f>
        <v>20.195999999999998</v>
      </c>
      <c r="R10" s="204">
        <f>81.493-Q10-P10-O10</f>
        <v>20.562999999999995</v>
      </c>
      <c r="S10" s="388">
        <f t="shared" si="2"/>
        <v>81.492999999999995</v>
      </c>
      <c r="T10" s="62"/>
      <c r="U10" s="380">
        <v>24.571999999999999</v>
      </c>
      <c r="V10" s="204">
        <f>50.344-U10</f>
        <v>25.772000000000002</v>
      </c>
      <c r="W10" s="204">
        <f>75.51-V10-U10</f>
        <v>25.166</v>
      </c>
      <c r="X10" s="204">
        <f>101.214-W10-V10-U10</f>
        <v>25.703999999999997</v>
      </c>
      <c r="Y10" s="388">
        <f t="shared" si="3"/>
        <v>101.214</v>
      </c>
      <c r="Z10" s="62"/>
      <c r="AA10" s="380">
        <v>28.347999999999999</v>
      </c>
      <c r="AB10" s="204">
        <f>57.469-AA10</f>
        <v>29.121000000000002</v>
      </c>
      <c r="AC10" s="204">
        <f>86.04-AB10-AA10</f>
        <v>28.571000000000005</v>
      </c>
      <c r="AD10" s="204">
        <f>115.896-AC10-AB10-AA10</f>
        <v>29.855999999999987</v>
      </c>
      <c r="AE10" s="388">
        <f t="shared" si="4"/>
        <v>115.89599999999999</v>
      </c>
      <c r="AF10" s="62"/>
      <c r="AG10" s="380">
        <v>30.42</v>
      </c>
      <c r="AH10" s="204">
        <f>61.389-AG10</f>
        <v>30.969000000000001</v>
      </c>
      <c r="AI10" s="204">
        <f>91.989-AH10-AG10</f>
        <v>30.6</v>
      </c>
      <c r="AJ10" s="204">
        <f>125.322-AI10-AH10-AG10</f>
        <v>33.333000000000006</v>
      </c>
      <c r="AK10" s="388">
        <f t="shared" si="5"/>
        <v>125.322</v>
      </c>
      <c r="AL10" s="62"/>
      <c r="AM10" s="380">
        <v>32.393000000000001</v>
      </c>
      <c r="AN10" s="204">
        <f>64.236-AM10</f>
        <v>31.843000000000004</v>
      </c>
      <c r="AO10" s="204">
        <f>96.081-AN10-AM10</f>
        <v>31.844999999999999</v>
      </c>
      <c r="AP10" s="204">
        <f>128.035-AO10-AN10-AM10</f>
        <v>31.953999999999994</v>
      </c>
      <c r="AQ10" s="388">
        <f t="shared" si="6"/>
        <v>128.035</v>
      </c>
      <c r="AR10" s="62"/>
      <c r="AS10" s="380">
        <v>36.136000000000003</v>
      </c>
      <c r="AT10" s="204">
        <f>73.489-AS10</f>
        <v>37.353000000000002</v>
      </c>
      <c r="AU10" s="204">
        <f>112.668-AT10-AS10</f>
        <v>39.178999999999995</v>
      </c>
      <c r="AV10" s="204">
        <f>152.238-AU10-AT10-AS10</f>
        <v>39.569999999999986</v>
      </c>
      <c r="AW10" s="388">
        <f t="shared" si="7"/>
        <v>152.238</v>
      </c>
      <c r="AX10" s="62"/>
      <c r="AY10" s="380">
        <v>37.149000000000001</v>
      </c>
      <c r="AZ10" s="204">
        <f>76.175-AY10</f>
        <v>39.025999999999996</v>
      </c>
      <c r="BA10" s="204">
        <f>118.891-AZ10-AY10</f>
        <v>42.716000000000008</v>
      </c>
      <c r="BB10" s="204">
        <f>159.127-BA10-AZ10-AY10</f>
        <v>40.236000000000004</v>
      </c>
      <c r="BC10" s="388">
        <f t="shared" si="8"/>
        <v>159.12700000000001</v>
      </c>
      <c r="BD10" s="62"/>
      <c r="BE10" s="380">
        <v>40.966999999999999</v>
      </c>
      <c r="BF10" s="204">
        <f>83.398-BE10</f>
        <v>42.430999999999997</v>
      </c>
      <c r="BG10" s="204">
        <f>125.829-BF10-BE10</f>
        <v>42.430999999999997</v>
      </c>
      <c r="BH10" s="204">
        <f>169.78-BG10-BF10-BE10</f>
        <v>43.951000000000008</v>
      </c>
      <c r="BI10" s="388">
        <f t="shared" ref="BI10:BI17" si="9">SUM(BE10:BH10)</f>
        <v>169.78</v>
      </c>
      <c r="BJ10" s="62"/>
      <c r="BK10" s="380">
        <v>44.749000000000002</v>
      </c>
      <c r="BL10" s="204">
        <f>92.538-BK10</f>
        <v>47.788999999999994</v>
      </c>
      <c r="BM10" s="204">
        <f>141.278-SUM(BK10:BL10)</f>
        <v>48.739999999999995</v>
      </c>
      <c r="BN10" s="204">
        <f>193.072-BM10-BL10-BK10</f>
        <v>51.794000000000004</v>
      </c>
      <c r="BO10" s="388">
        <f t="shared" ref="BO10:BO17" si="10">SUM(BK10:BN10)</f>
        <v>193.072</v>
      </c>
      <c r="BP10" s="62"/>
      <c r="BQ10" s="645">
        <f>-'BalSht '!BQ111+'BalSht '!BQ123</f>
        <v>53.658172499999999</v>
      </c>
      <c r="BR10" s="534">
        <f>-'BalSht '!BR111+'BalSht '!BR123</f>
        <v>52.812896310077498</v>
      </c>
      <c r="BS10" s="534">
        <f>-'BalSht '!BS111+'BalSht '!BS123</f>
        <v>52.061501919477493</v>
      </c>
      <c r="BT10" s="534">
        <f>-'BalSht '!BT111+'BalSht '!BT123</f>
        <v>51.380086787951868</v>
      </c>
      <c r="BU10" s="388">
        <f t="shared" ref="BU10:BU17" si="11">SUM(BQ10:BT10)</f>
        <v>209.91265751750689</v>
      </c>
      <c r="BV10" s="62"/>
      <c r="BW10" s="645">
        <f>-'BalSht '!BW111+'BalSht '!BW123</f>
        <v>53.559806036083771</v>
      </c>
      <c r="BX10" s="534">
        <f>-'BalSht '!BX111+'BalSht '!BX123</f>
        <v>52.704201230030662</v>
      </c>
      <c r="BY10" s="534">
        <f>-'BalSht '!BY111+'BalSht '!BY123</f>
        <v>51.948411048527056</v>
      </c>
      <c r="BZ10" s="534">
        <f>-'BalSht '!BZ111+'BalSht '!BZ123</f>
        <v>51.271028757074639</v>
      </c>
      <c r="CA10" s="388">
        <f t="shared" ref="CA10:CA17" si="12">SUM(BW10:BZ10)</f>
        <v>209.48344707171614</v>
      </c>
      <c r="CB10" s="62"/>
      <c r="CC10" s="645">
        <f>-'BalSht '!CC111+'BalSht '!CC123</f>
        <v>52.94580826525803</v>
      </c>
      <c r="CD10" s="534">
        <f>-'BalSht '!CD111+'BalSht '!CD123</f>
        <v>52.131556314138948</v>
      </c>
      <c r="CE10" s="534">
        <f>-'BalSht '!CE111+'BalSht '!CE123</f>
        <v>51.424336854239826</v>
      </c>
      <c r="CF10" s="534">
        <f>-'BalSht '!CF111+'BalSht '!CF123</f>
        <v>50.801173081705947</v>
      </c>
      <c r="CG10" s="388">
        <f t="shared" ref="CG10:CG17" si="13">SUM(CC10:CF10)</f>
        <v>207.30287451534275</v>
      </c>
      <c r="CO10"/>
      <c r="CP10"/>
      <c r="CQ10"/>
      <c r="CR10"/>
      <c r="CS10"/>
      <c r="CT10"/>
      <c r="CU10" s="184"/>
    </row>
    <row r="11" spans="1:99" s="7" customFormat="1" ht="11.25" customHeight="1" x14ac:dyDescent="0.2">
      <c r="A11" s="136"/>
      <c r="B11" s="422" t="s">
        <v>190</v>
      </c>
      <c r="C11" s="380">
        <v>4.117</v>
      </c>
      <c r="D11" s="204">
        <f>10.725-C11</f>
        <v>6.6079999999999997</v>
      </c>
      <c r="E11" s="204">
        <f>16.72-D11-C11</f>
        <v>5.9949999999999983</v>
      </c>
      <c r="F11" s="204">
        <f>22.553-E11-D11-C11</f>
        <v>5.8330000000000028</v>
      </c>
      <c r="G11" s="388">
        <f t="shared" si="0"/>
        <v>22.553000000000001</v>
      </c>
      <c r="H11" s="116"/>
      <c r="I11" s="380">
        <v>9.26</v>
      </c>
      <c r="J11" s="204">
        <f>16.216-I11</f>
        <v>6.9560000000000013</v>
      </c>
      <c r="K11" s="204">
        <f>23.06-J11-I11</f>
        <v>6.8439999999999994</v>
      </c>
      <c r="L11" s="204">
        <f>25.429-K11-J11-I11</f>
        <v>2.3689999999999998</v>
      </c>
      <c r="M11" s="388">
        <f t="shared" si="1"/>
        <v>25.429000000000002</v>
      </c>
      <c r="N11" s="116"/>
      <c r="O11" s="380">
        <v>6.0670000000000002</v>
      </c>
      <c r="P11" s="204">
        <f>12.303-O11</f>
        <v>6.2360000000000007</v>
      </c>
      <c r="Q11" s="204">
        <f>18.344-P11-O11</f>
        <v>6.0410000000000004</v>
      </c>
      <c r="R11" s="204">
        <f>25.924-Q11-P11-O11</f>
        <v>7.5799999999999983</v>
      </c>
      <c r="S11" s="388">
        <f t="shared" si="2"/>
        <v>25.923999999999999</v>
      </c>
      <c r="T11" s="116"/>
      <c r="U11" s="380">
        <v>6.1420000000000003</v>
      </c>
      <c r="V11" s="204">
        <f>12.999-U11</f>
        <v>6.8570000000000002</v>
      </c>
      <c r="W11" s="204">
        <f>19.745-V11-U11</f>
        <v>6.7460000000000013</v>
      </c>
      <c r="X11" s="204">
        <f>29.91-W11-V11-U11</f>
        <v>10.164999999999999</v>
      </c>
      <c r="Y11" s="388">
        <f t="shared" si="3"/>
        <v>29.91</v>
      </c>
      <c r="Z11" s="116"/>
      <c r="AA11" s="380">
        <v>8.3450000000000006</v>
      </c>
      <c r="AB11" s="204">
        <f>17.96-AA11</f>
        <v>9.6150000000000002</v>
      </c>
      <c r="AC11" s="204">
        <f>26.045-AB11-AA11</f>
        <v>8.0849999999999991</v>
      </c>
      <c r="AD11" s="204">
        <f>36.932-AC11-AB11-AA11</f>
        <v>10.886999999999999</v>
      </c>
      <c r="AE11" s="388">
        <f t="shared" si="4"/>
        <v>36.932000000000002</v>
      </c>
      <c r="AF11" s="116"/>
      <c r="AG11" s="380">
        <v>8.7539999999999996</v>
      </c>
      <c r="AH11" s="204">
        <f>20.049-AG11</f>
        <v>11.295</v>
      </c>
      <c r="AI11" s="204">
        <f>31.867-AH11-AG11</f>
        <v>11.818000000000003</v>
      </c>
      <c r="AJ11" s="204">
        <f>37.313-AI11-AH11-AG11</f>
        <v>5.445999999999998</v>
      </c>
      <c r="AK11" s="388">
        <f t="shared" si="5"/>
        <v>37.313000000000002</v>
      </c>
      <c r="AL11" s="116"/>
      <c r="AM11" s="380">
        <v>5.31</v>
      </c>
      <c r="AN11" s="204">
        <f>16.732-AM11</f>
        <v>11.422000000000001</v>
      </c>
      <c r="AO11" s="204">
        <f>24.695-AN11-AM11</f>
        <v>7.9630000000000001</v>
      </c>
      <c r="AP11" s="204">
        <f>35.527-AO11-AN11-AM11</f>
        <v>10.832000000000001</v>
      </c>
      <c r="AQ11" s="388">
        <f t="shared" si="6"/>
        <v>35.527000000000001</v>
      </c>
      <c r="AR11" s="116"/>
      <c r="AS11" s="380">
        <v>8.9629999999999992</v>
      </c>
      <c r="AT11" s="204">
        <f>19.505-AS11</f>
        <v>10.542</v>
      </c>
      <c r="AU11" s="204">
        <f>33.252-AT11-AS11</f>
        <v>13.747000000000002</v>
      </c>
      <c r="AV11" s="204">
        <f>45.876-AU11-AT11-AS11</f>
        <v>12.623999999999997</v>
      </c>
      <c r="AW11" s="388">
        <f t="shared" si="7"/>
        <v>45.875999999999998</v>
      </c>
      <c r="AX11" s="116"/>
      <c r="AY11" s="380">
        <v>8.4990000000000006</v>
      </c>
      <c r="AZ11" s="204">
        <f>22.001-AY11</f>
        <v>13.502000000000001</v>
      </c>
      <c r="BA11" s="204">
        <f>35.08-AZ11-AY11</f>
        <v>13.078999999999995</v>
      </c>
      <c r="BB11" s="204">
        <f>44.614-BA11-AZ11-AY11</f>
        <v>9.5340000000000007</v>
      </c>
      <c r="BC11" s="388">
        <f t="shared" si="8"/>
        <v>44.613999999999997</v>
      </c>
      <c r="BD11" s="116"/>
      <c r="BE11" s="380">
        <v>14.144</v>
      </c>
      <c r="BF11" s="204">
        <f>27.456-BE11</f>
        <v>13.311999999999999</v>
      </c>
      <c r="BG11" s="204">
        <f>43.627-BF11-BE11</f>
        <v>16.171000000000006</v>
      </c>
      <c r="BH11" s="204">
        <f>58.246-BG11-BF11-BE11</f>
        <v>14.618999999999998</v>
      </c>
      <c r="BI11" s="388">
        <f t="shared" si="9"/>
        <v>58.246000000000009</v>
      </c>
      <c r="BJ11" s="116"/>
      <c r="BK11" s="380">
        <v>8.4969999999999999</v>
      </c>
      <c r="BL11" s="204">
        <f>19.355-BK11</f>
        <v>10.858000000000001</v>
      </c>
      <c r="BM11" s="204">
        <f>31.987-SUM(BK11:BL11)</f>
        <v>12.631999999999998</v>
      </c>
      <c r="BN11" s="204">
        <f>42.294-BM11-BL11-BK11</f>
        <v>10.306999999999999</v>
      </c>
      <c r="BO11" s="388">
        <f t="shared" si="10"/>
        <v>42.293999999999997</v>
      </c>
      <c r="BP11" s="116"/>
      <c r="BQ11" s="627">
        <f>+BQ88</f>
        <v>9.7411180381745961</v>
      </c>
      <c r="BR11" s="39">
        <f>+BR88</f>
        <v>10.322215203634578</v>
      </c>
      <c r="BS11" s="39">
        <f>+BS88</f>
        <v>10.555509254963486</v>
      </c>
      <c r="BT11" s="39">
        <f>+BT88</f>
        <v>10.889684028333068</v>
      </c>
      <c r="BU11" s="388">
        <f t="shared" si="11"/>
        <v>41.508526525105729</v>
      </c>
      <c r="BV11" s="116"/>
      <c r="BW11" s="627">
        <f>+BW88</f>
        <v>10.258990873818423</v>
      </c>
      <c r="BX11" s="39">
        <f>+BX88</f>
        <v>10.810136992385541</v>
      </c>
      <c r="BY11" s="39">
        <f>+BY88</f>
        <v>11.055576798759487</v>
      </c>
      <c r="BZ11" s="39">
        <f>+BZ88</f>
        <v>11.397373114152902</v>
      </c>
      <c r="CA11" s="388">
        <f t="shared" si="12"/>
        <v>43.522077779116358</v>
      </c>
      <c r="CB11" s="116"/>
      <c r="CC11" s="627">
        <f>+CC88</f>
        <v>10.705557660288417</v>
      </c>
      <c r="CD11" s="39">
        <f>+CD88</f>
        <v>11.284116559736789</v>
      </c>
      <c r="CE11" s="39">
        <f>+CE88</f>
        <v>11.53989238096287</v>
      </c>
      <c r="CF11" s="39">
        <f>+CF88</f>
        <v>11.892138223686352</v>
      </c>
      <c r="CG11" s="388">
        <f t="shared" si="13"/>
        <v>45.421704824674428</v>
      </c>
      <c r="CO11"/>
      <c r="CP11"/>
      <c r="CQ11"/>
      <c r="CR11"/>
      <c r="CS11"/>
      <c r="CT11"/>
      <c r="CU11" s="184"/>
    </row>
    <row r="12" spans="1:99" s="7" customFormat="1" ht="11.25" customHeight="1" x14ac:dyDescent="0.2">
      <c r="A12" s="136"/>
      <c r="B12" s="422" t="s">
        <v>275</v>
      </c>
      <c r="C12" s="380">
        <v>0.23100000000000001</v>
      </c>
      <c r="D12" s="204">
        <f>0.232-C12</f>
        <v>1.0000000000000009E-3</v>
      </c>
      <c r="E12" s="204">
        <f>1.062-D12-C12</f>
        <v>0.83</v>
      </c>
      <c r="F12" s="204">
        <f>1.384-E12-D12-C12</f>
        <v>0.32199999999999995</v>
      </c>
      <c r="G12" s="388">
        <f t="shared" si="0"/>
        <v>1.3839999999999999</v>
      </c>
      <c r="H12" s="116"/>
      <c r="I12" s="380">
        <v>1.137</v>
      </c>
      <c r="J12" s="204">
        <f>2.604-I12</f>
        <v>1.4670000000000001</v>
      </c>
      <c r="K12" s="204">
        <f>3.711-J12-I12</f>
        <v>1.1069999999999998</v>
      </c>
      <c r="L12" s="204">
        <f>6.255-K12-J12-I12</f>
        <v>2.5439999999999996</v>
      </c>
      <c r="M12" s="388">
        <f t="shared" si="1"/>
        <v>6.254999999999999</v>
      </c>
      <c r="N12" s="116"/>
      <c r="O12" s="380">
        <v>1.1859999999999999</v>
      </c>
      <c r="P12" s="204">
        <f>1.712-O12</f>
        <v>0.52600000000000002</v>
      </c>
      <c r="Q12" s="204">
        <f>2.754-P12-O12</f>
        <v>1.0419999999999998</v>
      </c>
      <c r="R12" s="204">
        <f>4.747-Q12-P12-O12</f>
        <v>1.9930000000000003</v>
      </c>
      <c r="S12" s="388">
        <f t="shared" si="2"/>
        <v>4.7469999999999999</v>
      </c>
      <c r="T12" s="116"/>
      <c r="U12" s="380">
        <v>0.99399999999999999</v>
      </c>
      <c r="V12" s="204">
        <f>2.322-U12</f>
        <v>1.3280000000000001</v>
      </c>
      <c r="W12" s="204">
        <f>2.929-V12-U12</f>
        <v>0.60699999999999976</v>
      </c>
      <c r="X12" s="204">
        <f>5.564-W12-V12-U12</f>
        <v>2.6350000000000007</v>
      </c>
      <c r="Y12" s="388">
        <f t="shared" si="3"/>
        <v>5.5640000000000001</v>
      </c>
      <c r="Z12" s="116"/>
      <c r="AA12" s="380">
        <v>1.728</v>
      </c>
      <c r="AB12" s="204">
        <f>2.722-AA12</f>
        <v>0.99399999999999999</v>
      </c>
      <c r="AC12" s="204">
        <f>3.636-AB12-AA12</f>
        <v>0.91400000000000037</v>
      </c>
      <c r="AD12" s="204">
        <f>6.156-AC12-AB12-AA12</f>
        <v>2.5199999999999996</v>
      </c>
      <c r="AE12" s="388">
        <f t="shared" si="4"/>
        <v>6.1559999999999997</v>
      </c>
      <c r="AF12" s="116"/>
      <c r="AG12" s="380">
        <v>1.1439999999999999</v>
      </c>
      <c r="AH12" s="204">
        <f>2.637-AG12</f>
        <v>1.4930000000000001</v>
      </c>
      <c r="AI12" s="204">
        <f>3.338-AH12-AG12</f>
        <v>0.70100000000000007</v>
      </c>
      <c r="AJ12" s="204">
        <f>4.407-AI12-AH12-AG12</f>
        <v>1.0690000000000002</v>
      </c>
      <c r="AK12" s="388">
        <f t="shared" si="5"/>
        <v>4.407</v>
      </c>
      <c r="AL12" s="116"/>
      <c r="AM12" s="380">
        <v>0.84</v>
      </c>
      <c r="AN12" s="204">
        <f>2.154-AM12</f>
        <v>1.3140000000000001</v>
      </c>
      <c r="AO12" s="204">
        <f>3.477-AN12-AM12</f>
        <v>1.323</v>
      </c>
      <c r="AP12" s="204">
        <f>5.189-AO12-AN12-AM12</f>
        <v>1.7120000000000002</v>
      </c>
      <c r="AQ12" s="388">
        <f t="shared" si="6"/>
        <v>5.1890000000000001</v>
      </c>
      <c r="AR12" s="116"/>
      <c r="AS12" s="380">
        <v>1.323</v>
      </c>
      <c r="AT12" s="204">
        <f>2.415-AS12</f>
        <v>1.0920000000000001</v>
      </c>
      <c r="AU12" s="204">
        <f>2.689-AT12-AS12</f>
        <v>0.27400000000000002</v>
      </c>
      <c r="AV12" s="204">
        <f>4.619-AU12-AT12-AS12</f>
        <v>1.9299999999999997</v>
      </c>
      <c r="AW12" s="388">
        <f t="shared" si="7"/>
        <v>4.6189999999999998</v>
      </c>
      <c r="AX12" s="116"/>
      <c r="AY12" s="380">
        <v>1.2509999999999999</v>
      </c>
      <c r="AZ12" s="204">
        <f>2.29-AY12</f>
        <v>1.0390000000000001</v>
      </c>
      <c r="BA12" s="204">
        <f>2.878-AZ12-AY12</f>
        <v>0.58800000000000008</v>
      </c>
      <c r="BB12" s="204">
        <f>3.184-BA12-AZ12-AY12</f>
        <v>0.30600000000000005</v>
      </c>
      <c r="BC12" s="388">
        <f t="shared" si="8"/>
        <v>3.1840000000000002</v>
      </c>
      <c r="BD12" s="116"/>
      <c r="BE12" s="380">
        <v>0.57999999999999996</v>
      </c>
      <c r="BF12" s="204">
        <f>0.79-BE12</f>
        <v>0.21000000000000008</v>
      </c>
      <c r="BG12" s="204">
        <f>1.736-BF12-BE12</f>
        <v>0.94599999999999984</v>
      </c>
      <c r="BH12" s="204">
        <f>2.647-BG12-BF12-BE12</f>
        <v>0.91100000000000014</v>
      </c>
      <c r="BI12" s="388">
        <f t="shared" si="9"/>
        <v>2.6469999999999998</v>
      </c>
      <c r="BJ12" s="116"/>
      <c r="BK12" s="380">
        <v>2.81</v>
      </c>
      <c r="BL12" s="204">
        <f>4.049-BK12</f>
        <v>1.2390000000000003</v>
      </c>
      <c r="BM12" s="204">
        <f>6.981-SUM(BK12:BL12)</f>
        <v>2.9319999999999995</v>
      </c>
      <c r="BN12" s="204">
        <f>9.37-BM12-BL12-BK12</f>
        <v>2.3889999999999998</v>
      </c>
      <c r="BO12" s="388">
        <f t="shared" si="10"/>
        <v>9.3699999999999992</v>
      </c>
      <c r="BP12" s="116"/>
      <c r="BQ12" s="646">
        <v>0</v>
      </c>
      <c r="BR12" s="206">
        <v>0</v>
      </c>
      <c r="BS12" s="206">
        <v>0</v>
      </c>
      <c r="BT12" s="206">
        <v>0</v>
      </c>
      <c r="BU12" s="388">
        <f t="shared" si="11"/>
        <v>0</v>
      </c>
      <c r="BV12" s="116"/>
      <c r="BW12" s="646">
        <v>0</v>
      </c>
      <c r="BX12" s="206">
        <v>0</v>
      </c>
      <c r="BY12" s="206">
        <v>0</v>
      </c>
      <c r="BZ12" s="206">
        <v>0</v>
      </c>
      <c r="CA12" s="388">
        <f t="shared" si="12"/>
        <v>0</v>
      </c>
      <c r="CB12" s="116"/>
      <c r="CC12" s="646">
        <v>0</v>
      </c>
      <c r="CD12" s="206">
        <v>0</v>
      </c>
      <c r="CE12" s="206">
        <v>0</v>
      </c>
      <c r="CF12" s="206">
        <v>0</v>
      </c>
      <c r="CG12" s="388">
        <f t="shared" si="13"/>
        <v>0</v>
      </c>
      <c r="CO12"/>
      <c r="CP12"/>
      <c r="CQ12"/>
      <c r="CR12"/>
      <c r="CS12"/>
      <c r="CT12"/>
      <c r="CU12" s="184"/>
    </row>
    <row r="13" spans="1:99" s="7" customFormat="1" ht="11.25" customHeight="1" x14ac:dyDescent="0.2">
      <c r="A13" s="136"/>
      <c r="B13" s="648" t="s">
        <v>350</v>
      </c>
      <c r="C13" s="380">
        <v>-6.8550000000000004</v>
      </c>
      <c r="D13" s="204">
        <f>-18.688-C13</f>
        <v>-11.832999999999998</v>
      </c>
      <c r="E13" s="204">
        <f>-16.73-D13-C13</f>
        <v>1.9579999999999984</v>
      </c>
      <c r="F13" s="204">
        <f>-7.404-E13-D13-C13</f>
        <v>9.3260000000000005</v>
      </c>
      <c r="G13" s="388">
        <f t="shared" si="0"/>
        <v>-7.4039999999999999</v>
      </c>
      <c r="H13" s="62"/>
      <c r="I13" s="380">
        <v>-3.8090000000000002</v>
      </c>
      <c r="J13" s="204">
        <f>-3.842-I13</f>
        <v>-3.2999999999999918E-2</v>
      </c>
      <c r="K13" s="204">
        <f>-2.705-J13-I13</f>
        <v>1.137</v>
      </c>
      <c r="L13" s="204">
        <f>-5.958-K13-J13-I13</f>
        <v>-3.253000000000001</v>
      </c>
      <c r="M13" s="388">
        <f t="shared" si="1"/>
        <v>-5.9580000000000011</v>
      </c>
      <c r="N13" s="62"/>
      <c r="O13" s="380">
        <v>-5.4850000000000003</v>
      </c>
      <c r="P13" s="204">
        <f>-5.921-O13</f>
        <v>-0.43599999999999994</v>
      </c>
      <c r="Q13" s="204">
        <f>-29.633-P13-O13</f>
        <v>-23.712</v>
      </c>
      <c r="R13" s="204">
        <f>-26.214-Q13-P13-O13</f>
        <v>3.4190000000000014</v>
      </c>
      <c r="S13" s="388">
        <f t="shared" si="2"/>
        <v>-26.213999999999999</v>
      </c>
      <c r="T13" s="62"/>
      <c r="U13" s="380">
        <v>0.27200000000000002</v>
      </c>
      <c r="V13" s="204">
        <f>-5.831-U13</f>
        <v>-6.1030000000000006</v>
      </c>
      <c r="W13" s="204">
        <f>-2.068-V13-U13</f>
        <v>3.7629999999999999</v>
      </c>
      <c r="X13" s="204">
        <f>-6.051-W13-V13-U13</f>
        <v>-3.9829999999999997</v>
      </c>
      <c r="Y13" s="388">
        <f t="shared" si="3"/>
        <v>-6.0510000000000002</v>
      </c>
      <c r="Z13" s="62"/>
      <c r="AA13" s="380">
        <v>-6.7720000000000002</v>
      </c>
      <c r="AB13" s="204">
        <f>-10.265-AA13</f>
        <v>-3.4930000000000003</v>
      </c>
      <c r="AC13" s="204">
        <f>-12.828-AB13-AA13</f>
        <v>-2.5629999999999988</v>
      </c>
      <c r="AD13" s="204">
        <f>-19.319-AC13-AB13-AA13</f>
        <v>-6.4909999999999997</v>
      </c>
      <c r="AE13" s="388">
        <f t="shared" si="4"/>
        <v>-19.318999999999999</v>
      </c>
      <c r="AF13" s="62"/>
      <c r="AG13" s="380">
        <v>-8.1820000000000004</v>
      </c>
      <c r="AH13" s="204">
        <f>-7.715-AG13</f>
        <v>0.46700000000000053</v>
      </c>
      <c r="AI13" s="204">
        <f>-8.478-AH13-AG13</f>
        <v>-0.7629999999999999</v>
      </c>
      <c r="AJ13" s="204">
        <f>10.072-AI13-AH13-AG13</f>
        <v>18.549999999999997</v>
      </c>
      <c r="AK13" s="388">
        <f t="shared" si="5"/>
        <v>10.071999999999997</v>
      </c>
      <c r="AL13" s="62"/>
      <c r="AM13" s="380">
        <v>6.3710000000000004</v>
      </c>
      <c r="AN13" s="204">
        <f>15.55-AM13</f>
        <v>9.1790000000000003</v>
      </c>
      <c r="AO13" s="204">
        <f>-12.799-AN13-AM13</f>
        <v>-28.349000000000004</v>
      </c>
      <c r="AP13" s="204">
        <f>-11.514-AO13-AN13-AM13</f>
        <v>1.2850000000000037</v>
      </c>
      <c r="AQ13" s="388">
        <f t="shared" si="6"/>
        <v>-11.513999999999999</v>
      </c>
      <c r="AR13" s="62"/>
      <c r="AS13" s="380">
        <v>15.744</v>
      </c>
      <c r="AT13" s="204">
        <f>6.009-AS13</f>
        <v>-9.7349999999999994</v>
      </c>
      <c r="AU13" s="204">
        <f>-2.84-AT13-AS13</f>
        <v>-8.8490000000000002</v>
      </c>
      <c r="AV13" s="204">
        <f>-1.092-AU13-AT13-AS13</f>
        <v>1.7479999999999976</v>
      </c>
      <c r="AW13" s="388">
        <f t="shared" si="7"/>
        <v>-1.0920000000000023</v>
      </c>
      <c r="AX13" s="62"/>
      <c r="AY13" s="380">
        <v>4.7699999999999996</v>
      </c>
      <c r="AZ13" s="204">
        <f>-0.121-AY13</f>
        <v>-4.891</v>
      </c>
      <c r="BA13" s="204">
        <f>-7.818-AZ13-AY13</f>
        <v>-7.6969999999999992</v>
      </c>
      <c r="BB13" s="204">
        <f>-6.241-BA13-AZ13-AY13</f>
        <v>1.577</v>
      </c>
      <c r="BC13" s="388">
        <f t="shared" si="8"/>
        <v>-6.2409999999999997</v>
      </c>
      <c r="BD13" s="62"/>
      <c r="BE13" s="380">
        <v>6.9630000000000001</v>
      </c>
      <c r="BF13" s="204">
        <f>-4.658-BE13</f>
        <v>-11.621</v>
      </c>
      <c r="BG13" s="204">
        <f>-13.425-BF13-BE13</f>
        <v>-8.7669999999999995</v>
      </c>
      <c r="BH13" s="204">
        <f>-37.066-BG13-BF13-BE13</f>
        <v>-23.641000000000005</v>
      </c>
      <c r="BI13" s="388">
        <f>SUM(BE13:BH13)</f>
        <v>-37.066000000000003</v>
      </c>
      <c r="BJ13" s="62"/>
      <c r="BK13" s="380">
        <v>13.496</v>
      </c>
      <c r="BL13" s="204">
        <f>4.415-BK13</f>
        <v>-9.0809999999999995</v>
      </c>
      <c r="BM13" s="204">
        <f>8.6-SUM(BK13:BL13)</f>
        <v>4.1849999999999987</v>
      </c>
      <c r="BN13" s="204">
        <f>0.485-BM13-BL13-BK13</f>
        <v>-8.1150000000000002</v>
      </c>
      <c r="BO13" s="388">
        <f t="shared" si="10"/>
        <v>0.48499999999999943</v>
      </c>
      <c r="BP13" s="62"/>
      <c r="BQ13" s="627">
        <f>+'BalSht '!BN12-'BalSht '!BQ12+'BalSht '!BQ30-'BalSht '!BN30</f>
        <v>0</v>
      </c>
      <c r="BR13" s="39">
        <f>+'BalSht '!BQ12-'BalSht '!BR12+'BalSht '!BR30-'BalSht '!BQ30</f>
        <v>0</v>
      </c>
      <c r="BS13" s="39">
        <f>+'BalSht '!BR12-'BalSht '!BS12+'BalSht '!BS30-'BalSht '!BR30</f>
        <v>0</v>
      </c>
      <c r="BT13" s="39">
        <f>+'BalSht '!BS12-'BalSht '!BT12+'BalSht '!BT30-'BalSht '!BS30</f>
        <v>0</v>
      </c>
      <c r="BU13" s="388">
        <f t="shared" si="11"/>
        <v>0</v>
      </c>
      <c r="BV13" s="62"/>
      <c r="BW13" s="627">
        <f>+'BalSht '!BT12-'BalSht '!BW12+'BalSht '!BW30-'BalSht '!BT30</f>
        <v>0</v>
      </c>
      <c r="BX13" s="39">
        <f>+'BalSht '!BW12-'BalSht '!BX12+'BalSht '!BX30-'BalSht '!BW30</f>
        <v>0</v>
      </c>
      <c r="BY13" s="39">
        <f>+'BalSht '!BX12-'BalSht '!BY12+'BalSht '!BY30-'BalSht '!BX30</f>
        <v>0</v>
      </c>
      <c r="BZ13" s="39">
        <f>+'BalSht '!BY12-'BalSht '!BZ12+'BalSht '!BZ30-'BalSht '!BY30</f>
        <v>0</v>
      </c>
      <c r="CA13" s="388">
        <f t="shared" si="12"/>
        <v>0</v>
      </c>
      <c r="CB13" s="62"/>
      <c r="CC13" s="627">
        <f>+'BalSht '!BZ12-'BalSht '!CC12+'BalSht '!CC30-'BalSht '!BZ30</f>
        <v>0</v>
      </c>
      <c r="CD13" s="39">
        <f>+'BalSht '!CC12-'BalSht '!CD12+'BalSht '!CD30-'BalSht '!CC30</f>
        <v>0</v>
      </c>
      <c r="CE13" s="39">
        <f>+'BalSht '!CD12-'BalSht '!CE12+'BalSht '!CE30-'BalSht '!CD30</f>
        <v>0</v>
      </c>
      <c r="CF13" s="39">
        <f>+'BalSht '!CE12-'BalSht '!CF12+'BalSht '!CF30-'BalSht '!CE30</f>
        <v>0</v>
      </c>
      <c r="CG13" s="388">
        <f t="shared" si="13"/>
        <v>0</v>
      </c>
      <c r="CO13"/>
      <c r="CP13"/>
      <c r="CQ13"/>
      <c r="CR13"/>
      <c r="CS13"/>
      <c r="CT13"/>
      <c r="CU13" s="184"/>
    </row>
    <row r="14" spans="1:99" s="7" customFormat="1" ht="11.25" customHeight="1" x14ac:dyDescent="0.2">
      <c r="A14" s="136"/>
      <c r="B14" s="648" t="s">
        <v>277</v>
      </c>
      <c r="C14" s="380">
        <v>0</v>
      </c>
      <c r="D14" s="204">
        <f>0-C14</f>
        <v>0</v>
      </c>
      <c r="E14" s="204">
        <f>0-D14-C14</f>
        <v>0</v>
      </c>
      <c r="F14" s="204">
        <f>0-E14-D14-C14</f>
        <v>0</v>
      </c>
      <c r="G14" s="388">
        <f t="shared" si="0"/>
        <v>0</v>
      </c>
      <c r="H14" s="62"/>
      <c r="I14" s="380">
        <v>0</v>
      </c>
      <c r="J14" s="204">
        <f>0-I14</f>
        <v>0</v>
      </c>
      <c r="K14" s="204">
        <f>0-J14-I14</f>
        <v>0</v>
      </c>
      <c r="L14" s="204">
        <f>0-K14-J14-I14</f>
        <v>0</v>
      </c>
      <c r="M14" s="388">
        <f t="shared" si="1"/>
        <v>0</v>
      </c>
      <c r="N14" s="62"/>
      <c r="O14" s="380">
        <v>0</v>
      </c>
      <c r="P14" s="204">
        <f>0-O14</f>
        <v>0</v>
      </c>
      <c r="Q14" s="204">
        <f>0-P14-O14</f>
        <v>0</v>
      </c>
      <c r="R14" s="204">
        <f>0-Q14-P14-O14</f>
        <v>0</v>
      </c>
      <c r="S14" s="388">
        <f t="shared" si="2"/>
        <v>0</v>
      </c>
      <c r="T14" s="62"/>
      <c r="U14" s="380">
        <v>0</v>
      </c>
      <c r="V14" s="204">
        <f>0-U14</f>
        <v>0</v>
      </c>
      <c r="W14" s="204">
        <f>0-V14-U14</f>
        <v>0</v>
      </c>
      <c r="X14" s="204">
        <f>-10.165-W14-V14-U14</f>
        <v>-10.164999999999999</v>
      </c>
      <c r="Y14" s="388">
        <f t="shared" si="3"/>
        <v>-10.164999999999999</v>
      </c>
      <c r="Z14" s="62"/>
      <c r="AA14" s="380">
        <v>-1.653</v>
      </c>
      <c r="AB14" s="204">
        <f>-5.786-AA14</f>
        <v>-4.1329999999999991</v>
      </c>
      <c r="AC14" s="204">
        <f>-10.345-AB14-AA14</f>
        <v>-4.5590000000000011</v>
      </c>
      <c r="AD14" s="204">
        <f>-15.561-AC14-AB14-AA14</f>
        <v>-5.2159999999999993</v>
      </c>
      <c r="AE14" s="388">
        <f t="shared" si="4"/>
        <v>-15.561</v>
      </c>
      <c r="AF14" s="62"/>
      <c r="AG14" s="380">
        <v>-1.391</v>
      </c>
      <c r="AH14" s="204">
        <f>-4.464-AG14</f>
        <v>-3.0730000000000004</v>
      </c>
      <c r="AI14" s="204">
        <f>-7.898-AH14-AG14</f>
        <v>-3.4339999999999993</v>
      </c>
      <c r="AJ14" s="204">
        <f>-7.058-AI14-AH14-AG14</f>
        <v>0.83999999999999986</v>
      </c>
      <c r="AK14" s="388">
        <f t="shared" si="5"/>
        <v>-7.0579999999999998</v>
      </c>
      <c r="AL14" s="62"/>
      <c r="AM14" s="380">
        <v>-0.80100000000000005</v>
      </c>
      <c r="AN14" s="204">
        <f>-2.567-AM14</f>
        <v>-1.766</v>
      </c>
      <c r="AO14" s="204">
        <f>-6.209-AN14-AM14</f>
        <v>-3.6419999999999995</v>
      </c>
      <c r="AP14" s="204">
        <f>-10.194-AO14-AN14-AM14</f>
        <v>-3.9850000000000012</v>
      </c>
      <c r="AQ14" s="388">
        <f t="shared" si="6"/>
        <v>-10.194000000000001</v>
      </c>
      <c r="AR14" s="62"/>
      <c r="AS14" s="380">
        <v>-0.70599999999999996</v>
      </c>
      <c r="AT14" s="204">
        <f>-3.523-AS14</f>
        <v>-2.8170000000000002</v>
      </c>
      <c r="AU14" s="204">
        <f>-8.285-AT14-AS14</f>
        <v>-4.7620000000000005</v>
      </c>
      <c r="AV14" s="204">
        <f>-11.734-AU14-AT14-AS14</f>
        <v>-3.4489999999999994</v>
      </c>
      <c r="AW14" s="388">
        <f t="shared" si="7"/>
        <v>-11.734</v>
      </c>
      <c r="AX14" s="62"/>
      <c r="AY14" s="380">
        <v>-2.028</v>
      </c>
      <c r="AZ14" s="204">
        <f>-5.6-AY14</f>
        <v>-3.5719999999999996</v>
      </c>
      <c r="BA14" s="204">
        <f>-10.791-AZ14-AY14</f>
        <v>-5.1910000000000007</v>
      </c>
      <c r="BB14" s="204">
        <f>-14.06-BA14-AZ14-AY14</f>
        <v>-3.2690000000000006</v>
      </c>
      <c r="BC14" s="388">
        <f t="shared" si="8"/>
        <v>-14.06</v>
      </c>
      <c r="BD14" s="62"/>
      <c r="BE14" s="380">
        <v>-2.5139999999999998</v>
      </c>
      <c r="BF14" s="204">
        <f>-7.443-BE14</f>
        <v>-4.9290000000000003</v>
      </c>
      <c r="BG14" s="204">
        <f>-13.16-BF14-BE14</f>
        <v>-5.7170000000000005</v>
      </c>
      <c r="BH14" s="204">
        <f>-18.518-BG14-BF14-BE14</f>
        <v>-5.3580000000000005</v>
      </c>
      <c r="BI14" s="388">
        <f>SUM(BE14:BH14)</f>
        <v>-18.518000000000001</v>
      </c>
      <c r="BJ14" s="62"/>
      <c r="BK14" s="380">
        <v>-2.0859999999999999</v>
      </c>
      <c r="BL14" s="204">
        <f>-6.675-BK14</f>
        <v>-4.5890000000000004</v>
      </c>
      <c r="BM14" s="204">
        <f>-12.244-SUM(BK14:BL14)</f>
        <v>-5.5689999999999991</v>
      </c>
      <c r="BN14" s="204">
        <f>-16.587-BM14-BL14-BK14</f>
        <v>-4.343</v>
      </c>
      <c r="BO14" s="388">
        <f t="shared" si="10"/>
        <v>-16.587</v>
      </c>
      <c r="BP14" s="62"/>
      <c r="BQ14" s="645">
        <f>-'P&amp;L'!BQ23</f>
        <v>-4.2506665050545331</v>
      </c>
      <c r="BR14" s="534">
        <f>-'P&amp;L'!BR23</f>
        <v>-4.2506665050545331</v>
      </c>
      <c r="BS14" s="534">
        <f>-'P&amp;L'!BS23</f>
        <v>-4.2506665050545331</v>
      </c>
      <c r="BT14" s="534">
        <f>-'P&amp;L'!BT23</f>
        <v>-4.2506665050545331</v>
      </c>
      <c r="BU14" s="388">
        <f t="shared" si="11"/>
        <v>-17.002666020218133</v>
      </c>
      <c r="BV14" s="62"/>
      <c r="BW14" s="645">
        <f>-'P&amp;L'!BW23</f>
        <v>-4.2506665050545331</v>
      </c>
      <c r="BX14" s="534">
        <f>-'P&amp;L'!BX23</f>
        <v>-4.2506665050545331</v>
      </c>
      <c r="BY14" s="534">
        <f>-'P&amp;L'!BY23</f>
        <v>-4.2506665050545331</v>
      </c>
      <c r="BZ14" s="534">
        <f>-'P&amp;L'!BZ23</f>
        <v>-4.2506665050545331</v>
      </c>
      <c r="CA14" s="388">
        <f t="shared" si="12"/>
        <v>-17.002666020218133</v>
      </c>
      <c r="CB14" s="62"/>
      <c r="CC14" s="645">
        <f>-'P&amp;L'!CC23</f>
        <v>-4.2506665050545331</v>
      </c>
      <c r="CD14" s="534">
        <f>-'P&amp;L'!CD23</f>
        <v>-4.2506665050545331</v>
      </c>
      <c r="CE14" s="534">
        <f>-'P&amp;L'!CE23</f>
        <v>-4.2506665050545331</v>
      </c>
      <c r="CF14" s="534">
        <f>-'P&amp;L'!CF23</f>
        <v>-4.2506665050545331</v>
      </c>
      <c r="CG14" s="388">
        <f t="shared" si="13"/>
        <v>-17.002666020218133</v>
      </c>
      <c r="CO14"/>
      <c r="CP14"/>
      <c r="CQ14"/>
      <c r="CR14"/>
      <c r="CS14"/>
      <c r="CT14"/>
      <c r="CU14" s="184"/>
    </row>
    <row r="15" spans="1:99" s="7" customFormat="1" ht="11.25" customHeight="1" x14ac:dyDescent="0.2">
      <c r="A15" s="136"/>
      <c r="B15" s="648" t="s">
        <v>276</v>
      </c>
      <c r="C15" s="380">
        <v>-2.3E-2</v>
      </c>
      <c r="D15" s="204">
        <f>0.505-C15</f>
        <v>0.52800000000000002</v>
      </c>
      <c r="E15" s="204">
        <f>0.687-D15-C15</f>
        <v>0.18200000000000002</v>
      </c>
      <c r="F15" s="204">
        <f>0.073-E15-D15-C15</f>
        <v>-0.61399999999999999</v>
      </c>
      <c r="G15" s="388">
        <f t="shared" si="0"/>
        <v>7.3000000000000065E-2</v>
      </c>
      <c r="H15" s="62"/>
      <c r="I15" s="380">
        <v>-1.51</v>
      </c>
      <c r="J15" s="204">
        <f>-2.418-I15</f>
        <v>-0.90800000000000014</v>
      </c>
      <c r="K15" s="204">
        <f>-4.02-J15-I15</f>
        <v>-1.6019999999999992</v>
      </c>
      <c r="L15" s="204">
        <f>-5.037-K15-J15-I15</f>
        <v>-1.0170000000000001</v>
      </c>
      <c r="M15" s="388">
        <f t="shared" si="1"/>
        <v>-5.0369999999999999</v>
      </c>
      <c r="N15" s="62"/>
      <c r="O15" s="380">
        <v>-1.365</v>
      </c>
      <c r="P15" s="204">
        <f>-2.577-O15</f>
        <v>-1.212</v>
      </c>
      <c r="Q15" s="204">
        <f>-3.777-P15-O15</f>
        <v>-1.2000000000000004</v>
      </c>
      <c r="R15" s="204">
        <f>-5.243-Q15-P15-O15</f>
        <v>-1.4660000000000004</v>
      </c>
      <c r="S15" s="388">
        <f t="shared" si="2"/>
        <v>-5.2430000000000003</v>
      </c>
      <c r="T15" s="62"/>
      <c r="U15" s="380">
        <v>-1.5309999999999999</v>
      </c>
      <c r="V15" s="204">
        <f>-3.326-U15</f>
        <v>-1.7950000000000002</v>
      </c>
      <c r="W15" s="204">
        <f>-7.047-V15-U15</f>
        <v>-3.7210000000000001</v>
      </c>
      <c r="X15" s="204">
        <f>6.606-W15-V15-U15</f>
        <v>13.653</v>
      </c>
      <c r="Y15" s="388">
        <f t="shared" si="3"/>
        <v>6.6059999999999999</v>
      </c>
      <c r="Z15" s="62"/>
      <c r="AA15" s="380">
        <v>0.44900000000000001</v>
      </c>
      <c r="AB15" s="204">
        <f>1.18-AA15</f>
        <v>0.73099999999999987</v>
      </c>
      <c r="AC15" s="204">
        <f>10.158-AB15-AA15</f>
        <v>8.9779999999999998</v>
      </c>
      <c r="AD15" s="204">
        <f>14.883-AC15-AB15-AA15</f>
        <v>4.7249999999999996</v>
      </c>
      <c r="AE15" s="388">
        <f t="shared" si="4"/>
        <v>14.882999999999999</v>
      </c>
      <c r="AF15" s="62"/>
      <c r="AG15" s="380">
        <v>3.3239999999999998</v>
      </c>
      <c r="AH15" s="204">
        <f>6.007-AG15</f>
        <v>2.6829999999999998</v>
      </c>
      <c r="AI15" s="204">
        <f>9.297-AH15-AG15</f>
        <v>3.2900000000000009</v>
      </c>
      <c r="AJ15" s="204">
        <f>14.499-AI15-AH15-AG15</f>
        <v>5.202</v>
      </c>
      <c r="AK15" s="388">
        <f t="shared" si="5"/>
        <v>14.499000000000001</v>
      </c>
      <c r="AL15" s="62"/>
      <c r="AM15" s="380">
        <v>2.8809999999999998</v>
      </c>
      <c r="AN15" s="204">
        <f>6.45-AM15</f>
        <v>3.5690000000000004</v>
      </c>
      <c r="AO15" s="204">
        <f>9.286-AN15-AM15</f>
        <v>2.835999999999999</v>
      </c>
      <c r="AP15" s="204">
        <f>16.529-AO15-AN15-AM15</f>
        <v>7.2430000000000003</v>
      </c>
      <c r="AQ15" s="388">
        <f t="shared" si="6"/>
        <v>16.529</v>
      </c>
      <c r="AR15" s="62"/>
      <c r="AS15" s="380">
        <v>1.972</v>
      </c>
      <c r="AT15" s="204">
        <f>5.34-AS15</f>
        <v>3.3679999999999999</v>
      </c>
      <c r="AU15" s="204">
        <f>10.304-AT15-AS15</f>
        <v>4.9640000000000004</v>
      </c>
      <c r="AV15" s="204">
        <f>15.727-AU15-AT15-AS15</f>
        <v>5.423</v>
      </c>
      <c r="AW15" s="388">
        <f t="shared" si="7"/>
        <v>15.727</v>
      </c>
      <c r="AX15" s="62"/>
      <c r="AY15" s="380">
        <v>2.335</v>
      </c>
      <c r="AZ15" s="204">
        <f>6.113-AY15</f>
        <v>3.7780000000000005</v>
      </c>
      <c r="BA15" s="204">
        <f>11.316-AZ15-AY15</f>
        <v>5.2030000000000003</v>
      </c>
      <c r="BB15" s="204">
        <f>18.029-BA15-AZ15-AY15</f>
        <v>6.7130000000000001</v>
      </c>
      <c r="BC15" s="388">
        <f t="shared" si="8"/>
        <v>18.029</v>
      </c>
      <c r="BD15" s="62"/>
      <c r="BE15" s="380">
        <v>2.181</v>
      </c>
      <c r="BF15" s="204">
        <f>6.337-BE15</f>
        <v>4.1559999999999997</v>
      </c>
      <c r="BG15" s="204">
        <f>12.104-BF15-BE15</f>
        <v>5.7669999999999995</v>
      </c>
      <c r="BH15" s="204">
        <f>20.351-BG15-BF15-BE15</f>
        <v>8.2469999999999999</v>
      </c>
      <c r="BI15" s="388">
        <f>SUM(BE15:BH15)</f>
        <v>20.350999999999999</v>
      </c>
      <c r="BJ15" s="62"/>
      <c r="BK15" s="380">
        <v>3.0379999999999998</v>
      </c>
      <c r="BL15" s="204">
        <f>9.678-BK15</f>
        <v>6.6400000000000006</v>
      </c>
      <c r="BM15" s="204">
        <f>16.826-SUM(BK15:BL15)</f>
        <v>7.1479999999999997</v>
      </c>
      <c r="BN15" s="204">
        <f>23.157-BM15-BL15-BK15</f>
        <v>6.3309999999999995</v>
      </c>
      <c r="BO15" s="388">
        <f t="shared" si="10"/>
        <v>23.157</v>
      </c>
      <c r="BP15" s="62"/>
      <c r="BQ15" s="627">
        <f>-BQ14</f>
        <v>4.2506665050545331</v>
      </c>
      <c r="BR15" s="39">
        <f>-BR14</f>
        <v>4.2506665050545331</v>
      </c>
      <c r="BS15" s="39">
        <f>-BS14</f>
        <v>4.2506665050545331</v>
      </c>
      <c r="BT15" s="39">
        <f>-BT14</f>
        <v>4.2506665050545331</v>
      </c>
      <c r="BU15" s="388">
        <f t="shared" si="11"/>
        <v>17.002666020218133</v>
      </c>
      <c r="BV15" s="62"/>
      <c r="BW15" s="627">
        <f>-BW14</f>
        <v>4.2506665050545331</v>
      </c>
      <c r="BX15" s="39">
        <f>-BX14</f>
        <v>4.2506665050545331</v>
      </c>
      <c r="BY15" s="39">
        <f>-BY14</f>
        <v>4.2506665050545331</v>
      </c>
      <c r="BZ15" s="39">
        <f>-BZ14</f>
        <v>4.2506665050545331</v>
      </c>
      <c r="CA15" s="388">
        <f t="shared" si="12"/>
        <v>17.002666020218133</v>
      </c>
      <c r="CB15" s="62"/>
      <c r="CC15" s="627">
        <f>-CC14</f>
        <v>4.2506665050545331</v>
      </c>
      <c r="CD15" s="39">
        <f>-CD14</f>
        <v>4.2506665050545331</v>
      </c>
      <c r="CE15" s="39">
        <f>-CE14</f>
        <v>4.2506665050545331</v>
      </c>
      <c r="CF15" s="39">
        <f>-CF14</f>
        <v>4.2506665050545331</v>
      </c>
      <c r="CG15" s="388">
        <f t="shared" si="13"/>
        <v>17.002666020218133</v>
      </c>
      <c r="CO15"/>
      <c r="CP15"/>
      <c r="CQ15"/>
      <c r="CR15"/>
      <c r="CS15"/>
      <c r="CT15"/>
      <c r="CU15" s="184"/>
    </row>
    <row r="16" spans="1:99" s="7" customFormat="1" ht="11.25" customHeight="1" x14ac:dyDescent="0.2">
      <c r="A16" s="136"/>
      <c r="B16" s="422" t="s">
        <v>278</v>
      </c>
      <c r="C16" s="380">
        <v>0</v>
      </c>
      <c r="D16" s="204">
        <f>0-C16</f>
        <v>0</v>
      </c>
      <c r="E16" s="204">
        <f>0-D16-C16</f>
        <v>0</v>
      </c>
      <c r="F16" s="204">
        <f>0-E16-D16-C16</f>
        <v>0</v>
      </c>
      <c r="G16" s="388">
        <f t="shared" si="0"/>
        <v>0</v>
      </c>
      <c r="H16" s="116"/>
      <c r="I16" s="380">
        <v>0</v>
      </c>
      <c r="J16" s="204">
        <f>0-I16</f>
        <v>0</v>
      </c>
      <c r="K16" s="204">
        <f>0-J16-I16</f>
        <v>0</v>
      </c>
      <c r="L16" s="204">
        <f>0-K16-J16-I16</f>
        <v>0</v>
      </c>
      <c r="M16" s="388">
        <f t="shared" si="1"/>
        <v>0</v>
      </c>
      <c r="N16" s="116"/>
      <c r="O16" s="380">
        <v>0</v>
      </c>
      <c r="P16" s="204">
        <f>0-O16</f>
        <v>0</v>
      </c>
      <c r="Q16" s="204">
        <f>0-P16-O16</f>
        <v>0</v>
      </c>
      <c r="R16" s="204">
        <f>0-Q16-P16-O16</f>
        <v>0</v>
      </c>
      <c r="S16" s="388">
        <f t="shared" si="2"/>
        <v>0</v>
      </c>
      <c r="T16" s="116"/>
      <c r="U16" s="380">
        <v>0</v>
      </c>
      <c r="V16" s="204">
        <f>0-U16</f>
        <v>0</v>
      </c>
      <c r="W16" s="204">
        <f>0-V16-U16</f>
        <v>0</v>
      </c>
      <c r="X16" s="204">
        <f>0-W16-V16-U16</f>
        <v>0</v>
      </c>
      <c r="Y16" s="388">
        <f t="shared" si="3"/>
        <v>0</v>
      </c>
      <c r="Z16" s="116"/>
      <c r="AA16" s="380">
        <v>0</v>
      </c>
      <c r="AB16" s="204">
        <f>0-AA16</f>
        <v>0</v>
      </c>
      <c r="AC16" s="204">
        <f>0-AB16-AA16</f>
        <v>0</v>
      </c>
      <c r="AD16" s="204">
        <f>0-AC16-AB16-AA16</f>
        <v>0</v>
      </c>
      <c r="AE16" s="388">
        <f t="shared" si="4"/>
        <v>0</v>
      </c>
      <c r="AF16" s="116"/>
      <c r="AG16" s="380">
        <v>0</v>
      </c>
      <c r="AH16" s="204">
        <f>0-AG16</f>
        <v>0</v>
      </c>
      <c r="AI16" s="204">
        <f>0-AH16-AG16</f>
        <v>0</v>
      </c>
      <c r="AJ16" s="204">
        <f>0-AI16-AH16-AG16</f>
        <v>0</v>
      </c>
      <c r="AK16" s="388">
        <f t="shared" si="5"/>
        <v>0</v>
      </c>
      <c r="AL16" s="116"/>
      <c r="AM16" s="380">
        <v>0</v>
      </c>
      <c r="AN16" s="204">
        <f>0-AM16</f>
        <v>0</v>
      </c>
      <c r="AO16" s="204">
        <f>0-AN16-AM16</f>
        <v>0</v>
      </c>
      <c r="AP16" s="204">
        <f>10.5-AO16-AN16-AM16</f>
        <v>10.5</v>
      </c>
      <c r="AQ16" s="388">
        <f t="shared" si="6"/>
        <v>10.5</v>
      </c>
      <c r="AR16" s="116"/>
      <c r="AS16" s="380">
        <v>2.4550000000000001</v>
      </c>
      <c r="AT16" s="204">
        <f>7.434-AS16</f>
        <v>4.9790000000000001</v>
      </c>
      <c r="AU16" s="204">
        <f>14.013-AT16-AS16</f>
        <v>6.5789999999999988</v>
      </c>
      <c r="AV16" s="204">
        <f>22.597-AU16-AT16-AS16</f>
        <v>8.5840000000000014</v>
      </c>
      <c r="AW16" s="388">
        <f t="shared" si="7"/>
        <v>22.597000000000001</v>
      </c>
      <c r="AX16" s="116"/>
      <c r="AY16" s="380">
        <v>1.268</v>
      </c>
      <c r="AZ16" s="204">
        <f>4.297-AY16</f>
        <v>3.0289999999999999</v>
      </c>
      <c r="BA16" s="204">
        <f>8.541-AZ16-AY16</f>
        <v>4.2440000000000007</v>
      </c>
      <c r="BB16" s="204">
        <f>11.847-BA16-AZ16-AY16</f>
        <v>3.3059999999999992</v>
      </c>
      <c r="BC16" s="388">
        <f t="shared" si="8"/>
        <v>11.847</v>
      </c>
      <c r="BD16" s="116"/>
      <c r="BE16" s="380">
        <v>1.369</v>
      </c>
      <c r="BF16" s="204">
        <f>2.853-BE16</f>
        <v>1.4840000000000002</v>
      </c>
      <c r="BG16" s="204">
        <f>4.252-BF16-BE16</f>
        <v>1.3989999999999998</v>
      </c>
      <c r="BH16" s="204">
        <f>6.997-BG16-BF16-BE16</f>
        <v>2.7450000000000001</v>
      </c>
      <c r="BI16" s="388">
        <f>SUM(BE16:BH16)</f>
        <v>6.9969999999999999</v>
      </c>
      <c r="BJ16" s="116"/>
      <c r="BK16" s="380">
        <v>-10.875999999999999</v>
      </c>
      <c r="BL16" s="204">
        <f>-7.627-BK16</f>
        <v>3.2489999999999997</v>
      </c>
      <c r="BM16" s="204">
        <f>-6.653-SUM(BK16:BL16)</f>
        <v>0.9740000000000002</v>
      </c>
      <c r="BN16" s="204">
        <f>-2.318-BM16-BL16-BK16</f>
        <v>4.3349999999999991</v>
      </c>
      <c r="BO16" s="388">
        <f t="shared" si="10"/>
        <v>-2.3180000000000005</v>
      </c>
      <c r="BP16" s="116"/>
      <c r="BQ16" s="646">
        <v>0</v>
      </c>
      <c r="BR16" s="206">
        <v>0</v>
      </c>
      <c r="BS16" s="206">
        <v>0</v>
      </c>
      <c r="BT16" s="206">
        <v>0</v>
      </c>
      <c r="BU16" s="388">
        <f t="shared" si="11"/>
        <v>0</v>
      </c>
      <c r="BV16" s="116"/>
      <c r="BW16" s="646">
        <v>0</v>
      </c>
      <c r="BX16" s="206">
        <v>0</v>
      </c>
      <c r="BY16" s="206">
        <v>0</v>
      </c>
      <c r="BZ16" s="206">
        <v>0</v>
      </c>
      <c r="CA16" s="388">
        <f t="shared" si="12"/>
        <v>0</v>
      </c>
      <c r="CB16" s="116"/>
      <c r="CC16" s="646">
        <v>0</v>
      </c>
      <c r="CD16" s="206">
        <v>0</v>
      </c>
      <c r="CE16" s="206">
        <v>0</v>
      </c>
      <c r="CF16" s="206">
        <v>0</v>
      </c>
      <c r="CG16" s="388">
        <f t="shared" si="13"/>
        <v>0</v>
      </c>
      <c r="CO16"/>
      <c r="CP16"/>
      <c r="CQ16"/>
      <c r="CR16"/>
      <c r="CS16"/>
      <c r="CT16"/>
      <c r="CU16" s="184"/>
    </row>
    <row r="17" spans="1:99" s="7" customFormat="1" ht="11.25" customHeight="1" x14ac:dyDescent="0.2">
      <c r="A17" s="136"/>
      <c r="B17" s="422" t="s">
        <v>279</v>
      </c>
      <c r="C17" s="380">
        <f>-0.721+2.915</f>
        <v>2.194</v>
      </c>
      <c r="D17" s="204">
        <f>32.667+6.757-0.57-C17</f>
        <v>36.659999999999997</v>
      </c>
      <c r="E17" s="204">
        <f>-2.87+0.929+32.667+4.104+11.004-D17-C17</f>
        <v>6.9800000000000066</v>
      </c>
      <c r="F17" s="204">
        <f>-6.512-0.673+32.667+4.104+17.442-E17-D17-C17</f>
        <v>1.1940000000000053</v>
      </c>
      <c r="G17" s="388">
        <f t="shared" si="0"/>
        <v>47.028000000000006</v>
      </c>
      <c r="H17" s="116"/>
      <c r="I17" s="380">
        <f>-0.426+1.382+3.25</f>
        <v>4.2059999999999995</v>
      </c>
      <c r="J17" s="204">
        <f>-1.317+2.792-I17</f>
        <v>-2.7309999999999999</v>
      </c>
      <c r="K17" s="204">
        <f>-2.132+4.214+4.662-J17-I17</f>
        <v>5.2690000000000001</v>
      </c>
      <c r="L17" s="204">
        <f>0.15+8.484+5.649+4.662-K17-J17-I17</f>
        <v>12.201000000000001</v>
      </c>
      <c r="M17" s="388">
        <f t="shared" si="1"/>
        <v>18.945</v>
      </c>
      <c r="N17" s="116"/>
      <c r="O17" s="380">
        <f>1.616+1.464</f>
        <v>3.08</v>
      </c>
      <c r="P17" s="204">
        <f>1.491+2.964-O17</f>
        <v>1.375</v>
      </c>
      <c r="Q17" s="204">
        <f>2.535+4.473+5.301-2.382-P17-O17</f>
        <v>5.4720000000000013</v>
      </c>
      <c r="R17" s="204">
        <f>5.99+5.301+2.373-2.382-Q17-P17-O17</f>
        <v>1.3550000000000004</v>
      </c>
      <c r="S17" s="388">
        <f t="shared" si="2"/>
        <v>11.282000000000002</v>
      </c>
      <c r="T17" s="116"/>
      <c r="U17" s="380">
        <f>1.361+1.548</f>
        <v>2.9089999999999998</v>
      </c>
      <c r="V17" s="204">
        <f>2.649+3.135-U17</f>
        <v>2.875</v>
      </c>
      <c r="W17" s="204">
        <f>5.275+4.007+5.721-V17-U17</f>
        <v>9.2190000000000012</v>
      </c>
      <c r="X17" s="204">
        <f>4.007+5.721+3.702-W17-V17-U17</f>
        <v>-1.5730000000000013</v>
      </c>
      <c r="Y17" s="388">
        <f t="shared" si="3"/>
        <v>13.43</v>
      </c>
      <c r="Z17" s="116"/>
      <c r="AA17" s="380">
        <v>2.2810000000000001</v>
      </c>
      <c r="AB17" s="204">
        <f>2.242-AA17</f>
        <v>-3.9000000000000146E-2</v>
      </c>
      <c r="AC17" s="204">
        <f>3.028+5.798-AB17-AA17</f>
        <v>6.5839999999999996</v>
      </c>
      <c r="AD17" s="204">
        <f>6.352+5.798-AC17-AB17-AA17</f>
        <v>3.3240000000000003</v>
      </c>
      <c r="AE17" s="388">
        <f t="shared" si="4"/>
        <v>12.15</v>
      </c>
      <c r="AF17" s="116"/>
      <c r="AG17" s="380">
        <v>2.9009999999999998</v>
      </c>
      <c r="AH17" s="204">
        <f>3.859-AG17</f>
        <v>0.95800000000000018</v>
      </c>
      <c r="AI17" s="204">
        <f>10.488-AH17-AG17</f>
        <v>6.6289999999999996</v>
      </c>
      <c r="AJ17" s="204">
        <f>14.193-AI17-AH17-AG17</f>
        <v>3.7050000000000001</v>
      </c>
      <c r="AK17" s="388">
        <f t="shared" si="5"/>
        <v>14.193</v>
      </c>
      <c r="AL17" s="116"/>
      <c r="AM17" s="380">
        <f>3.291+6.203</f>
        <v>9.4939999999999998</v>
      </c>
      <c r="AN17" s="204">
        <f>5.367+6.203-AM17</f>
        <v>2.0760000000000005</v>
      </c>
      <c r="AO17" s="204">
        <f>14.156+6.203+12.535-AN17-AM17</f>
        <v>21.324000000000005</v>
      </c>
      <c r="AP17" s="204">
        <f>10.29+6.203+12.535-AO17-AN17-AM17</f>
        <v>-3.8660000000000068</v>
      </c>
      <c r="AQ17" s="388">
        <f t="shared" si="6"/>
        <v>29.027999999999999</v>
      </c>
      <c r="AR17" s="116"/>
      <c r="AS17" s="380">
        <v>-0.48199999999999998</v>
      </c>
      <c r="AT17" s="204">
        <f>8.019-AS17</f>
        <v>8.5009999999999994</v>
      </c>
      <c r="AU17" s="204">
        <f>8.191-AT17-AS17</f>
        <v>0.17200000000000126</v>
      </c>
      <c r="AV17" s="204">
        <f>3.303-AU17-AT17-AS17</f>
        <v>-4.8880000000000008</v>
      </c>
      <c r="AW17" s="388">
        <f t="shared" si="7"/>
        <v>3.3029999999999999</v>
      </c>
      <c r="AX17" s="116"/>
      <c r="AY17" s="380">
        <v>3.68</v>
      </c>
      <c r="AZ17" s="204">
        <f>4.862-AY17</f>
        <v>1.1819999999999999</v>
      </c>
      <c r="BA17" s="204">
        <f>7.131-AZ17-AY17</f>
        <v>2.2689999999999997</v>
      </c>
      <c r="BB17" s="204">
        <f>7.549-BA17-AZ17-AY17</f>
        <v>0.41800000000000059</v>
      </c>
      <c r="BC17" s="388">
        <f t="shared" si="8"/>
        <v>7.5490000000000013</v>
      </c>
      <c r="BD17" s="116"/>
      <c r="BE17" s="380">
        <v>0.96199999999999997</v>
      </c>
      <c r="BF17" s="204">
        <f>1.959-BE17</f>
        <v>0.99700000000000011</v>
      </c>
      <c r="BG17" s="204">
        <f>8.392-BF17-BE17</f>
        <v>6.4329999999999998</v>
      </c>
      <c r="BH17" s="204">
        <f>11.611-BG17-BF17-BE17</f>
        <v>3.2190000000000012</v>
      </c>
      <c r="BI17" s="388">
        <f t="shared" si="9"/>
        <v>11.611000000000001</v>
      </c>
      <c r="BJ17" s="116"/>
      <c r="BK17" s="380">
        <v>2.6890000000000001</v>
      </c>
      <c r="BL17" s="204">
        <f>5.015-BK17</f>
        <v>2.3259999999999996</v>
      </c>
      <c r="BM17" s="204">
        <f>6.031-SUM(BK17:BL17)</f>
        <v>1.016</v>
      </c>
      <c r="BN17" s="204">
        <f>140+17.636+10.921-BM17-BL17-BK17</f>
        <v>162.52600000000001</v>
      </c>
      <c r="BO17" s="388">
        <f t="shared" si="10"/>
        <v>168.55700000000002</v>
      </c>
      <c r="BP17" s="116"/>
      <c r="BQ17" s="645">
        <v>0</v>
      </c>
      <c r="BR17" s="534">
        <f>+BQ17</f>
        <v>0</v>
      </c>
      <c r="BS17" s="534">
        <f>+BR17</f>
        <v>0</v>
      </c>
      <c r="BT17" s="534">
        <f>+BS17</f>
        <v>0</v>
      </c>
      <c r="BU17" s="388">
        <f t="shared" si="11"/>
        <v>0</v>
      </c>
      <c r="BV17" s="116"/>
      <c r="BW17" s="645">
        <f>+BT17</f>
        <v>0</v>
      </c>
      <c r="BX17" s="534">
        <f>+BW17</f>
        <v>0</v>
      </c>
      <c r="BY17" s="534">
        <f>+BX17</f>
        <v>0</v>
      </c>
      <c r="BZ17" s="534">
        <f>+BY17</f>
        <v>0</v>
      </c>
      <c r="CA17" s="388">
        <f t="shared" si="12"/>
        <v>0</v>
      </c>
      <c r="CB17" s="116"/>
      <c r="CC17" s="645">
        <f>+BZ17</f>
        <v>0</v>
      </c>
      <c r="CD17" s="534">
        <f>+CC17</f>
        <v>0</v>
      </c>
      <c r="CE17" s="534">
        <f>+CD17</f>
        <v>0</v>
      </c>
      <c r="CF17" s="534">
        <f>+CE17</f>
        <v>0</v>
      </c>
      <c r="CG17" s="388">
        <f t="shared" si="13"/>
        <v>0</v>
      </c>
      <c r="CO17"/>
      <c r="CP17"/>
      <c r="CQ17"/>
      <c r="CR17"/>
      <c r="CS17"/>
      <c r="CT17"/>
      <c r="CU17" s="184"/>
    </row>
    <row r="18" spans="1:99" s="7" customFormat="1" ht="11.25" customHeight="1" x14ac:dyDescent="0.2">
      <c r="A18" s="136"/>
      <c r="B18" s="433"/>
      <c r="C18" s="635"/>
      <c r="D18" s="116"/>
      <c r="E18" s="116"/>
      <c r="F18" s="116"/>
      <c r="G18" s="388"/>
      <c r="H18" s="116"/>
      <c r="I18" s="635"/>
      <c r="J18" s="116"/>
      <c r="K18" s="116"/>
      <c r="L18" s="116"/>
      <c r="M18" s="388"/>
      <c r="N18" s="116"/>
      <c r="O18" s="635"/>
      <c r="P18" s="116"/>
      <c r="Q18" s="116"/>
      <c r="R18" s="116"/>
      <c r="S18" s="388"/>
      <c r="T18" s="116"/>
      <c r="U18" s="635"/>
      <c r="V18" s="116"/>
      <c r="W18" s="116"/>
      <c r="X18" s="116"/>
      <c r="Y18" s="388"/>
      <c r="Z18" s="116"/>
      <c r="AA18" s="635"/>
      <c r="AB18" s="116"/>
      <c r="AC18" s="116"/>
      <c r="AD18" s="116"/>
      <c r="AE18" s="388"/>
      <c r="AF18" s="116"/>
      <c r="AG18" s="635"/>
      <c r="AH18" s="116"/>
      <c r="AI18" s="116"/>
      <c r="AJ18" s="116"/>
      <c r="AK18" s="388"/>
      <c r="AL18" s="116"/>
      <c r="AM18" s="635"/>
      <c r="AN18" s="116"/>
      <c r="AO18" s="116"/>
      <c r="AP18" s="116"/>
      <c r="AQ18" s="388"/>
      <c r="AR18" s="116"/>
      <c r="AS18" s="635"/>
      <c r="AT18" s="116"/>
      <c r="AU18" s="116"/>
      <c r="AV18" s="116"/>
      <c r="AW18" s="388"/>
      <c r="AX18" s="116"/>
      <c r="AY18" s="635"/>
      <c r="AZ18" s="116"/>
      <c r="BA18" s="116"/>
      <c r="BB18" s="116"/>
      <c r="BC18" s="388"/>
      <c r="BD18" s="116"/>
      <c r="BE18" s="635"/>
      <c r="BF18" s="116"/>
      <c r="BG18" s="116"/>
      <c r="BH18" s="116"/>
      <c r="BI18" s="388"/>
      <c r="BJ18" s="116"/>
      <c r="BK18" s="635"/>
      <c r="BL18" s="116"/>
      <c r="BM18" s="116"/>
      <c r="BN18" s="116"/>
      <c r="BO18" s="388"/>
      <c r="BP18" s="116"/>
      <c r="BQ18" s="627"/>
      <c r="BR18" s="39"/>
      <c r="BS18" s="39"/>
      <c r="BT18" s="39"/>
      <c r="BU18" s="388"/>
      <c r="BV18" s="116"/>
      <c r="BW18" s="627"/>
      <c r="BX18" s="39"/>
      <c r="BY18" s="39"/>
      <c r="BZ18" s="39"/>
      <c r="CA18" s="388"/>
      <c r="CB18" s="116"/>
      <c r="CC18" s="627"/>
      <c r="CD18" s="39"/>
      <c r="CE18" s="39"/>
      <c r="CF18" s="39"/>
      <c r="CG18" s="388"/>
      <c r="CO18"/>
      <c r="CP18"/>
      <c r="CQ18"/>
      <c r="CR18"/>
      <c r="CS18"/>
      <c r="CT18"/>
      <c r="CU18" s="184"/>
    </row>
    <row r="19" spans="1:99" s="7" customFormat="1" ht="11.25" customHeight="1" x14ac:dyDescent="0.2">
      <c r="A19" s="136"/>
      <c r="B19" s="422" t="s">
        <v>191</v>
      </c>
      <c r="C19" s="627">
        <f>SUM(C20:C23)</f>
        <v>-94.617000000000004</v>
      </c>
      <c r="D19" s="39">
        <f>SUM(D20:D23)</f>
        <v>31.172000000000001</v>
      </c>
      <c r="E19" s="39">
        <f>SUM(E20:E23)</f>
        <v>-24.128</v>
      </c>
      <c r="F19" s="39">
        <f>SUM(F20:F23)</f>
        <v>5.0409999999999897</v>
      </c>
      <c r="G19" s="388">
        <f>SUM(G20:G23)</f>
        <v>-82.532000000000011</v>
      </c>
      <c r="H19" s="116"/>
      <c r="I19" s="627">
        <f>SUM(I20:I23)</f>
        <v>-66.789000000000001</v>
      </c>
      <c r="J19" s="39">
        <f>SUM(J20:J23)</f>
        <v>25.338999999999999</v>
      </c>
      <c r="K19" s="39">
        <f>SUM(K20:K23)</f>
        <v>-55.016000000000005</v>
      </c>
      <c r="L19" s="39">
        <f>SUM(L20:L23)</f>
        <v>102.113</v>
      </c>
      <c r="M19" s="388">
        <f>SUM(M20:M23)</f>
        <v>5.6470000000000056</v>
      </c>
      <c r="N19" s="116"/>
      <c r="O19" s="627">
        <f>SUM(O20:O23)</f>
        <v>-109.83200000000001</v>
      </c>
      <c r="P19" s="39">
        <f>SUM(P20:P23)</f>
        <v>-1.0239999999999885</v>
      </c>
      <c r="Q19" s="39">
        <f>SUM(Q20:Q23)</f>
        <v>30.215000000000003</v>
      </c>
      <c r="R19" s="39">
        <f>SUM(R20:R23)</f>
        <v>52.384999999999998</v>
      </c>
      <c r="S19" s="388">
        <f>SUM(S20:S23)</f>
        <v>-28.256000000000007</v>
      </c>
      <c r="T19" s="116"/>
      <c r="U19" s="627">
        <f>SUM(U20:U23)</f>
        <v>-78.935000000000002</v>
      </c>
      <c r="V19" s="39">
        <f>SUM(V20:V23)</f>
        <v>-14.784000000000006</v>
      </c>
      <c r="W19" s="39">
        <f>SUM(W20:W23)</f>
        <v>-88.432999999999993</v>
      </c>
      <c r="X19" s="39">
        <f>SUM(X20:X23)</f>
        <v>84.992999999999981</v>
      </c>
      <c r="Y19" s="388">
        <f>SUM(Y20:Y23)</f>
        <v>-97.159000000000006</v>
      </c>
      <c r="Z19" s="116"/>
      <c r="AA19" s="627">
        <f>SUM(AA20:AA23)</f>
        <v>-67.222999999999999</v>
      </c>
      <c r="AB19" s="39">
        <f>SUM(AB20:AB23)</f>
        <v>0.1460000000000079</v>
      </c>
      <c r="AC19" s="39">
        <f>SUM(AC20:AC23)</f>
        <v>-56.490999999999993</v>
      </c>
      <c r="AD19" s="39">
        <f>SUM(AD20:AD23)</f>
        <v>122.39999999999998</v>
      </c>
      <c r="AE19" s="388">
        <f>SUM(AE20:AE23)</f>
        <v>-1.1680000000000135</v>
      </c>
      <c r="AF19" s="116"/>
      <c r="AG19" s="627">
        <f>SUM(AG20:AG23)</f>
        <v>-174.63600000000002</v>
      </c>
      <c r="AH19" s="39">
        <f>SUM(AH20:AH23)</f>
        <v>26.404000000000003</v>
      </c>
      <c r="AI19" s="39">
        <f>SUM(AI20:AI23)</f>
        <v>-75.605999999999995</v>
      </c>
      <c r="AJ19" s="39">
        <f>SUM(AJ20:AJ23)</f>
        <v>9.8009999999999877</v>
      </c>
      <c r="AK19" s="388">
        <f>SUM(AK20:AK23)</f>
        <v>-214.03699999999998</v>
      </c>
      <c r="AL19" s="116"/>
      <c r="AM19" s="627">
        <f>SUM(AM20:AM23)</f>
        <v>-193.221</v>
      </c>
      <c r="AN19" s="39">
        <f>SUM(AN20:AN23)</f>
        <v>95.725999999999985</v>
      </c>
      <c r="AO19" s="39">
        <f>SUM(AO20:AO23)</f>
        <v>3.123999999999981</v>
      </c>
      <c r="AP19" s="39">
        <f>SUM(AP20:AP23)</f>
        <v>83.984000000000009</v>
      </c>
      <c r="AQ19" s="388">
        <f>SUM(AQ20:AQ23)</f>
        <v>-10.387000000000015</v>
      </c>
      <c r="AR19" s="116"/>
      <c r="AS19" s="627">
        <f>SUM(AS20:AS23)</f>
        <v>-230.78200000000001</v>
      </c>
      <c r="AT19" s="39">
        <f>SUM(AT20:AT23)</f>
        <v>18.832000000000001</v>
      </c>
      <c r="AU19" s="39">
        <f>SUM(AU20:AU23)</f>
        <v>-1.0379999999999541</v>
      </c>
      <c r="AV19" s="39">
        <f>SUM(AV20:AV23)</f>
        <v>68.521999999999977</v>
      </c>
      <c r="AW19" s="388">
        <f>SUM(AW20:AW23)</f>
        <v>-144.46600000000001</v>
      </c>
      <c r="AX19" s="116"/>
      <c r="AY19" s="627">
        <f>SUM(AY20:AY23)</f>
        <v>-195.15800000000002</v>
      </c>
      <c r="AZ19" s="39">
        <f>SUM(AZ20:AZ23)</f>
        <v>25.055000000000007</v>
      </c>
      <c r="BA19" s="39">
        <f>SUM(BA20:BA23)</f>
        <v>-89.179000000000002</v>
      </c>
      <c r="BB19" s="39">
        <f>SUM(BB20:BB23)</f>
        <v>98.647000000000006</v>
      </c>
      <c r="BC19" s="388">
        <f>SUM(BC20:BC23)</f>
        <v>-160.63499999999999</v>
      </c>
      <c r="BD19" s="116"/>
      <c r="BE19" s="627">
        <f>SUM(BE20:BE23)</f>
        <v>-266.983</v>
      </c>
      <c r="BF19" s="39">
        <f>SUM(BF20:BF23)</f>
        <v>71.532000000000011</v>
      </c>
      <c r="BG19" s="39">
        <f>SUM(BG20:BG23)</f>
        <v>-25.873000000000019</v>
      </c>
      <c r="BH19" s="39">
        <f>SUM(BH20:BH23)</f>
        <v>66.342000000000013</v>
      </c>
      <c r="BI19" s="388">
        <f>SUM(BI20:BI23)</f>
        <v>-154.982</v>
      </c>
      <c r="BJ19" s="116"/>
      <c r="BK19" s="627">
        <f>SUM(BK20:BK23)</f>
        <v>-265.161</v>
      </c>
      <c r="BL19" s="39">
        <f>SUM(BL20:BL23)</f>
        <v>20.716999999999992</v>
      </c>
      <c r="BM19" s="39">
        <f>SUM(BM20:BM23)</f>
        <v>-91.644000000000005</v>
      </c>
      <c r="BN19" s="39">
        <f>SUM(BN20:BN23)</f>
        <v>4.2799999999999727</v>
      </c>
      <c r="BO19" s="388">
        <f>SUM(BO20:BO23)</f>
        <v>-331.80800000000011</v>
      </c>
      <c r="BP19" s="116"/>
      <c r="BQ19" s="627">
        <f>SUM(BQ20:BQ23)</f>
        <v>-107.8162101320404</v>
      </c>
      <c r="BR19" s="39">
        <f>SUM(BR20:BR23)</f>
        <v>-143.29395047312812</v>
      </c>
      <c r="BS19" s="39">
        <f>SUM(BS20:BS23)</f>
        <v>-33.453304147580752</v>
      </c>
      <c r="BT19" s="39">
        <f>SUM(BT20:BT23)</f>
        <v>-39.716563168620155</v>
      </c>
      <c r="BU19" s="388">
        <f>SUM(BU20:BU23)</f>
        <v>-324.28002792136942</v>
      </c>
      <c r="BV19" s="116"/>
      <c r="BW19" s="627">
        <f>SUM(BW20:BW23)</f>
        <v>-38.808957997177004</v>
      </c>
      <c r="BX19" s="39">
        <f>SUM(BX20:BX23)</f>
        <v>-150.75406530463999</v>
      </c>
      <c r="BY19" s="39">
        <f>SUM(BY20:BY23)</f>
        <v>-38.041842640471259</v>
      </c>
      <c r="BZ19" s="39">
        <f>SUM(BZ20:BZ23)</f>
        <v>-44.826233657238049</v>
      </c>
      <c r="CA19" s="388">
        <f>SUM(CA20:CA23)</f>
        <v>-272.43109959952631</v>
      </c>
      <c r="CB19" s="116"/>
      <c r="CC19" s="627">
        <f>SUM(CC20:CC23)</f>
        <v>-25.526332884056899</v>
      </c>
      <c r="CD19" s="39">
        <f>SUM(CD20:CD23)</f>
        <v>-166.33865161588795</v>
      </c>
      <c r="CE19" s="39">
        <f>SUM(CE20:CE23)</f>
        <v>-42.505086095618822</v>
      </c>
      <c r="CF19" s="39">
        <f>SUM(CF20:CF23)</f>
        <v>-50.841094304763999</v>
      </c>
      <c r="CG19" s="388">
        <f>SUM(CG20:CG23)</f>
        <v>-285.21116490032767</v>
      </c>
      <c r="CO19"/>
      <c r="CP19"/>
      <c r="CQ19"/>
      <c r="CR19"/>
      <c r="CS19"/>
      <c r="CT19"/>
      <c r="CU19" s="184"/>
    </row>
    <row r="20" spans="1:99" s="7" customFormat="1" ht="11.25" customHeight="1" outlineLevel="1" x14ac:dyDescent="0.2">
      <c r="A20" s="136"/>
      <c r="B20" s="649" t="s">
        <v>280</v>
      </c>
      <c r="C20" s="380">
        <v>-3.9470000000000001</v>
      </c>
      <c r="D20" s="204">
        <f>-16.756-C20</f>
        <v>-12.809000000000001</v>
      </c>
      <c r="E20" s="204">
        <f>-82.521-D20-C20</f>
        <v>-65.765000000000001</v>
      </c>
      <c r="F20" s="204">
        <f>-21.964-E20-D20-C20</f>
        <v>60.557000000000002</v>
      </c>
      <c r="G20" s="388">
        <f>SUM(C20:F20)</f>
        <v>-21.963999999999999</v>
      </c>
      <c r="H20" s="40"/>
      <c r="I20" s="380">
        <v>16.504000000000001</v>
      </c>
      <c r="J20" s="204">
        <f>-6.752-I20</f>
        <v>-23.256</v>
      </c>
      <c r="K20" s="204">
        <f>-66.751-J20-I20</f>
        <v>-59.999000000000009</v>
      </c>
      <c r="L20" s="204">
        <f>-26.834-K20-J20-I20</f>
        <v>39.917000000000002</v>
      </c>
      <c r="M20" s="388">
        <f>SUM(I20:L20)</f>
        <v>-26.834000000000003</v>
      </c>
      <c r="N20" s="40"/>
      <c r="O20" s="380">
        <v>43.396999999999998</v>
      </c>
      <c r="P20" s="204">
        <f>14.443-O20</f>
        <v>-28.954000000000001</v>
      </c>
      <c r="Q20" s="204">
        <f>-12.788-P20-O20</f>
        <v>-27.230999999999998</v>
      </c>
      <c r="R20" s="204">
        <f>20.445-Q20-P20-O20</f>
        <v>33.232999999999997</v>
      </c>
      <c r="S20" s="388">
        <f>SUM(O20:R20)</f>
        <v>20.444999999999997</v>
      </c>
      <c r="T20" s="40"/>
      <c r="U20" s="380">
        <v>-7.3940000000000001</v>
      </c>
      <c r="V20" s="204">
        <f>-33.854-U20</f>
        <v>-26.46</v>
      </c>
      <c r="W20" s="204">
        <f>-104.719-V20-U20</f>
        <v>-70.864999999999981</v>
      </c>
      <c r="X20" s="204">
        <f>-76.129-W20-V20-U20</f>
        <v>28.589999999999975</v>
      </c>
      <c r="Y20" s="388">
        <f>SUM(U20:X20)</f>
        <v>-76.129000000000005</v>
      </c>
      <c r="Z20" s="40"/>
      <c r="AA20" s="380">
        <v>10.99</v>
      </c>
      <c r="AB20" s="204">
        <f>-9.902-AA20</f>
        <v>-20.891999999999999</v>
      </c>
      <c r="AC20" s="204">
        <f>-50.785-AB20-AA20</f>
        <v>-40.882999999999996</v>
      </c>
      <c r="AD20" s="204">
        <f>36.204-AC20-AB20-AA20</f>
        <v>86.98899999999999</v>
      </c>
      <c r="AE20" s="388">
        <f>SUM(AA20:AD20)</f>
        <v>36.203999999999994</v>
      </c>
      <c r="AF20" s="40"/>
      <c r="AG20" s="380">
        <v>-57.433</v>
      </c>
      <c r="AH20" s="204">
        <f>-59.329-AG20</f>
        <v>-1.8960000000000008</v>
      </c>
      <c r="AI20" s="204">
        <f>-105.961-AH20-AG20</f>
        <v>-46.631999999999998</v>
      </c>
      <c r="AJ20" s="204">
        <f>-73.925-AI20-AH20-AG20</f>
        <v>32.036000000000001</v>
      </c>
      <c r="AK20" s="388">
        <f>SUM(AG20:AJ20)</f>
        <v>-73.924999999999997</v>
      </c>
      <c r="AL20" s="40"/>
      <c r="AM20" s="380">
        <v>-25.391999999999999</v>
      </c>
      <c r="AN20" s="204">
        <f>-45.155-AM20</f>
        <v>-19.763000000000002</v>
      </c>
      <c r="AO20" s="204">
        <f>-93.451-AN20-AM20</f>
        <v>-48.295999999999992</v>
      </c>
      <c r="AP20" s="204">
        <f>-45.11-AO20-AN20-AM20</f>
        <v>48.340999999999994</v>
      </c>
      <c r="AQ20" s="388">
        <f>SUM(AM20:AP20)</f>
        <v>-45.11</v>
      </c>
      <c r="AR20" s="40"/>
      <c r="AS20" s="380">
        <v>-29.602</v>
      </c>
      <c r="AT20" s="204">
        <f>-86.199-AS20</f>
        <v>-56.596999999999994</v>
      </c>
      <c r="AU20" s="204">
        <f>-108.338-AT20-AS20</f>
        <v>-22.138999999999999</v>
      </c>
      <c r="AV20" s="204">
        <f>-81.441-AU20-AT20-AS20</f>
        <v>26.896999999999988</v>
      </c>
      <c r="AW20" s="388">
        <f>SUM(AS20:AV20)</f>
        <v>-81.441000000000003</v>
      </c>
      <c r="AX20" s="40"/>
      <c r="AY20" s="380">
        <v>-9.8610000000000007</v>
      </c>
      <c r="AZ20" s="204">
        <f>-55.452-AY20</f>
        <v>-45.590999999999994</v>
      </c>
      <c r="BA20" s="204">
        <f>-111.89-AZ20-AY20</f>
        <v>-56.438000000000002</v>
      </c>
      <c r="BB20" s="204">
        <f>-120.001-BA20-AZ20-AY20</f>
        <v>-8.1110000000000078</v>
      </c>
      <c r="BC20" s="388">
        <f>SUM(AY20:BB20)</f>
        <v>-120.001</v>
      </c>
      <c r="BD20" s="40"/>
      <c r="BE20" s="380">
        <v>-39.767000000000003</v>
      </c>
      <c r="BF20" s="204">
        <f>-56.702-BE20</f>
        <v>-16.934999999999995</v>
      </c>
      <c r="BG20" s="204">
        <f>-131.586-BF20-BE20</f>
        <v>-74.884000000000015</v>
      </c>
      <c r="BH20" s="204">
        <f>-1.904-BG20-BF20-BE20</f>
        <v>129.68200000000002</v>
      </c>
      <c r="BI20" s="388">
        <f>SUM(BE20:BH20)</f>
        <v>-1.9039999999999964</v>
      </c>
      <c r="BJ20" s="40"/>
      <c r="BK20" s="380">
        <v>-101.764</v>
      </c>
      <c r="BL20" s="204">
        <f>-122.938-BK20</f>
        <v>-21.174000000000007</v>
      </c>
      <c r="BM20" s="204">
        <f>-229.239-SUM(BK20:BL20)</f>
        <v>-106.301</v>
      </c>
      <c r="BN20" s="204">
        <f>-159.876-BM20-BL20-BK20</f>
        <v>69.363</v>
      </c>
      <c r="BO20" s="388">
        <f>SUM(BK20:BN20)</f>
        <v>-159.876</v>
      </c>
      <c r="BP20" s="40"/>
      <c r="BQ20" s="627">
        <f>'BalSht '!BN10-'BalSht '!BQ10-BQ12</f>
        <v>77.697131231935145</v>
      </c>
      <c r="BR20" s="39">
        <f>'BalSht '!BQ10-'BalSht '!BR10-BR12</f>
        <v>-106.85701788164238</v>
      </c>
      <c r="BS20" s="39">
        <f>'BalSht '!BR10-'BalSht '!BS10-BS12</f>
        <v>-79.458742056104256</v>
      </c>
      <c r="BT20" s="39">
        <f>'BalSht '!BS10-'BalSht '!BT10-BT12</f>
        <v>-13.501999808112714</v>
      </c>
      <c r="BU20" s="388">
        <f>SUM(BQ20:BT20)</f>
        <v>-122.1206285139242</v>
      </c>
      <c r="BV20" s="40"/>
      <c r="BW20" s="627">
        <f>'BalSht '!BT10-'BalSht '!BW10-BW12</f>
        <v>110.59031202057304</v>
      </c>
      <c r="BX20" s="39">
        <f>'BalSht '!BW10-'BalSht '!BX10-BX12</f>
        <v>-101.12177077854494</v>
      </c>
      <c r="BY20" s="39">
        <f>'BalSht '!BX10-'BalSht '!BY10-BY12</f>
        <v>-83.242450190252612</v>
      </c>
      <c r="BZ20" s="39">
        <f>'BalSht '!BY10-'BalSht '!BZ10-BZ12</f>
        <v>-13.546853636339847</v>
      </c>
      <c r="CA20" s="388">
        <f>SUM(BW20:BZ20)</f>
        <v>-87.320762584564363</v>
      </c>
      <c r="CB20" s="40"/>
      <c r="CC20" s="627">
        <f>'BalSht '!BZ10-'BalSht '!CC10-CC12</f>
        <v>120.66221591734916</v>
      </c>
      <c r="CD20" s="39">
        <f>'BalSht '!CC10-'BalSht '!CD10-CD12</f>
        <v>-106.42744157882998</v>
      </c>
      <c r="CE20" s="39">
        <f>'BalSht '!CD10-'BalSht '!CE10-CE12</f>
        <v>-86.686832438062538</v>
      </c>
      <c r="CF20" s="39">
        <f>'BalSht '!CE10-'BalSht '!CF10-CF12</f>
        <v>-14.087206827548016</v>
      </c>
      <c r="CG20" s="388">
        <f>SUM(CC20:CF20)</f>
        <v>-86.539264927091381</v>
      </c>
      <c r="CO20"/>
      <c r="CP20"/>
      <c r="CQ20"/>
      <c r="CR20"/>
      <c r="CS20"/>
      <c r="CT20"/>
      <c r="CU20" s="184"/>
    </row>
    <row r="21" spans="1:99" s="7" customFormat="1" ht="11.25" customHeight="1" outlineLevel="1" x14ac:dyDescent="0.2">
      <c r="A21" s="136"/>
      <c r="B21" s="649" t="s">
        <v>281</v>
      </c>
      <c r="C21" s="380">
        <v>3.9359999999999999</v>
      </c>
      <c r="D21" s="204">
        <f>15.446-C21</f>
        <v>11.51</v>
      </c>
      <c r="E21" s="204">
        <f>-31.941-D21-C21</f>
        <v>-47.387</v>
      </c>
      <c r="F21" s="204">
        <f>-15.946-E21-D21-C21</f>
        <v>15.995000000000005</v>
      </c>
      <c r="G21" s="388">
        <f>SUM(C21:F21)</f>
        <v>-15.945999999999998</v>
      </c>
      <c r="H21" s="40"/>
      <c r="I21" s="380">
        <v>-21.087</v>
      </c>
      <c r="J21" s="204">
        <f>-5.064-I21</f>
        <v>16.023</v>
      </c>
      <c r="K21" s="204">
        <f>-68.182-J21-I21</f>
        <v>-63.117999999999995</v>
      </c>
      <c r="L21" s="204">
        <f>-68.36-K21-J21-I21</f>
        <v>-0.17800000000000438</v>
      </c>
      <c r="M21" s="388">
        <f>SUM(I21:L21)</f>
        <v>-68.359999999999985</v>
      </c>
      <c r="N21" s="40"/>
      <c r="O21" s="380">
        <v>-21.039000000000001</v>
      </c>
      <c r="P21" s="204">
        <f>13.248-O21</f>
        <v>34.286999999999999</v>
      </c>
      <c r="Q21" s="204">
        <f>-10.234-P21-O21</f>
        <v>-23.481999999999999</v>
      </c>
      <c r="R21" s="204">
        <f>-19.242-Q21-P21-O21</f>
        <v>-9.0079999999999991</v>
      </c>
      <c r="S21" s="388">
        <f>SUM(O21:R21)</f>
        <v>-19.242000000000001</v>
      </c>
      <c r="T21" s="40"/>
      <c r="U21" s="380">
        <v>14.481999999999999</v>
      </c>
      <c r="V21" s="204">
        <f>32.264-U21</f>
        <v>17.782000000000004</v>
      </c>
      <c r="W21" s="204">
        <f>5.799-V21-U21</f>
        <v>-26.465000000000003</v>
      </c>
      <c r="X21" s="204">
        <f>-21.307-W21-V21-U21</f>
        <v>-27.105999999999998</v>
      </c>
      <c r="Y21" s="388">
        <f>SUM(U21:X21)</f>
        <v>-21.306999999999999</v>
      </c>
      <c r="Z21" s="40"/>
      <c r="AA21" s="380">
        <v>-6.944</v>
      </c>
      <c r="AB21" s="204">
        <f>3.902-AA21</f>
        <v>10.846</v>
      </c>
      <c r="AC21" s="204">
        <f>-14.657-AB21-AA21</f>
        <v>-18.559000000000001</v>
      </c>
      <c r="AD21" s="204">
        <f>-44.155-AC21-AB21-AA21</f>
        <v>-29.498000000000001</v>
      </c>
      <c r="AE21" s="388">
        <f>SUM(AA21:AD21)</f>
        <v>-44.155000000000001</v>
      </c>
      <c r="AF21" s="40"/>
      <c r="AG21" s="380">
        <v>-12.532</v>
      </c>
      <c r="AH21" s="204">
        <f>-11.34-AG21</f>
        <v>1.1920000000000002</v>
      </c>
      <c r="AI21" s="204">
        <f>-85.027-AH21-AG21</f>
        <v>-73.686999999999998</v>
      </c>
      <c r="AJ21" s="204">
        <f>-193.585-AI21-AH21-AG21</f>
        <v>-108.55800000000001</v>
      </c>
      <c r="AK21" s="388">
        <f>SUM(AG21:AJ21)</f>
        <v>-193.58500000000001</v>
      </c>
      <c r="AL21" s="40"/>
      <c r="AM21" s="380">
        <v>54.011000000000003</v>
      </c>
      <c r="AN21" s="204">
        <f>82.037-AM21</f>
        <v>28.026000000000003</v>
      </c>
      <c r="AO21" s="204">
        <f>76.877-AN21-AM21</f>
        <v>-5.1600000000000108</v>
      </c>
      <c r="AP21" s="204">
        <f>-48.087-AO21-AN21-AM21</f>
        <v>-124.964</v>
      </c>
      <c r="AQ21" s="388">
        <f>SUM(AM21:AP21)</f>
        <v>-48.087000000000003</v>
      </c>
      <c r="AR21" s="40"/>
      <c r="AS21" s="380">
        <v>41.558999999999997</v>
      </c>
      <c r="AT21" s="204">
        <f>48.55-AS21</f>
        <v>6.9909999999999997</v>
      </c>
      <c r="AU21" s="204">
        <f>2.447-AT21-AS21</f>
        <v>-46.102999999999994</v>
      </c>
      <c r="AV21" s="204">
        <f>-71.899-AU21-AT21-AS21</f>
        <v>-74.346000000000004</v>
      </c>
      <c r="AW21" s="388">
        <f>SUM(AS21:AV21)</f>
        <v>-71.899000000000001</v>
      </c>
      <c r="AX21" s="40"/>
      <c r="AY21" s="380">
        <v>-11.906000000000001</v>
      </c>
      <c r="AZ21" s="204">
        <f>-3.024-AY21</f>
        <v>8.8820000000000014</v>
      </c>
      <c r="BA21" s="204">
        <f>-108.268-AZ21-AY21</f>
        <v>-105.244</v>
      </c>
      <c r="BB21" s="204">
        <f>-194.869-BA21-AZ21-AY21</f>
        <v>-86.600999999999999</v>
      </c>
      <c r="BC21" s="388">
        <f>SUM(AY21:BB21)</f>
        <v>-194.869</v>
      </c>
      <c r="BD21" s="40"/>
      <c r="BE21" s="380">
        <v>13.93</v>
      </c>
      <c r="BF21" s="204">
        <f>34.395-BE21</f>
        <v>20.465000000000003</v>
      </c>
      <c r="BG21" s="204">
        <f>48.513-BF21-BE21</f>
        <v>14.117999999999995</v>
      </c>
      <c r="BH21" s="204">
        <f>-104.787-BG21-BF21-BE21</f>
        <v>-153.30000000000001</v>
      </c>
      <c r="BI21" s="388">
        <f>SUM(BE21:BH21)</f>
        <v>-104.78700000000001</v>
      </c>
      <c r="BJ21" s="40"/>
      <c r="BK21" s="380">
        <v>28.277999999999999</v>
      </c>
      <c r="BL21" s="204">
        <f>115.8-BK21</f>
        <v>87.521999999999991</v>
      </c>
      <c r="BM21" s="204">
        <f>27.336-SUM(BK21:BL21)</f>
        <v>-88.463999999999984</v>
      </c>
      <c r="BN21" s="204">
        <f>-175.059-BM21-BL21-BK21</f>
        <v>-202.39500000000001</v>
      </c>
      <c r="BO21" s="388">
        <f>SUM(BK21:BN21)</f>
        <v>-175.05900000000003</v>
      </c>
      <c r="BP21" s="40"/>
      <c r="BQ21" s="627">
        <f>'BalSht '!BN11-'BalSht '!BQ11</f>
        <v>88.617229214906274</v>
      </c>
      <c r="BR21" s="39">
        <f>'BalSht '!BQ11-'BalSht '!BR11</f>
        <v>10.598451861052581</v>
      </c>
      <c r="BS21" s="39">
        <f>'BalSht '!BR11-'BalSht '!BS11</f>
        <v>-16.500295242886068</v>
      </c>
      <c r="BT21" s="39">
        <f>'BalSht '!BS11-'BalSht '!BT11</f>
        <v>-174.62156693110137</v>
      </c>
      <c r="BU21" s="388">
        <f>SUM(BQ21:BT21)</f>
        <v>-91.906181098028583</v>
      </c>
      <c r="BV21" s="40"/>
      <c r="BW21" s="627">
        <f>'BalSht '!BT11-'BalSht '!BW11</f>
        <v>-47.928550998687115</v>
      </c>
      <c r="BX21" s="39">
        <f>'BalSht '!BW11-'BalSht '!BX11</f>
        <v>10.943319938336117</v>
      </c>
      <c r="BY21" s="39">
        <f>'BalSht '!BX11-'BalSht '!BY11</f>
        <v>-20.415137963291272</v>
      </c>
      <c r="BZ21" s="39">
        <f>'BalSht '!BY11-'BalSht '!BZ11</f>
        <v>-185.58233221014143</v>
      </c>
      <c r="CA21" s="388">
        <f>SUM(BW21:BZ21)</f>
        <v>-242.9827012337837</v>
      </c>
      <c r="CB21" s="40"/>
      <c r="CC21" s="627">
        <f>'BalSht '!BZ11-'BalSht '!CC11</f>
        <v>-36.172391235626492</v>
      </c>
      <c r="CD21" s="39">
        <f>'BalSht '!CC11-'BalSht '!CD11</f>
        <v>3.6047075709202545</v>
      </c>
      <c r="CE21" s="39">
        <f>'BalSht '!CD11-'BalSht '!CE11</f>
        <v>-24.280747234588034</v>
      </c>
      <c r="CF21" s="39">
        <f>'BalSht '!CE11-'BalSht '!CF11</f>
        <v>-197.1710145316124</v>
      </c>
      <c r="CG21" s="388">
        <f>SUM(CC21:CF21)</f>
        <v>-254.01944543090667</v>
      </c>
      <c r="CO21"/>
      <c r="CP21"/>
      <c r="CQ21"/>
      <c r="CR21"/>
      <c r="CS21"/>
      <c r="CT21"/>
      <c r="CU21" s="184"/>
    </row>
    <row r="22" spans="1:99" s="7" customFormat="1" ht="11.25" customHeight="1" outlineLevel="1" x14ac:dyDescent="0.2">
      <c r="A22" s="136"/>
      <c r="B22" s="649" t="s">
        <v>282</v>
      </c>
      <c r="C22" s="380">
        <v>11.882</v>
      </c>
      <c r="D22" s="204">
        <f>4.469-C22</f>
        <v>-7.4129999999999994</v>
      </c>
      <c r="E22" s="204">
        <f>-9.841-D22-C22</f>
        <v>-14.309999999999999</v>
      </c>
      <c r="F22" s="204">
        <f>-58.194-E22-D22-C22</f>
        <v>-48.353000000000002</v>
      </c>
      <c r="G22" s="388">
        <f>SUM(C22:F22)</f>
        <v>-58.194000000000003</v>
      </c>
      <c r="H22" s="40"/>
      <c r="I22" s="380">
        <v>2.5139999999999998</v>
      </c>
      <c r="J22" s="204">
        <f>10.978-I22</f>
        <v>8.4640000000000004</v>
      </c>
      <c r="K22" s="204">
        <f>-3.46-J22-I22</f>
        <v>-14.437999999999999</v>
      </c>
      <c r="L22" s="204">
        <f>11.261-K22-J22-I22</f>
        <v>14.721</v>
      </c>
      <c r="M22" s="388">
        <f>SUM(I22:L22)</f>
        <v>11.261000000000001</v>
      </c>
      <c r="N22" s="40"/>
      <c r="O22" s="380">
        <v>12.669</v>
      </c>
      <c r="P22" s="204">
        <f>2.47-O22</f>
        <v>-10.199</v>
      </c>
      <c r="Q22" s="204">
        <f>-0.806-P22-O22</f>
        <v>-3.2759999999999998</v>
      </c>
      <c r="R22" s="204">
        <f>0.375-Q22-P22-O22</f>
        <v>1.1809999999999992</v>
      </c>
      <c r="S22" s="388">
        <f>SUM(O22:R22)</f>
        <v>0.375</v>
      </c>
      <c r="T22" s="40"/>
      <c r="U22" s="380">
        <v>7.73</v>
      </c>
      <c r="V22" s="204">
        <f>-18.411-U22</f>
        <v>-26.141000000000002</v>
      </c>
      <c r="W22" s="204">
        <f>-37.526-V22-U22</f>
        <v>-19.115000000000002</v>
      </c>
      <c r="X22" s="204">
        <f>-26.64-W22-V22-U22</f>
        <v>10.886000000000003</v>
      </c>
      <c r="Y22" s="388">
        <f>SUM(U22:X22)</f>
        <v>-26.64</v>
      </c>
      <c r="Z22" s="40"/>
      <c r="AA22" s="380">
        <v>-1.131</v>
      </c>
      <c r="AB22" s="204">
        <f>-11.1-AA22</f>
        <v>-9.9689999999999994</v>
      </c>
      <c r="AC22" s="204">
        <f>-18.537-AB22-AA22</f>
        <v>-7.4369999999999994</v>
      </c>
      <c r="AD22" s="204">
        <f>-10.493-AC22-AB22-AA22</f>
        <v>8.0439999999999987</v>
      </c>
      <c r="AE22" s="388">
        <f>SUM(AA22:AD22)</f>
        <v>-10.493</v>
      </c>
      <c r="AF22" s="40"/>
      <c r="AG22" s="380">
        <v>12.404</v>
      </c>
      <c r="AH22" s="204">
        <f>-8.078-AG22</f>
        <v>-20.481999999999999</v>
      </c>
      <c r="AI22" s="204">
        <f>-26.788-AH22-AG22</f>
        <v>-18.71</v>
      </c>
      <c r="AJ22" s="204">
        <f>-62.39-AI22-AH22-AG22</f>
        <v>-35.602000000000004</v>
      </c>
      <c r="AK22" s="388">
        <f>SUM(AG22:AJ22)</f>
        <v>-62.39</v>
      </c>
      <c r="AL22" s="40"/>
      <c r="AM22" s="380">
        <v>14.003</v>
      </c>
      <c r="AN22" s="204">
        <f>-12.924-AM22</f>
        <v>-26.927</v>
      </c>
      <c r="AO22" s="204">
        <f>11.123-AN22-AM22</f>
        <v>24.046999999999997</v>
      </c>
      <c r="AP22" s="204">
        <f>15.747-AO22-AN22-AM22</f>
        <v>4.6240000000000023</v>
      </c>
      <c r="AQ22" s="388">
        <f>SUM(AM22:AP22)</f>
        <v>15.747</v>
      </c>
      <c r="AR22" s="40"/>
      <c r="AS22" s="380">
        <v>-23.446000000000002</v>
      </c>
      <c r="AT22" s="204">
        <f>-23.251-AS22</f>
        <v>0.19500000000000028</v>
      </c>
      <c r="AU22" s="204">
        <f>-41.928-AT22-AS22</f>
        <v>-18.676999999999996</v>
      </c>
      <c r="AV22" s="204">
        <f>-40.407-AU22-AT22-AS22</f>
        <v>1.5210000000000008</v>
      </c>
      <c r="AW22" s="388">
        <f>SUM(AS22:AV22)</f>
        <v>-40.406999999999996</v>
      </c>
      <c r="AX22" s="40"/>
      <c r="AY22" s="380">
        <v>-3.6589999999999998</v>
      </c>
      <c r="AZ22" s="204">
        <f>-26.349-AY22</f>
        <v>-22.69</v>
      </c>
      <c r="BA22" s="204">
        <f>-63.485-AZ22-AY22</f>
        <v>-37.136000000000003</v>
      </c>
      <c r="BB22" s="204">
        <f>-58.376-BA22-AZ22-AY22</f>
        <v>5.1090000000000062</v>
      </c>
      <c r="BC22" s="388">
        <f>SUM(AY22:BB22)</f>
        <v>-58.375999999999991</v>
      </c>
      <c r="BD22" s="40"/>
      <c r="BE22" s="380">
        <v>-24.917999999999999</v>
      </c>
      <c r="BF22" s="204">
        <f>-38.876-BE22</f>
        <v>-13.957999999999998</v>
      </c>
      <c r="BG22" s="204">
        <f>-35.781-BF22-BE22</f>
        <v>3.0949999999999989</v>
      </c>
      <c r="BH22" s="204">
        <f>-22.657-BG22-BF22-BE22</f>
        <v>13.123999999999999</v>
      </c>
      <c r="BI22" s="388">
        <f>SUM(BE22:BH22)</f>
        <v>-22.657</v>
      </c>
      <c r="BJ22" s="40"/>
      <c r="BK22" s="380">
        <v>2.6890000000000001</v>
      </c>
      <c r="BL22" s="204">
        <f>-57.699-BK22</f>
        <v>-60.387999999999998</v>
      </c>
      <c r="BM22" s="204">
        <f>-70.833-SUM(BK22:BL22)</f>
        <v>-13.134</v>
      </c>
      <c r="BN22" s="204">
        <f>-85.759-BM22-BL22-BK22</f>
        <v>-14.926000000000002</v>
      </c>
      <c r="BO22" s="388">
        <f>SUM(BK22:BN22)</f>
        <v>-85.759</v>
      </c>
      <c r="BP22" s="40"/>
      <c r="BQ22" s="627">
        <f>'BalSht '!BN13-'BalSht '!BQ13</f>
        <v>24.649402039999927</v>
      </c>
      <c r="BR22" s="39">
        <f>'BalSht '!BQ13-'BalSht '!BR13</f>
        <v>-27.672221639999975</v>
      </c>
      <c r="BS22" s="39">
        <f>'BalSht '!BR13-'BalSht '!BS13</f>
        <v>-9.8561427999999296</v>
      </c>
      <c r="BT22" s="39">
        <f>'BalSht '!BS13-'BalSht '!BT13</f>
        <v>-17.245953200000031</v>
      </c>
      <c r="BU22" s="388">
        <f>SUM(BQ22:BT22)</f>
        <v>-30.124915600000008</v>
      </c>
      <c r="BV22" s="40"/>
      <c r="BW22" s="627">
        <f>'BalSht '!BT13-'BalSht '!BW13</f>
        <v>32.753762903400002</v>
      </c>
      <c r="BX22" s="39">
        <f>'BalSht '!BW13-'BalSht '!BX13</f>
        <v>-25.422797520399968</v>
      </c>
      <c r="BY22" s="39">
        <f>'BalSht '!BX13-'BalSht '!BY13</f>
        <v>-10.327654890000076</v>
      </c>
      <c r="BZ22" s="39">
        <f>'BalSht '!BY13-'BalSht '!BZ13</f>
        <v>-17.619851151000034</v>
      </c>
      <c r="CA22" s="388">
        <f>SUM(BW22:BZ22)</f>
        <v>-20.616540658000076</v>
      </c>
      <c r="CB22" s="40"/>
      <c r="CC22" s="627">
        <f>'BalSht '!BZ13-'BalSht '!CC13</f>
        <v>35.488380995346972</v>
      </c>
      <c r="CD22" s="39">
        <f>'BalSht '!CC13-'BalSht '!CD13</f>
        <v>-26.569623099221928</v>
      </c>
      <c r="CE22" s="39">
        <f>'BalSht '!CD13-'BalSht '!CE13</f>
        <v>-10.716700702329831</v>
      </c>
      <c r="CF22" s="39">
        <f>'BalSht '!CE13-'BalSht '!CF13</f>
        <v>-18.109894148605065</v>
      </c>
      <c r="CG22" s="388">
        <f>SUM(CC22:CF22)</f>
        <v>-19.907836954809852</v>
      </c>
      <c r="CO22"/>
      <c r="CP22"/>
      <c r="CQ22"/>
      <c r="CR22"/>
      <c r="CS22"/>
      <c r="CT22"/>
      <c r="CU22" s="184"/>
    </row>
    <row r="23" spans="1:99" s="7" customFormat="1" ht="11.25" customHeight="1" outlineLevel="1" x14ac:dyDescent="0.2">
      <c r="A23" s="136"/>
      <c r="B23" s="653" t="s">
        <v>283</v>
      </c>
      <c r="C23" s="380">
        <v>-106.488</v>
      </c>
      <c r="D23" s="204">
        <f>-66.604-C23</f>
        <v>39.884</v>
      </c>
      <c r="E23" s="204">
        <f>36.73-D23-C23</f>
        <v>103.334</v>
      </c>
      <c r="F23" s="204">
        <f>13.572-E23-D23-C23</f>
        <v>-23.158000000000015</v>
      </c>
      <c r="G23" s="388">
        <f>SUM(C23:F23)</f>
        <v>13.571999999999989</v>
      </c>
      <c r="H23" s="116"/>
      <c r="I23" s="380">
        <v>-64.72</v>
      </c>
      <c r="J23" s="204">
        <f>-40.612-I23</f>
        <v>24.107999999999997</v>
      </c>
      <c r="K23" s="204">
        <f>41.927-J23-I23</f>
        <v>82.539000000000001</v>
      </c>
      <c r="L23" s="204">
        <f>89.58-K23-J23-I23</f>
        <v>47.652999999999999</v>
      </c>
      <c r="M23" s="388">
        <f>SUM(I23:L23)</f>
        <v>89.58</v>
      </c>
      <c r="N23" s="116"/>
      <c r="O23" s="380">
        <v>-144.85900000000001</v>
      </c>
      <c r="P23" s="204">
        <f>-141.017-O23</f>
        <v>3.842000000000013</v>
      </c>
      <c r="Q23" s="204">
        <f>-56.813-P23-O23</f>
        <v>84.203999999999994</v>
      </c>
      <c r="R23" s="204">
        <f>-29.834-Q23-P23-O23</f>
        <v>26.978999999999999</v>
      </c>
      <c r="S23" s="388">
        <f>SUM(O23:R23)</f>
        <v>-29.834000000000003</v>
      </c>
      <c r="T23" s="116"/>
      <c r="U23" s="380">
        <v>-93.753</v>
      </c>
      <c r="V23" s="204">
        <f>-73.718-U23</f>
        <v>20.034999999999997</v>
      </c>
      <c r="W23" s="204">
        <f>-45.706-V23-U23</f>
        <v>28.012</v>
      </c>
      <c r="X23" s="204">
        <f>26.917-W23-V23-U23</f>
        <v>72.623000000000005</v>
      </c>
      <c r="Y23" s="388">
        <f>SUM(U23:X23)</f>
        <v>26.917000000000002</v>
      </c>
      <c r="Z23" s="116"/>
      <c r="AA23" s="380">
        <v>-70.138000000000005</v>
      </c>
      <c r="AB23" s="204">
        <f>-49.977-AA23</f>
        <v>20.161000000000008</v>
      </c>
      <c r="AC23" s="204">
        <f>-39.589-AB23-AA23</f>
        <v>10.387999999999998</v>
      </c>
      <c r="AD23" s="204">
        <f>17.276-AC23-AB23-AA23</f>
        <v>56.864999999999995</v>
      </c>
      <c r="AE23" s="388">
        <f>SUM(AA23:AD23)</f>
        <v>17.275999999999996</v>
      </c>
      <c r="AF23" s="116"/>
      <c r="AG23" s="380">
        <v>-117.075</v>
      </c>
      <c r="AH23" s="204">
        <f>-69.485-AG23</f>
        <v>47.59</v>
      </c>
      <c r="AI23" s="204">
        <f>-6.062-AH23-AG23</f>
        <v>63.423000000000002</v>
      </c>
      <c r="AJ23" s="204">
        <f>115.863-AI23-AH23-AG23</f>
        <v>121.925</v>
      </c>
      <c r="AK23" s="388">
        <f>SUM(AG23:AJ23)</f>
        <v>115.863</v>
      </c>
      <c r="AL23" s="116"/>
      <c r="AM23" s="380">
        <v>-235.84299999999999</v>
      </c>
      <c r="AN23" s="204">
        <f>-121.453-AM23</f>
        <v>114.38999999999999</v>
      </c>
      <c r="AO23" s="204">
        <f>-88.92-AN23-AM23</f>
        <v>32.532999999999987</v>
      </c>
      <c r="AP23" s="204">
        <f>67.063-AO23-AN23-AM23</f>
        <v>155.983</v>
      </c>
      <c r="AQ23" s="388">
        <f>SUM(AM23:AP23)</f>
        <v>67.062999999999988</v>
      </c>
      <c r="AR23" s="116"/>
      <c r="AS23" s="380">
        <v>-219.29300000000001</v>
      </c>
      <c r="AT23" s="204">
        <f>-151.05-AS23</f>
        <v>68.242999999999995</v>
      </c>
      <c r="AU23" s="204">
        <f>-65.169-AT23-AS23</f>
        <v>85.881000000000029</v>
      </c>
      <c r="AV23" s="204">
        <f>49.281-AU23-AT23-AS23</f>
        <v>114.44999999999999</v>
      </c>
      <c r="AW23" s="388">
        <f>SUM(AS23:AV23)</f>
        <v>49.281000000000006</v>
      </c>
      <c r="AX23" s="116"/>
      <c r="AY23" s="380">
        <v>-169.732</v>
      </c>
      <c r="AZ23" s="204">
        <f>-85.278-AY23</f>
        <v>84.453999999999994</v>
      </c>
      <c r="BA23" s="204">
        <f>24.361-AZ23-AY23</f>
        <v>109.63900000000001</v>
      </c>
      <c r="BB23" s="204">
        <f>212.611-BA23-AZ23-AY23</f>
        <v>188.25</v>
      </c>
      <c r="BC23" s="388">
        <f>SUM(AY23:BB23)</f>
        <v>212.61099999999999</v>
      </c>
      <c r="BD23" s="116"/>
      <c r="BE23" s="380">
        <v>-216.22800000000001</v>
      </c>
      <c r="BF23" s="204">
        <f>-134.268-BE23</f>
        <v>81.960000000000008</v>
      </c>
      <c r="BG23" s="204">
        <f>-102.47-BF23-BE23</f>
        <v>31.798000000000002</v>
      </c>
      <c r="BH23" s="204">
        <f>-25.634-BG23-BF23-BE23</f>
        <v>76.836000000000013</v>
      </c>
      <c r="BI23" s="388">
        <f>SUM(BE23:BH23)</f>
        <v>-25.633999999999986</v>
      </c>
      <c r="BJ23" s="116"/>
      <c r="BK23" s="380">
        <v>-194.364</v>
      </c>
      <c r="BL23" s="204">
        <f>-179.607-BK23</f>
        <v>14.757000000000005</v>
      </c>
      <c r="BM23" s="204">
        <f>-63.352-SUM(BK23:BL23)</f>
        <v>116.255</v>
      </c>
      <c r="BN23" s="204">
        <f>88.886-BM23-BL23-BK23</f>
        <v>152.238</v>
      </c>
      <c r="BO23" s="388">
        <f>SUM(BK23:BN23)</f>
        <v>88.885999999999996</v>
      </c>
      <c r="BP23" s="116"/>
      <c r="BQ23" s="627">
        <f>'BalSht '!BQ23-'BalSht '!BN23+'BalSht '!BQ26-'BalSht '!BN26</f>
        <v>-298.77997261888174</v>
      </c>
      <c r="BR23" s="39">
        <f>'BalSht '!BR23-'BalSht '!BQ23+'BalSht '!BR26-'BalSht '!BQ26</f>
        <v>-19.363162812538349</v>
      </c>
      <c r="BS23" s="39">
        <f>'BalSht '!BS23-'BalSht '!BR23+'BalSht '!BS26-'BalSht '!BR26</f>
        <v>72.361875951409502</v>
      </c>
      <c r="BT23" s="39">
        <f>'BalSht '!BT23-'BalSht '!BS23+'BalSht '!BT26-'BalSht '!BS26</f>
        <v>165.65295677059396</v>
      </c>
      <c r="BU23" s="388">
        <f>SUM(BQ23:BT23)</f>
        <v>-80.12830270941663</v>
      </c>
      <c r="BV23" s="116"/>
      <c r="BW23" s="627">
        <f>'BalSht '!BW23-'BalSht '!BT23+'BalSht '!BW26-'BalSht '!BT26</f>
        <v>-134.22448192246293</v>
      </c>
      <c r="BX23" s="39">
        <f>'BalSht '!BX23-'BalSht '!BW23+'BalSht '!BX26-'BalSht '!BW26</f>
        <v>-35.152816944031201</v>
      </c>
      <c r="BY23" s="39">
        <f>'BalSht '!BY23-'BalSht '!BX23+'BalSht '!BY26-'BalSht '!BX26</f>
        <v>75.943400403072701</v>
      </c>
      <c r="BZ23" s="39">
        <f>'BalSht '!BZ23-'BalSht '!BY23+'BalSht '!BZ26-'BalSht '!BY26</f>
        <v>171.92280334024326</v>
      </c>
      <c r="CA23" s="388">
        <f>SUM(BW23:BZ23)</f>
        <v>78.488904876821834</v>
      </c>
      <c r="CB23" s="116"/>
      <c r="CC23" s="627">
        <f>'BalSht '!CC23-'BalSht '!BZ23+'BalSht '!CC26-'BalSht '!BZ26</f>
        <v>-145.50453856112654</v>
      </c>
      <c r="CD23" s="39">
        <f>'BalSht '!CD23-'BalSht '!CC23+'BalSht '!CD26-'BalSht '!CC26</f>
        <v>-36.946294508756296</v>
      </c>
      <c r="CE23" s="39">
        <f>'BalSht '!CE23-'BalSht '!CD23+'BalSht '!CE26-'BalSht '!CD26</f>
        <v>79.179194279361582</v>
      </c>
      <c r="CF23" s="39">
        <f>'BalSht '!CF23-'BalSht '!CE23+'BalSht '!CF26-'BalSht '!CE26</f>
        <v>178.52702120300148</v>
      </c>
      <c r="CG23" s="388">
        <f>SUM(CC23:CF23)</f>
        <v>75.25538241248023</v>
      </c>
      <c r="CO23"/>
      <c r="CP23"/>
      <c r="CQ23"/>
      <c r="CR23"/>
      <c r="CS23"/>
      <c r="CT23"/>
      <c r="CU23" s="184"/>
    </row>
    <row r="24" spans="1:99" s="7" customFormat="1" ht="11.25" customHeight="1" x14ac:dyDescent="0.2">
      <c r="A24" s="136"/>
      <c r="B24" s="418" t="s">
        <v>352</v>
      </c>
      <c r="C24" s="529">
        <f>SUM(C19,C8:C17)</f>
        <v>-33.902000000000001</v>
      </c>
      <c r="D24" s="67">
        <f>SUM(D19,D8:D17)</f>
        <v>114.64300000000001</v>
      </c>
      <c r="E24" s="67">
        <f>SUM(E19,E8:E17)</f>
        <v>69.183999999999997</v>
      </c>
      <c r="F24" s="67">
        <f>SUM(F19,F8:F17)</f>
        <v>120.28600000000002</v>
      </c>
      <c r="G24" s="504">
        <f>SUM(G19,G8:G17)</f>
        <v>270.21100000000001</v>
      </c>
      <c r="H24" s="26"/>
      <c r="I24" s="529">
        <f>SUM(I19,I8:I17)</f>
        <v>13.372999999999996</v>
      </c>
      <c r="J24" s="67">
        <f>SUM(J19,J8:J17)</f>
        <v>125.31100000000004</v>
      </c>
      <c r="K24" s="67">
        <f>SUM(K19,K8:K17)</f>
        <v>49.98</v>
      </c>
      <c r="L24" s="67">
        <f>SUM(L19,L8:L17)</f>
        <v>196.11799999999999</v>
      </c>
      <c r="M24" s="504">
        <f>SUM(M19,M8:M17)</f>
        <v>384.78199999999998</v>
      </c>
      <c r="N24" s="26"/>
      <c r="O24" s="529">
        <f>SUM(O19,O8:O17)</f>
        <v>-27.128000000000007</v>
      </c>
      <c r="P24" s="67">
        <f>SUM(P19,P8:P17)</f>
        <v>106.70300000000002</v>
      </c>
      <c r="Q24" s="67">
        <f>SUM(Q19,Q8:Q17)</f>
        <v>138.80200000000005</v>
      </c>
      <c r="R24" s="67">
        <f>SUM(R19,R8:R17)</f>
        <v>178.51299999999998</v>
      </c>
      <c r="S24" s="504">
        <f>SUM(S19,S8:S17)</f>
        <v>396.88999999999993</v>
      </c>
      <c r="T24" s="26"/>
      <c r="U24" s="529">
        <f>SUM(U19,U8:U17)</f>
        <v>21.67499999999999</v>
      </c>
      <c r="V24" s="67">
        <f>SUM(V19,V8:V17)</f>
        <v>107.313</v>
      </c>
      <c r="W24" s="67">
        <f>SUM(W19,W8:W17)</f>
        <v>47.837000000000025</v>
      </c>
      <c r="X24" s="67">
        <f>SUM(X19,X8:X17)</f>
        <v>218.65499999999992</v>
      </c>
      <c r="Y24" s="504">
        <f>SUM(Y19,Y8:Y17)</f>
        <v>395.48</v>
      </c>
      <c r="Z24" s="26"/>
      <c r="AA24" s="529">
        <f>SUM(AA19,AA8:AA17)</f>
        <v>48.474000000000004</v>
      </c>
      <c r="AB24" s="67">
        <f>SUM(AB19,AB8:AB17)</f>
        <v>137.99800000000002</v>
      </c>
      <c r="AC24" s="67">
        <f>SUM(AC19,AC8:AC17)</f>
        <v>90.326999999999998</v>
      </c>
      <c r="AD24" s="67">
        <f>SUM(AD19,AD8:AD17)</f>
        <v>277.82600000000002</v>
      </c>
      <c r="AE24" s="504">
        <f>SUM(AE19,AE8:AE17)</f>
        <v>554.625</v>
      </c>
      <c r="AF24" s="26"/>
      <c r="AG24" s="529">
        <f>SUM(AG19,AG8:AG17)</f>
        <v>-48.605000000000018</v>
      </c>
      <c r="AH24" s="67">
        <f>SUM(AH19,AH8:AH17)</f>
        <v>178.49799999999996</v>
      </c>
      <c r="AI24" s="67">
        <f>SUM(AI19,AI8:AI17)</f>
        <v>78.545000000000016</v>
      </c>
      <c r="AJ24" s="67">
        <f>SUM(AJ19,AJ8:AJ17)</f>
        <v>199.66099999999994</v>
      </c>
      <c r="AK24" s="504">
        <f>SUM(AK19,AK8:AK17)</f>
        <v>408.09899999999999</v>
      </c>
      <c r="AL24" s="26"/>
      <c r="AM24" s="529">
        <f>SUM(AM19,AM8:AM17)</f>
        <v>-38.04699999999999</v>
      </c>
      <c r="AN24" s="67">
        <f>SUM(AN19,AN8:AN17)</f>
        <v>274.79800000000006</v>
      </c>
      <c r="AO24" s="67">
        <f>SUM(AO19,AO8:AO17)</f>
        <v>152.79599999999999</v>
      </c>
      <c r="AP24" s="67">
        <f>SUM(AP19,AP8:AP17)</f>
        <v>274.62800000000004</v>
      </c>
      <c r="AQ24" s="504">
        <f>SUM(AQ19,AQ8:AQ17)</f>
        <v>664.17500000000007</v>
      </c>
      <c r="AR24" s="26"/>
      <c r="AS24" s="529">
        <f>SUM(AS19,AS8:AS17)</f>
        <v>-55.249000000000017</v>
      </c>
      <c r="AT24" s="67">
        <f>SUM(AT19,AT8:AT17)</f>
        <v>199.23200000000003</v>
      </c>
      <c r="AU24" s="67">
        <f>SUM(AU19,AU8:AU17)</f>
        <v>174.50200000000004</v>
      </c>
      <c r="AV24" s="67">
        <f>SUM(AV19,AV8:AV17)</f>
        <v>274.01900000000001</v>
      </c>
      <c r="AW24" s="504">
        <f>SUM(AW19,AW8:AW17)</f>
        <v>592.50399999999991</v>
      </c>
      <c r="AX24" s="26"/>
      <c r="AY24" s="529">
        <f>SUM(AY19,AY8:AY17)</f>
        <v>-26.654000000000018</v>
      </c>
      <c r="AZ24" s="67">
        <f>SUM(AZ19,AZ8:AZ17)</f>
        <v>207.756</v>
      </c>
      <c r="BA24" s="67">
        <f>SUM(BA19,BA8:BA17)</f>
        <v>107.42800000000001</v>
      </c>
      <c r="BB24" s="67">
        <f>SUM(BB19,BB8:BB17)</f>
        <v>298.31099999999998</v>
      </c>
      <c r="BC24" s="504">
        <f>SUM(BC19,BC8:BC17)</f>
        <v>586.84100000000012</v>
      </c>
      <c r="BD24" s="26"/>
      <c r="BE24" s="529">
        <f>SUM(BE19,BE8:BE17)</f>
        <v>-77.797999999999988</v>
      </c>
      <c r="BF24" s="67">
        <f>SUM(BF19,BF8:BF17)</f>
        <v>250.67</v>
      </c>
      <c r="BG24" s="67">
        <f>SUM(BG19,BG8:BG17)</f>
        <v>178.08100000000002</v>
      </c>
      <c r="BH24" s="67">
        <f>SUM(BH19,BH8:BH17)</f>
        <v>264.50799999999992</v>
      </c>
      <c r="BI24" s="504">
        <f>SUM(BI19,BI8:BI17)</f>
        <v>615.4609999999999</v>
      </c>
      <c r="BJ24" s="26"/>
      <c r="BK24" s="529">
        <f>SUM(BK19,BK8:BK17)</f>
        <v>-52.591000000000015</v>
      </c>
      <c r="BL24" s="67">
        <f>SUM(BL19,BL8:BL17)</f>
        <v>228.72999999999996</v>
      </c>
      <c r="BM24" s="67">
        <f>SUM(BM19,BM8:BM17)</f>
        <v>131.36199999999999</v>
      </c>
      <c r="BN24" s="67">
        <f>SUM(BN19,BN8:BN17)</f>
        <v>238.01399999999998</v>
      </c>
      <c r="BO24" s="504">
        <f>SUM(BO19,BO8:BO17)</f>
        <v>545.51499999999987</v>
      </c>
      <c r="BP24" s="26"/>
      <c r="BQ24" s="529">
        <f>SUM(BQ19,BQ8:BQ17)</f>
        <v>112.28126896402549</v>
      </c>
      <c r="BR24" s="67">
        <f>SUM(BR19,BR8:BR17)</f>
        <v>88.846998997720192</v>
      </c>
      <c r="BS24" s="67">
        <f>SUM(BS19,BS8:BS17)</f>
        <v>199.40405642707245</v>
      </c>
      <c r="BT24" s="67">
        <f>SUM(BT19,BT8:BT17)</f>
        <v>211.67258187441644</v>
      </c>
      <c r="BU24" s="504">
        <f>SUM(BU19,BU8:BU17)</f>
        <v>612.20490626323453</v>
      </c>
      <c r="BV24" s="26"/>
      <c r="BW24" s="529">
        <f>SUM(BW19,BW8:BW17)</f>
        <v>180.00510987192891</v>
      </c>
      <c r="BX24" s="67">
        <f>SUM(BX19,BX8:BX17)</f>
        <v>82.702120913204112</v>
      </c>
      <c r="BY24" s="67">
        <f>SUM(BY19,BY8:BY17)</f>
        <v>195.95877511306853</v>
      </c>
      <c r="BZ24" s="67">
        <f>SUM(BZ19,BZ8:BZ17)</f>
        <v>208.26242041515377</v>
      </c>
      <c r="CA24" s="504">
        <f>SUM(CA19,CA8:CA17)</f>
        <v>666.9284263133552</v>
      </c>
      <c r="CB24" s="26"/>
      <c r="CC24" s="529">
        <f>SUM(CC19,CC8:CC17)</f>
        <v>197.68235952778218</v>
      </c>
      <c r="CD24" s="67">
        <f>SUM(CD19,CD8:CD17)</f>
        <v>72.665271771760217</v>
      </c>
      <c r="CE24" s="67">
        <f>SUM(CE19,CE8:CE17)</f>
        <v>196.0374644561654</v>
      </c>
      <c r="CF24" s="67">
        <f>SUM(CF19,CF8:CF17)</f>
        <v>206.44091352266523</v>
      </c>
      <c r="CG24" s="504">
        <f>SUM(CG19,CG8:CG17)</f>
        <v>672.82600927837302</v>
      </c>
      <c r="CO24"/>
      <c r="CP24"/>
      <c r="CQ24"/>
      <c r="CR24"/>
      <c r="CS24"/>
      <c r="CT24"/>
      <c r="CU24" s="136"/>
    </row>
    <row r="25" spans="1:99" s="7" customFormat="1" ht="11.25" customHeight="1" x14ac:dyDescent="0.2">
      <c r="A25" s="136"/>
      <c r="B25" s="433"/>
      <c r="C25" s="627"/>
      <c r="D25" s="39"/>
      <c r="E25" s="39"/>
      <c r="F25" s="39"/>
      <c r="G25" s="388"/>
      <c r="H25" s="13"/>
      <c r="I25" s="627"/>
      <c r="J25" s="39"/>
      <c r="K25" s="39"/>
      <c r="L25" s="39"/>
      <c r="M25" s="388"/>
      <c r="N25" s="13"/>
      <c r="O25" s="627"/>
      <c r="P25" s="39"/>
      <c r="Q25" s="39"/>
      <c r="R25" s="39"/>
      <c r="S25" s="388"/>
      <c r="T25" s="13"/>
      <c r="U25" s="627"/>
      <c r="V25" s="39"/>
      <c r="W25" s="39"/>
      <c r="X25" s="39"/>
      <c r="Y25" s="388"/>
      <c r="Z25" s="13"/>
      <c r="AA25" s="627"/>
      <c r="AB25" s="39"/>
      <c r="AC25" s="39"/>
      <c r="AD25" s="39"/>
      <c r="AE25" s="388"/>
      <c r="AF25" s="13"/>
      <c r="AG25" s="627"/>
      <c r="AH25" s="39"/>
      <c r="AI25" s="39"/>
      <c r="AJ25" s="39"/>
      <c r="AK25" s="388"/>
      <c r="AL25" s="13"/>
      <c r="AM25" s="627"/>
      <c r="AN25" s="39"/>
      <c r="AO25" s="39"/>
      <c r="AP25" s="39"/>
      <c r="AQ25" s="388"/>
      <c r="AR25" s="13"/>
      <c r="AS25" s="627"/>
      <c r="AT25" s="39"/>
      <c r="AU25" s="39"/>
      <c r="AV25" s="39"/>
      <c r="AW25" s="388"/>
      <c r="AX25" s="13"/>
      <c r="AY25" s="627"/>
      <c r="AZ25" s="39"/>
      <c r="BA25" s="39"/>
      <c r="BB25" s="39"/>
      <c r="BC25" s="388"/>
      <c r="BD25" s="13"/>
      <c r="BE25" s="627"/>
      <c r="BF25" s="39"/>
      <c r="BG25" s="39"/>
      <c r="BH25" s="39"/>
      <c r="BI25" s="388"/>
      <c r="BJ25" s="13"/>
      <c r="BK25" s="627"/>
      <c r="BL25" s="39"/>
      <c r="BM25" s="39"/>
      <c r="BN25" s="39"/>
      <c r="BO25" s="388"/>
      <c r="BP25" s="13"/>
      <c r="BQ25" s="627"/>
      <c r="BR25" s="39"/>
      <c r="BS25" s="39"/>
      <c r="BT25" s="39"/>
      <c r="BU25" s="388"/>
      <c r="BV25" s="13"/>
      <c r="BW25" s="627"/>
      <c r="BX25" s="39"/>
      <c r="BY25" s="39"/>
      <c r="BZ25" s="39"/>
      <c r="CA25" s="388"/>
      <c r="CB25" s="13"/>
      <c r="CC25" s="627"/>
      <c r="CD25" s="39"/>
      <c r="CE25" s="39"/>
      <c r="CF25" s="39"/>
      <c r="CG25" s="388"/>
      <c r="CO25"/>
      <c r="CP25"/>
      <c r="CQ25"/>
      <c r="CR25"/>
      <c r="CS25"/>
      <c r="CT25"/>
      <c r="CU25" s="136"/>
    </row>
    <row r="26" spans="1:99" s="7" customFormat="1" ht="11.25" customHeight="1" x14ac:dyDescent="0.2">
      <c r="A26" s="136"/>
      <c r="B26" s="760" t="s">
        <v>188</v>
      </c>
      <c r="C26" s="634"/>
      <c r="D26" s="511"/>
      <c r="E26" s="511"/>
      <c r="F26" s="511"/>
      <c r="G26" s="388"/>
      <c r="H26" s="116"/>
      <c r="I26" s="634"/>
      <c r="J26" s="511"/>
      <c r="K26" s="511"/>
      <c r="L26" s="511"/>
      <c r="M26" s="388"/>
      <c r="N26" s="116"/>
      <c r="O26" s="634"/>
      <c r="P26" s="511"/>
      <c r="Q26" s="511"/>
      <c r="R26" s="511"/>
      <c r="S26" s="388"/>
      <c r="T26" s="116"/>
      <c r="U26" s="634"/>
      <c r="V26" s="511"/>
      <c r="W26" s="511"/>
      <c r="X26" s="511"/>
      <c r="Y26" s="388"/>
      <c r="Z26" s="116"/>
      <c r="AA26" s="634"/>
      <c r="AB26" s="511"/>
      <c r="AC26" s="511"/>
      <c r="AD26" s="511"/>
      <c r="AE26" s="388"/>
      <c r="AF26" s="116"/>
      <c r="AG26" s="634"/>
      <c r="AH26" s="511"/>
      <c r="AI26" s="511"/>
      <c r="AJ26" s="511"/>
      <c r="AK26" s="388"/>
      <c r="AL26" s="116"/>
      <c r="AM26" s="634"/>
      <c r="AN26" s="511"/>
      <c r="AO26" s="511"/>
      <c r="AP26" s="511"/>
      <c r="AQ26" s="388"/>
      <c r="AR26" s="116"/>
      <c r="AS26" s="634"/>
      <c r="AT26" s="511"/>
      <c r="AU26" s="511"/>
      <c r="AV26" s="511"/>
      <c r="AW26" s="388"/>
      <c r="AX26" s="116"/>
      <c r="AY26" s="634"/>
      <c r="AZ26" s="511"/>
      <c r="BA26" s="511"/>
      <c r="BB26" s="511"/>
      <c r="BC26" s="388"/>
      <c r="BD26" s="116"/>
      <c r="BE26" s="634"/>
      <c r="BF26" s="511"/>
      <c r="BG26" s="511"/>
      <c r="BH26" s="511"/>
      <c r="BI26" s="388"/>
      <c r="BJ26" s="116"/>
      <c r="BK26" s="634"/>
      <c r="BL26" s="511"/>
      <c r="BM26" s="511"/>
      <c r="BN26" s="511"/>
      <c r="BO26" s="388"/>
      <c r="BP26" s="116"/>
      <c r="BQ26" s="627"/>
      <c r="BR26" s="39"/>
      <c r="BS26" s="39"/>
      <c r="BT26" s="39"/>
      <c r="BU26" s="388"/>
      <c r="BV26" s="116"/>
      <c r="BW26" s="627"/>
      <c r="BX26" s="39"/>
      <c r="BY26" s="39"/>
      <c r="BZ26" s="39"/>
      <c r="CA26" s="388"/>
      <c r="CB26" s="116"/>
      <c r="CC26" s="627"/>
      <c r="CD26" s="39"/>
      <c r="CE26" s="39"/>
      <c r="CF26" s="39"/>
      <c r="CG26" s="388"/>
      <c r="CO26"/>
      <c r="CP26"/>
      <c r="CQ26"/>
      <c r="CR26"/>
      <c r="CS26"/>
      <c r="CT26"/>
      <c r="CU26" s="136"/>
    </row>
    <row r="27" spans="1:99" s="7" customFormat="1" ht="11.25" customHeight="1" x14ac:dyDescent="0.2">
      <c r="A27" s="136"/>
      <c r="B27" s="648" t="s">
        <v>284</v>
      </c>
      <c r="C27" s="380">
        <v>-8.9329999999999998</v>
      </c>
      <c r="D27" s="204">
        <f>-21.336-C27</f>
        <v>-12.402999999999999</v>
      </c>
      <c r="E27" s="204">
        <f>-33.023-D27-C27</f>
        <v>-11.687000000000005</v>
      </c>
      <c r="F27" s="204">
        <f>-56.821-E27-D27-C27</f>
        <v>-23.797999999999995</v>
      </c>
      <c r="G27" s="388">
        <f>SUM(C27:F27)</f>
        <v>-56.820999999999998</v>
      </c>
      <c r="H27" s="116"/>
      <c r="I27" s="380">
        <v>-13.743</v>
      </c>
      <c r="J27" s="204">
        <f>-23.466-I27</f>
        <v>-9.7230000000000008</v>
      </c>
      <c r="K27" s="204">
        <f>-38.119-J27-I27</f>
        <v>-14.653</v>
      </c>
      <c r="L27" s="204">
        <f>-50.87-K27-J27-I27</f>
        <v>-12.750999999999999</v>
      </c>
      <c r="M27" s="388">
        <f>SUM(I27:L27)</f>
        <v>-50.87</v>
      </c>
      <c r="N27" s="116"/>
      <c r="O27" s="380">
        <v>-12.866</v>
      </c>
      <c r="P27" s="204">
        <f>-28.403-O27</f>
        <v>-15.536999999999999</v>
      </c>
      <c r="Q27" s="204">
        <f>-38.417-P27-O27</f>
        <v>-10.014000000000003</v>
      </c>
      <c r="R27" s="204">
        <f>-51.627-Q27-P27-O27</f>
        <v>-13.21</v>
      </c>
      <c r="S27" s="388">
        <f>SUM(O27:R27)</f>
        <v>-51.627000000000002</v>
      </c>
      <c r="T27" s="116"/>
      <c r="U27" s="380">
        <v>-9.0619999999999994</v>
      </c>
      <c r="V27" s="204">
        <f>-17.542-U27</f>
        <v>-8.4800000000000022</v>
      </c>
      <c r="W27" s="204">
        <f>-26.926-V27-U27</f>
        <v>-9.3839999999999986</v>
      </c>
      <c r="X27" s="204">
        <f>-39-W27-V27-U27</f>
        <v>-12.073999999999996</v>
      </c>
      <c r="Y27" s="388">
        <f>SUM(U27:X27)</f>
        <v>-39</v>
      </c>
      <c r="Z27" s="116"/>
      <c r="AA27" s="380">
        <v>-10.458</v>
      </c>
      <c r="AB27" s="204">
        <f>-20.764-AA27</f>
        <v>-10.305999999999999</v>
      </c>
      <c r="AC27" s="204">
        <f>-32.547-AB27-AA27</f>
        <v>-11.782999999999999</v>
      </c>
      <c r="AD27" s="204">
        <f>-45.176-AC27-AB27-AA27</f>
        <v>-12.629000000000003</v>
      </c>
      <c r="AE27" s="388">
        <f>SUM(AA27:AD27)</f>
        <v>-45.176000000000002</v>
      </c>
      <c r="AF27" s="116"/>
      <c r="AG27" s="380">
        <v>-12.223000000000001</v>
      </c>
      <c r="AH27" s="204">
        <f>-21.372-AG27</f>
        <v>-9.1489999999999991</v>
      </c>
      <c r="AI27" s="204">
        <f>-32.934-AH27-AG27</f>
        <v>-11.561999999999996</v>
      </c>
      <c r="AJ27" s="204">
        <f>-51.237-AI27-AH27-AG27</f>
        <v>-18.303000000000004</v>
      </c>
      <c r="AK27" s="388">
        <f>SUM(AG27:AJ27)</f>
        <v>-51.237000000000002</v>
      </c>
      <c r="AL27" s="116"/>
      <c r="AM27" s="380">
        <v>-11.862</v>
      </c>
      <c r="AN27" s="204">
        <f>-21.934-AM27</f>
        <v>-10.072000000000001</v>
      </c>
      <c r="AO27" s="204">
        <f>-38.733-AN27-AM27</f>
        <v>-16.798999999999992</v>
      </c>
      <c r="AP27" s="204">
        <f>-60.215-AO27-AN27-AM27</f>
        <v>-21.482000000000006</v>
      </c>
      <c r="AQ27" s="388">
        <f>SUM(AM27:AP27)</f>
        <v>-60.214999999999996</v>
      </c>
      <c r="AR27" s="116"/>
      <c r="AS27" s="380">
        <v>-18.484000000000002</v>
      </c>
      <c r="AT27" s="204">
        <f>-37.976-AS27</f>
        <v>-19.491999999999997</v>
      </c>
      <c r="AU27" s="204">
        <f>-60.782-AT27-AS27</f>
        <v>-22.805999999999997</v>
      </c>
      <c r="AV27" s="204">
        <f>-82.116-AU27-AT27-AS27</f>
        <v>-21.334000000000003</v>
      </c>
      <c r="AW27" s="388">
        <f>SUM(AS27:AV27)</f>
        <v>-82.116</v>
      </c>
      <c r="AX27" s="116"/>
      <c r="AY27" s="380">
        <v>-15.493</v>
      </c>
      <c r="AZ27" s="204">
        <f>-33.43-AY27</f>
        <v>-17.936999999999998</v>
      </c>
      <c r="BA27" s="204">
        <f>-52.164-AZ27-AY27</f>
        <v>-18.734000000000002</v>
      </c>
      <c r="BB27" s="204">
        <f>-71.684-BA27-AZ27-AY27</f>
        <v>-19.519999999999996</v>
      </c>
      <c r="BC27" s="388">
        <f>SUM(AY27:BB27)</f>
        <v>-71.683999999999997</v>
      </c>
      <c r="BD27" s="116"/>
      <c r="BE27" s="380">
        <v>-12.605</v>
      </c>
      <c r="BF27" s="204">
        <f>-26.18-BE27</f>
        <v>-13.574999999999999</v>
      </c>
      <c r="BG27" s="204">
        <f>-44.525-BF27-BE27</f>
        <v>-18.344999999999999</v>
      </c>
      <c r="BH27" s="204">
        <f>-70.179-BG27-BF27-BE27</f>
        <v>-25.654</v>
      </c>
      <c r="BI27" s="388">
        <f>SUM(BE27:BH27)</f>
        <v>-70.179000000000002</v>
      </c>
      <c r="BJ27" s="116"/>
      <c r="BK27" s="380">
        <v>-17.311</v>
      </c>
      <c r="BL27" s="204">
        <f>-36.965-BK27</f>
        <v>-19.654000000000003</v>
      </c>
      <c r="BM27" s="204">
        <f>-55.315-SUM(BK27:BL27)</f>
        <v>-18.349999999999994</v>
      </c>
      <c r="BN27" s="204">
        <f>-81.501-BM27-BL27-BK27</f>
        <v>-26.186000000000007</v>
      </c>
      <c r="BO27" s="388">
        <f>SUM(BK27:BN27)</f>
        <v>-81.501000000000005</v>
      </c>
      <c r="BP27" s="116"/>
      <c r="BQ27" s="645">
        <f>-'BalSht '!BQ103</f>
        <v>-21.505129898</v>
      </c>
      <c r="BR27" s="534">
        <f>-'BalSht '!BR103</f>
        <v>-22.888740980000001</v>
      </c>
      <c r="BS27" s="534">
        <f>-'BalSht '!BS103</f>
        <v>-23.381548119999998</v>
      </c>
      <c r="BT27" s="534">
        <f>-'BalSht '!BT103</f>
        <v>-24.243845780000001</v>
      </c>
      <c r="BU27" s="388">
        <f>SUM(BQ27:BT27)</f>
        <v>-92.019264777999993</v>
      </c>
      <c r="BV27" s="116"/>
      <c r="BW27" s="645">
        <f>-'BalSht '!BW103</f>
        <v>-22.606157634830002</v>
      </c>
      <c r="BX27" s="534">
        <f>-'BalSht '!BX103</f>
        <v>-23.877297510849996</v>
      </c>
      <c r="BY27" s="534">
        <f>-'BalSht '!BY103</f>
        <v>-24.393680255350002</v>
      </c>
      <c r="BZ27" s="534">
        <f>-'BalSht '!BZ103</f>
        <v>-25.2746728129</v>
      </c>
      <c r="CA27" s="388">
        <f>SUM(BW27:BZ27)</f>
        <v>-96.151808213929996</v>
      </c>
      <c r="CB27" s="116"/>
      <c r="CC27" s="645">
        <f>-'BalSht '!CC103</f>
        <v>-23.500253763132655</v>
      </c>
      <c r="CD27" s="534">
        <f>-'BalSht '!CD103</f>
        <v>-24.828734918093751</v>
      </c>
      <c r="CE27" s="534">
        <f>-'BalSht '!CE103</f>
        <v>-25.364569953210243</v>
      </c>
      <c r="CF27" s="534">
        <f>-'BalSht '!CF103</f>
        <v>-26.270064660640497</v>
      </c>
      <c r="CG27" s="388">
        <f>SUM(CC27:CF27)</f>
        <v>-99.963623295077142</v>
      </c>
      <c r="CO27"/>
      <c r="CP27"/>
      <c r="CQ27"/>
      <c r="CR27"/>
      <c r="CS27"/>
      <c r="CT27"/>
      <c r="CU27" s="136"/>
    </row>
    <row r="28" spans="1:99" s="7" customFormat="1" ht="11.25" customHeight="1" x14ac:dyDescent="0.2">
      <c r="A28" s="136"/>
      <c r="B28" s="648" t="s">
        <v>351</v>
      </c>
      <c r="C28" s="380">
        <v>-27.431999999999999</v>
      </c>
      <c r="D28" s="204">
        <f>-41.823-C28</f>
        <v>-14.391000000000002</v>
      </c>
      <c r="E28" s="204">
        <f>-124.298-D28-C28</f>
        <v>-82.474999999999994</v>
      </c>
      <c r="F28" s="204">
        <f>-206.182-E28-D28-C28</f>
        <v>-81.883999999999986</v>
      </c>
      <c r="G28" s="388">
        <f>SUM(C28:F28)</f>
        <v>-206.18199999999999</v>
      </c>
      <c r="H28" s="116"/>
      <c r="I28" s="380">
        <v>-8.5239999999999991</v>
      </c>
      <c r="J28" s="204">
        <f>-23.581-I28</f>
        <v>-15.057</v>
      </c>
      <c r="K28" s="204">
        <f>-25.93-J28-I28</f>
        <v>-2.3490000000000002</v>
      </c>
      <c r="L28" s="204">
        <f>-128.47-K28-J28-I28</f>
        <v>-102.53999999999999</v>
      </c>
      <c r="M28" s="388">
        <f>SUM(I28:L28)</f>
        <v>-128.47</v>
      </c>
      <c r="N28" s="116"/>
      <c r="O28" s="380">
        <v>-13.743</v>
      </c>
      <c r="P28" s="204">
        <f>-26.489-O28</f>
        <v>-12.746</v>
      </c>
      <c r="Q28" s="204">
        <f>-45.458-P28-O28</f>
        <v>-18.968999999999994</v>
      </c>
      <c r="R28" s="204">
        <f>-56.648-Q28-P28-O28</f>
        <v>-11.190000000000007</v>
      </c>
      <c r="S28" s="388">
        <f>SUM(O28:R28)</f>
        <v>-56.648000000000003</v>
      </c>
      <c r="T28" s="116"/>
      <c r="U28" s="380">
        <v>-108.946</v>
      </c>
      <c r="V28" s="204">
        <f>-204.598-U28</f>
        <v>-95.652000000000015</v>
      </c>
      <c r="W28" s="204">
        <f>-306.328+2.084-V28-U28</f>
        <v>-99.645999999999958</v>
      </c>
      <c r="X28" s="204">
        <f>-352.598-W28-V28-U28</f>
        <v>-48.354000000000042</v>
      </c>
      <c r="Y28" s="388">
        <f>SUM(U28:X28)</f>
        <v>-352.59800000000001</v>
      </c>
      <c r="Z28" s="116"/>
      <c r="AA28" s="380">
        <v>-133.614</v>
      </c>
      <c r="AB28" s="204">
        <f>-143.636-AA28</f>
        <v>-10.021999999999991</v>
      </c>
      <c r="AC28" s="204">
        <f>-143.636-AB28-AA28</f>
        <v>0</v>
      </c>
      <c r="AD28" s="204">
        <f>-149.403-AC28-AB28-AA28</f>
        <v>-5.7669999999999959</v>
      </c>
      <c r="AE28" s="388">
        <f>SUM(AA28:AD28)</f>
        <v>-149.40299999999999</v>
      </c>
      <c r="AF28" s="116"/>
      <c r="AG28" s="380">
        <v>-18.98</v>
      </c>
      <c r="AH28" s="204">
        <f>-120.348-AG28</f>
        <v>-101.36799999999999</v>
      </c>
      <c r="AI28" s="204">
        <f>-206.261-AH28-AG28</f>
        <v>-85.912999999999997</v>
      </c>
      <c r="AJ28" s="204">
        <f>-220.238-AI28-AH28-AG28</f>
        <v>-13.976999999999993</v>
      </c>
      <c r="AK28" s="388">
        <f>SUM(AG28:AJ28)</f>
        <v>-220.238</v>
      </c>
      <c r="AL28" s="116"/>
      <c r="AM28" s="380">
        <v>-32.359000000000002</v>
      </c>
      <c r="AN28" s="204">
        <f>-33.708-AM28</f>
        <v>-1.3489999999999966</v>
      </c>
      <c r="AO28" s="204">
        <f>-34.514-13.364-AN28-AM28</f>
        <v>-14.170000000000002</v>
      </c>
      <c r="AP28" s="204">
        <f>-182.363-AO28-AN28-AM28</f>
        <v>-134.48499999999999</v>
      </c>
      <c r="AQ28" s="388">
        <f>SUM(AM28:AP28)</f>
        <v>-182.363</v>
      </c>
      <c r="AR28" s="116"/>
      <c r="AS28" s="380">
        <v>-144.679</v>
      </c>
      <c r="AT28" s="204">
        <f>-222.857-AS28</f>
        <v>-78.177999999999997</v>
      </c>
      <c r="AU28" s="204">
        <f>-364.11-AT28-AS28</f>
        <v>-141.25300000000001</v>
      </c>
      <c r="AV28" s="204">
        <f>-424.283-AU28-AT28-AS28</f>
        <v>-60.172999999999973</v>
      </c>
      <c r="AW28" s="388">
        <f>SUM(AS28:AV28)</f>
        <v>-424.28300000000002</v>
      </c>
      <c r="AX28" s="116"/>
      <c r="AY28" s="380">
        <v>-13.637</v>
      </c>
      <c r="AZ28" s="204">
        <f>-61.316-AY28</f>
        <v>-47.679000000000002</v>
      </c>
      <c r="BA28" s="204">
        <f>-142.078-AZ28-AY28</f>
        <v>-80.762</v>
      </c>
      <c r="BB28" s="204">
        <f>-171.861-BA28-AZ28-AY28</f>
        <v>-29.782999999999987</v>
      </c>
      <c r="BC28" s="388">
        <f>SUM(AY28:BB28)</f>
        <v>-171.86099999999999</v>
      </c>
      <c r="BD28" s="116"/>
      <c r="BE28" s="380">
        <v>-52.561999999999998</v>
      </c>
      <c r="BF28" s="204">
        <f>-92.441-BE28</f>
        <v>-39.879000000000005</v>
      </c>
      <c r="BG28" s="204">
        <f>-126.543-BF28-BE28</f>
        <v>-34.102000000000004</v>
      </c>
      <c r="BH28" s="204">
        <f>-228.575-BG28-BF28-BE28</f>
        <v>-102.032</v>
      </c>
      <c r="BI28" s="388">
        <f>SUM(BE28:BH28)</f>
        <v>-228.57499999999999</v>
      </c>
      <c r="BJ28" s="116"/>
      <c r="BK28" s="380">
        <v>-11.82</v>
      </c>
      <c r="BL28" s="204">
        <f>-149.586-BK28</f>
        <v>-137.76600000000002</v>
      </c>
      <c r="BM28" s="204">
        <f>-258.786-SUM(BK28:BL28)</f>
        <v>-109.19999999999999</v>
      </c>
      <c r="BN28" s="204">
        <f>-288.673-BM28-BL28-BK28</f>
        <v>-29.886999999999993</v>
      </c>
      <c r="BO28" s="388">
        <f>SUM(BK28:BN28)</f>
        <v>-288.673</v>
      </c>
      <c r="BP28" s="116"/>
      <c r="BQ28" s="646">
        <v>0</v>
      </c>
      <c r="BR28" s="206">
        <v>0</v>
      </c>
      <c r="BS28" s="206">
        <v>0</v>
      </c>
      <c r="BT28" s="206">
        <v>0</v>
      </c>
      <c r="BU28" s="388">
        <f>SUM(BQ28:BT28)</f>
        <v>0</v>
      </c>
      <c r="BV28" s="116"/>
      <c r="BW28" s="646">
        <v>0</v>
      </c>
      <c r="BX28" s="206">
        <v>0</v>
      </c>
      <c r="BY28" s="206">
        <v>0</v>
      </c>
      <c r="BZ28" s="206">
        <v>0</v>
      </c>
      <c r="CA28" s="388">
        <f>SUM(BW28:BZ28)</f>
        <v>0</v>
      </c>
      <c r="CB28" s="116"/>
      <c r="CC28" s="646">
        <v>0</v>
      </c>
      <c r="CD28" s="206">
        <v>0</v>
      </c>
      <c r="CE28" s="206">
        <v>0</v>
      </c>
      <c r="CF28" s="206">
        <v>0</v>
      </c>
      <c r="CG28" s="388">
        <f>SUM(CC28:CF28)</f>
        <v>0</v>
      </c>
      <c r="CO28"/>
      <c r="CP28"/>
      <c r="CQ28"/>
      <c r="CR28"/>
      <c r="CS28"/>
      <c r="CT28"/>
      <c r="CU28" s="136"/>
    </row>
    <row r="29" spans="1:99" s="7" customFormat="1" ht="11.25" customHeight="1" x14ac:dyDescent="0.2">
      <c r="A29" s="136"/>
      <c r="B29" s="648" t="s">
        <v>295</v>
      </c>
      <c r="C29" s="380">
        <f>-17.5+18</f>
        <v>0.5</v>
      </c>
      <c r="D29" s="204">
        <f>-88.001+48-C29</f>
        <v>-40.501000000000005</v>
      </c>
      <c r="E29" s="204">
        <f>-115.066+135.315-D29-C29</f>
        <v>60.25</v>
      </c>
      <c r="F29" s="204">
        <f>-115.066+163.065-E29-D29-C29</f>
        <v>27.75</v>
      </c>
      <c r="G29" s="388">
        <f>SUM(C29:F29)</f>
        <v>47.998999999999995</v>
      </c>
      <c r="H29" s="116"/>
      <c r="I29" s="380">
        <f>-35.925+0.847</f>
        <v>-35.077999999999996</v>
      </c>
      <c r="J29" s="204">
        <f>-35.925+0.847-I29</f>
        <v>0</v>
      </c>
      <c r="K29" s="204">
        <f>-35.925+1.572-J29-I29</f>
        <v>0.72500000000000142</v>
      </c>
      <c r="L29" s="204">
        <f>-35.925+5.722-K29-J29-I29</f>
        <v>4.1499999999999986</v>
      </c>
      <c r="M29" s="388">
        <f>SUM(I29:L29)</f>
        <v>-30.202999999999996</v>
      </c>
      <c r="N29" s="116"/>
      <c r="O29" s="380">
        <v>2.74</v>
      </c>
      <c r="P29" s="204">
        <f>4.04-O29</f>
        <v>1.2999999999999998</v>
      </c>
      <c r="Q29" s="204">
        <f>8.73-P29-O29</f>
        <v>4.6900000000000004</v>
      </c>
      <c r="R29" s="204">
        <f>9.955-Q29-P29-O29</f>
        <v>1.2249999999999996</v>
      </c>
      <c r="S29" s="388">
        <f>SUM(O29:R29)</f>
        <v>9.9550000000000001</v>
      </c>
      <c r="T29" s="116"/>
      <c r="U29" s="380">
        <f>-26.984+1.3</f>
        <v>-25.684000000000001</v>
      </c>
      <c r="V29" s="204">
        <f>-26.984+1.4+11.996-U29</f>
        <v>12.095999999999998</v>
      </c>
      <c r="W29" s="204">
        <f>-26.984+5.95+26.984-V29-U29</f>
        <v>19.538000000000004</v>
      </c>
      <c r="X29" s="204">
        <f>-26.984+6+26.984-W29-V29-U29</f>
        <v>5.0000000000000711E-2</v>
      </c>
      <c r="Y29" s="388">
        <f>SUM(U29:X29)</f>
        <v>6.0000000000000018</v>
      </c>
      <c r="Z29" s="116"/>
      <c r="AA29" s="380">
        <v>2.1</v>
      </c>
      <c r="AB29" s="204">
        <f>2.15-AA29</f>
        <v>4.9999999999999822E-2</v>
      </c>
      <c r="AC29" s="204">
        <f>2.45-AB29-AA29</f>
        <v>0.30000000000000027</v>
      </c>
      <c r="AD29" s="204">
        <f>2.6-AC29-AB29-AA29</f>
        <v>0.14999999999999991</v>
      </c>
      <c r="AE29" s="388">
        <f>SUM(AA29:AD29)</f>
        <v>2.6</v>
      </c>
      <c r="AF29" s="116"/>
      <c r="AG29" s="380">
        <v>1.1499999999999999</v>
      </c>
      <c r="AH29" s="204">
        <f>4.025-AG29</f>
        <v>2.8750000000000004</v>
      </c>
      <c r="AI29" s="204">
        <f>6.025-AH29-AG29</f>
        <v>2</v>
      </c>
      <c r="AJ29" s="204">
        <f>9.225-AI29-AH29-AG29</f>
        <v>3.1999999999999997</v>
      </c>
      <c r="AK29" s="388">
        <f>SUM(AG29:AJ29)</f>
        <v>9.2249999999999996</v>
      </c>
      <c r="AL29" s="116"/>
      <c r="AM29" s="380">
        <v>0</v>
      </c>
      <c r="AN29" s="204">
        <f>0-AM29</f>
        <v>0</v>
      </c>
      <c r="AO29" s="204">
        <f>0-AN29-AM29</f>
        <v>0</v>
      </c>
      <c r="AP29" s="204">
        <f>-13.364-AO29-AN29-AM29</f>
        <v>-13.364000000000001</v>
      </c>
      <c r="AQ29" s="388">
        <f>SUM(AM29:AP29)</f>
        <v>-13.364000000000001</v>
      </c>
      <c r="AR29" s="116"/>
      <c r="AS29" s="380">
        <v>0</v>
      </c>
      <c r="AT29" s="204">
        <f>0-AS29</f>
        <v>0</v>
      </c>
      <c r="AU29" s="204">
        <f>2-AT29-AS29</f>
        <v>2</v>
      </c>
      <c r="AV29" s="204">
        <f>3.25-AU29-AT29-AS29</f>
        <v>1.25</v>
      </c>
      <c r="AW29" s="388">
        <f>SUM(AS29:AV29)</f>
        <v>3.25</v>
      </c>
      <c r="AX29" s="116"/>
      <c r="AY29" s="380">
        <v>0</v>
      </c>
      <c r="AZ29" s="204">
        <f>0.02-AY29</f>
        <v>0.02</v>
      </c>
      <c r="BA29" s="204">
        <f>0.02-AZ29-AY29</f>
        <v>0</v>
      </c>
      <c r="BB29" s="204">
        <f>0.02-BA29-AZ29-AY29</f>
        <v>0</v>
      </c>
      <c r="BC29" s="388">
        <f>SUM(AY29:BB29)</f>
        <v>0.02</v>
      </c>
      <c r="BD29" s="116"/>
      <c r="BE29" s="380">
        <v>0</v>
      </c>
      <c r="BF29" s="204">
        <f>0-BE29</f>
        <v>0</v>
      </c>
      <c r="BG29" s="204">
        <f>0-BF29-BE29</f>
        <v>0</v>
      </c>
      <c r="BH29" s="204">
        <f>0-BG29-BF29-BE29</f>
        <v>0</v>
      </c>
      <c r="BI29" s="388">
        <f>SUM(BE29:BH29)</f>
        <v>0</v>
      </c>
      <c r="BJ29" s="116"/>
      <c r="BK29" s="380">
        <v>0</v>
      </c>
      <c r="BL29" s="204">
        <f>0-BK29</f>
        <v>0</v>
      </c>
      <c r="BM29" s="204">
        <f>0-SUM(BK29:BL29)</f>
        <v>0</v>
      </c>
      <c r="BN29" s="204">
        <v>34.048000000000002</v>
      </c>
      <c r="BO29" s="388">
        <f>SUM(BK29:BN29)</f>
        <v>34.048000000000002</v>
      </c>
      <c r="BP29" s="116"/>
      <c r="BQ29" s="646">
        <v>0</v>
      </c>
      <c r="BR29" s="206">
        <v>0</v>
      </c>
      <c r="BS29" s="206">
        <v>0</v>
      </c>
      <c r="BT29" s="206">
        <v>0</v>
      </c>
      <c r="BU29" s="388">
        <f>SUM(BQ29:BT29)</f>
        <v>0</v>
      </c>
      <c r="BV29" s="116"/>
      <c r="BW29" s="646">
        <v>0</v>
      </c>
      <c r="BX29" s="206">
        <v>0</v>
      </c>
      <c r="BY29" s="206">
        <v>0</v>
      </c>
      <c r="BZ29" s="206">
        <v>0</v>
      </c>
      <c r="CA29" s="388">
        <f>SUM(BW29:BZ29)</f>
        <v>0</v>
      </c>
      <c r="CB29" s="116"/>
      <c r="CC29" s="646">
        <v>0</v>
      </c>
      <c r="CD29" s="206">
        <v>0</v>
      </c>
      <c r="CE29" s="206">
        <v>0</v>
      </c>
      <c r="CF29" s="206">
        <v>0</v>
      </c>
      <c r="CG29" s="388">
        <f>SUM(CC29:CF29)</f>
        <v>0</v>
      </c>
      <c r="CO29"/>
      <c r="CP29"/>
      <c r="CQ29"/>
      <c r="CR29"/>
      <c r="CS29"/>
      <c r="CT29"/>
      <c r="CU29" s="136"/>
    </row>
    <row r="30" spans="1:99" s="7" customFormat="1" ht="11.25" customHeight="1" x14ac:dyDescent="0.2">
      <c r="A30" s="136"/>
      <c r="B30" s="654" t="s">
        <v>134</v>
      </c>
      <c r="C30" s="380">
        <f>-3.921-5.262</f>
        <v>-9.1829999999999998</v>
      </c>
      <c r="D30" s="204">
        <f>-4.609-11.613-C30</f>
        <v>-7.0390000000000015</v>
      </c>
      <c r="E30" s="204">
        <f>-11.037+5.061-16.98-D30-C30</f>
        <v>-6.7340000000000018</v>
      </c>
      <c r="F30" s="204">
        <f>15.827-32.241-10.629-E30-D30-C30</f>
        <v>-4.0869999999999962</v>
      </c>
      <c r="G30" s="388">
        <f>SUM(C30:F30)</f>
        <v>-27.042999999999999</v>
      </c>
      <c r="H30" s="13"/>
      <c r="I30" s="380">
        <f>-2.004-0.768</f>
        <v>-2.7720000000000002</v>
      </c>
      <c r="J30" s="204">
        <f>-5.052+4.504-I30</f>
        <v>2.2240000000000002</v>
      </c>
      <c r="K30" s="204">
        <f>9.09+3.607-J30-I30</f>
        <v>13.244999999999999</v>
      </c>
      <c r="L30" s="204">
        <f>41.336+0.197-K30-J30-I30</f>
        <v>28.836000000000006</v>
      </c>
      <c r="M30" s="388">
        <f>SUM(I30:L30)</f>
        <v>41.533000000000001</v>
      </c>
      <c r="N30" s="13"/>
      <c r="O30" s="380">
        <f>-4.294+0.283</f>
        <v>-4.0109999999999992</v>
      </c>
      <c r="P30" s="204">
        <f>0.275-2.68-O30</f>
        <v>1.605999999999999</v>
      </c>
      <c r="Q30" s="204">
        <f>12.716+0.275-11.258-P30-O30</f>
        <v>4.1380000000000008</v>
      </c>
      <c r="R30" s="204">
        <f>-12.119+0.275+12.716-Q30-P30-O30</f>
        <v>-0.86100000000000065</v>
      </c>
      <c r="S30" s="388">
        <f>SUM(O30:R30)</f>
        <v>0.87199999999999989</v>
      </c>
      <c r="T30" s="13"/>
      <c r="U30" s="380">
        <v>-0.72</v>
      </c>
      <c r="V30" s="204">
        <f>0.307-U30</f>
        <v>1.0269999999999999</v>
      </c>
      <c r="W30" s="204">
        <f>-1.765-V30-U30</f>
        <v>-2.0720000000000001</v>
      </c>
      <c r="X30" s="204">
        <f>-2.435-W30-V30-U30</f>
        <v>-0.66999999999999993</v>
      </c>
      <c r="Y30" s="388">
        <f>SUM(U30:X30)</f>
        <v>-2.4350000000000001</v>
      </c>
      <c r="Z30" s="13"/>
      <c r="AA30" s="380">
        <v>0.41299999999999998</v>
      </c>
      <c r="AB30" s="204">
        <f>1.897-AA30</f>
        <v>1.484</v>
      </c>
      <c r="AC30" s="204">
        <f>1.02-AB30-AA30</f>
        <v>-0.877</v>
      </c>
      <c r="AD30" s="204">
        <f>-1.243-AC30-AB30-AA30</f>
        <v>-2.2629999999999999</v>
      </c>
      <c r="AE30" s="388">
        <f>SUM(AA30:AD30)</f>
        <v>-1.2429999999999999</v>
      </c>
      <c r="AF30" s="13"/>
      <c r="AG30" s="380">
        <v>-2.0510000000000002</v>
      </c>
      <c r="AH30" s="204">
        <f>-4.385-AG30</f>
        <v>-2.3339999999999996</v>
      </c>
      <c r="AI30" s="204">
        <f>-4.13-AH30-AG30</f>
        <v>0.25499999999999989</v>
      </c>
      <c r="AJ30" s="204">
        <f>-7.354-AI30-AH30-AG30</f>
        <v>-3.2240000000000002</v>
      </c>
      <c r="AK30" s="388">
        <f>SUM(AG30:AJ30)</f>
        <v>-7.3540000000000001</v>
      </c>
      <c r="AL30" s="13"/>
      <c r="AM30" s="380">
        <v>-6.8000000000000005E-2</v>
      </c>
      <c r="AN30" s="204">
        <f>-5.071-AM30</f>
        <v>-5.0030000000000001</v>
      </c>
      <c r="AO30" s="204">
        <f>-7.147-AN30-AM30</f>
        <v>-2.0760000000000001</v>
      </c>
      <c r="AP30" s="204">
        <f>-10.663-AO30-AN30-AM30</f>
        <v>-3.5159999999999996</v>
      </c>
      <c r="AQ30" s="388">
        <f>SUM(AM30:AP30)</f>
        <v>-10.663</v>
      </c>
      <c r="AR30" s="13"/>
      <c r="AS30" s="380">
        <v>-3.931</v>
      </c>
      <c r="AT30" s="204">
        <f>-6.497-AS30</f>
        <v>-2.5659999999999998</v>
      </c>
      <c r="AU30" s="204">
        <f>-10.668-AT30-AS30</f>
        <v>-4.1710000000000003</v>
      </c>
      <c r="AV30" s="204">
        <f>-13.49-AU30-AT30-AS30</f>
        <v>-2.8219999999999992</v>
      </c>
      <c r="AW30" s="388">
        <f>SUM(AS30:AV30)</f>
        <v>-13.489999999999998</v>
      </c>
      <c r="AX30" s="13"/>
      <c r="AY30" s="380">
        <v>-1.1850000000000001</v>
      </c>
      <c r="AZ30" s="204">
        <f>-3.179-AY30</f>
        <v>-1.9939999999999998</v>
      </c>
      <c r="BA30" s="204">
        <f>-9.247-AZ30-AY30</f>
        <v>-6.0679999999999996</v>
      </c>
      <c r="BB30" s="204">
        <f>-16.506-BA30-AZ30-AY30</f>
        <v>-7.2590000000000003</v>
      </c>
      <c r="BC30" s="388">
        <f>SUM(AY30:BB30)</f>
        <v>-16.506</v>
      </c>
      <c r="BD30" s="13"/>
      <c r="BE30" s="380">
        <v>-5.8289999999999997</v>
      </c>
      <c r="BF30" s="204">
        <f>-1.765-BE30</f>
        <v>4.0640000000000001</v>
      </c>
      <c r="BG30" s="204">
        <f>-8.766-BF30-BE30</f>
        <v>-7.0010000000000003</v>
      </c>
      <c r="BH30" s="204">
        <f>-17.668-BG30-BF30-BE30</f>
        <v>-8.9019999999999975</v>
      </c>
      <c r="BI30" s="388">
        <f>SUM(BE30:BH30)</f>
        <v>-17.667999999999999</v>
      </c>
      <c r="BJ30" s="13"/>
      <c r="BK30" s="380">
        <v>-5.5490000000000004</v>
      </c>
      <c r="BL30" s="204">
        <f>-4.872-BK30</f>
        <v>0.67700000000000049</v>
      </c>
      <c r="BM30" s="204">
        <f>-6.694-SUM(BK30:BL30)</f>
        <v>-1.8220000000000001</v>
      </c>
      <c r="BN30" s="204">
        <f>-6.15-BM30-BL30-BK30</f>
        <v>0.54399999999999959</v>
      </c>
      <c r="BO30" s="388">
        <f>SUM(BK30:BN30)</f>
        <v>-6.15</v>
      </c>
      <c r="BP30" s="13"/>
      <c r="BQ30" s="627">
        <f>-'BalSht '!BQ105-'BalSht '!BQ107-'BalSht '!BQ113-'BalSht '!BQ125-'BalSht '!BQ133</f>
        <v>0</v>
      </c>
      <c r="BR30" s="39">
        <f>-'BalSht '!BR105-'BalSht '!BR107-'BalSht '!BR113-'BalSht '!BR125-'BalSht '!BR133</f>
        <v>0</v>
      </c>
      <c r="BS30" s="39">
        <f>-'BalSht '!BS105-'BalSht '!BS107-'BalSht '!BS113-'BalSht '!BS125-'BalSht '!BS133</f>
        <v>0</v>
      </c>
      <c r="BT30" s="39">
        <f>-'BalSht '!BT105-'BalSht '!BT107-'BalSht '!BT113-'BalSht '!BT125-'BalSht '!BT133</f>
        <v>0</v>
      </c>
      <c r="BU30" s="388">
        <f>SUM(BQ30:BT30)</f>
        <v>0</v>
      </c>
      <c r="BV30" s="13"/>
      <c r="BW30" s="627">
        <f>-'BalSht '!BW105-'BalSht '!BW107-'BalSht '!BW113-'BalSht '!BW125-'BalSht '!BW133</f>
        <v>0</v>
      </c>
      <c r="BX30" s="39">
        <f>-'BalSht '!BX105-'BalSht '!BX107-'BalSht '!BX113-'BalSht '!BX125-'BalSht '!BX133</f>
        <v>0</v>
      </c>
      <c r="BY30" s="39">
        <f>-'BalSht '!BY105-'BalSht '!BY107-'BalSht '!BY113-'BalSht '!BY125-'BalSht '!BY133</f>
        <v>0</v>
      </c>
      <c r="BZ30" s="39">
        <f>-'BalSht '!BZ105-'BalSht '!BZ107-'BalSht '!BZ113-'BalSht '!BZ125-'BalSht '!BZ133</f>
        <v>0</v>
      </c>
      <c r="CA30" s="388">
        <f>SUM(BW30:BZ30)</f>
        <v>0</v>
      </c>
      <c r="CB30" s="13"/>
      <c r="CC30" s="627">
        <f>-'BalSht '!CC105-'BalSht '!CC107-'BalSht '!CC113-'BalSht '!CC125-'BalSht '!CC133</f>
        <v>0</v>
      </c>
      <c r="CD30" s="39">
        <f>-'BalSht '!CD105-'BalSht '!CD107-'BalSht '!CD113-'BalSht '!CD125-'BalSht '!CD133</f>
        <v>0</v>
      </c>
      <c r="CE30" s="39">
        <f>-'BalSht '!CE105-'BalSht '!CE107-'BalSht '!CE113-'BalSht '!CE125-'BalSht '!CE133</f>
        <v>0</v>
      </c>
      <c r="CF30" s="39">
        <f>-'BalSht '!CF105-'BalSht '!CF107-'BalSht '!CF113-'BalSht '!CF125-'BalSht '!CF133</f>
        <v>0</v>
      </c>
      <c r="CG30" s="388">
        <f>SUM(CC30:CF30)</f>
        <v>0</v>
      </c>
      <c r="CO30"/>
      <c r="CP30"/>
      <c r="CQ30"/>
      <c r="CR30"/>
      <c r="CS30"/>
      <c r="CT30"/>
      <c r="CU30" s="136"/>
    </row>
    <row r="31" spans="1:99" s="7" customFormat="1" ht="11.25" customHeight="1" x14ac:dyDescent="0.2">
      <c r="A31" s="136"/>
      <c r="B31" s="418" t="s">
        <v>353</v>
      </c>
      <c r="C31" s="529">
        <f>SUM(C26:C30)</f>
        <v>-45.047999999999995</v>
      </c>
      <c r="D31" s="67">
        <f>SUM(D26:D30)</f>
        <v>-74.334000000000003</v>
      </c>
      <c r="E31" s="67">
        <f>SUM(E26:E30)</f>
        <v>-40.646000000000008</v>
      </c>
      <c r="F31" s="67">
        <f>SUM(F26:F30)</f>
        <v>-82.018999999999977</v>
      </c>
      <c r="G31" s="504">
        <f>SUM(G26:G30)</f>
        <v>-242.047</v>
      </c>
      <c r="H31" s="66"/>
      <c r="I31" s="529">
        <f>SUM(I26:I30)</f>
        <v>-60.116999999999997</v>
      </c>
      <c r="J31" s="67">
        <f>SUM(J26:J30)</f>
        <v>-22.556000000000001</v>
      </c>
      <c r="K31" s="67">
        <f>SUM(K26:K30)</f>
        <v>-3.0320000000000018</v>
      </c>
      <c r="L31" s="67">
        <f>SUM(L26:L30)</f>
        <v>-82.304999999999978</v>
      </c>
      <c r="M31" s="504">
        <f>SUM(M26:M30)</f>
        <v>-168.01</v>
      </c>
      <c r="N31" s="66"/>
      <c r="O31" s="529">
        <f>SUM(O26:O30)</f>
        <v>-27.88</v>
      </c>
      <c r="P31" s="67">
        <f>SUM(P26:P30)</f>
        <v>-25.377000000000002</v>
      </c>
      <c r="Q31" s="67">
        <f>SUM(Q26:Q30)</f>
        <v>-20.154999999999994</v>
      </c>
      <c r="R31" s="67">
        <f>SUM(R26:R30)</f>
        <v>-24.036000000000005</v>
      </c>
      <c r="S31" s="504">
        <f>SUM(S26:S30)</f>
        <v>-97.448000000000008</v>
      </c>
      <c r="T31" s="66"/>
      <c r="U31" s="529">
        <f>SUM(U26:U30)</f>
        <v>-144.41200000000001</v>
      </c>
      <c r="V31" s="67">
        <f>SUM(V26:V30)</f>
        <v>-91.009000000000015</v>
      </c>
      <c r="W31" s="67">
        <f>SUM(W26:W30)</f>
        <v>-91.563999999999965</v>
      </c>
      <c r="X31" s="67">
        <f>SUM(X26:X30)</f>
        <v>-61.048000000000044</v>
      </c>
      <c r="Y31" s="504">
        <f>SUM(Y26:Y30)</f>
        <v>-388.03300000000002</v>
      </c>
      <c r="Z31" s="66"/>
      <c r="AA31" s="529">
        <f>SUM(AA26:AA30)</f>
        <v>-141.559</v>
      </c>
      <c r="AB31" s="67">
        <f>SUM(AB26:AB30)</f>
        <v>-18.79399999999999</v>
      </c>
      <c r="AC31" s="67">
        <f>SUM(AC26:AC30)</f>
        <v>-12.36</v>
      </c>
      <c r="AD31" s="67">
        <f>SUM(AD26:AD30)</f>
        <v>-20.509</v>
      </c>
      <c r="AE31" s="504">
        <f>SUM(AE26:AE30)</f>
        <v>-193.22200000000001</v>
      </c>
      <c r="AF31" s="66"/>
      <c r="AG31" s="529">
        <f>SUM(AG26:AG30)</f>
        <v>-32.104000000000006</v>
      </c>
      <c r="AH31" s="67">
        <f>SUM(AH26:AH30)</f>
        <v>-109.976</v>
      </c>
      <c r="AI31" s="67">
        <f>SUM(AI26:AI30)</f>
        <v>-95.22</v>
      </c>
      <c r="AJ31" s="67">
        <f>SUM(AJ26:AJ30)</f>
        <v>-32.304000000000002</v>
      </c>
      <c r="AK31" s="504">
        <f>SUM(AK26:AK30)</f>
        <v>-269.60399999999998</v>
      </c>
      <c r="AL31" s="66"/>
      <c r="AM31" s="529">
        <f>SUM(AM26:AM30)</f>
        <v>-44.289000000000001</v>
      </c>
      <c r="AN31" s="67">
        <f>SUM(AN26:AN30)</f>
        <v>-16.423999999999999</v>
      </c>
      <c r="AO31" s="67">
        <f>SUM(AO26:AO30)</f>
        <v>-33.044999999999995</v>
      </c>
      <c r="AP31" s="67">
        <f>SUM(AP26:AP30)</f>
        <v>-172.84699999999998</v>
      </c>
      <c r="AQ31" s="504">
        <f>SUM(AQ26:AQ30)</f>
        <v>-266.60500000000002</v>
      </c>
      <c r="AR31" s="66"/>
      <c r="AS31" s="529">
        <f>SUM(AS26:AS30)</f>
        <v>-167.09400000000002</v>
      </c>
      <c r="AT31" s="67">
        <f>SUM(AT26:AT30)</f>
        <v>-100.23599999999999</v>
      </c>
      <c r="AU31" s="67">
        <f>SUM(AU26:AU30)</f>
        <v>-166.23000000000002</v>
      </c>
      <c r="AV31" s="67">
        <f>SUM(AV26:AV30)</f>
        <v>-83.078999999999979</v>
      </c>
      <c r="AW31" s="504">
        <f>SUM(AW26:AW30)</f>
        <v>-516.63900000000001</v>
      </c>
      <c r="AX31" s="66"/>
      <c r="AY31" s="529">
        <f>SUM(AY26:AY30)</f>
        <v>-30.315000000000001</v>
      </c>
      <c r="AZ31" s="67">
        <f>SUM(AZ26:AZ30)</f>
        <v>-67.59</v>
      </c>
      <c r="BA31" s="67">
        <f>SUM(BA26:BA30)</f>
        <v>-105.56400000000001</v>
      </c>
      <c r="BB31" s="67">
        <f>SUM(BB26:BB30)</f>
        <v>-56.561999999999983</v>
      </c>
      <c r="BC31" s="504">
        <f>SUM(BC26:BC30)</f>
        <v>-260.03099999999995</v>
      </c>
      <c r="BD31" s="66"/>
      <c r="BE31" s="529">
        <f>SUM(BE26:BE30)</f>
        <v>-70.995999999999995</v>
      </c>
      <c r="BF31" s="67">
        <f>SUM(BF26:BF30)</f>
        <v>-49.390000000000008</v>
      </c>
      <c r="BG31" s="67">
        <f>SUM(BG26:BG30)</f>
        <v>-59.448</v>
      </c>
      <c r="BH31" s="67">
        <f>SUM(BH26:BH30)</f>
        <v>-136.58799999999999</v>
      </c>
      <c r="BI31" s="504">
        <f>SUM(BI26:BI30)</f>
        <v>-316.42200000000003</v>
      </c>
      <c r="BJ31" s="66"/>
      <c r="BK31" s="529">
        <f>SUM(BK26:BK30)</f>
        <v>-34.68</v>
      </c>
      <c r="BL31" s="67">
        <f>SUM(BL26:BL30)</f>
        <v>-156.74300000000002</v>
      </c>
      <c r="BM31" s="67">
        <f>SUM(BM26:BM30)</f>
        <v>-129.37199999999999</v>
      </c>
      <c r="BN31" s="67">
        <f>SUM(BN26:BN30)</f>
        <v>-21.480999999999998</v>
      </c>
      <c r="BO31" s="504">
        <f>SUM(BO26:BO30)</f>
        <v>-342.27599999999995</v>
      </c>
      <c r="BP31" s="66"/>
      <c r="BQ31" s="529">
        <f>SUM(BQ26:BQ30)</f>
        <v>-21.505129898</v>
      </c>
      <c r="BR31" s="67">
        <f>SUM(BR26:BR30)</f>
        <v>-22.888740980000001</v>
      </c>
      <c r="BS31" s="67">
        <f>SUM(BS26:BS30)</f>
        <v>-23.381548119999998</v>
      </c>
      <c r="BT31" s="67">
        <f>SUM(BT26:BT30)</f>
        <v>-24.243845780000001</v>
      </c>
      <c r="BU31" s="504">
        <f>SUM(BU26:BU30)</f>
        <v>-92.019264777999993</v>
      </c>
      <c r="BV31" s="66"/>
      <c r="BW31" s="529">
        <f>SUM(BW26:BW30)</f>
        <v>-22.606157634830002</v>
      </c>
      <c r="BX31" s="67">
        <f>SUM(BX26:BX30)</f>
        <v>-23.877297510849996</v>
      </c>
      <c r="BY31" s="67">
        <f>SUM(BY26:BY30)</f>
        <v>-24.393680255350002</v>
      </c>
      <c r="BZ31" s="67">
        <f>SUM(BZ26:BZ30)</f>
        <v>-25.2746728129</v>
      </c>
      <c r="CA31" s="504">
        <f>SUM(CA26:CA30)</f>
        <v>-96.151808213929996</v>
      </c>
      <c r="CB31" s="66"/>
      <c r="CC31" s="529">
        <f>SUM(CC26:CC30)</f>
        <v>-23.500253763132655</v>
      </c>
      <c r="CD31" s="67">
        <f>SUM(CD26:CD30)</f>
        <v>-24.828734918093751</v>
      </c>
      <c r="CE31" s="67">
        <f>SUM(CE26:CE30)</f>
        <v>-25.364569953210243</v>
      </c>
      <c r="CF31" s="67">
        <f>SUM(CF26:CF30)</f>
        <v>-26.270064660640497</v>
      </c>
      <c r="CG31" s="504">
        <f>SUM(CG26:CG30)</f>
        <v>-99.963623295077142</v>
      </c>
      <c r="CO31"/>
      <c r="CP31"/>
      <c r="CQ31"/>
      <c r="CR31"/>
      <c r="CS31"/>
      <c r="CT31"/>
      <c r="CU31" s="136"/>
    </row>
    <row r="32" spans="1:99" s="7" customFormat="1" ht="11.25" customHeight="1" x14ac:dyDescent="0.2">
      <c r="A32" s="136"/>
      <c r="B32" s="650"/>
      <c r="C32" s="627"/>
      <c r="D32" s="39"/>
      <c r="E32" s="39"/>
      <c r="F32" s="39"/>
      <c r="G32" s="388"/>
      <c r="H32" s="13"/>
      <c r="I32" s="627"/>
      <c r="J32" s="39"/>
      <c r="K32" s="39"/>
      <c r="L32" s="39"/>
      <c r="M32" s="388"/>
      <c r="N32" s="13"/>
      <c r="O32" s="627"/>
      <c r="P32" s="39"/>
      <c r="Q32" s="39"/>
      <c r="R32" s="39"/>
      <c r="S32" s="388"/>
      <c r="T32" s="13"/>
      <c r="U32" s="627"/>
      <c r="V32" s="39"/>
      <c r="W32" s="39"/>
      <c r="X32" s="39"/>
      <c r="Y32" s="388"/>
      <c r="Z32" s="13"/>
      <c r="AA32" s="627"/>
      <c r="AB32" s="39"/>
      <c r="AC32" s="39"/>
      <c r="AD32" s="39"/>
      <c r="AE32" s="388"/>
      <c r="AF32" s="13"/>
      <c r="AG32" s="627"/>
      <c r="AH32" s="39"/>
      <c r="AI32" s="39"/>
      <c r="AJ32" s="39"/>
      <c r="AK32" s="388"/>
      <c r="AL32" s="13"/>
      <c r="AM32" s="627"/>
      <c r="AN32" s="39"/>
      <c r="AO32" s="39"/>
      <c r="AP32" s="39"/>
      <c r="AQ32" s="388"/>
      <c r="AR32" s="13"/>
      <c r="AS32" s="627"/>
      <c r="AT32" s="39"/>
      <c r="AU32" s="39"/>
      <c r="AV32" s="39"/>
      <c r="AW32" s="388"/>
      <c r="AX32" s="13"/>
      <c r="AY32" s="627"/>
      <c r="AZ32" s="39"/>
      <c r="BA32" s="39"/>
      <c r="BB32" s="39"/>
      <c r="BC32" s="388"/>
      <c r="BD32" s="13"/>
      <c r="BE32" s="627"/>
      <c r="BF32" s="39"/>
      <c r="BG32" s="39"/>
      <c r="BH32" s="39"/>
      <c r="BI32" s="388"/>
      <c r="BJ32" s="13"/>
      <c r="BK32" s="627"/>
      <c r="BL32" s="39"/>
      <c r="BM32" s="39"/>
      <c r="BN32" s="39"/>
      <c r="BO32" s="388"/>
      <c r="BP32" s="13"/>
      <c r="BQ32" s="627"/>
      <c r="BR32" s="39"/>
      <c r="BS32" s="39"/>
      <c r="BT32" s="39"/>
      <c r="BU32" s="388"/>
      <c r="BV32" s="13"/>
      <c r="BW32" s="627"/>
      <c r="BX32" s="39"/>
      <c r="BY32" s="39"/>
      <c r="BZ32" s="39"/>
      <c r="CA32" s="388"/>
      <c r="CB32" s="13"/>
      <c r="CC32" s="627"/>
      <c r="CD32" s="39"/>
      <c r="CE32" s="39"/>
      <c r="CF32" s="39"/>
      <c r="CG32" s="388"/>
      <c r="CO32"/>
      <c r="CP32"/>
      <c r="CQ32"/>
      <c r="CR32"/>
      <c r="CS32"/>
      <c r="CT32"/>
      <c r="CU32" s="136"/>
    </row>
    <row r="33" spans="1:99" s="7" customFormat="1" ht="11.25" customHeight="1" x14ac:dyDescent="0.2">
      <c r="A33" s="136"/>
      <c r="B33" s="760" t="s">
        <v>189</v>
      </c>
      <c r="C33" s="627"/>
      <c r="D33" s="39"/>
      <c r="E33" s="39"/>
      <c r="F33" s="39"/>
      <c r="G33" s="388"/>
      <c r="H33" s="116"/>
      <c r="I33" s="627"/>
      <c r="J33" s="39"/>
      <c r="K33" s="39"/>
      <c r="L33" s="39"/>
      <c r="M33" s="388"/>
      <c r="N33" s="116"/>
      <c r="O33" s="627"/>
      <c r="P33" s="39"/>
      <c r="Q33" s="39"/>
      <c r="R33" s="39"/>
      <c r="S33" s="388"/>
      <c r="T33" s="116"/>
      <c r="U33" s="627"/>
      <c r="V33" s="39"/>
      <c r="W33" s="39"/>
      <c r="X33" s="39"/>
      <c r="Y33" s="388"/>
      <c r="Z33" s="116"/>
      <c r="AA33" s="627"/>
      <c r="AB33" s="39"/>
      <c r="AC33" s="39"/>
      <c r="AD33" s="39"/>
      <c r="AE33" s="388"/>
      <c r="AF33" s="116"/>
      <c r="AG33" s="627"/>
      <c r="AH33" s="39"/>
      <c r="AI33" s="39"/>
      <c r="AJ33" s="39"/>
      <c r="AK33" s="388"/>
      <c r="AL33" s="116"/>
      <c r="AM33" s="627"/>
      <c r="AN33" s="39"/>
      <c r="AO33" s="39"/>
      <c r="AP33" s="39"/>
      <c r="AQ33" s="388"/>
      <c r="AR33" s="116"/>
      <c r="AS33" s="627"/>
      <c r="AT33" s="39"/>
      <c r="AU33" s="39"/>
      <c r="AV33" s="39"/>
      <c r="AW33" s="388"/>
      <c r="AX33" s="116"/>
      <c r="AY33" s="627"/>
      <c r="AZ33" s="39"/>
      <c r="BA33" s="39"/>
      <c r="BB33" s="39"/>
      <c r="BC33" s="388"/>
      <c r="BD33" s="116"/>
      <c r="BE33" s="627"/>
      <c r="BF33" s="39"/>
      <c r="BG33" s="39"/>
      <c r="BH33" s="39"/>
      <c r="BI33" s="388"/>
      <c r="BJ33" s="116"/>
      <c r="BK33" s="627"/>
      <c r="BL33" s="39"/>
      <c r="BM33" s="39"/>
      <c r="BN33" s="39"/>
      <c r="BO33" s="388"/>
      <c r="BP33" s="116"/>
      <c r="BQ33" s="627"/>
      <c r="BR33" s="39"/>
      <c r="BS33" s="39"/>
      <c r="BT33" s="39"/>
      <c r="BU33" s="388"/>
      <c r="BV33" s="116"/>
      <c r="BW33" s="627"/>
      <c r="BX33" s="39"/>
      <c r="BY33" s="39"/>
      <c r="BZ33" s="39"/>
      <c r="CA33" s="388"/>
      <c r="CB33" s="116"/>
      <c r="CC33" s="627"/>
      <c r="CD33" s="39"/>
      <c r="CE33" s="39"/>
      <c r="CF33" s="39"/>
      <c r="CG33" s="388"/>
      <c r="CO33"/>
      <c r="CP33"/>
      <c r="CQ33"/>
      <c r="CR33"/>
      <c r="CS33"/>
      <c r="CT33"/>
      <c r="CU33" s="136"/>
    </row>
    <row r="34" spans="1:99" s="7" customFormat="1" ht="11.25" customHeight="1" x14ac:dyDescent="0.2">
      <c r="A34" s="136"/>
      <c r="B34" s="651" t="s">
        <v>285</v>
      </c>
      <c r="C34" s="380">
        <v>-0.255</v>
      </c>
      <c r="D34" s="204">
        <f>-0.281-C34</f>
        <v>-2.6000000000000023E-2</v>
      </c>
      <c r="E34" s="204">
        <f>-4.554-D34-C34</f>
        <v>-4.2730000000000006</v>
      </c>
      <c r="F34" s="204">
        <f>1.212-E34-D34-C34</f>
        <v>5.766</v>
      </c>
      <c r="G34" s="388">
        <f t="shared" ref="G34:G43" si="14">SUM(C34:F34)</f>
        <v>1.2119999999999997</v>
      </c>
      <c r="H34" s="116"/>
      <c r="I34" s="380">
        <v>-3.919</v>
      </c>
      <c r="J34" s="204">
        <f>-6.508-I34</f>
        <v>-2.589</v>
      </c>
      <c r="K34" s="204">
        <f>-5.786-J34-I34</f>
        <v>0.72200000000000042</v>
      </c>
      <c r="L34" s="204">
        <f>-7.197-K34-J34-I34</f>
        <v>-1.411</v>
      </c>
      <c r="M34" s="388">
        <f t="shared" ref="M34:M43" si="15">SUM(I34:L34)</f>
        <v>-7.1969999999999992</v>
      </c>
      <c r="N34" s="116"/>
      <c r="O34" s="380">
        <v>-3.1890000000000001</v>
      </c>
      <c r="P34" s="204">
        <f>-3.393-O34</f>
        <v>-0.20399999999999974</v>
      </c>
      <c r="Q34" s="204">
        <f>-3.829-P34-O34</f>
        <v>-0.43600000000000039</v>
      </c>
      <c r="R34" s="204">
        <f>-4.481-Q34-P34-O34</f>
        <v>-0.65200000000000014</v>
      </c>
      <c r="S34" s="388">
        <f t="shared" ref="S34:S43" si="16">SUM(O34:R34)</f>
        <v>-4.4809999999999999</v>
      </c>
      <c r="T34" s="116"/>
      <c r="U34" s="380">
        <v>-0.93100000000000005</v>
      </c>
      <c r="V34" s="204">
        <f>-0.668-U34</f>
        <v>0.26300000000000001</v>
      </c>
      <c r="W34" s="204">
        <f>200.195-V34-U34</f>
        <v>200.863</v>
      </c>
      <c r="X34" s="204">
        <f>40.5-W34-V34-U34</f>
        <v>-159.69499999999999</v>
      </c>
      <c r="Y34" s="388">
        <f t="shared" ref="Y34:Y43" si="17">SUM(U34:X34)</f>
        <v>40.5</v>
      </c>
      <c r="Z34" s="116"/>
      <c r="AA34" s="380">
        <v>55.66</v>
      </c>
      <c r="AB34" s="204">
        <f>7.671-AA34</f>
        <v>-47.988999999999997</v>
      </c>
      <c r="AC34" s="204">
        <f>-1.601-AB34-AA34</f>
        <v>-9.2719999999999985</v>
      </c>
      <c r="AD34" s="204">
        <f>13.316-AC34-AB34-AA34</f>
        <v>14.917000000000002</v>
      </c>
      <c r="AE34" s="388">
        <f t="shared" ref="AE34:AE43" si="18">SUM(AA34:AD34)</f>
        <v>13.316000000000003</v>
      </c>
      <c r="AF34" s="116"/>
      <c r="AG34" s="380">
        <v>-50.015999999999998</v>
      </c>
      <c r="AH34" s="204">
        <f>26.384-AG34</f>
        <v>76.400000000000006</v>
      </c>
      <c r="AI34" s="204">
        <f>98.061-AH34-AG34</f>
        <v>71.676999999999992</v>
      </c>
      <c r="AJ34" s="204">
        <f>-32.185-AI34-AH34-AG34</f>
        <v>-130.24600000000001</v>
      </c>
      <c r="AK34" s="388">
        <f t="shared" ref="AK34:AK42" si="19">SUM(AG34:AJ34)</f>
        <v>-32.185000000000002</v>
      </c>
      <c r="AL34" s="116"/>
      <c r="AM34" s="380">
        <v>22.827000000000002</v>
      </c>
      <c r="AN34" s="204">
        <f>-11.64-AM34</f>
        <v>-34.466999999999999</v>
      </c>
      <c r="AO34" s="204">
        <f>-11.55-AN34-AM34</f>
        <v>8.9999999999996305E-2</v>
      </c>
      <c r="AP34" s="204">
        <f>2.175-AO34-AN34-AM34</f>
        <v>13.724999999999998</v>
      </c>
      <c r="AQ34" s="388">
        <f t="shared" ref="AQ34:AQ43" si="20">SUM(AM34:AP34)</f>
        <v>2.1749999999999972</v>
      </c>
      <c r="AR34" s="116"/>
      <c r="AS34" s="380">
        <v>114.768</v>
      </c>
      <c r="AT34" s="204">
        <f>53.239-AS34</f>
        <v>-61.529000000000003</v>
      </c>
      <c r="AU34" s="204">
        <f>158.284-AT34-AS34</f>
        <v>105.04499999999999</v>
      </c>
      <c r="AV34" s="204">
        <f>152.641-AU34-AT34-AS34</f>
        <v>-5.6430000000000007</v>
      </c>
      <c r="AW34" s="388">
        <f t="shared" ref="AW34:AW43" si="21">SUM(AS34:AV34)</f>
        <v>152.64099999999999</v>
      </c>
      <c r="AX34" s="116"/>
      <c r="AY34" s="380">
        <v>-19.885999999999999</v>
      </c>
      <c r="AZ34" s="204">
        <f>-49.989-AY34</f>
        <v>-30.102999999999998</v>
      </c>
      <c r="BA34" s="204">
        <f>4.92-AZ34-AY34</f>
        <v>54.908999999999992</v>
      </c>
      <c r="BB34" s="204">
        <f>145.173-BA34-AZ34-AY34</f>
        <v>140.25300000000001</v>
      </c>
      <c r="BC34" s="388">
        <f t="shared" ref="BC34:BC43" si="22">SUM(AY34:BB34)</f>
        <v>145.173</v>
      </c>
      <c r="BD34" s="116"/>
      <c r="BE34" s="380">
        <v>95.111000000000004</v>
      </c>
      <c r="BF34" s="204">
        <f>-97.479-BE34</f>
        <v>-192.59</v>
      </c>
      <c r="BG34" s="204">
        <f>-3.274-BF34-BE34</f>
        <v>94.204999999999998</v>
      </c>
      <c r="BH34" s="204">
        <f>98.748-BG34-BF34-BE34</f>
        <v>102.02200000000001</v>
      </c>
      <c r="BI34" s="388">
        <f t="shared" ref="BI34:BI43" si="23">SUM(BE34:BH34)</f>
        <v>98.748000000000005</v>
      </c>
      <c r="BJ34" s="116"/>
      <c r="BK34" s="380">
        <v>234.03700000000001</v>
      </c>
      <c r="BL34" s="204">
        <f>139.262-BK34</f>
        <v>-94.775000000000006</v>
      </c>
      <c r="BM34" s="204">
        <f>193.55-SUM(BK34:BL34)</f>
        <v>54.288000000000011</v>
      </c>
      <c r="BN34" s="204">
        <f>302.941-BM34-BL34-BK34</f>
        <v>109.39099999999999</v>
      </c>
      <c r="BO34" s="388">
        <f t="shared" ref="BO34:BO43" si="24">SUM(BK34:BN34)</f>
        <v>302.94100000000003</v>
      </c>
      <c r="BP34" s="116"/>
      <c r="BQ34" s="645">
        <f>+Debt!BQ67</f>
        <v>0</v>
      </c>
      <c r="BR34" s="534">
        <f>+Debt!BR67</f>
        <v>0</v>
      </c>
      <c r="BS34" s="534">
        <f>+Debt!BS67</f>
        <v>0</v>
      </c>
      <c r="BT34" s="534">
        <f>+Debt!BT67</f>
        <v>0</v>
      </c>
      <c r="BU34" s="388">
        <f t="shared" ref="BU34:BU43" si="25">SUM(BQ34:BT34)</f>
        <v>0</v>
      </c>
      <c r="BV34" s="116"/>
      <c r="BW34" s="645">
        <f>+Debt!BW67</f>
        <v>0</v>
      </c>
      <c r="BX34" s="534">
        <f>+Debt!BX67</f>
        <v>0</v>
      </c>
      <c r="BY34" s="534">
        <f>+Debt!BY67</f>
        <v>0</v>
      </c>
      <c r="BZ34" s="534">
        <f>+Debt!BZ67</f>
        <v>0</v>
      </c>
      <c r="CA34" s="388">
        <f t="shared" ref="CA34:CA43" si="26">SUM(BW34:BZ34)</f>
        <v>0</v>
      </c>
      <c r="CB34" s="116"/>
      <c r="CC34" s="645">
        <f>+Debt!CC67</f>
        <v>0</v>
      </c>
      <c r="CD34" s="534">
        <f>+Debt!CD67</f>
        <v>0</v>
      </c>
      <c r="CE34" s="534">
        <f>+Debt!CE67</f>
        <v>0</v>
      </c>
      <c r="CF34" s="534">
        <f>+Debt!CF67</f>
        <v>0</v>
      </c>
      <c r="CG34" s="388">
        <f t="shared" ref="CG34:CG43" si="27">SUM(CC34:CF34)</f>
        <v>0</v>
      </c>
      <c r="CO34"/>
      <c r="CP34"/>
      <c r="CQ34"/>
      <c r="CR34"/>
      <c r="CS34"/>
      <c r="CT34"/>
      <c r="CU34" s="136"/>
    </row>
    <row r="35" spans="1:99" s="7" customFormat="1" ht="11.25" customHeight="1" x14ac:dyDescent="0.2">
      <c r="A35" s="136"/>
      <c r="B35" s="422" t="s">
        <v>296</v>
      </c>
      <c r="C35" s="380">
        <v>0.42799999999999999</v>
      </c>
      <c r="D35" s="204">
        <f>0.483-C35</f>
        <v>5.4999999999999993E-2</v>
      </c>
      <c r="E35" s="204">
        <f>0.483-D35-C35</f>
        <v>0</v>
      </c>
      <c r="F35" s="204">
        <f>0.483-E35-D35-C35</f>
        <v>0</v>
      </c>
      <c r="G35" s="388">
        <f t="shared" si="14"/>
        <v>0.48299999999999998</v>
      </c>
      <c r="H35" s="13"/>
      <c r="I35" s="380">
        <v>0</v>
      </c>
      <c r="J35" s="204">
        <f>0-I35</f>
        <v>0</v>
      </c>
      <c r="K35" s="204">
        <f>0-J35-I35</f>
        <v>0</v>
      </c>
      <c r="L35" s="204">
        <f>0-K35-J35-I35</f>
        <v>0</v>
      </c>
      <c r="M35" s="388">
        <f t="shared" si="15"/>
        <v>0</v>
      </c>
      <c r="N35" s="13"/>
      <c r="O35" s="380">
        <v>0</v>
      </c>
      <c r="P35" s="204">
        <f>0-O35</f>
        <v>0</v>
      </c>
      <c r="Q35" s="204">
        <f>0-P35-O35</f>
        <v>0</v>
      </c>
      <c r="R35" s="204">
        <f>0-Q35-P35-O35</f>
        <v>0</v>
      </c>
      <c r="S35" s="388">
        <f t="shared" si="16"/>
        <v>0</v>
      </c>
      <c r="T35" s="13"/>
      <c r="U35" s="380">
        <v>0</v>
      </c>
      <c r="V35" s="204">
        <f>0-U35</f>
        <v>0</v>
      </c>
      <c r="W35" s="204">
        <f>100-V35-U35</f>
        <v>100</v>
      </c>
      <c r="X35" s="204">
        <f>110-W35-V35-U35</f>
        <v>10</v>
      </c>
      <c r="Y35" s="388">
        <f t="shared" si="17"/>
        <v>110</v>
      </c>
      <c r="Z35" s="13"/>
      <c r="AA35" s="380">
        <v>3</v>
      </c>
      <c r="AB35" s="204">
        <f>3.101-AA35</f>
        <v>0.10099999999999998</v>
      </c>
      <c r="AC35" s="204">
        <f>3.101-AB35-AA35</f>
        <v>0</v>
      </c>
      <c r="AD35" s="204">
        <f>3.101-AC35-AB35-AA35</f>
        <v>0</v>
      </c>
      <c r="AE35" s="388">
        <f t="shared" si="18"/>
        <v>3.101</v>
      </c>
      <c r="AF35" s="13"/>
      <c r="AG35" s="380">
        <v>100</v>
      </c>
      <c r="AH35" s="204">
        <f>100.05-AG35</f>
        <v>4.9999999999997158E-2</v>
      </c>
      <c r="AI35" s="204">
        <f>105.132-AH35-AG35</f>
        <v>5.0820000000000078</v>
      </c>
      <c r="AJ35" s="204">
        <f>155.132-AI35-AH35-AG35</f>
        <v>50</v>
      </c>
      <c r="AK35" s="388">
        <f t="shared" si="19"/>
        <v>155.13200000000001</v>
      </c>
      <c r="AL35" s="13"/>
      <c r="AM35" s="380">
        <v>328</v>
      </c>
      <c r="AN35" s="204">
        <f>483.781-AM35</f>
        <v>155.78100000000001</v>
      </c>
      <c r="AO35" s="204">
        <f>678.781-AN35-AM35</f>
        <v>195</v>
      </c>
      <c r="AP35" s="204">
        <f>678.781-AO35-AN35-AM35</f>
        <v>0</v>
      </c>
      <c r="AQ35" s="388">
        <f t="shared" si="20"/>
        <v>678.78099999999995</v>
      </c>
      <c r="AR35" s="13"/>
      <c r="AS35" s="380">
        <v>190.387</v>
      </c>
      <c r="AT35" s="204">
        <f>314.787-AS35</f>
        <v>124.39999999999998</v>
      </c>
      <c r="AU35" s="204">
        <f>314.787-AT35-AS35</f>
        <v>0</v>
      </c>
      <c r="AV35" s="204">
        <f>314.787-AU35-AT35-AS35</f>
        <v>0</v>
      </c>
      <c r="AW35" s="388">
        <f t="shared" si="21"/>
        <v>314.78699999999998</v>
      </c>
      <c r="AX35" s="13"/>
      <c r="AY35" s="380">
        <v>125</v>
      </c>
      <c r="AZ35" s="204">
        <f>125-AY35</f>
        <v>0</v>
      </c>
      <c r="BA35" s="204">
        <f>135-AZ35-AY35</f>
        <v>10</v>
      </c>
      <c r="BB35" s="204">
        <f>135-BA35-AZ35-AY35</f>
        <v>0</v>
      </c>
      <c r="BC35" s="388">
        <f t="shared" si="22"/>
        <v>135</v>
      </c>
      <c r="BD35" s="13"/>
      <c r="BE35" s="380">
        <v>210</v>
      </c>
      <c r="BF35" s="204">
        <f>244-BE35</f>
        <v>34</v>
      </c>
      <c r="BG35" s="204">
        <f>260-BF35-BE35</f>
        <v>16</v>
      </c>
      <c r="BH35" s="204">
        <f>260.799-BG35-BF35-BE35</f>
        <v>0.79899999999997817</v>
      </c>
      <c r="BI35" s="388">
        <f t="shared" si="23"/>
        <v>260.79899999999998</v>
      </c>
      <c r="BJ35" s="13"/>
      <c r="BK35" s="380">
        <v>0</v>
      </c>
      <c r="BL35" s="204">
        <f>100-BK35</f>
        <v>100</v>
      </c>
      <c r="BM35" s="204">
        <f>200.44-SUM(BK35:BL35)</f>
        <v>100.44</v>
      </c>
      <c r="BN35" s="204">
        <f>200.44-BM35-BL35-BK35</f>
        <v>0</v>
      </c>
      <c r="BO35" s="388">
        <f t="shared" si="24"/>
        <v>200.44</v>
      </c>
      <c r="BP35" s="13"/>
      <c r="BQ35" s="645">
        <f>IF((Debt!BQ68)&lt;0,0,Debt!BQ68)</f>
        <v>0</v>
      </c>
      <c r="BR35" s="534">
        <f>IF((Debt!BR68)&lt;0,0,Debt!BR68)</f>
        <v>0</v>
      </c>
      <c r="BS35" s="534">
        <f>IF((Debt!BS68)&lt;0,0,Debt!BS68)</f>
        <v>0</v>
      </c>
      <c r="BT35" s="534">
        <f>IF((Debt!BT68)&lt;0,0,Debt!BT68)</f>
        <v>0</v>
      </c>
      <c r="BU35" s="388">
        <f t="shared" si="25"/>
        <v>0</v>
      </c>
      <c r="BV35" s="13"/>
      <c r="BW35" s="645">
        <f>IF((Debt!BW68)&lt;0,0,Debt!BW68)</f>
        <v>0</v>
      </c>
      <c r="BX35" s="534">
        <f>IF((Debt!BX68)&lt;0,0,Debt!BX68)</f>
        <v>0</v>
      </c>
      <c r="BY35" s="534">
        <f>IF((Debt!BY68)&lt;0,0,Debt!BY68)</f>
        <v>0</v>
      </c>
      <c r="BZ35" s="534">
        <f>IF((Debt!BZ68)&lt;0,0,Debt!BZ68)</f>
        <v>0</v>
      </c>
      <c r="CA35" s="388">
        <f t="shared" si="26"/>
        <v>0</v>
      </c>
      <c r="CB35" s="13"/>
      <c r="CC35" s="645">
        <f>IF((Debt!CC68)&lt;0,0,Debt!CC68)</f>
        <v>0</v>
      </c>
      <c r="CD35" s="534">
        <f>IF((Debt!CD68)&lt;0,0,Debt!CD68)</f>
        <v>0</v>
      </c>
      <c r="CE35" s="534">
        <f>IF((Debt!CE68)&lt;0,0,Debt!CE68)</f>
        <v>0</v>
      </c>
      <c r="CF35" s="534">
        <f>IF((Debt!CF68)&lt;0,0,Debt!CF68)</f>
        <v>0</v>
      </c>
      <c r="CG35" s="388">
        <f t="shared" si="27"/>
        <v>0</v>
      </c>
      <c r="CO35"/>
      <c r="CP35"/>
      <c r="CQ35"/>
      <c r="CR35"/>
      <c r="CS35"/>
      <c r="CT35"/>
      <c r="CU35" s="136"/>
    </row>
    <row r="36" spans="1:99" s="7" customFormat="1" ht="11.25" customHeight="1" x14ac:dyDescent="0.2">
      <c r="A36" s="136"/>
      <c r="B36" s="422" t="s">
        <v>287</v>
      </c>
      <c r="C36" s="380">
        <v>0</v>
      </c>
      <c r="D36" s="204">
        <f>0-C36</f>
        <v>0</v>
      </c>
      <c r="E36" s="204">
        <f>0-D36-C36</f>
        <v>0</v>
      </c>
      <c r="F36" s="204">
        <f>0-E36-D36-C36</f>
        <v>0</v>
      </c>
      <c r="G36" s="388">
        <f t="shared" si="14"/>
        <v>0</v>
      </c>
      <c r="H36" s="116"/>
      <c r="I36" s="380">
        <v>0</v>
      </c>
      <c r="J36" s="204">
        <f>0-I36</f>
        <v>0</v>
      </c>
      <c r="K36" s="204">
        <f>0-J36-I36</f>
        <v>0</v>
      </c>
      <c r="L36" s="204">
        <f>0-K36-J36-I36</f>
        <v>0</v>
      </c>
      <c r="M36" s="388">
        <f t="shared" si="15"/>
        <v>0</v>
      </c>
      <c r="N36" s="116"/>
      <c r="O36" s="380">
        <v>0</v>
      </c>
      <c r="P36" s="204">
        <f>0-O36</f>
        <v>0</v>
      </c>
      <c r="Q36" s="204">
        <f>0-P36-O36</f>
        <v>0</v>
      </c>
      <c r="R36" s="204">
        <f>0-Q36-P36-O36</f>
        <v>0</v>
      </c>
      <c r="S36" s="388">
        <f t="shared" si="16"/>
        <v>0</v>
      </c>
      <c r="T36" s="116"/>
      <c r="U36" s="380">
        <v>0</v>
      </c>
      <c r="V36" s="204">
        <f>0-U36</f>
        <v>0</v>
      </c>
      <c r="W36" s="204">
        <f>0-V36-U36</f>
        <v>0</v>
      </c>
      <c r="X36" s="204">
        <f>0-W36-V36-U36</f>
        <v>0</v>
      </c>
      <c r="Y36" s="388">
        <f t="shared" si="17"/>
        <v>0</v>
      </c>
      <c r="Z36" s="116"/>
      <c r="AA36" s="380">
        <v>0</v>
      </c>
      <c r="AB36" s="204">
        <f>-2.847-AA36</f>
        <v>-2.847</v>
      </c>
      <c r="AC36" s="204">
        <f>-2.847-AB36-AA36</f>
        <v>0</v>
      </c>
      <c r="AD36" s="204">
        <f>-2.847-AC36-AB36-AA36</f>
        <v>0</v>
      </c>
      <c r="AE36" s="388">
        <f t="shared" si="18"/>
        <v>-2.847</v>
      </c>
      <c r="AF36" s="116"/>
      <c r="AG36" s="380">
        <v>0</v>
      </c>
      <c r="AH36" s="204">
        <f>-0.213-AG36</f>
        <v>-0.21299999999999999</v>
      </c>
      <c r="AI36" s="204">
        <f>-1.404-AH36-AG36</f>
        <v>-1.1909999999999998</v>
      </c>
      <c r="AJ36" s="204">
        <f>-1.482-AI36-AH36-AG36</f>
        <v>-7.8000000000000153E-2</v>
      </c>
      <c r="AK36" s="388">
        <f t="shared" si="19"/>
        <v>-1.482</v>
      </c>
      <c r="AL36" s="116"/>
      <c r="AM36" s="380">
        <v>-0.23599999999999999</v>
      </c>
      <c r="AN36" s="204">
        <f>-1.319-AM36</f>
        <v>-1.083</v>
      </c>
      <c r="AO36" s="204">
        <f>-1.327-AN36-AM36</f>
        <v>-8.0000000000000071E-3</v>
      </c>
      <c r="AP36" s="204">
        <f>-1.372-AO36-AN36-AM36</f>
        <v>-4.5000000000000151E-2</v>
      </c>
      <c r="AQ36" s="388">
        <f t="shared" si="20"/>
        <v>-1.3720000000000001</v>
      </c>
      <c r="AR36" s="116"/>
      <c r="AS36" s="380">
        <v>0</v>
      </c>
      <c r="AT36" s="204">
        <f>0-AS36</f>
        <v>0</v>
      </c>
      <c r="AU36" s="204">
        <f>-0.562-AT36-AS36</f>
        <v>-0.56200000000000006</v>
      </c>
      <c r="AV36" s="204">
        <f>-0.687-AU36-AT36-AS36</f>
        <v>-0.125</v>
      </c>
      <c r="AW36" s="388">
        <f t="shared" si="21"/>
        <v>-0.68700000000000006</v>
      </c>
      <c r="AX36" s="116"/>
      <c r="AY36" s="380">
        <v>0</v>
      </c>
      <c r="AZ36" s="204">
        <f>-0.15-AY36</f>
        <v>-0.15</v>
      </c>
      <c r="BA36" s="204">
        <f>-0.15-AZ36-AY36</f>
        <v>0</v>
      </c>
      <c r="BB36" s="204">
        <f>-0.15-BA36-AZ36-AY36</f>
        <v>0</v>
      </c>
      <c r="BC36" s="388">
        <f t="shared" si="22"/>
        <v>-0.15</v>
      </c>
      <c r="BD36" s="116"/>
      <c r="BE36" s="380">
        <v>-5.8000000000000003E-2</v>
      </c>
      <c r="BF36" s="204">
        <f>-0.233-BE36</f>
        <v>-0.17500000000000002</v>
      </c>
      <c r="BG36" s="204">
        <f>-0.233-BF36-BE36</f>
        <v>0</v>
      </c>
      <c r="BH36" s="204">
        <f>-0.233-BG36-BF36-BE36</f>
        <v>0</v>
      </c>
      <c r="BI36" s="388">
        <f t="shared" si="23"/>
        <v>-0.23300000000000001</v>
      </c>
      <c r="BJ36" s="116"/>
      <c r="BK36" s="380">
        <v>0</v>
      </c>
      <c r="BL36" s="204">
        <f>-1.133-BK36</f>
        <v>-1.133</v>
      </c>
      <c r="BM36" s="204">
        <f>-1.771-SUM(BK36:BL36)</f>
        <v>-0.6379999999999999</v>
      </c>
      <c r="BN36" s="204">
        <f>-1.99-BM36-BL36-BK36</f>
        <v>-0.21900000000000008</v>
      </c>
      <c r="BO36" s="388">
        <f t="shared" si="24"/>
        <v>-1.99</v>
      </c>
      <c r="BP36" s="116"/>
      <c r="BQ36" s="646">
        <v>0</v>
      </c>
      <c r="BR36" s="206">
        <v>0</v>
      </c>
      <c r="BS36" s="206">
        <v>0</v>
      </c>
      <c r="BT36" s="206">
        <v>0</v>
      </c>
      <c r="BU36" s="388">
        <f t="shared" si="25"/>
        <v>0</v>
      </c>
      <c r="BV36" s="116"/>
      <c r="BW36" s="646">
        <v>0</v>
      </c>
      <c r="BX36" s="206">
        <v>0</v>
      </c>
      <c r="BY36" s="206">
        <v>0</v>
      </c>
      <c r="BZ36" s="206">
        <v>0</v>
      </c>
      <c r="CA36" s="388">
        <f t="shared" si="26"/>
        <v>0</v>
      </c>
      <c r="CB36" s="116"/>
      <c r="CC36" s="646">
        <v>0</v>
      </c>
      <c r="CD36" s="206">
        <v>0</v>
      </c>
      <c r="CE36" s="206">
        <v>0</v>
      </c>
      <c r="CF36" s="206">
        <v>0</v>
      </c>
      <c r="CG36" s="388">
        <f t="shared" si="27"/>
        <v>0</v>
      </c>
      <c r="CO36"/>
      <c r="CP36"/>
      <c r="CQ36"/>
      <c r="CR36"/>
      <c r="CS36"/>
      <c r="CT36"/>
      <c r="CU36" s="136"/>
    </row>
    <row r="37" spans="1:99" s="7" customFormat="1" ht="11.25" customHeight="1" x14ac:dyDescent="0.2">
      <c r="A37" s="136"/>
      <c r="B37" s="422" t="s">
        <v>288</v>
      </c>
      <c r="C37" s="380">
        <v>-0.45700000000000002</v>
      </c>
      <c r="D37" s="204">
        <f>-17.925-C37</f>
        <v>-17.468</v>
      </c>
      <c r="E37" s="204">
        <f>-42.529-D37-C37</f>
        <v>-24.604000000000003</v>
      </c>
      <c r="F37" s="204">
        <f>-47.903-E37-D37-C37</f>
        <v>-5.3739999999999961</v>
      </c>
      <c r="G37" s="388">
        <f t="shared" si="14"/>
        <v>-47.902999999999999</v>
      </c>
      <c r="H37" s="13"/>
      <c r="I37" s="380">
        <v>-0.97299999999999998</v>
      </c>
      <c r="J37" s="204">
        <f>-5.949-I37</f>
        <v>-4.976</v>
      </c>
      <c r="K37" s="204">
        <f>-30.139-J37-I37</f>
        <v>-24.19</v>
      </c>
      <c r="L37" s="204">
        <f>-33.721-K37-J37-I37</f>
        <v>-3.5819999999999954</v>
      </c>
      <c r="M37" s="388">
        <f t="shared" si="15"/>
        <v>-33.720999999999997</v>
      </c>
      <c r="N37" s="13"/>
      <c r="O37" s="380">
        <v>-1.712</v>
      </c>
      <c r="P37" s="204">
        <f>-2.612-O37</f>
        <v>-0.90000000000000013</v>
      </c>
      <c r="Q37" s="204">
        <f>-153.452-P37-O37</f>
        <v>-150.84</v>
      </c>
      <c r="R37" s="204">
        <f>-154.329-Q37-P37-O37</f>
        <v>-0.877000000000004</v>
      </c>
      <c r="S37" s="388">
        <f t="shared" si="16"/>
        <v>-154.32900000000001</v>
      </c>
      <c r="T37" s="13"/>
      <c r="U37" s="380">
        <v>-1.843</v>
      </c>
      <c r="V37" s="204">
        <f>-50.175-U37</f>
        <v>-48.331999999999994</v>
      </c>
      <c r="W37" s="204">
        <f>-291.676-V37-U37</f>
        <v>-241.501</v>
      </c>
      <c r="X37" s="204">
        <f>-313.028-W37-V37-U37</f>
        <v>-21.352000000000022</v>
      </c>
      <c r="Y37" s="388">
        <f t="shared" si="17"/>
        <v>-313.02800000000002</v>
      </c>
      <c r="Z37" s="13"/>
      <c r="AA37" s="380">
        <v>-1.526</v>
      </c>
      <c r="AB37" s="204">
        <f>-23.916-AA37</f>
        <v>-22.39</v>
      </c>
      <c r="AC37" s="204">
        <f>-24.656-AB37-AA37</f>
        <v>-0.73999999999999821</v>
      </c>
      <c r="AD37" s="204">
        <f>-33.722-AC37-AB37-AA37</f>
        <v>-9.0660000000000061</v>
      </c>
      <c r="AE37" s="388">
        <f t="shared" si="18"/>
        <v>-33.722000000000008</v>
      </c>
      <c r="AF37" s="13"/>
      <c r="AG37" s="380">
        <v>-10.65</v>
      </c>
      <c r="AH37" s="204">
        <f>-35.375-AG37</f>
        <v>-24.725000000000001</v>
      </c>
      <c r="AI37" s="204">
        <f>-38.217-AH37-AG37</f>
        <v>-2.841999999999997</v>
      </c>
      <c r="AJ37" s="204">
        <f>-40.722-AI37-AH37-AG37</f>
        <v>-2.5050000000000008</v>
      </c>
      <c r="AK37" s="388">
        <f t="shared" si="19"/>
        <v>-40.722000000000001</v>
      </c>
      <c r="AL37" s="13"/>
      <c r="AM37" s="380">
        <v>-232.905</v>
      </c>
      <c r="AN37" s="204">
        <f>-538-AM37</f>
        <v>-305.09500000000003</v>
      </c>
      <c r="AO37" s="204">
        <f>-793.863-AN37-AM37</f>
        <v>-255.86300000000003</v>
      </c>
      <c r="AP37" s="204">
        <f>-729.977-AO37-AN37-AM37</f>
        <v>63.886000000000109</v>
      </c>
      <c r="AQ37" s="388">
        <f t="shared" si="20"/>
        <v>-729.97699999999998</v>
      </c>
      <c r="AR37" s="13"/>
      <c r="AS37" s="380">
        <v>-0.39600000000000002</v>
      </c>
      <c r="AT37" s="204">
        <f>-100.866-AS37</f>
        <v>-100.47</v>
      </c>
      <c r="AU37" s="204">
        <f>-136.044-AT37-AS37</f>
        <v>-35.178000000000011</v>
      </c>
      <c r="AV37" s="204">
        <f>-228.407-AU37-AT37-AS37</f>
        <v>-92.362999999999985</v>
      </c>
      <c r="AW37" s="388">
        <f t="shared" si="21"/>
        <v>-228.40699999999998</v>
      </c>
      <c r="AX37" s="13"/>
      <c r="AY37" s="380">
        <v>-0.73599999999999999</v>
      </c>
      <c r="AZ37" s="204">
        <f>-69.243-AY37</f>
        <v>-68.506999999999991</v>
      </c>
      <c r="BA37" s="204">
        <f>-70.585-AZ37-AY37</f>
        <v>-1.342000000000003</v>
      </c>
      <c r="BB37" s="204">
        <f>-201.203-BA37-AZ37-AY37</f>
        <v>-130.61799999999999</v>
      </c>
      <c r="BC37" s="388">
        <f t="shared" si="22"/>
        <v>-201.20299999999997</v>
      </c>
      <c r="BD37" s="13"/>
      <c r="BE37" s="380">
        <v>-7.5540000000000003</v>
      </c>
      <c r="BF37" s="204">
        <f>-7.921-BE37</f>
        <v>-0.36699999999999999</v>
      </c>
      <c r="BG37" s="204">
        <f>-9.293-BF37-BE37</f>
        <v>-1.3719999999999981</v>
      </c>
      <c r="BH37" s="204">
        <f>-15.381-BG37-BF37-BE37</f>
        <v>-6.0880000000000027</v>
      </c>
      <c r="BI37" s="388">
        <f t="shared" si="23"/>
        <v>-15.381000000000002</v>
      </c>
      <c r="BJ37" s="13"/>
      <c r="BK37" s="380">
        <v>-56.366999999999997</v>
      </c>
      <c r="BL37" s="204">
        <f>-59.184-BK37</f>
        <v>-2.8170000000000002</v>
      </c>
      <c r="BM37" s="204">
        <f>-59.531-SUM(BK37:BL37)</f>
        <v>-0.34700000000000131</v>
      </c>
      <c r="BN37" s="204">
        <f>-60.05-BM37-BL37-BK37</f>
        <v>-0.51899999999999835</v>
      </c>
      <c r="BO37" s="388">
        <f t="shared" si="24"/>
        <v>-60.05</v>
      </c>
      <c r="BP37" s="13"/>
      <c r="BQ37" s="645">
        <f>IF((Debt!BQ68)&gt;0,0,Debt!BQ68)</f>
        <v>0</v>
      </c>
      <c r="BR37" s="534">
        <f>IF((Debt!BR68)&gt;0,0,Debt!BR68)</f>
        <v>0</v>
      </c>
      <c r="BS37" s="534">
        <f>IF((Debt!BS68)&gt;0,0,Debt!BS68)</f>
        <v>0</v>
      </c>
      <c r="BT37" s="534">
        <f>IF((Debt!BT68)&gt;0,0,Debt!BT68)</f>
        <v>0</v>
      </c>
      <c r="BU37" s="388">
        <f t="shared" si="25"/>
        <v>0</v>
      </c>
      <c r="BV37" s="13"/>
      <c r="BW37" s="645">
        <f>IF((Debt!BW68)&gt;0,0,Debt!BW68)</f>
        <v>0</v>
      </c>
      <c r="BX37" s="534">
        <f>IF((Debt!BX68)&gt;0,0,Debt!BX68)</f>
        <v>0</v>
      </c>
      <c r="BY37" s="534">
        <f>IF((Debt!BY68)&gt;0,0,Debt!BY68)</f>
        <v>0</v>
      </c>
      <c r="BZ37" s="534">
        <f>IF((Debt!BZ68)&gt;0,0,Debt!BZ68)</f>
        <v>0</v>
      </c>
      <c r="CA37" s="388">
        <f t="shared" si="26"/>
        <v>0</v>
      </c>
      <c r="CB37" s="13"/>
      <c r="CC37" s="645">
        <f>IF((Debt!CC68)&gt;0,0,Debt!CC68)</f>
        <v>0</v>
      </c>
      <c r="CD37" s="534">
        <f>IF((Debt!CD68)&gt;0,0,Debt!CD68)</f>
        <v>0</v>
      </c>
      <c r="CE37" s="534">
        <f>IF((Debt!CE68)&gt;0,0,Debt!CE68)</f>
        <v>-100</v>
      </c>
      <c r="CF37" s="534">
        <f>IF((Debt!CF68)&gt;0,0,Debt!CF68)</f>
        <v>0</v>
      </c>
      <c r="CG37" s="388">
        <f t="shared" si="27"/>
        <v>-100</v>
      </c>
      <c r="CO37"/>
      <c r="CP37"/>
      <c r="CQ37"/>
      <c r="CR37"/>
      <c r="CS37"/>
      <c r="CT37"/>
      <c r="CU37" s="136"/>
    </row>
    <row r="38" spans="1:99" s="7" customFormat="1" ht="11.25" customHeight="1" x14ac:dyDescent="0.2">
      <c r="A38" s="136"/>
      <c r="B38" s="422" t="s">
        <v>289</v>
      </c>
      <c r="C38" s="380">
        <v>10.691000000000001</v>
      </c>
      <c r="D38" s="204">
        <f>23.62-C38</f>
        <v>12.929</v>
      </c>
      <c r="E38" s="204">
        <f>32.719-D38-C38</f>
        <v>9.0989999999999984</v>
      </c>
      <c r="F38" s="204">
        <f>35.459-E38-D38-C38</f>
        <v>2.7400000000000055</v>
      </c>
      <c r="G38" s="388">
        <f t="shared" si="14"/>
        <v>35.459000000000003</v>
      </c>
      <c r="H38" s="13"/>
      <c r="I38" s="380">
        <v>7.1719999999999997</v>
      </c>
      <c r="J38" s="204">
        <f>12.695-I38</f>
        <v>5.5230000000000006</v>
      </c>
      <c r="K38" s="204">
        <f>25.041-J38-I38</f>
        <v>12.346</v>
      </c>
      <c r="L38" s="204">
        <f>25.649-K38-J38-I38</f>
        <v>0.60800000000000054</v>
      </c>
      <c r="M38" s="388">
        <f t="shared" si="15"/>
        <v>25.649000000000001</v>
      </c>
      <c r="N38" s="13"/>
      <c r="O38" s="380">
        <v>0.377</v>
      </c>
      <c r="P38" s="204">
        <f>3.928-O38</f>
        <v>3.5510000000000002</v>
      </c>
      <c r="Q38" s="204">
        <f>9.689-P38-O38</f>
        <v>5.7610000000000001</v>
      </c>
      <c r="R38" s="204">
        <f>11.87-Q38-P38-O38</f>
        <v>2.1809999999999992</v>
      </c>
      <c r="S38" s="388">
        <f t="shared" si="16"/>
        <v>11.87</v>
      </c>
      <c r="T38" s="13"/>
      <c r="U38" s="380">
        <v>15.28</v>
      </c>
      <c r="V38" s="204">
        <f>21.036-U38</f>
        <v>5.756000000000002</v>
      </c>
      <c r="W38" s="204">
        <f>25.35-V38-U38</f>
        <v>4.3140000000000018</v>
      </c>
      <c r="X38" s="204">
        <f>38.437-W38-V38-U38</f>
        <v>13.086999999999998</v>
      </c>
      <c r="Y38" s="388">
        <f t="shared" si="17"/>
        <v>38.436999999999998</v>
      </c>
      <c r="Z38" s="13"/>
      <c r="AA38" s="380">
        <v>18.814</v>
      </c>
      <c r="AB38" s="204">
        <f>27.938-AA38</f>
        <v>9.1239999999999988</v>
      </c>
      <c r="AC38" s="204">
        <f>30.25-AB38-AA38</f>
        <v>2.3120000000000012</v>
      </c>
      <c r="AD38" s="204">
        <f>34.519-AC38-AB38-AA38</f>
        <v>4.2689999999999948</v>
      </c>
      <c r="AE38" s="388">
        <f t="shared" si="18"/>
        <v>34.518999999999991</v>
      </c>
      <c r="AF38" s="13"/>
      <c r="AG38" s="380">
        <v>30.039000000000001</v>
      </c>
      <c r="AH38" s="204">
        <f>40.715-AG38</f>
        <v>10.676000000000002</v>
      </c>
      <c r="AI38" s="204">
        <f>43.773-AH38-AG38</f>
        <v>3.0579999999999998</v>
      </c>
      <c r="AJ38" s="204">
        <f>72.485-AI38-AH38-AG38</f>
        <v>28.711999999999989</v>
      </c>
      <c r="AK38" s="388">
        <f t="shared" si="19"/>
        <v>72.484999999999985</v>
      </c>
      <c r="AL38" s="13"/>
      <c r="AM38" s="380">
        <v>11.798999999999999</v>
      </c>
      <c r="AN38" s="204">
        <f>19.452-AM38</f>
        <v>7.6530000000000022</v>
      </c>
      <c r="AO38" s="204">
        <f>22.636-AN38-AM38</f>
        <v>3.1839999999999975</v>
      </c>
      <c r="AP38" s="204">
        <f>35.553-AO38-AN38-AM38</f>
        <v>12.916999999999998</v>
      </c>
      <c r="AQ38" s="388">
        <f t="shared" si="20"/>
        <v>35.552999999999997</v>
      </c>
      <c r="AR38" s="13"/>
      <c r="AS38" s="380">
        <v>16.45</v>
      </c>
      <c r="AT38" s="204">
        <f>21.277-AS38</f>
        <v>4.8270000000000017</v>
      </c>
      <c r="AU38" s="204">
        <f>24.115-AT38-AS38</f>
        <v>2.8379999999999974</v>
      </c>
      <c r="AV38" s="204">
        <f>31.491-AU38-AT38-AS38</f>
        <v>7.3760000000000012</v>
      </c>
      <c r="AW38" s="388">
        <f t="shared" si="21"/>
        <v>31.491</v>
      </c>
      <c r="AX38" s="13"/>
      <c r="AY38" s="380">
        <v>7.577</v>
      </c>
      <c r="AZ38" s="204">
        <f>10.858-AY38</f>
        <v>3.2810000000000006</v>
      </c>
      <c r="BA38" s="204">
        <f>11.625-AZ38-AY38</f>
        <v>0.76699999999999946</v>
      </c>
      <c r="BB38" s="204">
        <f>14.87-BA38-AZ38-AY38</f>
        <v>3.2449999999999992</v>
      </c>
      <c r="BC38" s="388">
        <f t="shared" si="22"/>
        <v>14.87</v>
      </c>
      <c r="BD38" s="13"/>
      <c r="BE38" s="380">
        <v>6.3979999999999997</v>
      </c>
      <c r="BF38" s="204">
        <f>9.059-BE38</f>
        <v>2.6609999999999996</v>
      </c>
      <c r="BG38" s="204">
        <f>9.754-BF38-BE38</f>
        <v>0.69500000000000028</v>
      </c>
      <c r="BH38" s="204">
        <f>11.404-BG38-BF38-BE38</f>
        <v>1.6500000000000004</v>
      </c>
      <c r="BI38" s="388">
        <f t="shared" si="23"/>
        <v>11.404</v>
      </c>
      <c r="BJ38" s="13"/>
      <c r="BK38" s="380">
        <v>3.952</v>
      </c>
      <c r="BL38" s="204">
        <f>4.701-BK38</f>
        <v>0.74899999999999967</v>
      </c>
      <c r="BM38" s="204">
        <f>4.941-SUM(BK38:BL38)</f>
        <v>0.24000000000000021</v>
      </c>
      <c r="BN38" s="204">
        <f>5.266-BM38-BL38-BK38</f>
        <v>0.32500000000000018</v>
      </c>
      <c r="BO38" s="388">
        <f t="shared" si="24"/>
        <v>5.266</v>
      </c>
      <c r="BP38" s="13"/>
      <c r="BQ38" s="627">
        <f>+BQ82</f>
        <v>1.2062341836734634</v>
      </c>
      <c r="BR38" s="39">
        <f>+BR82</f>
        <v>1.1368234154914068</v>
      </c>
      <c r="BS38" s="39">
        <f>+BS82</f>
        <v>1.0614917433805311</v>
      </c>
      <c r="BT38" s="39">
        <f>+BT82</f>
        <v>0.49926288424440862</v>
      </c>
      <c r="BU38" s="388">
        <f t="shared" si="25"/>
        <v>3.9038122267898099</v>
      </c>
      <c r="BV38" s="13"/>
      <c r="BW38" s="627">
        <f>+BW82</f>
        <v>0.92075138479968677</v>
      </c>
      <c r="BX38" s="39">
        <f>+BX82</f>
        <v>0.86776825615960218</v>
      </c>
      <c r="BY38" s="39">
        <f>+BY82</f>
        <v>0.81026554038999066</v>
      </c>
      <c r="BZ38" s="39">
        <f>+BZ82</f>
        <v>0.38110094894439539</v>
      </c>
      <c r="CA38" s="388">
        <f t="shared" si="26"/>
        <v>2.979886130293675</v>
      </c>
      <c r="CB38" s="13"/>
      <c r="CC38" s="627">
        <f>+CC82</f>
        <v>0.70283459388350611</v>
      </c>
      <c r="CD38" s="39">
        <f>+CD82</f>
        <v>0.66239112964855107</v>
      </c>
      <c r="CE38" s="39">
        <f>+CE82</f>
        <v>0.61849774153931025</v>
      </c>
      <c r="CF38" s="39">
        <f>+CF82</f>
        <v>0.2909047274886532</v>
      </c>
      <c r="CG38" s="388">
        <f t="shared" si="27"/>
        <v>2.2746281925600207</v>
      </c>
      <c r="CO38"/>
      <c r="CP38"/>
      <c r="CQ38"/>
      <c r="CR38"/>
      <c r="CS38"/>
      <c r="CT38"/>
      <c r="CU38" s="136"/>
    </row>
    <row r="39" spans="1:99" s="7" customFormat="1" ht="11.25" customHeight="1" x14ac:dyDescent="0.2">
      <c r="A39" s="136"/>
      <c r="B39" s="422" t="s">
        <v>290</v>
      </c>
      <c r="C39" s="380">
        <v>-30.689</v>
      </c>
      <c r="D39" s="204">
        <f>-30.689-C39</f>
        <v>0</v>
      </c>
      <c r="E39" s="204">
        <f>-30.689-D39-C39</f>
        <v>0</v>
      </c>
      <c r="F39" s="204">
        <f>-30.689-E39-D39-C39</f>
        <v>0</v>
      </c>
      <c r="G39" s="388">
        <f t="shared" si="14"/>
        <v>-30.689</v>
      </c>
      <c r="H39" s="13"/>
      <c r="I39" s="380">
        <v>0</v>
      </c>
      <c r="J39" s="204">
        <f>-31.647-I39</f>
        <v>-31.646999999999998</v>
      </c>
      <c r="K39" s="204">
        <f>-54.945-J39-I39</f>
        <v>-23.298000000000002</v>
      </c>
      <c r="L39" s="204">
        <f>-82.788-K39-J39-I39</f>
        <v>-27.842999999999996</v>
      </c>
      <c r="M39" s="388">
        <f t="shared" si="15"/>
        <v>-82.787999999999997</v>
      </c>
      <c r="N39" s="13"/>
      <c r="O39" s="380">
        <v>0</v>
      </c>
      <c r="P39" s="204">
        <f>0-O39</f>
        <v>0</v>
      </c>
      <c r="Q39" s="204">
        <f>0-P39-O39</f>
        <v>0</v>
      </c>
      <c r="R39" s="204">
        <f>0-Q39-P39-O39</f>
        <v>0</v>
      </c>
      <c r="S39" s="388">
        <f t="shared" si="16"/>
        <v>0</v>
      </c>
      <c r="T39" s="13"/>
      <c r="U39" s="380">
        <v>0</v>
      </c>
      <c r="V39" s="204">
        <f>0-U39</f>
        <v>0</v>
      </c>
      <c r="W39" s="204">
        <f>-4.819-V39-U39</f>
        <v>-4.819</v>
      </c>
      <c r="X39" s="204">
        <f>-57.735-W39-V39-U39</f>
        <v>-52.915999999999997</v>
      </c>
      <c r="Y39" s="388">
        <f t="shared" si="17"/>
        <v>-57.734999999999999</v>
      </c>
      <c r="Z39" s="13"/>
      <c r="AA39" s="380">
        <v>-27.097999999999999</v>
      </c>
      <c r="AB39" s="204">
        <f>-32.098-AA39</f>
        <v>-5</v>
      </c>
      <c r="AC39" s="204">
        <f>-132.475-AB39-AA39</f>
        <v>-100.377</v>
      </c>
      <c r="AD39" s="204">
        <f>-200.002-AC39-AB39-AA39</f>
        <v>-67.527000000000015</v>
      </c>
      <c r="AE39" s="388">
        <f t="shared" si="18"/>
        <v>-200.00200000000001</v>
      </c>
      <c r="AF39" s="13"/>
      <c r="AG39" s="380">
        <v>-38.564999999999998</v>
      </c>
      <c r="AH39" s="204">
        <f>-156.891-AG39</f>
        <v>-118.32599999999999</v>
      </c>
      <c r="AI39" s="204">
        <f>-215.689-AH39-AG39</f>
        <v>-58.798000000000002</v>
      </c>
      <c r="AJ39" s="204">
        <f>-299.883-AI39-AH39-AG39</f>
        <v>-84.193999999999988</v>
      </c>
      <c r="AK39" s="388">
        <f t="shared" si="19"/>
        <v>-299.88299999999998</v>
      </c>
      <c r="AL39" s="13"/>
      <c r="AM39" s="380">
        <v>-73.448999999999998</v>
      </c>
      <c r="AN39" s="204">
        <f>-151.511-AM39</f>
        <v>-78.061999999999998</v>
      </c>
      <c r="AO39" s="204">
        <f>-226.478-AN39-AM39</f>
        <v>-74.966999999999999</v>
      </c>
      <c r="AP39" s="204">
        <f>-300.251-AO39-AN39-AM39</f>
        <v>-73.772999999999982</v>
      </c>
      <c r="AQ39" s="388">
        <f t="shared" si="20"/>
        <v>-300.25099999999998</v>
      </c>
      <c r="AR39" s="13"/>
      <c r="AS39" s="380">
        <v>-75.305999999999997</v>
      </c>
      <c r="AT39" s="204">
        <f>-151.443-AS39</f>
        <v>-76.137000000000015</v>
      </c>
      <c r="AU39" s="204">
        <f>-226.282-AT39-AS39</f>
        <v>-74.838999999999984</v>
      </c>
      <c r="AV39" s="204">
        <f>-299.989-AU39-AT39-AS39</f>
        <v>-73.706999999999979</v>
      </c>
      <c r="AW39" s="388">
        <f t="shared" si="21"/>
        <v>-299.98899999999998</v>
      </c>
      <c r="AX39" s="13"/>
      <c r="AY39" s="380">
        <v>-75.706999999999994</v>
      </c>
      <c r="AZ39" s="204">
        <f>-113.207-AY39</f>
        <v>-37.5</v>
      </c>
      <c r="BA39" s="204">
        <f>-150.863-AZ39-AY39</f>
        <v>-37.656000000000006</v>
      </c>
      <c r="BB39" s="204">
        <f>-299.852-BA39-AZ39-AY39</f>
        <v>-148.98899999999998</v>
      </c>
      <c r="BC39" s="388">
        <f t="shared" si="22"/>
        <v>-299.85199999999998</v>
      </c>
      <c r="BD39" s="13"/>
      <c r="BE39" s="380">
        <v>-99.997</v>
      </c>
      <c r="BF39" s="204">
        <f>-157.009-BE39</f>
        <v>-57.011999999999986</v>
      </c>
      <c r="BG39" s="204">
        <f>-350.001-BF39-BE39</f>
        <v>-192.99199999999996</v>
      </c>
      <c r="BH39" s="204">
        <f>-550.024-BG39-BF39-BE39</f>
        <v>-200.02300000000002</v>
      </c>
      <c r="BI39" s="388">
        <f t="shared" si="23"/>
        <v>-550.024</v>
      </c>
      <c r="BJ39" s="13"/>
      <c r="BK39" s="380">
        <v>-50.006</v>
      </c>
      <c r="BL39" s="204">
        <f>-100.006-BK39</f>
        <v>-50</v>
      </c>
      <c r="BM39" s="204">
        <f>-225.005-SUM(BK39:BL39)</f>
        <v>-124.999</v>
      </c>
      <c r="BN39" s="204">
        <f>-450-BM39-BL39-BK39</f>
        <v>-224.99499999999998</v>
      </c>
      <c r="BO39" s="388">
        <f t="shared" si="24"/>
        <v>-450</v>
      </c>
      <c r="BP39" s="13"/>
      <c r="BQ39" s="627">
        <f>-BQ63</f>
        <v>-104.19035953610395</v>
      </c>
      <c r="BR39" s="39">
        <f>-BR63</f>
        <v>-104.19035953610395</v>
      </c>
      <c r="BS39" s="39">
        <f>-BS63</f>
        <v>-104.19035953610395</v>
      </c>
      <c r="BT39" s="39">
        <f>-BT63</f>
        <v>-104.19035953610395</v>
      </c>
      <c r="BU39" s="388">
        <f t="shared" si="25"/>
        <v>-416.76143814441582</v>
      </c>
      <c r="BV39" s="13"/>
      <c r="BW39" s="627">
        <f>-BW63</f>
        <v>-111.13638350517756</v>
      </c>
      <c r="BX39" s="39">
        <f>-BX63</f>
        <v>-111.13638350517756</v>
      </c>
      <c r="BY39" s="39">
        <f>-BY63</f>
        <v>-111.13638350517756</v>
      </c>
      <c r="BZ39" s="39">
        <f>-BZ63</f>
        <v>-111.13638350517756</v>
      </c>
      <c r="CA39" s="388">
        <f t="shared" si="26"/>
        <v>-444.54553402071025</v>
      </c>
      <c r="CB39" s="13"/>
      <c r="CC39" s="627">
        <f>-CC63</f>
        <v>-118.08240747425117</v>
      </c>
      <c r="CD39" s="39">
        <f>-CD63</f>
        <v>-118.08240747425117</v>
      </c>
      <c r="CE39" s="39">
        <f>-CE63</f>
        <v>-118.08240747425117</v>
      </c>
      <c r="CF39" s="39">
        <f>-CF63</f>
        <v>-118.08240747425117</v>
      </c>
      <c r="CG39" s="388">
        <f t="shared" si="27"/>
        <v>-472.32962989700468</v>
      </c>
      <c r="CO39"/>
      <c r="CP39"/>
      <c r="CQ39"/>
      <c r="CR39"/>
      <c r="CS39"/>
      <c r="CT39"/>
      <c r="CU39" s="136"/>
    </row>
    <row r="40" spans="1:99" s="7" customFormat="1" ht="11.25" customHeight="1" x14ac:dyDescent="0.2">
      <c r="A40" s="136"/>
      <c r="B40" s="422" t="s">
        <v>291</v>
      </c>
      <c r="C40" s="380">
        <v>5.8529999999999998</v>
      </c>
      <c r="D40" s="204">
        <f>8.022-C40</f>
        <v>2.1690000000000005</v>
      </c>
      <c r="E40" s="204">
        <f>11.597-D40-C40</f>
        <v>3.5749999999999993</v>
      </c>
      <c r="F40" s="204">
        <f>12.668-E40-D40-C40</f>
        <v>1.0709999999999997</v>
      </c>
      <c r="G40" s="388">
        <f t="shared" si="14"/>
        <v>12.667999999999999</v>
      </c>
      <c r="H40" s="116"/>
      <c r="I40" s="380">
        <v>3.4289999999999998</v>
      </c>
      <c r="J40" s="204">
        <f>4.673-I40</f>
        <v>1.2440000000000002</v>
      </c>
      <c r="K40" s="204">
        <f>10.635-J40-I40</f>
        <v>5.9619999999999997</v>
      </c>
      <c r="L40" s="204">
        <f>11.041-K40-J40-I40</f>
        <v>0.40600000000000058</v>
      </c>
      <c r="M40" s="388">
        <f t="shared" si="15"/>
        <v>11.041</v>
      </c>
      <c r="N40" s="116"/>
      <c r="O40" s="380">
        <v>0.18</v>
      </c>
      <c r="P40" s="204">
        <f>0.683-O40</f>
        <v>0.50300000000000011</v>
      </c>
      <c r="Q40" s="204">
        <f>2.821-P40-O40</f>
        <v>2.1379999999999999</v>
      </c>
      <c r="R40" s="204">
        <f>4.68-Q40-P40-O40</f>
        <v>1.8589999999999998</v>
      </c>
      <c r="S40" s="388">
        <f t="shared" si="16"/>
        <v>4.68</v>
      </c>
      <c r="T40" s="116"/>
      <c r="U40" s="380">
        <v>4.5220000000000002</v>
      </c>
      <c r="V40" s="204">
        <f>6.351-U40</f>
        <v>1.8289999999999997</v>
      </c>
      <c r="W40" s="204">
        <f>7.586-V40-U40</f>
        <v>1.2350000000000003</v>
      </c>
      <c r="X40" s="204">
        <f>11.292-W40-V40-U40</f>
        <v>3.7059999999999977</v>
      </c>
      <c r="Y40" s="388">
        <f t="shared" si="17"/>
        <v>11.291999999999998</v>
      </c>
      <c r="Z40" s="116"/>
      <c r="AA40" s="380">
        <v>5.7969999999999997</v>
      </c>
      <c r="AB40" s="204">
        <f>6.852-AA40</f>
        <v>1.0550000000000006</v>
      </c>
      <c r="AC40" s="204">
        <f>7.425-AB40-AA40</f>
        <v>0.57299999999999951</v>
      </c>
      <c r="AD40" s="204">
        <f>8.765-AC40-AB40-AA40</f>
        <v>1.3399999999999999</v>
      </c>
      <c r="AE40" s="388">
        <f t="shared" si="18"/>
        <v>8.7650000000000006</v>
      </c>
      <c r="AF40" s="116"/>
      <c r="AG40" s="380">
        <v>8.548</v>
      </c>
      <c r="AH40" s="204">
        <f>10.051-AG40</f>
        <v>1.5030000000000001</v>
      </c>
      <c r="AI40" s="204">
        <f>10.643-AH40-AG40</f>
        <v>0.59200000000000053</v>
      </c>
      <c r="AJ40" s="204">
        <f>17.819-AI40-AH40-AG40</f>
        <v>7.1759999999999966</v>
      </c>
      <c r="AK40" s="388">
        <f t="shared" si="19"/>
        <v>17.818999999999996</v>
      </c>
      <c r="AL40" s="116"/>
      <c r="AM40" s="380">
        <v>3.3639999999999999</v>
      </c>
      <c r="AN40" s="204">
        <f>5.328-AM40</f>
        <v>1.9640000000000004</v>
      </c>
      <c r="AO40" s="204">
        <f>6.496-AN40-AM40</f>
        <v>1.1680000000000001</v>
      </c>
      <c r="AP40" s="204">
        <f>8.141-AO40-AN40-AM40</f>
        <v>1.6449999999999996</v>
      </c>
      <c r="AQ40" s="388">
        <f t="shared" si="20"/>
        <v>8.141</v>
      </c>
      <c r="AR40" s="116"/>
      <c r="AS40" s="380">
        <v>3.35</v>
      </c>
      <c r="AT40" s="204">
        <f>4.579-AS40</f>
        <v>1.2289999999999996</v>
      </c>
      <c r="AU40" s="204">
        <f>5.375-AT40-AS40</f>
        <v>0.79600000000000071</v>
      </c>
      <c r="AV40" s="204">
        <f>5.886-AU40-AT40-AS40</f>
        <v>0.51100000000000012</v>
      </c>
      <c r="AW40" s="388">
        <f t="shared" si="21"/>
        <v>5.8860000000000001</v>
      </c>
      <c r="AX40" s="116"/>
      <c r="AY40" s="380">
        <v>2.8439999999999999</v>
      </c>
      <c r="AZ40" s="204">
        <f>2.932-AY40</f>
        <v>8.8000000000000078E-2</v>
      </c>
      <c r="BA40" s="204">
        <f>2.932-AZ40-AY40</f>
        <v>0</v>
      </c>
      <c r="BB40" s="204">
        <f>2.199-BA40-AZ40-AY40</f>
        <v>-0.7330000000000001</v>
      </c>
      <c r="BC40" s="388">
        <f t="shared" si="22"/>
        <v>2.1989999999999998</v>
      </c>
      <c r="BD40" s="116"/>
      <c r="BE40" s="380">
        <v>-23.713999999999999</v>
      </c>
      <c r="BF40" s="204">
        <f>0-BE40</f>
        <v>23.713999999999999</v>
      </c>
      <c r="BG40" s="204">
        <f>-0.463-BF40-BE40</f>
        <v>-0.46300000000000097</v>
      </c>
      <c r="BH40" s="204">
        <f>-0.463-BG40-BF40-BE40</f>
        <v>0</v>
      </c>
      <c r="BI40" s="388">
        <f t="shared" si="23"/>
        <v>-0.46300000000000097</v>
      </c>
      <c r="BJ40" s="116"/>
      <c r="BK40" s="380">
        <v>-40.604999999999997</v>
      </c>
      <c r="BL40" s="204">
        <f>-44.414-BK40</f>
        <v>-3.8090000000000046</v>
      </c>
      <c r="BM40" s="204">
        <f>-44.721-SUM(BK40:BL40)</f>
        <v>-0.30699999999999505</v>
      </c>
      <c r="BN40" s="204">
        <f>-44.832-BM40-BL40-BK40</f>
        <v>-0.11100000000000421</v>
      </c>
      <c r="BO40" s="388">
        <f t="shared" si="24"/>
        <v>-44.832000000000001</v>
      </c>
      <c r="BP40" s="116"/>
      <c r="BQ40" s="646">
        <v>0</v>
      </c>
      <c r="BR40" s="206">
        <v>0</v>
      </c>
      <c r="BS40" s="206">
        <v>0</v>
      </c>
      <c r="BT40" s="206">
        <v>0</v>
      </c>
      <c r="BU40" s="388">
        <f t="shared" si="25"/>
        <v>0</v>
      </c>
      <c r="BV40" s="116"/>
      <c r="BW40" s="646">
        <v>0</v>
      </c>
      <c r="BX40" s="206">
        <v>0</v>
      </c>
      <c r="BY40" s="206">
        <v>0</v>
      </c>
      <c r="BZ40" s="206">
        <v>0</v>
      </c>
      <c r="CA40" s="388">
        <f t="shared" si="26"/>
        <v>0</v>
      </c>
      <c r="CB40" s="116"/>
      <c r="CC40" s="646">
        <v>0</v>
      </c>
      <c r="CD40" s="206">
        <v>0</v>
      </c>
      <c r="CE40" s="206">
        <v>0</v>
      </c>
      <c r="CF40" s="206">
        <v>0</v>
      </c>
      <c r="CG40" s="388">
        <f t="shared" si="27"/>
        <v>0</v>
      </c>
      <c r="CO40"/>
      <c r="CP40"/>
      <c r="CQ40"/>
      <c r="CR40"/>
      <c r="CS40"/>
      <c r="CT40"/>
      <c r="CU40" s="136"/>
    </row>
    <row r="41" spans="1:99" s="7" customFormat="1" ht="11.25" customHeight="1" x14ac:dyDescent="0.2">
      <c r="A41" s="136"/>
      <c r="B41" s="422" t="s">
        <v>292</v>
      </c>
      <c r="C41" s="380">
        <v>0</v>
      </c>
      <c r="D41" s="204">
        <f>0-C41</f>
        <v>0</v>
      </c>
      <c r="E41" s="204">
        <f>0-D41-C41</f>
        <v>0</v>
      </c>
      <c r="F41" s="204">
        <f>0-E41-D41-C41</f>
        <v>0</v>
      </c>
      <c r="G41" s="388">
        <f t="shared" si="14"/>
        <v>0</v>
      </c>
      <c r="H41" s="116"/>
      <c r="I41" s="380">
        <v>0</v>
      </c>
      <c r="J41" s="204">
        <f>0-I41</f>
        <v>0</v>
      </c>
      <c r="K41" s="204">
        <f>0-J41-I41</f>
        <v>0</v>
      </c>
      <c r="L41" s="204">
        <f>0-K41-J41-I41</f>
        <v>0</v>
      </c>
      <c r="M41" s="388">
        <f t="shared" si="15"/>
        <v>0</v>
      </c>
      <c r="N41" s="116"/>
      <c r="O41" s="380">
        <v>0</v>
      </c>
      <c r="P41" s="204">
        <f>-1.569-O41</f>
        <v>-1.569</v>
      </c>
      <c r="Q41" s="204">
        <f>-1.858-P41-O41</f>
        <v>-0.28900000000000015</v>
      </c>
      <c r="R41" s="204">
        <f>-2.604-Q41-P41-O41</f>
        <v>-0.746</v>
      </c>
      <c r="S41" s="388">
        <f t="shared" si="16"/>
        <v>-2.6040000000000001</v>
      </c>
      <c r="T41" s="116"/>
      <c r="U41" s="380">
        <v>-1.298</v>
      </c>
      <c r="V41" s="204">
        <f>-7.736-U41</f>
        <v>-6.4379999999999997</v>
      </c>
      <c r="W41" s="204">
        <f>-9.739-V41-U41</f>
        <v>-2.003000000000001</v>
      </c>
      <c r="X41" s="204">
        <f>-12.531-W41-V41-U41</f>
        <v>-2.7919999999999989</v>
      </c>
      <c r="Y41" s="388">
        <f t="shared" si="17"/>
        <v>-12.530999999999999</v>
      </c>
      <c r="Z41" s="116"/>
      <c r="AA41" s="380">
        <v>-1.0620000000000001</v>
      </c>
      <c r="AB41" s="204">
        <f>-6.417-AA41</f>
        <v>-5.3549999999999995</v>
      </c>
      <c r="AC41" s="204">
        <f>-7.878-AB41-AA41</f>
        <v>-1.4610000000000005</v>
      </c>
      <c r="AD41" s="204">
        <f>-10.055-AC41-AB41-AA41</f>
        <v>-2.1769999999999996</v>
      </c>
      <c r="AE41" s="388">
        <f t="shared" si="18"/>
        <v>-10.055</v>
      </c>
      <c r="AF41" s="116"/>
      <c r="AG41" s="380">
        <v>-2.081</v>
      </c>
      <c r="AH41" s="204">
        <f>-8.595-AG41</f>
        <v>-6.5140000000000011</v>
      </c>
      <c r="AI41" s="204">
        <f>-11.581-AH41-AG41</f>
        <v>-2.9859999999999984</v>
      </c>
      <c r="AJ41" s="204">
        <f>-21.284-AI41-AH41-AG41</f>
        <v>-9.7030000000000012</v>
      </c>
      <c r="AK41" s="388">
        <f t="shared" si="19"/>
        <v>-21.283999999999999</v>
      </c>
      <c r="AL41" s="116"/>
      <c r="AM41" s="380">
        <v>-2.7919999999999998</v>
      </c>
      <c r="AN41" s="204">
        <f>-13.008-AM41</f>
        <v>-10.215999999999999</v>
      </c>
      <c r="AO41" s="204">
        <f>-18.049-AN41-AM41</f>
        <v>-5.0410000000000004</v>
      </c>
      <c r="AP41" s="204">
        <f>-19.224-AO41-AN41-AM41</f>
        <v>-1.1750000000000007</v>
      </c>
      <c r="AQ41" s="388">
        <f t="shared" si="20"/>
        <v>-19.224</v>
      </c>
      <c r="AR41" s="116"/>
      <c r="AS41" s="380">
        <v>-3.7629999999999999</v>
      </c>
      <c r="AT41" s="204">
        <f>-17.689-AS41</f>
        <v>-13.926</v>
      </c>
      <c r="AU41" s="204">
        <f>-22.8-AT41-AS41</f>
        <v>-5.1110000000000007</v>
      </c>
      <c r="AV41" s="204">
        <f>-24.986-AU41-AT41-AS41</f>
        <v>-2.1859999999999999</v>
      </c>
      <c r="AW41" s="388">
        <f t="shared" si="21"/>
        <v>-24.986000000000001</v>
      </c>
      <c r="AX41" s="116"/>
      <c r="AY41" s="380">
        <v>-3.113</v>
      </c>
      <c r="AZ41" s="204">
        <f>-14.681-AY41</f>
        <v>-11.568</v>
      </c>
      <c r="BA41" s="204">
        <f>-22.316-AZ41-AY41</f>
        <v>-7.6349999999999998</v>
      </c>
      <c r="BB41" s="204">
        <f>-33.301-BA41-AZ41-AY41</f>
        <v>-10.985000000000005</v>
      </c>
      <c r="BC41" s="388">
        <f t="shared" si="22"/>
        <v>-33.301000000000002</v>
      </c>
      <c r="BD41" s="116"/>
      <c r="BE41" s="380">
        <v>-2.0960000000000001</v>
      </c>
      <c r="BF41" s="204">
        <f>-20.16-BE41</f>
        <v>-18.064</v>
      </c>
      <c r="BG41" s="204">
        <f>-26.366-BF41-BE41</f>
        <v>-6.2059999999999995</v>
      </c>
      <c r="BH41" s="204">
        <f>-32.35-BG41-BF41-BE41</f>
        <v>-5.9840000000000018</v>
      </c>
      <c r="BI41" s="388">
        <f t="shared" si="23"/>
        <v>-32.35</v>
      </c>
      <c r="BJ41" s="116"/>
      <c r="BK41" s="380">
        <v>-3.2639999999999998</v>
      </c>
      <c r="BL41" s="204">
        <f>-19.601-BK41</f>
        <v>-16.337</v>
      </c>
      <c r="BM41" s="204">
        <f>-23.921-SUM(BK41:BL41)</f>
        <v>-4.32</v>
      </c>
      <c r="BN41" s="204">
        <f>-29.134-BL41-BK41-BM41</f>
        <v>-5.213000000000001</v>
      </c>
      <c r="BO41" s="388">
        <f t="shared" si="24"/>
        <v>-29.134</v>
      </c>
      <c r="BP41" s="116"/>
      <c r="BQ41" s="646">
        <v>0</v>
      </c>
      <c r="BR41" s="206">
        <v>0</v>
      </c>
      <c r="BS41" s="206">
        <v>0</v>
      </c>
      <c r="BT41" s="206">
        <v>0</v>
      </c>
      <c r="BU41" s="388">
        <f t="shared" si="25"/>
        <v>0</v>
      </c>
      <c r="BV41" s="116"/>
      <c r="BW41" s="646">
        <v>0</v>
      </c>
      <c r="BX41" s="206">
        <v>0</v>
      </c>
      <c r="BY41" s="206">
        <v>0</v>
      </c>
      <c r="BZ41" s="206">
        <v>0</v>
      </c>
      <c r="CA41" s="388">
        <f t="shared" si="26"/>
        <v>0</v>
      </c>
      <c r="CB41" s="116"/>
      <c r="CC41" s="646">
        <v>0</v>
      </c>
      <c r="CD41" s="206">
        <v>0</v>
      </c>
      <c r="CE41" s="206">
        <v>0</v>
      </c>
      <c r="CF41" s="206">
        <v>0</v>
      </c>
      <c r="CG41" s="388">
        <f t="shared" si="27"/>
        <v>0</v>
      </c>
      <c r="CO41"/>
      <c r="CP41"/>
      <c r="CQ41"/>
      <c r="CR41"/>
      <c r="CS41"/>
      <c r="CT41"/>
      <c r="CU41" s="136"/>
    </row>
    <row r="42" spans="1:99" s="7" customFormat="1" ht="11.25" customHeight="1" x14ac:dyDescent="0.2">
      <c r="A42" s="136"/>
      <c r="B42" s="422" t="s">
        <v>286</v>
      </c>
      <c r="C42" s="380">
        <v>0</v>
      </c>
      <c r="D42" s="204">
        <f>0-C42</f>
        <v>0</v>
      </c>
      <c r="E42" s="204">
        <f>0-D42-C42</f>
        <v>0</v>
      </c>
      <c r="F42" s="204">
        <f>0-E42-D42-C42</f>
        <v>0</v>
      </c>
      <c r="G42" s="388">
        <f t="shared" si="14"/>
        <v>0</v>
      </c>
      <c r="H42" s="13"/>
      <c r="I42" s="380">
        <v>0</v>
      </c>
      <c r="J42" s="204">
        <f>0-I42</f>
        <v>0</v>
      </c>
      <c r="K42" s="204">
        <f>0-J42-I42</f>
        <v>0</v>
      </c>
      <c r="L42" s="204">
        <f>0-K42-J42-I42</f>
        <v>0</v>
      </c>
      <c r="M42" s="388">
        <f t="shared" si="15"/>
        <v>0</v>
      </c>
      <c r="N42" s="13"/>
      <c r="O42" s="380">
        <v>0</v>
      </c>
      <c r="P42" s="204">
        <f>0-O42</f>
        <v>0</v>
      </c>
      <c r="Q42" s="204">
        <f>-52.453-P42-O42</f>
        <v>-52.453000000000003</v>
      </c>
      <c r="R42" s="204">
        <f>-52.453-Q42-P42-O42</f>
        <v>0</v>
      </c>
      <c r="S42" s="388">
        <f t="shared" si="16"/>
        <v>-52.453000000000003</v>
      </c>
      <c r="T42" s="13"/>
      <c r="U42" s="380">
        <v>-10</v>
      </c>
      <c r="V42" s="204">
        <f>-10-U42</f>
        <v>0</v>
      </c>
      <c r="W42" s="204">
        <f>-149.845-V42-U42</f>
        <v>-139.845</v>
      </c>
      <c r="X42" s="204">
        <f>-146.811-W42-V42-U42</f>
        <v>3.0339999999999918</v>
      </c>
      <c r="Y42" s="388">
        <f t="shared" si="17"/>
        <v>-146.81100000000001</v>
      </c>
      <c r="Z42" s="13"/>
      <c r="AA42" s="380">
        <v>-0.36599999999999999</v>
      </c>
      <c r="AB42" s="204">
        <f>-3.366-AA42</f>
        <v>-3</v>
      </c>
      <c r="AC42" s="204">
        <f>-15.199-AB42-AA42</f>
        <v>-11.833</v>
      </c>
      <c r="AD42" s="204">
        <f>-170.199-AC42-AB42-AA42</f>
        <v>-155</v>
      </c>
      <c r="AE42" s="388">
        <f t="shared" si="18"/>
        <v>-170.19900000000001</v>
      </c>
      <c r="AF42" s="13"/>
      <c r="AG42" s="380">
        <v>-6.3659999999999997</v>
      </c>
      <c r="AH42" s="204">
        <f>-20.013-AG42</f>
        <v>-13.647000000000002</v>
      </c>
      <c r="AI42" s="204">
        <f>-20.013-AH42-AG42</f>
        <v>0</v>
      </c>
      <c r="AJ42" s="204">
        <f>-20.481-AI42-AH42-AG42</f>
        <v>-0.46799999999999997</v>
      </c>
      <c r="AK42" s="388">
        <f t="shared" si="19"/>
        <v>-20.481000000000002</v>
      </c>
      <c r="AL42" s="13"/>
      <c r="AM42" s="380">
        <v>-0.53500000000000003</v>
      </c>
      <c r="AN42" s="204">
        <f>-5.754-AM42</f>
        <v>-5.2189999999999994</v>
      </c>
      <c r="AO42" s="204">
        <f>-5.886-AN42-AM42</f>
        <v>-0.13200000000000067</v>
      </c>
      <c r="AP42" s="204">
        <f>-9.8-AO42-AN42-AM42</f>
        <v>-3.9139999999999997</v>
      </c>
      <c r="AQ42" s="388">
        <f t="shared" si="20"/>
        <v>-9.8000000000000007</v>
      </c>
      <c r="AR42" s="13"/>
      <c r="AS42" s="380">
        <v>-83.793000000000006</v>
      </c>
      <c r="AT42" s="204">
        <f>-102.552-AS42</f>
        <v>-18.759</v>
      </c>
      <c r="AU42" s="204">
        <f>-105.383-AT42-AS42</f>
        <v>-2.8309999999999889</v>
      </c>
      <c r="AV42" s="204">
        <f>-105.383-AU42-AT42-AS42</f>
        <v>0</v>
      </c>
      <c r="AW42" s="388">
        <f t="shared" si="21"/>
        <v>-105.383</v>
      </c>
      <c r="AX42" s="13"/>
      <c r="AY42" s="380">
        <v>-0.20499999999999999</v>
      </c>
      <c r="AZ42" s="204">
        <f>-8.257-AY42</f>
        <v>-8.0519999999999996</v>
      </c>
      <c r="BA42" s="204">
        <f>-8.57-AZ42-AY42</f>
        <v>-0.31300000000000072</v>
      </c>
      <c r="BB42" s="204">
        <f>-82.107-BA42-AZ42-AY42</f>
        <v>-73.536999999999992</v>
      </c>
      <c r="BC42" s="388">
        <f t="shared" si="22"/>
        <v>-82.106999999999999</v>
      </c>
      <c r="BD42" s="13"/>
      <c r="BE42" s="380">
        <v>-32.710999999999999</v>
      </c>
      <c r="BF42" s="204">
        <f>-35.632-BE42</f>
        <v>-2.9209999999999994</v>
      </c>
      <c r="BG42" s="204">
        <f>-51.265-BF42-BE42</f>
        <v>-15.633000000000003</v>
      </c>
      <c r="BH42" s="204">
        <f>-72.729-BG42-BF42-BE42</f>
        <v>-21.463999999999999</v>
      </c>
      <c r="BI42" s="388">
        <f t="shared" si="23"/>
        <v>-72.728999999999999</v>
      </c>
      <c r="BJ42" s="13"/>
      <c r="BK42" s="380">
        <v>-4.0890000000000004</v>
      </c>
      <c r="BL42" s="204">
        <f>-4.151-BK42</f>
        <v>-6.1999999999999389E-2</v>
      </c>
      <c r="BM42" s="204">
        <f>-27.914-SUM(BK42:BL42)</f>
        <v>-23.763000000000002</v>
      </c>
      <c r="BN42" s="204">
        <f>-35.192-BM42-BL42-BK42</f>
        <v>-7.2779999999999987</v>
      </c>
      <c r="BO42" s="388">
        <f t="shared" si="24"/>
        <v>-35.192</v>
      </c>
      <c r="BP42" s="13"/>
      <c r="BQ42" s="627">
        <f>+'BalSht '!BQ34-'BalSht '!BN34</f>
        <v>0</v>
      </c>
      <c r="BR42" s="39">
        <f>+'BalSht '!BR34-'BalSht '!BQ34</f>
        <v>0</v>
      </c>
      <c r="BS42" s="39">
        <f>+'BalSht '!BS34-'BalSht '!BR34</f>
        <v>0</v>
      </c>
      <c r="BT42" s="39">
        <f>+'BalSht '!BT34-'BalSht '!BS34</f>
        <v>0</v>
      </c>
      <c r="BU42" s="388">
        <f t="shared" si="25"/>
        <v>0</v>
      </c>
      <c r="BV42" s="13"/>
      <c r="BW42" s="627">
        <f>+'BalSht '!BW34-'BalSht '!BT34</f>
        <v>0</v>
      </c>
      <c r="BX42" s="39">
        <f>+'BalSht '!BX34-'BalSht '!BW34</f>
        <v>0</v>
      </c>
      <c r="BY42" s="39">
        <f>+'BalSht '!BY34-'BalSht '!BX34</f>
        <v>0</v>
      </c>
      <c r="BZ42" s="39">
        <f>+'BalSht '!BZ34-'BalSht '!BY34</f>
        <v>0</v>
      </c>
      <c r="CA42" s="388">
        <f t="shared" si="26"/>
        <v>0</v>
      </c>
      <c r="CB42" s="13"/>
      <c r="CC42" s="627">
        <f>+'BalSht '!CC34-'BalSht '!BZ34</f>
        <v>0</v>
      </c>
      <c r="CD42" s="39">
        <f>+'BalSht '!CD34-'BalSht '!CC34</f>
        <v>0</v>
      </c>
      <c r="CE42" s="39">
        <f>+'BalSht '!CE34-'BalSht '!CD34</f>
        <v>0</v>
      </c>
      <c r="CF42" s="39">
        <f>+'BalSht '!CF34-'BalSht '!CE34</f>
        <v>0</v>
      </c>
      <c r="CG42" s="388">
        <f t="shared" si="27"/>
        <v>0</v>
      </c>
      <c r="CO42"/>
      <c r="CP42"/>
      <c r="CQ42"/>
      <c r="CR42"/>
      <c r="CS42"/>
      <c r="CT42"/>
      <c r="CU42" s="136"/>
    </row>
    <row r="43" spans="1:99" s="7" customFormat="1" ht="11.25" customHeight="1" x14ac:dyDescent="0.2">
      <c r="A43" s="136"/>
      <c r="B43" s="654" t="s">
        <v>134</v>
      </c>
      <c r="C43" s="380">
        <v>-0.73599999999999999</v>
      </c>
      <c r="D43" s="204">
        <f>-1.457-C43</f>
        <v>-0.72100000000000009</v>
      </c>
      <c r="E43" s="204">
        <f>-1.879-D43-C43</f>
        <v>-0.42199999999999993</v>
      </c>
      <c r="F43" s="204">
        <f>-2.35-E43-D43-C43</f>
        <v>-0.47100000000000009</v>
      </c>
      <c r="G43" s="388">
        <f t="shared" si="14"/>
        <v>-2.35</v>
      </c>
      <c r="H43" s="116"/>
      <c r="I43" s="380">
        <v>-0.42399999999999999</v>
      </c>
      <c r="J43" s="204">
        <f>-1.401-I43</f>
        <v>-0.97700000000000009</v>
      </c>
      <c r="K43" s="204">
        <f>-1.856-J43-I43</f>
        <v>-0.45500000000000002</v>
      </c>
      <c r="L43" s="204">
        <f>-0.954-K43-J43-I43</f>
        <v>0.90200000000000014</v>
      </c>
      <c r="M43" s="388">
        <f t="shared" si="15"/>
        <v>-0.95399999999999996</v>
      </c>
      <c r="N43" s="116"/>
      <c r="O43" s="380">
        <v>-2.09</v>
      </c>
      <c r="P43" s="204">
        <f>-0.179-O43</f>
        <v>1.9109999999999998</v>
      </c>
      <c r="Q43" s="204">
        <f>-0.269-P43-O43</f>
        <v>-8.9999999999999858E-2</v>
      </c>
      <c r="R43" s="204">
        <f>-0.358-Q43-P43-O43</f>
        <v>-8.8999999999999968E-2</v>
      </c>
      <c r="S43" s="388">
        <f t="shared" si="16"/>
        <v>-0.35799999999999987</v>
      </c>
      <c r="T43" s="116"/>
      <c r="U43" s="380">
        <v>-0.09</v>
      </c>
      <c r="V43" s="204">
        <f>-0.18-U43</f>
        <v>-0.09</v>
      </c>
      <c r="W43" s="204">
        <f>-0.269-V43-U43</f>
        <v>-8.9000000000000024E-2</v>
      </c>
      <c r="X43" s="204">
        <f>-0.357-W43-V43-U43</f>
        <v>-8.7999999999999967E-2</v>
      </c>
      <c r="Y43" s="388">
        <f t="shared" si="17"/>
        <v>-0.35699999999999998</v>
      </c>
      <c r="Z43" s="116"/>
      <c r="AA43" s="380">
        <v>-0.09</v>
      </c>
      <c r="AB43" s="204">
        <f>-0.09-AA43</f>
        <v>0</v>
      </c>
      <c r="AC43" s="204">
        <f>-0.09-AB43-AA43</f>
        <v>0</v>
      </c>
      <c r="AD43" s="204">
        <f>-0.09-AC43-AB43-AA43</f>
        <v>0</v>
      </c>
      <c r="AE43" s="388">
        <f t="shared" si="18"/>
        <v>-0.09</v>
      </c>
      <c r="AF43" s="116"/>
      <c r="AG43" s="380">
        <v>0</v>
      </c>
      <c r="AH43" s="204">
        <f>0-AG43</f>
        <v>0</v>
      </c>
      <c r="AI43" s="204">
        <f>0-AH43-AG43</f>
        <v>0</v>
      </c>
      <c r="AJ43" s="204">
        <f>0-AI43-AH43-AG43</f>
        <v>0</v>
      </c>
      <c r="AK43" s="388">
        <f>SUM(AG43:AJ43)</f>
        <v>0</v>
      </c>
      <c r="AL43" s="116"/>
      <c r="AM43" s="380">
        <v>0</v>
      </c>
      <c r="AN43" s="204">
        <f>0-AM43</f>
        <v>0</v>
      </c>
      <c r="AO43" s="204">
        <f>0-AN43-AM43</f>
        <v>0</v>
      </c>
      <c r="AP43" s="204">
        <f>0-AO43-AN43-AM43</f>
        <v>0</v>
      </c>
      <c r="AQ43" s="388">
        <f t="shared" si="20"/>
        <v>0</v>
      </c>
      <c r="AR43" s="116"/>
      <c r="AS43" s="380">
        <v>0</v>
      </c>
      <c r="AT43" s="204">
        <f>0-AS43</f>
        <v>0</v>
      </c>
      <c r="AU43" s="204">
        <f>0-AT43-AS43</f>
        <v>0</v>
      </c>
      <c r="AV43" s="204">
        <f>0-AU43-AT43-AS43</f>
        <v>0</v>
      </c>
      <c r="AW43" s="388">
        <f t="shared" si="21"/>
        <v>0</v>
      </c>
      <c r="AX43" s="116"/>
      <c r="AY43" s="380">
        <v>0</v>
      </c>
      <c r="AZ43" s="204">
        <f>0-AY43</f>
        <v>0</v>
      </c>
      <c r="BA43" s="204">
        <f>0-AZ43-AY43</f>
        <v>0</v>
      </c>
      <c r="BB43" s="204">
        <f>0-BA43-AZ43-AY43</f>
        <v>0</v>
      </c>
      <c r="BC43" s="388">
        <f t="shared" si="22"/>
        <v>0</v>
      </c>
      <c r="BD43" s="116"/>
      <c r="BE43" s="380">
        <v>0</v>
      </c>
      <c r="BF43" s="204">
        <f>0-BE43</f>
        <v>0</v>
      </c>
      <c r="BG43" s="204">
        <f>0-BF43-BE43</f>
        <v>0</v>
      </c>
      <c r="BH43" s="204">
        <f>0-BG43-BF43-BE43</f>
        <v>0</v>
      </c>
      <c r="BI43" s="388">
        <f t="shared" si="23"/>
        <v>0</v>
      </c>
      <c r="BJ43" s="116"/>
      <c r="BK43" s="380">
        <v>0</v>
      </c>
      <c r="BL43" s="204">
        <f>0-BK43</f>
        <v>0</v>
      </c>
      <c r="BM43" s="204">
        <f>0-SUM(BK43:BL43)</f>
        <v>0</v>
      </c>
      <c r="BN43" s="204">
        <f>0-BM43-BL43-BK43</f>
        <v>0</v>
      </c>
      <c r="BO43" s="388">
        <f t="shared" si="24"/>
        <v>0</v>
      </c>
      <c r="BP43" s="116"/>
      <c r="BQ43" s="646">
        <v>0</v>
      </c>
      <c r="BR43" s="206">
        <v>0</v>
      </c>
      <c r="BS43" s="206">
        <v>0</v>
      </c>
      <c r="BT43" s="206">
        <v>0</v>
      </c>
      <c r="BU43" s="388">
        <f t="shared" si="25"/>
        <v>0</v>
      </c>
      <c r="BV43" s="116"/>
      <c r="BW43" s="646">
        <v>0</v>
      </c>
      <c r="BX43" s="206">
        <v>0</v>
      </c>
      <c r="BY43" s="206">
        <v>0</v>
      </c>
      <c r="BZ43" s="206">
        <v>0</v>
      </c>
      <c r="CA43" s="388">
        <f t="shared" si="26"/>
        <v>0</v>
      </c>
      <c r="CB43" s="116"/>
      <c r="CC43" s="646">
        <v>0</v>
      </c>
      <c r="CD43" s="206">
        <v>0</v>
      </c>
      <c r="CE43" s="206">
        <v>0</v>
      </c>
      <c r="CF43" s="206">
        <v>0</v>
      </c>
      <c r="CG43" s="388">
        <f t="shared" si="27"/>
        <v>0</v>
      </c>
      <c r="CO43"/>
      <c r="CP43"/>
      <c r="CQ43"/>
      <c r="CR43"/>
      <c r="CS43"/>
      <c r="CT43"/>
      <c r="CU43" s="136"/>
    </row>
    <row r="44" spans="1:99" s="7" customFormat="1" ht="11.25" customHeight="1" x14ac:dyDescent="0.2">
      <c r="A44" s="136"/>
      <c r="B44" s="418" t="s">
        <v>354</v>
      </c>
      <c r="C44" s="529">
        <f>SUM(C33:C43)</f>
        <v>-15.165000000000001</v>
      </c>
      <c r="D44" s="67">
        <f>SUM(D33:D43)</f>
        <v>-3.0619999999999994</v>
      </c>
      <c r="E44" s="67">
        <f>SUM(E33:E43)</f>
        <v>-16.625000000000007</v>
      </c>
      <c r="F44" s="67">
        <f>SUM(F33:F43)</f>
        <v>3.7320000000000091</v>
      </c>
      <c r="G44" s="504">
        <f>SUM(G33:G43)</f>
        <v>-31.119999999999997</v>
      </c>
      <c r="H44" s="26"/>
      <c r="I44" s="529">
        <f>SUM(I33:I43)</f>
        <v>5.2849999999999993</v>
      </c>
      <c r="J44" s="67">
        <f>SUM(J33:J43)</f>
        <v>-33.421999999999997</v>
      </c>
      <c r="K44" s="67">
        <f>SUM(K33:K43)</f>
        <v>-28.913</v>
      </c>
      <c r="L44" s="67">
        <f>SUM(L33:L43)</f>
        <v>-30.919999999999995</v>
      </c>
      <c r="M44" s="504">
        <f>SUM(M33:M43)</f>
        <v>-87.969999999999985</v>
      </c>
      <c r="N44" s="26"/>
      <c r="O44" s="529">
        <f>SUM(O33:O43)</f>
        <v>-6.4340000000000002</v>
      </c>
      <c r="P44" s="67">
        <f>SUM(P33:P43)</f>
        <v>3.2919999999999998</v>
      </c>
      <c r="Q44" s="67">
        <f>SUM(Q33:Q43)</f>
        <v>-196.209</v>
      </c>
      <c r="R44" s="67">
        <f>SUM(R33:R43)</f>
        <v>1.6759999999999948</v>
      </c>
      <c r="S44" s="504">
        <f>SUM(S33:S43)</f>
        <v>-197.67500000000001</v>
      </c>
      <c r="T44" s="26"/>
      <c r="U44" s="529">
        <f>SUM(U33:U43)</f>
        <v>5.6399999999999988</v>
      </c>
      <c r="V44" s="67">
        <f>SUM(V33:V43)</f>
        <v>-47.012</v>
      </c>
      <c r="W44" s="67">
        <f>SUM(W33:W43)</f>
        <v>-81.844999999999999</v>
      </c>
      <c r="X44" s="67">
        <f>SUM(X33:X43)</f>
        <v>-207.01600000000005</v>
      </c>
      <c r="Y44" s="504">
        <f>SUM(Y33:Y43)</f>
        <v>-330.23300000000006</v>
      </c>
      <c r="Z44" s="26"/>
      <c r="AA44" s="529">
        <f>SUM(AA33:AA43)</f>
        <v>53.128999999999991</v>
      </c>
      <c r="AB44" s="67">
        <f>SUM(AB33:AB43)</f>
        <v>-76.301000000000002</v>
      </c>
      <c r="AC44" s="67">
        <f>SUM(AC33:AC43)</f>
        <v>-120.798</v>
      </c>
      <c r="AD44" s="67">
        <f>SUM(AD33:AD43)</f>
        <v>-213.24400000000003</v>
      </c>
      <c r="AE44" s="504">
        <f>SUM(AE33:AE43)</f>
        <v>-357.214</v>
      </c>
      <c r="AF44" s="26"/>
      <c r="AG44" s="529">
        <f>SUM(AG33:AG43)</f>
        <v>30.909000000000006</v>
      </c>
      <c r="AH44" s="67">
        <f>SUM(AH33:AH43)</f>
        <v>-74.795999999999992</v>
      </c>
      <c r="AI44" s="67">
        <f>SUM(AI33:AI43)</f>
        <v>14.59199999999999</v>
      </c>
      <c r="AJ44" s="67">
        <f>SUM(AJ33:AJ43)</f>
        <v>-141.30600000000001</v>
      </c>
      <c r="AK44" s="504">
        <f>SUM(AK33:AK43)</f>
        <v>-170.601</v>
      </c>
      <c r="AL44" s="26"/>
      <c r="AM44" s="529">
        <f>SUM(AM33:AM43)</f>
        <v>56.073000000000015</v>
      </c>
      <c r="AN44" s="67">
        <f>SUM(AN33:AN43)</f>
        <v>-268.74400000000003</v>
      </c>
      <c r="AO44" s="67">
        <f>SUM(AO33:AO43)</f>
        <v>-136.56900000000002</v>
      </c>
      <c r="AP44" s="67">
        <f>SUM(AP33:AP43)</f>
        <v>13.266000000000121</v>
      </c>
      <c r="AQ44" s="504">
        <f>SUM(AQ33:AQ43)</f>
        <v>-335.97399999999999</v>
      </c>
      <c r="AR44" s="26"/>
      <c r="AS44" s="529">
        <f>SUM(AS33:AS43)</f>
        <v>161.69699999999995</v>
      </c>
      <c r="AT44" s="67">
        <f>SUM(AT33:AT43)</f>
        <v>-140.36500000000004</v>
      </c>
      <c r="AU44" s="67">
        <f>SUM(AU33:AU43)</f>
        <v>-9.8420000000000005</v>
      </c>
      <c r="AV44" s="67">
        <f>SUM(AV33:AV43)</f>
        <v>-166.13699999999997</v>
      </c>
      <c r="AW44" s="504">
        <f>SUM(AW33:AW43)</f>
        <v>-154.64699999999999</v>
      </c>
      <c r="AX44" s="26"/>
      <c r="AY44" s="529">
        <f>SUM(AY33:AY43)</f>
        <v>35.774000000000008</v>
      </c>
      <c r="AZ44" s="67">
        <f>SUM(AZ33:AZ43)</f>
        <v>-152.511</v>
      </c>
      <c r="BA44" s="67">
        <f>SUM(BA33:BA43)</f>
        <v>18.729999999999983</v>
      </c>
      <c r="BB44" s="67">
        <f>SUM(BB33:BB43)</f>
        <v>-221.36399999999998</v>
      </c>
      <c r="BC44" s="504">
        <f>SUM(BC33:BC43)</f>
        <v>-319.37099999999987</v>
      </c>
      <c r="BD44" s="26"/>
      <c r="BE44" s="529">
        <f>SUM(BE33:BE43)</f>
        <v>145.37900000000002</v>
      </c>
      <c r="BF44" s="67">
        <f>SUM(BF33:BF43)</f>
        <v>-210.75399999999999</v>
      </c>
      <c r="BG44" s="67">
        <f>SUM(BG33:BG43)</f>
        <v>-105.76599999999996</v>
      </c>
      <c r="BH44" s="67">
        <f>SUM(BH33:BH43)</f>
        <v>-129.08800000000005</v>
      </c>
      <c r="BI44" s="504">
        <f>SUM(BI33:BI43)</f>
        <v>-300.22900000000004</v>
      </c>
      <c r="BJ44" s="26"/>
      <c r="BK44" s="529">
        <f>SUM(BK33:BK43)</f>
        <v>83.65800000000003</v>
      </c>
      <c r="BL44" s="67">
        <f>SUM(BL33:BL43)</f>
        <v>-68.184000000000012</v>
      </c>
      <c r="BM44" s="67">
        <f>SUM(BM33:BM43)</f>
        <v>0.59400000000001185</v>
      </c>
      <c r="BN44" s="67">
        <f>SUM(BN33:BN43)</f>
        <v>-128.61899999999997</v>
      </c>
      <c r="BO44" s="504">
        <f>SUM(BO33:BO43)</f>
        <v>-112.55099999999999</v>
      </c>
      <c r="BP44" s="26"/>
      <c r="BQ44" s="529">
        <f>SUM(BQ33:BQ43)</f>
        <v>-102.9841253524305</v>
      </c>
      <c r="BR44" s="67">
        <f>SUM(BR33:BR43)</f>
        <v>-103.05353612061255</v>
      </c>
      <c r="BS44" s="67">
        <f>SUM(BS33:BS43)</f>
        <v>-103.12886779272343</v>
      </c>
      <c r="BT44" s="67">
        <f>SUM(BT33:BT43)</f>
        <v>-103.69109665185955</v>
      </c>
      <c r="BU44" s="504">
        <f>SUM(BU33:BU43)</f>
        <v>-412.85762591762602</v>
      </c>
      <c r="BV44" s="26"/>
      <c r="BW44" s="529">
        <f>SUM(BW33:BW43)</f>
        <v>-110.21563212037788</v>
      </c>
      <c r="BX44" s="67">
        <f>SUM(BX33:BX43)</f>
        <v>-110.26861524901796</v>
      </c>
      <c r="BY44" s="67">
        <f>SUM(BY33:BY43)</f>
        <v>-110.32611796478757</v>
      </c>
      <c r="BZ44" s="67">
        <f>SUM(BZ33:BZ43)</f>
        <v>-110.75528255623317</v>
      </c>
      <c r="CA44" s="504">
        <f>SUM(CA33:CA43)</f>
        <v>-441.56564789041659</v>
      </c>
      <c r="CB44" s="26"/>
      <c r="CC44" s="529">
        <f>SUM(CC33:CC43)</f>
        <v>-117.37957288036766</v>
      </c>
      <c r="CD44" s="67">
        <f>SUM(CD33:CD43)</f>
        <v>-117.42001634460262</v>
      </c>
      <c r="CE44" s="67">
        <f>SUM(CE33:CE43)</f>
        <v>-217.46390973271184</v>
      </c>
      <c r="CF44" s="67">
        <f>SUM(CF33:CF43)</f>
        <v>-117.79150274676252</v>
      </c>
      <c r="CG44" s="504">
        <f>SUM(CG33:CG43)</f>
        <v>-570.05500170444463</v>
      </c>
      <c r="CO44"/>
      <c r="CP44"/>
      <c r="CQ44"/>
      <c r="CR44"/>
      <c r="CS44"/>
      <c r="CT44"/>
      <c r="CU44" s="136"/>
    </row>
    <row r="45" spans="1:99" s="7" customFormat="1" ht="11.25" customHeight="1" x14ac:dyDescent="0.2">
      <c r="A45" s="136"/>
      <c r="B45" s="433"/>
      <c r="C45" s="627"/>
      <c r="D45" s="39"/>
      <c r="E45" s="39"/>
      <c r="F45" s="39"/>
      <c r="G45" s="388"/>
      <c r="H45" s="13"/>
      <c r="I45" s="627"/>
      <c r="J45" s="39"/>
      <c r="K45" s="39"/>
      <c r="L45" s="39"/>
      <c r="M45" s="388"/>
      <c r="N45" s="13"/>
      <c r="O45" s="627"/>
      <c r="P45" s="39"/>
      <c r="Q45" s="39"/>
      <c r="R45" s="39"/>
      <c r="S45" s="388"/>
      <c r="T45" s="13"/>
      <c r="U45" s="627"/>
      <c r="V45" s="39"/>
      <c r="W45" s="39"/>
      <c r="X45" s="39"/>
      <c r="Y45" s="388"/>
      <c r="Z45" s="13"/>
      <c r="AA45" s="627"/>
      <c r="AB45" s="39"/>
      <c r="AC45" s="39"/>
      <c r="AD45" s="39"/>
      <c r="AE45" s="388"/>
      <c r="AF45" s="13"/>
      <c r="AG45" s="627"/>
      <c r="AH45" s="39"/>
      <c r="AI45" s="39"/>
      <c r="AJ45" s="39"/>
      <c r="AK45" s="388"/>
      <c r="AL45" s="13"/>
      <c r="AM45" s="627"/>
      <c r="AN45" s="39"/>
      <c r="AO45" s="39"/>
      <c r="AP45" s="39"/>
      <c r="AQ45" s="388"/>
      <c r="AR45" s="13"/>
      <c r="AS45" s="627"/>
      <c r="AT45" s="39"/>
      <c r="AU45" s="39"/>
      <c r="AV45" s="39"/>
      <c r="AW45" s="388"/>
      <c r="AX45" s="13"/>
      <c r="AY45" s="627"/>
      <c r="AZ45" s="39"/>
      <c r="BA45" s="39"/>
      <c r="BB45" s="39"/>
      <c r="BC45" s="388"/>
      <c r="BD45" s="13"/>
      <c r="BE45" s="627"/>
      <c r="BF45" s="39"/>
      <c r="BG45" s="39"/>
      <c r="BH45" s="39"/>
      <c r="BI45" s="388"/>
      <c r="BJ45" s="13"/>
      <c r="BK45" s="627"/>
      <c r="BL45" s="39"/>
      <c r="BM45" s="39"/>
      <c r="BN45" s="39"/>
      <c r="BO45" s="388"/>
      <c r="BP45" s="13"/>
      <c r="BQ45" s="627"/>
      <c r="BR45" s="39"/>
      <c r="BS45" s="39"/>
      <c r="BT45" s="39"/>
      <c r="BU45" s="388"/>
      <c r="BV45" s="13"/>
      <c r="BW45" s="627"/>
      <c r="BX45" s="39"/>
      <c r="BY45" s="39"/>
      <c r="BZ45" s="39"/>
      <c r="CA45" s="388"/>
      <c r="CB45" s="13"/>
      <c r="CC45" s="627"/>
      <c r="CD45" s="39"/>
      <c r="CE45" s="39"/>
      <c r="CF45" s="39"/>
      <c r="CG45" s="388"/>
      <c r="CO45"/>
      <c r="CP45"/>
      <c r="CQ45"/>
      <c r="CR45"/>
      <c r="CS45"/>
      <c r="CT45"/>
      <c r="CU45" s="136"/>
    </row>
    <row r="46" spans="1:99" s="7" customFormat="1" ht="11.25" customHeight="1" x14ac:dyDescent="0.2">
      <c r="A46" s="136"/>
      <c r="B46" s="433" t="s">
        <v>355</v>
      </c>
      <c r="C46" s="380">
        <v>-7.5999999999999998E-2</v>
      </c>
      <c r="D46" s="204">
        <f>-0.808-C46</f>
        <v>-0.7320000000000001</v>
      </c>
      <c r="E46" s="204">
        <f>3.766-D46-C46</f>
        <v>4.5739999999999998</v>
      </c>
      <c r="F46" s="204">
        <f>1.899-E46-D46-C46</f>
        <v>-1.8669999999999995</v>
      </c>
      <c r="G46" s="388">
        <f>SUM(C46:F46)</f>
        <v>1.8990000000000005</v>
      </c>
      <c r="H46" s="116"/>
      <c r="I46" s="380">
        <v>-3.0950000000000002</v>
      </c>
      <c r="J46" s="204">
        <f>-4.032-I46</f>
        <v>-0.93699999999999983</v>
      </c>
      <c r="K46" s="204">
        <f>-5.135-J46-I46</f>
        <v>-1.1030000000000002</v>
      </c>
      <c r="L46" s="204">
        <f>-6.822-K46-J46-I46</f>
        <v>-1.6869999999999998</v>
      </c>
      <c r="M46" s="388">
        <f>SUM(I46:L46)</f>
        <v>-6.8219999999999992</v>
      </c>
      <c r="N46" s="116"/>
      <c r="O46" s="380">
        <v>2.8000000000000001E-2</v>
      </c>
      <c r="P46" s="204">
        <f>1.127-O46</f>
        <v>1.099</v>
      </c>
      <c r="Q46" s="204">
        <f>2.423-P46-O46</f>
        <v>1.296</v>
      </c>
      <c r="R46" s="204">
        <f>-0.183-Q46-P46-O46</f>
        <v>-2.6060000000000003</v>
      </c>
      <c r="S46" s="388">
        <f>SUM(O46:R46)</f>
        <v>-0.18300000000000027</v>
      </c>
      <c r="T46" s="116"/>
      <c r="U46" s="380">
        <v>1.331</v>
      </c>
      <c r="V46" s="204">
        <f>-2.233-U46</f>
        <v>-3.5640000000000001</v>
      </c>
      <c r="W46" s="204">
        <f>5.953-V46-U46</f>
        <v>8.1859999999999999</v>
      </c>
      <c r="X46" s="204">
        <f>1.98-W46-V46-U46</f>
        <v>-3.9729999999999994</v>
      </c>
      <c r="Y46" s="388">
        <f>SUM(U46:X46)</f>
        <v>1.98</v>
      </c>
      <c r="Z46" s="116"/>
      <c r="AA46" s="380">
        <v>6.32</v>
      </c>
      <c r="AB46" s="204">
        <f>8.494-AA46</f>
        <v>2.1739999999999995</v>
      </c>
      <c r="AC46" s="204">
        <f>-3.592-AB46-AA46</f>
        <v>-12.086</v>
      </c>
      <c r="AD46" s="204">
        <f>-7.253-AC46-AB46-AA46</f>
        <v>-3.6609999999999996</v>
      </c>
      <c r="AE46" s="388">
        <f>SUM(AA46:AD46)</f>
        <v>-7.2530000000000001</v>
      </c>
      <c r="AF46" s="116"/>
      <c r="AG46" s="380">
        <v>4.3289999999999997</v>
      </c>
      <c r="AH46" s="204">
        <f>-3.314-AG46</f>
        <v>-7.6429999999999998</v>
      </c>
      <c r="AI46" s="204">
        <f>0.209-AH46-AG46</f>
        <v>3.5229999999999997</v>
      </c>
      <c r="AJ46" s="204">
        <f>6.902-AI46-AH46-AG46</f>
        <v>6.6930000000000005</v>
      </c>
      <c r="AK46" s="388">
        <f>SUM(AG46:AJ46)</f>
        <v>6.9020000000000001</v>
      </c>
      <c r="AL46" s="116"/>
      <c r="AM46" s="380">
        <v>-5.2549999999999999</v>
      </c>
      <c r="AN46" s="204">
        <f>-6.608-AM46</f>
        <v>-1.3529999999999998</v>
      </c>
      <c r="AO46" s="204">
        <f>1.286-AN46-AM46</f>
        <v>7.8940000000000001</v>
      </c>
      <c r="AP46" s="204">
        <f>4.94-AO46-AN46-AM46</f>
        <v>3.6539999999999999</v>
      </c>
      <c r="AQ46" s="388">
        <f>SUM(AM46:AP46)</f>
        <v>4.9400000000000004</v>
      </c>
      <c r="AR46" s="116"/>
      <c r="AS46" s="380">
        <v>1.145</v>
      </c>
      <c r="AT46" s="204">
        <f>3.097-AS46</f>
        <v>1.952</v>
      </c>
      <c r="AU46" s="204">
        <f>-8.489-AT46-AS46</f>
        <v>-11.586</v>
      </c>
      <c r="AV46" s="204">
        <f>-20.36-AU46-AT46-AS46</f>
        <v>-11.870999999999999</v>
      </c>
      <c r="AW46" s="388">
        <f>SUM(AS46:AV46)</f>
        <v>-20.36</v>
      </c>
      <c r="AX46" s="116"/>
      <c r="AY46" s="380">
        <v>-9.077</v>
      </c>
      <c r="AZ46" s="204">
        <f>-8.866-AY46</f>
        <v>0.2110000000000003</v>
      </c>
      <c r="BA46" s="204">
        <f>-16.047-AZ46-AY46</f>
        <v>-7.1810000000000027</v>
      </c>
      <c r="BB46" s="204">
        <f>-24.827-BA46-AZ46-AY46</f>
        <v>-8.7799999999999994</v>
      </c>
      <c r="BC46" s="388">
        <f>SUM(AY46:BB46)</f>
        <v>-24.827000000000005</v>
      </c>
      <c r="BD46" s="116"/>
      <c r="BE46" s="380">
        <v>2.9430000000000001</v>
      </c>
      <c r="BF46" s="204">
        <f>4.363-BE46</f>
        <v>1.4200000000000004</v>
      </c>
      <c r="BG46" s="204">
        <f>4.128-BF46-BE46</f>
        <v>-0.23500000000000032</v>
      </c>
      <c r="BH46" s="204">
        <f>-8.515-BG46-BF46-BE46</f>
        <v>-12.643000000000001</v>
      </c>
      <c r="BI46" s="388">
        <f>SUM(BE46:BH46)</f>
        <v>-8.5150000000000006</v>
      </c>
      <c r="BJ46" s="116"/>
      <c r="BK46" s="380">
        <v>4.12</v>
      </c>
      <c r="BL46" s="204">
        <f>12.083-BK46</f>
        <v>7.9630000000000001</v>
      </c>
      <c r="BM46" s="204">
        <f>14.724-SUM(BK46:BL46)</f>
        <v>2.641</v>
      </c>
      <c r="BN46" s="204">
        <f>21.589-BM46-BL46-BK46</f>
        <v>6.8649999999999993</v>
      </c>
      <c r="BO46" s="388">
        <f>SUM(BK46:BN46)</f>
        <v>21.588999999999999</v>
      </c>
      <c r="BP46" s="116"/>
      <c r="BQ46" s="646">
        <v>0</v>
      </c>
      <c r="BR46" s="206">
        <v>0</v>
      </c>
      <c r="BS46" s="206">
        <v>0</v>
      </c>
      <c r="BT46" s="206">
        <v>0</v>
      </c>
      <c r="BU46" s="388">
        <f>SUM(BQ46:BT46)</f>
        <v>0</v>
      </c>
      <c r="BV46" s="116"/>
      <c r="BW46" s="646">
        <v>0</v>
      </c>
      <c r="BX46" s="206">
        <v>0</v>
      </c>
      <c r="BY46" s="206">
        <v>0</v>
      </c>
      <c r="BZ46" s="206">
        <v>0</v>
      </c>
      <c r="CA46" s="388">
        <f>SUM(BW46:BZ46)</f>
        <v>0</v>
      </c>
      <c r="CB46" s="116"/>
      <c r="CC46" s="646">
        <v>0</v>
      </c>
      <c r="CD46" s="206">
        <v>0</v>
      </c>
      <c r="CE46" s="206">
        <v>0</v>
      </c>
      <c r="CF46" s="206">
        <v>0</v>
      </c>
      <c r="CG46" s="388">
        <f>SUM(CC46:CF46)</f>
        <v>0</v>
      </c>
      <c r="CO46"/>
      <c r="CP46"/>
      <c r="CQ46"/>
      <c r="CR46"/>
      <c r="CS46"/>
      <c r="CT46"/>
      <c r="CU46" s="136"/>
    </row>
    <row r="47" spans="1:99" s="7" customFormat="1" ht="11.25" customHeight="1" x14ac:dyDescent="0.2">
      <c r="A47" s="136"/>
      <c r="B47" s="433"/>
      <c r="C47" s="627"/>
      <c r="D47" s="39"/>
      <c r="E47" s="39"/>
      <c r="F47" s="39"/>
      <c r="G47" s="388"/>
      <c r="H47" s="13"/>
      <c r="I47" s="627"/>
      <c r="J47" s="39"/>
      <c r="K47" s="39"/>
      <c r="L47" s="39"/>
      <c r="M47" s="388"/>
      <c r="N47" s="13"/>
      <c r="O47" s="627"/>
      <c r="P47" s="39"/>
      <c r="Q47" s="39"/>
      <c r="R47" s="39"/>
      <c r="S47" s="388"/>
      <c r="T47" s="13"/>
      <c r="U47" s="627"/>
      <c r="V47" s="39"/>
      <c r="W47" s="39"/>
      <c r="X47" s="39"/>
      <c r="Y47" s="388"/>
      <c r="Z47" s="13"/>
      <c r="AA47" s="627"/>
      <c r="AB47" s="39"/>
      <c r="AC47" s="39"/>
      <c r="AD47" s="39"/>
      <c r="AE47" s="388"/>
      <c r="AF47" s="13"/>
      <c r="AG47" s="627"/>
      <c r="AH47" s="39"/>
      <c r="AI47" s="39"/>
      <c r="AJ47" s="39"/>
      <c r="AK47" s="388"/>
      <c r="AL47" s="13"/>
      <c r="AM47" s="627"/>
      <c r="AN47" s="39"/>
      <c r="AO47" s="39"/>
      <c r="AP47" s="39"/>
      <c r="AQ47" s="388"/>
      <c r="AR47" s="13"/>
      <c r="AS47" s="627"/>
      <c r="AT47" s="39"/>
      <c r="AU47" s="39"/>
      <c r="AV47" s="39"/>
      <c r="AW47" s="388"/>
      <c r="AX47" s="13"/>
      <c r="AY47" s="627"/>
      <c r="AZ47" s="39"/>
      <c r="BA47" s="39"/>
      <c r="BB47" s="39"/>
      <c r="BC47" s="388"/>
      <c r="BD47" s="13"/>
      <c r="BE47" s="627"/>
      <c r="BF47" s="39"/>
      <c r="BG47" s="39"/>
      <c r="BH47" s="39"/>
      <c r="BI47" s="388"/>
      <c r="BJ47" s="13"/>
      <c r="BK47" s="627"/>
      <c r="BL47" s="39"/>
      <c r="BM47" s="39"/>
      <c r="BN47" s="39"/>
      <c r="BO47" s="388"/>
      <c r="BP47" s="13"/>
      <c r="BQ47" s="627"/>
      <c r="BR47" s="39"/>
      <c r="BS47" s="39"/>
      <c r="BT47" s="39"/>
      <c r="BU47" s="388"/>
      <c r="BV47" s="13"/>
      <c r="BW47" s="627"/>
      <c r="BX47" s="39"/>
      <c r="BY47" s="39"/>
      <c r="BZ47" s="39"/>
      <c r="CA47" s="388"/>
      <c r="CB47" s="13"/>
      <c r="CC47" s="627"/>
      <c r="CD47" s="39"/>
      <c r="CE47" s="39"/>
      <c r="CF47" s="39"/>
      <c r="CG47" s="388"/>
      <c r="CO47"/>
      <c r="CP47"/>
      <c r="CQ47"/>
      <c r="CR47"/>
      <c r="CS47"/>
      <c r="CT47"/>
      <c r="CU47" s="136"/>
    </row>
    <row r="48" spans="1:99" s="7" customFormat="1" ht="11.25" customHeight="1" thickBot="1" x14ac:dyDescent="0.25">
      <c r="A48" s="136"/>
      <c r="B48" s="655" t="s">
        <v>356</v>
      </c>
      <c r="C48" s="527">
        <f>C46+C44+C31+C24</f>
        <v>-94.191000000000003</v>
      </c>
      <c r="D48" s="68">
        <f>D46+D44+D31+D24</f>
        <v>36.515000000000015</v>
      </c>
      <c r="E48" s="68">
        <f>E46+E44+E31+E24</f>
        <v>16.486999999999981</v>
      </c>
      <c r="F48" s="68">
        <f>F46+F44+F31+F24</f>
        <v>40.132000000000048</v>
      </c>
      <c r="G48" s="503">
        <f>G46+G44+G31+G24</f>
        <v>-1.0569999999999595</v>
      </c>
      <c r="H48" s="26"/>
      <c r="I48" s="527">
        <f>I46+I44+I31+I24</f>
        <v>-44.554000000000002</v>
      </c>
      <c r="J48" s="68">
        <f>J46+J44+J31+J24</f>
        <v>68.396000000000043</v>
      </c>
      <c r="K48" s="68">
        <f>K46+K44+K31+K24</f>
        <v>16.931999999999995</v>
      </c>
      <c r="L48" s="68">
        <f>L46+L44+L31+L24</f>
        <v>81.206000000000017</v>
      </c>
      <c r="M48" s="503">
        <f>M46+M44+M31+M24</f>
        <v>121.98000000000002</v>
      </c>
      <c r="N48" s="26"/>
      <c r="O48" s="527">
        <f>O46+O44+O31+O24</f>
        <v>-61.414000000000009</v>
      </c>
      <c r="P48" s="68">
        <f>P46+P44+P31+P24</f>
        <v>85.717000000000013</v>
      </c>
      <c r="Q48" s="68">
        <f>Q46+Q44+Q31+Q24</f>
        <v>-76.265999999999963</v>
      </c>
      <c r="R48" s="68">
        <f>R46+R44+R31+R24</f>
        <v>153.54699999999997</v>
      </c>
      <c r="S48" s="503">
        <f>S46+S44+S31+S24</f>
        <v>101.58399999999989</v>
      </c>
      <c r="T48" s="26"/>
      <c r="U48" s="527">
        <f>U46+U44+U31+U24</f>
        <v>-115.76600000000002</v>
      </c>
      <c r="V48" s="68">
        <f>V46+V44+V31+V24</f>
        <v>-34.272000000000006</v>
      </c>
      <c r="W48" s="68">
        <f>W46+W44+W31+W24</f>
        <v>-117.38599999999994</v>
      </c>
      <c r="X48" s="68">
        <f>X46+X44+X31+X24</f>
        <v>-53.382000000000176</v>
      </c>
      <c r="Y48" s="503">
        <f>Y46+Y44+Y31+Y24</f>
        <v>-320.80600000000004</v>
      </c>
      <c r="Z48" s="26"/>
      <c r="AA48" s="527">
        <f>AA46+AA44+AA31+AA24</f>
        <v>-33.63600000000001</v>
      </c>
      <c r="AB48" s="68">
        <f>AB46+AB44+AB31+AB24</f>
        <v>45.077000000000027</v>
      </c>
      <c r="AC48" s="68">
        <f>AC46+AC44+AC31+AC24</f>
        <v>-54.91700000000003</v>
      </c>
      <c r="AD48" s="68">
        <f>AD46+AD44+AD31+AD24</f>
        <v>40.411999999999978</v>
      </c>
      <c r="AE48" s="503">
        <f>AE46+AE44+AE31+AE24</f>
        <v>-3.0639999999999645</v>
      </c>
      <c r="AF48" s="26"/>
      <c r="AG48" s="527">
        <f>AG46+AG44+AG31+AG24</f>
        <v>-45.471000000000018</v>
      </c>
      <c r="AH48" s="68">
        <f>AH46+AH44+AH31+AH24</f>
        <v>-13.91700000000003</v>
      </c>
      <c r="AI48" s="68">
        <f>AI46+AI44+AI31+AI24</f>
        <v>1.4399999999999977</v>
      </c>
      <c r="AJ48" s="68">
        <f>AJ46+AJ44+AJ31+AJ24</f>
        <v>32.743999999999943</v>
      </c>
      <c r="AK48" s="503">
        <f>AK46+AK44+AK31+AK24</f>
        <v>-25.204000000000008</v>
      </c>
      <c r="AL48" s="26"/>
      <c r="AM48" s="527">
        <f>AM46+AM44+AM31+AM24</f>
        <v>-31.517999999999979</v>
      </c>
      <c r="AN48" s="68">
        <f>AN46+AN44+AN31+AN24</f>
        <v>-11.722999999999956</v>
      </c>
      <c r="AO48" s="68">
        <f>AO46+AO44+AO31+AO24</f>
        <v>-8.9240000000000066</v>
      </c>
      <c r="AP48" s="68">
        <f>AP46+AP44+AP31+AP24</f>
        <v>118.70100000000019</v>
      </c>
      <c r="AQ48" s="503">
        <f>AQ46+AQ44+AQ31+AQ24</f>
        <v>66.536000000000058</v>
      </c>
      <c r="AR48" s="26"/>
      <c r="AS48" s="527">
        <f>AS46+AS44+AS31+AS24</f>
        <v>-59.501000000000083</v>
      </c>
      <c r="AT48" s="68">
        <f>AT46+AT44+AT31+AT24</f>
        <v>-39.417000000000002</v>
      </c>
      <c r="AU48" s="68">
        <f>AU46+AU44+AU31+AU24</f>
        <v>-13.155999999999977</v>
      </c>
      <c r="AV48" s="68">
        <f>AV46+AV44+AV31+AV24</f>
        <v>12.932000000000016</v>
      </c>
      <c r="AW48" s="503">
        <f>AW46+AW44+AW31+AW24</f>
        <v>-99.142000000000053</v>
      </c>
      <c r="AX48" s="26"/>
      <c r="AY48" s="527">
        <f>AY46+AY44+AY31+AY24</f>
        <v>-30.272000000000009</v>
      </c>
      <c r="AZ48" s="68">
        <f>AZ46+AZ44+AZ31+AZ24</f>
        <v>-12.133999999999986</v>
      </c>
      <c r="BA48" s="68">
        <f>BA46+BA44+BA31+BA24</f>
        <v>13.412999999999982</v>
      </c>
      <c r="BB48" s="68">
        <f>BB46+BB44+BB31+BB24</f>
        <v>11.605000000000018</v>
      </c>
      <c r="BC48" s="503">
        <f>BC46+BC44+BC31+BC24</f>
        <v>-17.387999999999693</v>
      </c>
      <c r="BD48" s="26"/>
      <c r="BE48" s="527">
        <f>BE46+BE44+BE31+BE24</f>
        <v>-0.47199999999995157</v>
      </c>
      <c r="BF48" s="68">
        <f>BF46+BF44+BF31+BF24</f>
        <v>-8.054000000000002</v>
      </c>
      <c r="BG48" s="68">
        <f>BG46+BG44+BG31+BG24</f>
        <v>12.632000000000062</v>
      </c>
      <c r="BH48" s="68">
        <f>BH46+BH44+BH31+BH24</f>
        <v>-13.811000000000149</v>
      </c>
      <c r="BI48" s="503">
        <f>BI46+BI44+BI31+BI24</f>
        <v>-9.7050000000001546</v>
      </c>
      <c r="BJ48" s="26"/>
      <c r="BK48" s="527">
        <f>BK46+BK44+BK31+BK24</f>
        <v>0.50700000000001921</v>
      </c>
      <c r="BL48" s="68">
        <f>BL46+BL44+BL31+BL24</f>
        <v>11.765999999999934</v>
      </c>
      <c r="BM48" s="68">
        <f>BM46+BM44+BM31+BM24</f>
        <v>5.2250000000000227</v>
      </c>
      <c r="BN48" s="68">
        <f>BN46+BN44+BN31+BN24</f>
        <v>94.778999999999996</v>
      </c>
      <c r="BO48" s="503">
        <f>BO46+BO44+BO31+BO24</f>
        <v>112.27699999999993</v>
      </c>
      <c r="BP48" s="26"/>
      <c r="BQ48" s="527">
        <f>BQ46+BQ44+BQ31+BQ24</f>
        <v>-12.207986286405003</v>
      </c>
      <c r="BR48" s="68">
        <f>BR46+BR44+BR31+BR24</f>
        <v>-37.095278102892365</v>
      </c>
      <c r="BS48" s="68">
        <f>BS46+BS44+BS31+BS24</f>
        <v>72.893640514349016</v>
      </c>
      <c r="BT48" s="68">
        <f>BT46+BT44+BT31+BT24</f>
        <v>83.737639442556883</v>
      </c>
      <c r="BU48" s="503">
        <f>BU46+BU44+BU31+BU24</f>
        <v>107.32801556760853</v>
      </c>
      <c r="BV48" s="26"/>
      <c r="BW48" s="527">
        <f>BW46+BW44+BW31+BW24</f>
        <v>47.183320116721035</v>
      </c>
      <c r="BX48" s="68">
        <f>BX46+BX44+BX31+BX24</f>
        <v>-51.443791846663828</v>
      </c>
      <c r="BY48" s="68">
        <f>BY46+BY44+BY31+BY24</f>
        <v>61.238976892930964</v>
      </c>
      <c r="BZ48" s="68">
        <f>BZ46+BZ44+BZ31+BZ24</f>
        <v>72.232465046020593</v>
      </c>
      <c r="CA48" s="503">
        <f>CA46+CA44+CA31+CA24</f>
        <v>129.21097020900856</v>
      </c>
      <c r="CB48" s="26"/>
      <c r="CC48" s="527">
        <f>CC46+CC44+CC31+CC24</f>
        <v>56.802532884281874</v>
      </c>
      <c r="CD48" s="68">
        <f>CD46+CD44+CD31+CD24</f>
        <v>-69.583479490936156</v>
      </c>
      <c r="CE48" s="68">
        <f>CE46+CE44+CE31+CE24</f>
        <v>-46.791015229756681</v>
      </c>
      <c r="CF48" s="68">
        <f>CF46+CF44+CF31+CF24</f>
        <v>62.379346115262223</v>
      </c>
      <c r="CG48" s="503">
        <f>CG46+CG44+CG31+CG24</f>
        <v>2.8073842788512593</v>
      </c>
      <c r="CO48"/>
      <c r="CP48"/>
      <c r="CQ48"/>
      <c r="CR48"/>
      <c r="CS48"/>
      <c r="CT48"/>
      <c r="CU48" s="136"/>
    </row>
    <row r="49" spans="1:99" s="7" customFormat="1" ht="11.25" customHeight="1" thickTop="1" x14ac:dyDescent="0.2">
      <c r="A49" s="136"/>
      <c r="B49" s="433"/>
      <c r="C49" s="636"/>
      <c r="D49" s="40"/>
      <c r="E49" s="40"/>
      <c r="F49" s="40"/>
      <c r="G49" s="502"/>
      <c r="H49" s="13"/>
      <c r="I49" s="636"/>
      <c r="J49" s="40"/>
      <c r="K49" s="40"/>
      <c r="L49" s="40"/>
      <c r="M49" s="502"/>
      <c r="N49" s="13"/>
      <c r="O49" s="636"/>
      <c r="P49" s="40"/>
      <c r="Q49" s="40"/>
      <c r="R49" s="40"/>
      <c r="S49" s="502"/>
      <c r="T49" s="13"/>
      <c r="U49" s="636"/>
      <c r="V49" s="40"/>
      <c r="W49" s="40"/>
      <c r="X49" s="40"/>
      <c r="Y49" s="502"/>
      <c r="Z49" s="13"/>
      <c r="AA49" s="636"/>
      <c r="AB49" s="40"/>
      <c r="AC49" s="40"/>
      <c r="AD49" s="40"/>
      <c r="AE49" s="502"/>
      <c r="AF49" s="13"/>
      <c r="AG49" s="636"/>
      <c r="AH49" s="40"/>
      <c r="AI49" s="40"/>
      <c r="AJ49" s="40"/>
      <c r="AK49" s="502"/>
      <c r="AL49" s="13"/>
      <c r="AM49" s="636"/>
      <c r="AN49" s="40"/>
      <c r="AO49" s="40"/>
      <c r="AP49" s="40"/>
      <c r="AQ49" s="502"/>
      <c r="AR49" s="13"/>
      <c r="AS49" s="636"/>
      <c r="AT49" s="40"/>
      <c r="AU49" s="40"/>
      <c r="AV49" s="40"/>
      <c r="AW49" s="502"/>
      <c r="AX49" s="13"/>
      <c r="AY49" s="636"/>
      <c r="AZ49" s="40"/>
      <c r="BA49" s="40"/>
      <c r="BB49" s="40"/>
      <c r="BC49" s="502"/>
      <c r="BD49" s="13"/>
      <c r="BE49" s="636"/>
      <c r="BF49" s="40"/>
      <c r="BG49" s="40"/>
      <c r="BH49" s="40"/>
      <c r="BI49" s="502"/>
      <c r="BJ49" s="13"/>
      <c r="BK49" s="636"/>
      <c r="BL49" s="40"/>
      <c r="BM49" s="40"/>
      <c r="BN49" s="40"/>
      <c r="BO49" s="502"/>
      <c r="BP49" s="13"/>
      <c r="BQ49" s="636"/>
      <c r="BR49" s="40"/>
      <c r="BS49" s="40"/>
      <c r="BT49" s="40"/>
      <c r="BU49" s="502"/>
      <c r="BV49" s="13"/>
      <c r="BW49" s="636"/>
      <c r="BX49" s="40"/>
      <c r="BY49" s="40"/>
      <c r="BZ49" s="40"/>
      <c r="CA49" s="502"/>
      <c r="CB49" s="13"/>
      <c r="CC49" s="636"/>
      <c r="CD49" s="40"/>
      <c r="CE49" s="40"/>
      <c r="CF49" s="40"/>
      <c r="CG49" s="502"/>
      <c r="CO49"/>
      <c r="CP49"/>
      <c r="CQ49"/>
      <c r="CR49"/>
      <c r="CS49"/>
      <c r="CT49"/>
      <c r="CU49" s="136"/>
    </row>
    <row r="50" spans="1:99" s="7" customFormat="1" ht="11.25" customHeight="1" x14ac:dyDescent="0.2">
      <c r="A50" s="136"/>
      <c r="B50" s="433" t="s">
        <v>93</v>
      </c>
      <c r="C50" s="627">
        <v>248.64699999999999</v>
      </c>
      <c r="D50" s="39">
        <f>C51</f>
        <v>154.45599999999999</v>
      </c>
      <c r="E50" s="39">
        <f>D51</f>
        <v>190.971</v>
      </c>
      <c r="F50" s="39">
        <f>E51</f>
        <v>207.45799999999997</v>
      </c>
      <c r="G50" s="388">
        <f>C50</f>
        <v>248.64699999999999</v>
      </c>
      <c r="H50" s="13"/>
      <c r="I50" s="627">
        <f>+G51</f>
        <v>247.59000000000003</v>
      </c>
      <c r="J50" s="39">
        <f>I51</f>
        <v>203.03600000000003</v>
      </c>
      <c r="K50" s="39">
        <f>J51</f>
        <v>271.43200000000007</v>
      </c>
      <c r="L50" s="39">
        <f>K51</f>
        <v>288.36400000000009</v>
      </c>
      <c r="M50" s="388">
        <f>I50</f>
        <v>247.59000000000003</v>
      </c>
      <c r="N50" s="13"/>
      <c r="O50" s="627">
        <f>+M51</f>
        <v>369.57000000000005</v>
      </c>
      <c r="P50" s="39">
        <f>O51</f>
        <v>308.15600000000006</v>
      </c>
      <c r="Q50" s="39">
        <f>P51</f>
        <v>393.87300000000005</v>
      </c>
      <c r="R50" s="39">
        <f>Q51</f>
        <v>317.60700000000008</v>
      </c>
      <c r="S50" s="388">
        <f>O50</f>
        <v>369.57000000000005</v>
      </c>
      <c r="T50" s="13"/>
      <c r="U50" s="627">
        <f>+S51</f>
        <v>471.15399999999994</v>
      </c>
      <c r="V50" s="39">
        <f>U51</f>
        <v>355.38799999999992</v>
      </c>
      <c r="W50" s="39">
        <f>V51</f>
        <v>321.11599999999993</v>
      </c>
      <c r="X50" s="39">
        <f>W51</f>
        <v>203.73</v>
      </c>
      <c r="Y50" s="388">
        <f>U50</f>
        <v>471.15399999999994</v>
      </c>
      <c r="Z50" s="13"/>
      <c r="AA50" s="627">
        <f>+Y51</f>
        <v>150.3479999999999</v>
      </c>
      <c r="AB50" s="39">
        <f>AA51</f>
        <v>116.71199999999989</v>
      </c>
      <c r="AC50" s="39">
        <f>AB51</f>
        <v>161.78899999999993</v>
      </c>
      <c r="AD50" s="39">
        <f>AC51</f>
        <v>106.8719999999999</v>
      </c>
      <c r="AE50" s="388">
        <f>AA50</f>
        <v>150.3479999999999</v>
      </c>
      <c r="AF50" s="13"/>
      <c r="AG50" s="627">
        <f>+AE51</f>
        <v>147.28399999999993</v>
      </c>
      <c r="AH50" s="39">
        <f>AG51</f>
        <v>101.81299999999992</v>
      </c>
      <c r="AI50" s="39">
        <f>AH51</f>
        <v>87.895999999999887</v>
      </c>
      <c r="AJ50" s="39">
        <f>AI51</f>
        <v>89.335999999999885</v>
      </c>
      <c r="AK50" s="388">
        <f>AG50</f>
        <v>147.28399999999993</v>
      </c>
      <c r="AL50" s="13"/>
      <c r="AM50" s="627">
        <f>+AK51</f>
        <v>122.07999999999993</v>
      </c>
      <c r="AN50" s="39">
        <f>AM51</f>
        <v>90.561999999999955</v>
      </c>
      <c r="AO50" s="39">
        <f>AN51</f>
        <v>78.838999999999999</v>
      </c>
      <c r="AP50" s="39">
        <f>AO51</f>
        <v>69.914999999999992</v>
      </c>
      <c r="AQ50" s="388">
        <f>AM50</f>
        <v>122.07999999999993</v>
      </c>
      <c r="AR50" s="13"/>
      <c r="AS50" s="627">
        <f>+AQ51</f>
        <v>188.61599999999999</v>
      </c>
      <c r="AT50" s="39">
        <f>AS51</f>
        <v>129.1149999999999</v>
      </c>
      <c r="AU50" s="39">
        <f>AT51</f>
        <v>89.697999999999894</v>
      </c>
      <c r="AV50" s="39">
        <f>AU51</f>
        <v>76.541999999999916</v>
      </c>
      <c r="AW50" s="388">
        <f>AS50</f>
        <v>188.61599999999999</v>
      </c>
      <c r="AX50" s="13"/>
      <c r="AY50" s="627">
        <f>+AW51</f>
        <v>89.473999999999933</v>
      </c>
      <c r="AZ50" s="39">
        <f>AY51</f>
        <v>59.201999999999927</v>
      </c>
      <c r="BA50" s="39">
        <f>AZ51</f>
        <v>47.067999999999941</v>
      </c>
      <c r="BB50" s="39">
        <f>BA51</f>
        <v>60.480999999999923</v>
      </c>
      <c r="BC50" s="388">
        <f>AY50</f>
        <v>89.473999999999933</v>
      </c>
      <c r="BD50" s="13"/>
      <c r="BE50" s="627">
        <f>+BC51</f>
        <v>72.08600000000024</v>
      </c>
      <c r="BF50" s="39">
        <f>BE51</f>
        <v>71.614000000000289</v>
      </c>
      <c r="BG50" s="39">
        <f>BF51</f>
        <v>63.560000000000286</v>
      </c>
      <c r="BH50" s="39">
        <f>BG51</f>
        <v>76.192000000000348</v>
      </c>
      <c r="BI50" s="388">
        <f>BE50</f>
        <v>72.08600000000024</v>
      </c>
      <c r="BJ50" s="13"/>
      <c r="BK50" s="627">
        <f>+BI51</f>
        <v>62.381000000000085</v>
      </c>
      <c r="BL50" s="39">
        <f>BK51</f>
        <v>62.888000000000105</v>
      </c>
      <c r="BM50" s="39">
        <f>BL51</f>
        <v>74.654000000000039</v>
      </c>
      <c r="BN50" s="39">
        <f>BM51</f>
        <v>79.879000000000062</v>
      </c>
      <c r="BO50" s="388">
        <f>BK50</f>
        <v>62.381000000000085</v>
      </c>
      <c r="BP50" s="13"/>
      <c r="BQ50" s="627">
        <f>+BO51</f>
        <v>174.65800000000002</v>
      </c>
      <c r="BR50" s="39">
        <f>BQ51</f>
        <v>162.45001371359501</v>
      </c>
      <c r="BS50" s="39">
        <f>BR51</f>
        <v>125.35473561070265</v>
      </c>
      <c r="BT50" s="39">
        <f>BS51</f>
        <v>198.24837612505166</v>
      </c>
      <c r="BU50" s="388">
        <f>BQ50</f>
        <v>174.65800000000002</v>
      </c>
      <c r="BV50" s="13"/>
      <c r="BW50" s="627">
        <f>+BU51</f>
        <v>281.98601556760855</v>
      </c>
      <c r="BX50" s="39">
        <f>BW51</f>
        <v>329.16933568432955</v>
      </c>
      <c r="BY50" s="39">
        <f>BX51</f>
        <v>277.72554383766573</v>
      </c>
      <c r="BZ50" s="39">
        <f>BY51</f>
        <v>338.96452073059669</v>
      </c>
      <c r="CA50" s="388">
        <f>BW50</f>
        <v>281.98601556760855</v>
      </c>
      <c r="CB50" s="13"/>
      <c r="CC50" s="627">
        <f>+CA51</f>
        <v>411.19698577661711</v>
      </c>
      <c r="CD50" s="39">
        <f>CC51</f>
        <v>467.99951866089896</v>
      </c>
      <c r="CE50" s="39">
        <f>CD51</f>
        <v>398.4160391699628</v>
      </c>
      <c r="CF50" s="39">
        <f>CE51</f>
        <v>351.62502394020612</v>
      </c>
      <c r="CG50" s="388">
        <f>CC50</f>
        <v>411.19698577661711</v>
      </c>
      <c r="CO50"/>
      <c r="CP50"/>
      <c r="CQ50"/>
      <c r="CR50"/>
      <c r="CS50"/>
      <c r="CT50"/>
      <c r="CU50" s="195"/>
    </row>
    <row r="51" spans="1:99" s="7" customFormat="1" ht="11.25" customHeight="1" x14ac:dyDescent="0.2">
      <c r="A51" s="136"/>
      <c r="B51" s="652" t="s">
        <v>94</v>
      </c>
      <c r="C51" s="637">
        <v>154.45599999999999</v>
      </c>
      <c r="D51" s="135">
        <f>D48+D50</f>
        <v>190.971</v>
      </c>
      <c r="E51" s="135">
        <f>E48+E50</f>
        <v>207.45799999999997</v>
      </c>
      <c r="F51" s="135">
        <f>F48+F50</f>
        <v>247.59000000000003</v>
      </c>
      <c r="G51" s="640">
        <f>G48+G50</f>
        <v>247.59000000000003</v>
      </c>
      <c r="H51" s="26"/>
      <c r="I51" s="637">
        <f>I48+I50</f>
        <v>203.03600000000003</v>
      </c>
      <c r="J51" s="135">
        <f>J48+J50</f>
        <v>271.43200000000007</v>
      </c>
      <c r="K51" s="135">
        <f>K48+K50</f>
        <v>288.36400000000009</v>
      </c>
      <c r="L51" s="135">
        <f>L48+L50</f>
        <v>369.57000000000011</v>
      </c>
      <c r="M51" s="640">
        <f>M48+M50</f>
        <v>369.57000000000005</v>
      </c>
      <c r="N51" s="26"/>
      <c r="O51" s="637">
        <f>O48+O50</f>
        <v>308.15600000000006</v>
      </c>
      <c r="P51" s="135">
        <f>P48+P50</f>
        <v>393.87300000000005</v>
      </c>
      <c r="Q51" s="135">
        <f>Q48+Q50</f>
        <v>317.60700000000008</v>
      </c>
      <c r="R51" s="135">
        <f>R48+R50</f>
        <v>471.15400000000005</v>
      </c>
      <c r="S51" s="640">
        <f>S48+S50</f>
        <v>471.15399999999994</v>
      </c>
      <c r="T51" s="26"/>
      <c r="U51" s="637">
        <f>U48+U50</f>
        <v>355.38799999999992</v>
      </c>
      <c r="V51" s="135">
        <f>V48+V50</f>
        <v>321.11599999999993</v>
      </c>
      <c r="W51" s="135">
        <f>W48+W50</f>
        <v>203.73</v>
      </c>
      <c r="X51" s="135">
        <f>X48+X50</f>
        <v>150.34799999999981</v>
      </c>
      <c r="Y51" s="640">
        <f>Y48+Y50</f>
        <v>150.3479999999999</v>
      </c>
      <c r="Z51" s="26"/>
      <c r="AA51" s="637">
        <f>AA48+AA50</f>
        <v>116.71199999999989</v>
      </c>
      <c r="AB51" s="135">
        <f>AB48+AB50</f>
        <v>161.78899999999993</v>
      </c>
      <c r="AC51" s="135">
        <f>AC48+AC50</f>
        <v>106.8719999999999</v>
      </c>
      <c r="AD51" s="135">
        <f>AD48+AD50</f>
        <v>147.28399999999988</v>
      </c>
      <c r="AE51" s="640">
        <f>AE48+AE50</f>
        <v>147.28399999999993</v>
      </c>
      <c r="AF51" s="26"/>
      <c r="AG51" s="637">
        <f>AG48+AG50</f>
        <v>101.81299999999992</v>
      </c>
      <c r="AH51" s="135">
        <f>AH48+AH50</f>
        <v>87.895999999999887</v>
      </c>
      <c r="AI51" s="135">
        <f>AI48+AI50</f>
        <v>89.335999999999885</v>
      </c>
      <c r="AJ51" s="135">
        <f>AJ48+AJ50</f>
        <v>122.07999999999983</v>
      </c>
      <c r="AK51" s="640">
        <f>AK48+AK50</f>
        <v>122.07999999999993</v>
      </c>
      <c r="AL51" s="26"/>
      <c r="AM51" s="637">
        <f>AM48+AM50</f>
        <v>90.561999999999955</v>
      </c>
      <c r="AN51" s="135">
        <f>AN48+AN50</f>
        <v>78.838999999999999</v>
      </c>
      <c r="AO51" s="135">
        <f>AO48+AO50</f>
        <v>69.914999999999992</v>
      </c>
      <c r="AP51" s="135">
        <f>AP48+AP50</f>
        <v>188.61600000000018</v>
      </c>
      <c r="AQ51" s="640">
        <f>AQ48+AQ50</f>
        <v>188.61599999999999</v>
      </c>
      <c r="AR51" s="26"/>
      <c r="AS51" s="637">
        <f>AS48+AS50</f>
        <v>129.1149999999999</v>
      </c>
      <c r="AT51" s="135">
        <f>AT48+AT50</f>
        <v>89.697999999999894</v>
      </c>
      <c r="AU51" s="135">
        <f>AU48+AU50</f>
        <v>76.541999999999916</v>
      </c>
      <c r="AV51" s="135">
        <f>AV48+AV50</f>
        <v>89.473999999999933</v>
      </c>
      <c r="AW51" s="640">
        <f>AW48+AW50</f>
        <v>89.473999999999933</v>
      </c>
      <c r="AX51" s="26"/>
      <c r="AY51" s="637">
        <f>AY48+AY50</f>
        <v>59.201999999999927</v>
      </c>
      <c r="AZ51" s="135">
        <f>AZ48+AZ50</f>
        <v>47.067999999999941</v>
      </c>
      <c r="BA51" s="135">
        <f>BA48+BA50</f>
        <v>60.480999999999923</v>
      </c>
      <c r="BB51" s="135">
        <f>BB48+BB50</f>
        <v>72.085999999999942</v>
      </c>
      <c r="BC51" s="640">
        <f>BC48+BC50</f>
        <v>72.08600000000024</v>
      </c>
      <c r="BD51" s="26"/>
      <c r="BE51" s="637">
        <f>BE48+BE50</f>
        <v>71.614000000000289</v>
      </c>
      <c r="BF51" s="135">
        <f>BF48+BF50</f>
        <v>63.560000000000286</v>
      </c>
      <c r="BG51" s="135">
        <f>BG48+BG50</f>
        <v>76.192000000000348</v>
      </c>
      <c r="BH51" s="135">
        <f>BH48+BH50</f>
        <v>62.381000000000199</v>
      </c>
      <c r="BI51" s="640">
        <f>BI48+BI50</f>
        <v>62.381000000000085</v>
      </c>
      <c r="BJ51" s="26"/>
      <c r="BK51" s="637">
        <f>BK48+BK50</f>
        <v>62.888000000000105</v>
      </c>
      <c r="BL51" s="135">
        <f>BL48+BL50</f>
        <v>74.654000000000039</v>
      </c>
      <c r="BM51" s="135">
        <f>BM48+BM50</f>
        <v>79.879000000000062</v>
      </c>
      <c r="BN51" s="135">
        <f>BN48+BN50</f>
        <v>174.65800000000007</v>
      </c>
      <c r="BO51" s="640">
        <f>BO48+BO50</f>
        <v>174.65800000000002</v>
      </c>
      <c r="BP51" s="26"/>
      <c r="BQ51" s="637">
        <f>BQ48+BQ50</f>
        <v>162.45001371359501</v>
      </c>
      <c r="BR51" s="135">
        <f>BR48+BR50</f>
        <v>125.35473561070265</v>
      </c>
      <c r="BS51" s="135">
        <f>BS48+BS50</f>
        <v>198.24837612505166</v>
      </c>
      <c r="BT51" s="135">
        <f>BT48+BT50</f>
        <v>281.98601556760855</v>
      </c>
      <c r="BU51" s="640">
        <f>BU48+BU50</f>
        <v>281.98601556760855</v>
      </c>
      <c r="BV51" s="26"/>
      <c r="BW51" s="637">
        <f>BW48+BW50</f>
        <v>329.16933568432955</v>
      </c>
      <c r="BX51" s="135">
        <f>BX48+BX50</f>
        <v>277.72554383766573</v>
      </c>
      <c r="BY51" s="135">
        <f>BY48+BY50</f>
        <v>338.96452073059669</v>
      </c>
      <c r="BZ51" s="135">
        <f>BZ48+BZ50</f>
        <v>411.19698577661728</v>
      </c>
      <c r="CA51" s="640">
        <f>CA48+CA50</f>
        <v>411.19698577661711</v>
      </c>
      <c r="CB51" s="26"/>
      <c r="CC51" s="637">
        <f>CC48+CC50</f>
        <v>467.99951866089896</v>
      </c>
      <c r="CD51" s="135">
        <f>CD48+CD50</f>
        <v>398.4160391699628</v>
      </c>
      <c r="CE51" s="135">
        <f>CE48+CE50</f>
        <v>351.62502394020612</v>
      </c>
      <c r="CF51" s="135">
        <f>CF48+CF50</f>
        <v>414.00437005546837</v>
      </c>
      <c r="CG51" s="640">
        <f>CG48+CG50</f>
        <v>414.00437005546837</v>
      </c>
      <c r="CO51"/>
      <c r="CP51"/>
      <c r="CQ51"/>
      <c r="CR51"/>
      <c r="CS51"/>
      <c r="CT51"/>
    </row>
    <row r="52" spans="1:99" s="122" customFormat="1" ht="11.25" customHeight="1" outlineLevel="1" x14ac:dyDescent="0.2">
      <c r="A52" s="52"/>
      <c r="B52" s="641" t="s">
        <v>44</v>
      </c>
      <c r="C52" s="642">
        <f>ROUND(C51-'BalSht '!C9,3)</f>
        <v>0</v>
      </c>
      <c r="D52" s="642">
        <f>ROUND(D51-'BalSht '!D9,3)</f>
        <v>0</v>
      </c>
      <c r="E52" s="642">
        <f>ROUND(E51-'BalSht '!E9,3)</f>
        <v>0</v>
      </c>
      <c r="F52" s="642">
        <f>ROUND(F51-'BalSht '!F9,3)</f>
        <v>0</v>
      </c>
      <c r="G52" s="642">
        <f>ROUND(G51-'BalSht '!G9,3)</f>
        <v>0</v>
      </c>
      <c r="H52" s="642"/>
      <c r="I52" s="642">
        <f>ROUND(I51-'BalSht '!I9,3)</f>
        <v>0</v>
      </c>
      <c r="J52" s="642">
        <f>ROUND(J51-'BalSht '!J9,3)</f>
        <v>0</v>
      </c>
      <c r="K52" s="642">
        <f>ROUND(K51-'BalSht '!K9,3)</f>
        <v>0</v>
      </c>
      <c r="L52" s="642">
        <f>ROUND(L51-'BalSht '!L9,3)</f>
        <v>0</v>
      </c>
      <c r="M52" s="642">
        <f>ROUND(M51-'BalSht '!M9,3)</f>
        <v>0</v>
      </c>
      <c r="N52" s="642"/>
      <c r="O52" s="642">
        <f>ROUND(O51-'BalSht '!O9,3)</f>
        <v>0</v>
      </c>
      <c r="P52" s="642">
        <f>ROUND(P51-'BalSht '!P9,3)</f>
        <v>0</v>
      </c>
      <c r="Q52" s="642">
        <f>ROUND(Q51-'BalSht '!Q9,3)</f>
        <v>0</v>
      </c>
      <c r="R52" s="642">
        <f>ROUND(R51-'BalSht '!R9,3)</f>
        <v>0</v>
      </c>
      <c r="S52" s="642">
        <f>ROUND(S51-'BalSht '!S9,3)</f>
        <v>0</v>
      </c>
      <c r="T52" s="642"/>
      <c r="U52" s="642">
        <f>ROUND(U51-'BalSht '!U9,3)</f>
        <v>0</v>
      </c>
      <c r="V52" s="642">
        <f>ROUND(V51-'BalSht '!V9,3)</f>
        <v>0</v>
      </c>
      <c r="W52" s="642">
        <f>ROUND(W51-'BalSht '!W9,3)</f>
        <v>0</v>
      </c>
      <c r="X52" s="642">
        <f>ROUND(X51-'BalSht '!X9,3)</f>
        <v>0</v>
      </c>
      <c r="Y52" s="642">
        <f>ROUND(Y51-'BalSht '!Y9,3)</f>
        <v>0</v>
      </c>
      <c r="Z52" s="642"/>
      <c r="AA52" s="642">
        <f>ROUND(AA51-'BalSht '!AA9,3)</f>
        <v>0</v>
      </c>
      <c r="AB52" s="642">
        <f>ROUND(AB51-'BalSht '!AB9,3)</f>
        <v>0</v>
      </c>
      <c r="AC52" s="642">
        <f>ROUND(AC51-'BalSht '!AC9,3)</f>
        <v>0</v>
      </c>
      <c r="AD52" s="642">
        <f>ROUND(AD51-'BalSht '!AD9,3)</f>
        <v>0</v>
      </c>
      <c r="AE52" s="642">
        <f>ROUND(AE51-'BalSht '!AE9,3)</f>
        <v>0</v>
      </c>
      <c r="AF52" s="642"/>
      <c r="AG52" s="642">
        <f>ROUND(AG51-'BalSht '!AG9,3)</f>
        <v>0</v>
      </c>
      <c r="AH52" s="642">
        <f>ROUND(AH51-'BalSht '!AH9,3)</f>
        <v>0</v>
      </c>
      <c r="AI52" s="642">
        <f>ROUND(AI51-'BalSht '!AI9,3)</f>
        <v>0</v>
      </c>
      <c r="AJ52" s="642">
        <f>ROUND(AJ51-'BalSht '!AJ9,3)</f>
        <v>0</v>
      </c>
      <c r="AK52" s="642">
        <f>ROUND(AK51-'BalSht '!AK9,3)</f>
        <v>0</v>
      </c>
      <c r="AL52" s="642"/>
      <c r="AM52" s="642">
        <f>ROUND(AM51-'BalSht '!AM9,3)</f>
        <v>0</v>
      </c>
      <c r="AN52" s="642">
        <f>ROUND(AN51-'BalSht '!AN9,3)</f>
        <v>0</v>
      </c>
      <c r="AO52" s="642">
        <f>ROUND(AO51-'BalSht '!AO9,3)</f>
        <v>0</v>
      </c>
      <c r="AP52" s="642">
        <f>ROUND(AP51-'BalSht '!AP9,3)</f>
        <v>0</v>
      </c>
      <c r="AQ52" s="642">
        <f>ROUND(AQ51-'BalSht '!AQ9,3)</f>
        <v>0</v>
      </c>
      <c r="AR52" s="642"/>
      <c r="AS52" s="642">
        <f>ROUND(AS51-'BalSht '!AS9,3)</f>
        <v>0</v>
      </c>
      <c r="AT52" s="642">
        <f>ROUND(AT51-'BalSht '!AT9,3)</f>
        <v>0</v>
      </c>
      <c r="AU52" s="642">
        <f>ROUND(AU51-'BalSht '!AU9,3)</f>
        <v>0</v>
      </c>
      <c r="AV52" s="642">
        <f>ROUND(AV51-'BalSht '!AV9,3)</f>
        <v>0</v>
      </c>
      <c r="AW52" s="642">
        <f>ROUND(AW51-'BalSht '!AW9,3)</f>
        <v>0</v>
      </c>
      <c r="AX52" s="642"/>
      <c r="AY52" s="642">
        <f>ROUND(AY51-'BalSht '!AY9,3)</f>
        <v>0</v>
      </c>
      <c r="AZ52" s="642">
        <f>ROUND(AZ51-'BalSht '!AZ9,3)</f>
        <v>0</v>
      </c>
      <c r="BA52" s="642">
        <f>ROUND(BA51-'BalSht '!BA9,3)</f>
        <v>0</v>
      </c>
      <c r="BB52" s="642">
        <f>ROUND(BB51-'BalSht '!BB9,3)</f>
        <v>0</v>
      </c>
      <c r="BC52" s="642">
        <f>ROUND(BC51-'BalSht '!BC9,3)</f>
        <v>0</v>
      </c>
      <c r="BD52" s="642"/>
      <c r="BE52" s="642">
        <f>ROUND(BE51-'BalSht '!BE9,3)</f>
        <v>0</v>
      </c>
      <c r="BF52" s="642">
        <f>ROUND(BF51-'BalSht '!BF9,3)</f>
        <v>0</v>
      </c>
      <c r="BG52" s="642">
        <f>ROUND(BG51-'BalSht '!BG9,3)</f>
        <v>0</v>
      </c>
      <c r="BH52" s="642">
        <f>ROUND(BH51-'BalSht '!BH9,3)</f>
        <v>0</v>
      </c>
      <c r="BI52" s="642">
        <f>ROUND(BI51-'BalSht '!BI9,3)</f>
        <v>0</v>
      </c>
      <c r="BJ52" s="642"/>
      <c r="BK52" s="642">
        <f>ROUND(BK51-'BalSht '!BK9,3)</f>
        <v>0</v>
      </c>
      <c r="BL52" s="642">
        <f>ROUND(BL51-'BalSht '!BL9,3)</f>
        <v>0</v>
      </c>
      <c r="BM52" s="642">
        <f>ROUND(BM51-'BalSht '!BM9,3)</f>
        <v>0</v>
      </c>
      <c r="BN52" s="642">
        <f>ROUND(BN51-'BalSht '!BN9,3)</f>
        <v>0</v>
      </c>
      <c r="BO52" s="642">
        <f>ROUND(BO51-'BalSht '!BO9,3)</f>
        <v>0</v>
      </c>
      <c r="BP52" s="642"/>
      <c r="BQ52" s="642">
        <f>ROUND(BQ51-'BalSht '!BQ9,3)</f>
        <v>0</v>
      </c>
      <c r="BR52" s="642">
        <f>ROUND(BR51-'BalSht '!BR9,3)</f>
        <v>0</v>
      </c>
      <c r="BS52" s="642">
        <f>ROUND(BS51-'BalSht '!BS9,3)</f>
        <v>0</v>
      </c>
      <c r="BT52" s="642">
        <f>ROUND(BT51-'BalSht '!BT9,3)</f>
        <v>0</v>
      </c>
      <c r="BU52" s="642">
        <f>ROUND(BU51-'BalSht '!BU9,3)</f>
        <v>0</v>
      </c>
      <c r="BV52" s="642"/>
      <c r="BW52" s="642">
        <f>ROUND(BW51-'BalSht '!BW9,3)</f>
        <v>0</v>
      </c>
      <c r="BX52" s="642">
        <f>ROUND(BX51-'BalSht '!BX9,3)</f>
        <v>0</v>
      </c>
      <c r="BY52" s="642">
        <f>ROUND(BY51-'BalSht '!BY9,3)</f>
        <v>0</v>
      </c>
      <c r="BZ52" s="642">
        <f>ROUND(BZ51-'BalSht '!BZ9,3)</f>
        <v>0</v>
      </c>
      <c r="CA52" s="642">
        <f>ROUND(CA51-'BalSht '!CA9,3)</f>
        <v>0</v>
      </c>
      <c r="CB52" s="642"/>
      <c r="CC52" s="642">
        <f>ROUND(CC51-'BalSht '!CC9,3)</f>
        <v>0</v>
      </c>
      <c r="CD52" s="642">
        <f>ROUND(CD51-'BalSht '!CD9,3)</f>
        <v>0</v>
      </c>
      <c r="CE52" s="642">
        <f>ROUND(CE51-'BalSht '!CE9,3)</f>
        <v>0</v>
      </c>
      <c r="CF52" s="642">
        <f>ROUND(CF51-'BalSht '!CF9,3)</f>
        <v>0</v>
      </c>
      <c r="CG52" s="642">
        <f>ROUND(CG51-'BalSht '!CG9,3)</f>
        <v>0</v>
      </c>
      <c r="CO52"/>
      <c r="CP52"/>
      <c r="CQ52"/>
      <c r="CR52"/>
      <c r="CS52"/>
      <c r="CT52"/>
      <c r="CU52" s="184"/>
    </row>
    <row r="53" spans="1:99" ht="11.25" customHeight="1" x14ac:dyDescent="0.2">
      <c r="A53" s="134"/>
      <c r="B53" s="134"/>
      <c r="C53" s="55"/>
      <c r="D53" s="16"/>
      <c r="E53" s="55"/>
      <c r="F53" s="55"/>
      <c r="G53" s="55"/>
      <c r="H53" s="13"/>
      <c r="I53" s="55"/>
      <c r="J53" s="16"/>
      <c r="K53" s="55"/>
      <c r="L53" s="55"/>
      <c r="M53" s="55"/>
      <c r="N53" s="13"/>
      <c r="O53" s="55"/>
      <c r="P53" s="16"/>
      <c r="Q53" s="55"/>
      <c r="R53" s="55"/>
      <c r="S53" s="55"/>
      <c r="T53" s="13"/>
      <c r="U53" s="55"/>
      <c r="V53" s="16"/>
      <c r="W53" s="55"/>
      <c r="X53" s="55"/>
      <c r="Y53" s="55"/>
      <c r="Z53" s="13"/>
      <c r="AA53" s="55"/>
      <c r="AB53" s="16"/>
      <c r="AC53" s="55"/>
      <c r="AD53" s="55"/>
      <c r="AE53" s="55"/>
      <c r="AF53" s="13"/>
      <c r="AG53" s="55"/>
      <c r="AH53" s="16"/>
      <c r="AI53" s="55"/>
      <c r="AJ53" s="55"/>
      <c r="AK53" s="55"/>
      <c r="AL53" s="13"/>
      <c r="AM53" s="55"/>
      <c r="AN53" s="16"/>
      <c r="AO53" s="55"/>
      <c r="AP53" s="55"/>
      <c r="AQ53" s="55"/>
      <c r="AR53" s="13"/>
      <c r="AS53" s="55"/>
      <c r="AT53" s="55"/>
      <c r="AU53" s="55"/>
      <c r="AV53" s="55"/>
      <c r="AW53" s="55"/>
      <c r="AX53" s="13"/>
      <c r="AY53" s="55"/>
      <c r="AZ53" s="55"/>
      <c r="BA53" s="55"/>
      <c r="BB53" s="55"/>
      <c r="BC53" s="180"/>
      <c r="BD53" s="13"/>
      <c r="BE53" s="55"/>
      <c r="BF53" s="55"/>
      <c r="BG53" s="55"/>
      <c r="BH53" s="55"/>
      <c r="BI53" s="55"/>
      <c r="BJ53" s="13"/>
      <c r="BK53" s="55"/>
      <c r="BL53" s="55"/>
      <c r="BM53" s="55"/>
      <c r="BN53" s="55"/>
      <c r="BO53" s="1251"/>
      <c r="BP53" s="13"/>
      <c r="BQ53" s="55"/>
      <c r="BR53" s="55"/>
      <c r="BS53" s="55"/>
      <c r="BT53" s="55"/>
      <c r="BU53" s="1251"/>
      <c r="BV53" s="13"/>
      <c r="BW53" s="55"/>
      <c r="BX53" s="55"/>
      <c r="BY53" s="55"/>
      <c r="BZ53" s="55"/>
      <c r="CA53" s="1251"/>
      <c r="CB53" s="13"/>
      <c r="CC53" s="55"/>
      <c r="CD53" s="55"/>
      <c r="CE53" s="55"/>
      <c r="CF53" s="55"/>
      <c r="CG53" s="1251"/>
      <c r="CU53" s="184"/>
    </row>
    <row r="54" spans="1:99" ht="11.25" customHeight="1" x14ac:dyDescent="0.2">
      <c r="A54" s="48"/>
      <c r="B54" s="815" t="s">
        <v>45</v>
      </c>
      <c r="C54" s="816"/>
      <c r="D54" s="816"/>
      <c r="E54" s="816"/>
      <c r="F54" s="816"/>
      <c r="G54" s="817"/>
      <c r="H54" s="818"/>
      <c r="I54" s="816"/>
      <c r="J54" s="816"/>
      <c r="K54" s="816"/>
      <c r="L54" s="816"/>
      <c r="M54" s="817"/>
      <c r="N54" s="818"/>
      <c r="O54" s="816"/>
      <c r="P54" s="816"/>
      <c r="Q54" s="816"/>
      <c r="R54" s="816"/>
      <c r="S54" s="817"/>
      <c r="T54" s="818"/>
      <c r="U54" s="816"/>
      <c r="V54" s="816"/>
      <c r="W54" s="816"/>
      <c r="X54" s="816"/>
      <c r="Y54" s="817"/>
      <c r="Z54" s="818"/>
      <c r="AA54" s="816"/>
      <c r="AB54" s="816"/>
      <c r="AC54" s="816"/>
      <c r="AD54" s="816"/>
      <c r="AE54" s="817"/>
      <c r="AF54" s="818"/>
      <c r="AG54" s="816"/>
      <c r="AH54" s="816"/>
      <c r="AI54" s="816"/>
      <c r="AJ54" s="816"/>
      <c r="AK54" s="817"/>
      <c r="AL54" s="818"/>
      <c r="AM54" s="816"/>
      <c r="AN54" s="816"/>
      <c r="AO54" s="816"/>
      <c r="AP54" s="816"/>
      <c r="AQ54" s="817"/>
      <c r="AR54" s="818"/>
      <c r="AS54" s="816"/>
      <c r="AT54" s="816"/>
      <c r="AU54" s="816"/>
      <c r="AV54" s="816"/>
      <c r="AW54" s="817"/>
      <c r="AX54" s="818"/>
      <c r="AY54" s="816"/>
      <c r="AZ54" s="816"/>
      <c r="BA54" s="816"/>
      <c r="BB54" s="816"/>
      <c r="BC54" s="816"/>
      <c r="BD54" s="818"/>
      <c r="BE54" s="816"/>
      <c r="BF54" s="816"/>
      <c r="BG54" s="816"/>
      <c r="BH54" s="816"/>
      <c r="BI54" s="816"/>
      <c r="BJ54" s="818"/>
      <c r="BK54" s="816"/>
      <c r="BL54" s="816"/>
      <c r="BM54" s="816"/>
      <c r="BN54" s="816"/>
      <c r="BO54" s="816"/>
      <c r="BP54" s="818"/>
      <c r="BQ54" s="816"/>
      <c r="BR54" s="816"/>
      <c r="BS54" s="816"/>
      <c r="BT54" s="816"/>
      <c r="BU54" s="816"/>
      <c r="BV54" s="818"/>
      <c r="BW54" s="816"/>
      <c r="BX54" s="816"/>
      <c r="BY54" s="816"/>
      <c r="BZ54" s="816"/>
      <c r="CA54" s="816"/>
      <c r="CB54" s="818"/>
      <c r="CC54" s="816"/>
      <c r="CD54" s="816"/>
      <c r="CE54" s="816"/>
      <c r="CF54" s="816"/>
      <c r="CG54" s="816"/>
    </row>
    <row r="55" spans="1:99" ht="11.25" customHeight="1" x14ac:dyDescent="0.2">
      <c r="A55" s="48"/>
      <c r="B55" s="656" t="s">
        <v>117</v>
      </c>
      <c r="C55" s="659">
        <f>+C24+C27</f>
        <v>-42.835000000000001</v>
      </c>
      <c r="D55" s="660">
        <f>+D24+D27</f>
        <v>102.24000000000001</v>
      </c>
      <c r="E55" s="660">
        <f>+E24+E27</f>
        <v>57.496999999999993</v>
      </c>
      <c r="F55" s="660">
        <f>+F24+F27</f>
        <v>96.488000000000028</v>
      </c>
      <c r="G55" s="661">
        <f>+G24+G27</f>
        <v>213.39000000000001</v>
      </c>
      <c r="H55" s="16"/>
      <c r="I55" s="659">
        <f>+I24+I27</f>
        <v>-0.37000000000000455</v>
      </c>
      <c r="J55" s="660">
        <f>+J24+J27</f>
        <v>115.58800000000004</v>
      </c>
      <c r="K55" s="660">
        <f>+K24+K27</f>
        <v>35.326999999999998</v>
      </c>
      <c r="L55" s="660">
        <f>+L24+L27</f>
        <v>183.36699999999999</v>
      </c>
      <c r="M55" s="661">
        <f>+M24+M27</f>
        <v>333.91199999999998</v>
      </c>
      <c r="N55" s="16"/>
      <c r="O55" s="659">
        <f>+O24+O27</f>
        <v>-39.994000000000007</v>
      </c>
      <c r="P55" s="660">
        <f>+P24+P27</f>
        <v>91.166000000000025</v>
      </c>
      <c r="Q55" s="660">
        <f>+Q24+Q27</f>
        <v>128.78800000000004</v>
      </c>
      <c r="R55" s="660">
        <f>+R24+R27</f>
        <v>165.30299999999997</v>
      </c>
      <c r="S55" s="661">
        <f>+S24+S27</f>
        <v>345.26299999999992</v>
      </c>
      <c r="T55" s="16"/>
      <c r="U55" s="659">
        <f>+U24+U27</f>
        <v>12.612999999999991</v>
      </c>
      <c r="V55" s="660">
        <f>+V24+V27</f>
        <v>98.832999999999998</v>
      </c>
      <c r="W55" s="660">
        <f>+W24+W27</f>
        <v>38.453000000000024</v>
      </c>
      <c r="X55" s="660">
        <f>+X24+X27</f>
        <v>206.58099999999993</v>
      </c>
      <c r="Y55" s="661">
        <f>+Y24+Y27</f>
        <v>356.48</v>
      </c>
      <c r="Z55" s="16"/>
      <c r="AA55" s="659">
        <f>+AA24+AA27</f>
        <v>38.016000000000005</v>
      </c>
      <c r="AB55" s="660">
        <f>+AB24+AB27</f>
        <v>127.69200000000002</v>
      </c>
      <c r="AC55" s="660">
        <f>+AC24+AC27</f>
        <v>78.543999999999997</v>
      </c>
      <c r="AD55" s="660">
        <f>+AD24+AD27</f>
        <v>265.197</v>
      </c>
      <c r="AE55" s="661">
        <f>+AE24+AE27</f>
        <v>509.44900000000001</v>
      </c>
      <c r="AF55" s="16"/>
      <c r="AG55" s="659">
        <f>+AG24+AG27</f>
        <v>-60.828000000000017</v>
      </c>
      <c r="AH55" s="660">
        <f>+AH24+AH27</f>
        <v>169.34899999999996</v>
      </c>
      <c r="AI55" s="660">
        <f>+AI24+AI27</f>
        <v>66.983000000000018</v>
      </c>
      <c r="AJ55" s="660">
        <f>+AJ24+AJ27</f>
        <v>181.35799999999995</v>
      </c>
      <c r="AK55" s="661">
        <f>+AK24+AK27</f>
        <v>356.86199999999997</v>
      </c>
      <c r="AL55" s="16"/>
      <c r="AM55" s="659">
        <f>+AM24+AM27</f>
        <v>-49.908999999999992</v>
      </c>
      <c r="AN55" s="660">
        <f>+AN24+AN27</f>
        <v>264.72600000000006</v>
      </c>
      <c r="AO55" s="660">
        <f>+AO24+AO27</f>
        <v>135.99700000000001</v>
      </c>
      <c r="AP55" s="660">
        <f>+AP24+AP27</f>
        <v>253.14600000000004</v>
      </c>
      <c r="AQ55" s="661">
        <f>+AQ24+AQ27</f>
        <v>603.96</v>
      </c>
      <c r="AR55" s="16"/>
      <c r="AS55" s="659">
        <f>+AS24+AS27</f>
        <v>-73.733000000000018</v>
      </c>
      <c r="AT55" s="660">
        <f>+AT24+AT27</f>
        <v>179.74000000000004</v>
      </c>
      <c r="AU55" s="660">
        <f>+AU24+AU27</f>
        <v>151.69600000000003</v>
      </c>
      <c r="AV55" s="660">
        <f>+AV24+AV27</f>
        <v>252.685</v>
      </c>
      <c r="AW55" s="661">
        <f>+AW24+AW27</f>
        <v>510.38799999999992</v>
      </c>
      <c r="AX55" s="16"/>
      <c r="AY55" s="659">
        <f>+AY24+AY27</f>
        <v>-42.14700000000002</v>
      </c>
      <c r="AZ55" s="660">
        <f>+AZ24+AZ27</f>
        <v>189.81900000000002</v>
      </c>
      <c r="BA55" s="660">
        <f>+BA24+BA27</f>
        <v>88.694000000000017</v>
      </c>
      <c r="BB55" s="660">
        <f>+BB24+BB27</f>
        <v>278.791</v>
      </c>
      <c r="BC55" s="661">
        <f>+BC24+BC27</f>
        <v>515.15700000000015</v>
      </c>
      <c r="BD55" s="16"/>
      <c r="BE55" s="659">
        <f>+BE24+BE27</f>
        <v>-90.402999999999992</v>
      </c>
      <c r="BF55" s="660">
        <f>+BF24+BF27</f>
        <v>237.095</v>
      </c>
      <c r="BG55" s="660">
        <f>+BG24+BG27</f>
        <v>159.73600000000002</v>
      </c>
      <c r="BH55" s="660">
        <f>+BH24+BH27</f>
        <v>238.85399999999993</v>
      </c>
      <c r="BI55" s="661">
        <f>+BI24+BI27</f>
        <v>545.28199999999993</v>
      </c>
      <c r="BJ55" s="16"/>
      <c r="BK55" s="659">
        <f>+BK24+BK27</f>
        <v>-69.902000000000015</v>
      </c>
      <c r="BL55" s="660">
        <f>+BL24+BL27</f>
        <v>209.07599999999996</v>
      </c>
      <c r="BM55" s="660">
        <f>+BM24+BM27</f>
        <v>113.012</v>
      </c>
      <c r="BN55" s="660">
        <f>+BN24+BN27</f>
        <v>211.82799999999997</v>
      </c>
      <c r="BO55" s="661">
        <f>+BO24+BO27</f>
        <v>464.0139999999999</v>
      </c>
      <c r="BP55" s="16"/>
      <c r="BQ55" s="659">
        <f>+BQ24+BQ27</f>
        <v>90.776139066025479</v>
      </c>
      <c r="BR55" s="660">
        <f>+BR24+BR27</f>
        <v>65.958258017720198</v>
      </c>
      <c r="BS55" s="660">
        <f>+BS24+BS27</f>
        <v>176.02250830707246</v>
      </c>
      <c r="BT55" s="660">
        <f>+BT24+BT27</f>
        <v>187.42873609441642</v>
      </c>
      <c r="BU55" s="661">
        <f>+BU24+BU27</f>
        <v>520.18564148523456</v>
      </c>
      <c r="BV55" s="16"/>
      <c r="BW55" s="659">
        <f>+BW24+BW27</f>
        <v>157.39895223709891</v>
      </c>
      <c r="BX55" s="660">
        <f>+BX24+BX27</f>
        <v>58.824823402354113</v>
      </c>
      <c r="BY55" s="660">
        <f>+BY24+BY27</f>
        <v>171.56509485771852</v>
      </c>
      <c r="BZ55" s="660">
        <f>+BZ24+BZ27</f>
        <v>182.98774760225376</v>
      </c>
      <c r="CA55" s="661">
        <f>+CA24+CA27</f>
        <v>570.77661809942515</v>
      </c>
      <c r="CB55" s="16"/>
      <c r="CC55" s="659">
        <f>+CC24+CC27</f>
        <v>174.18210576464952</v>
      </c>
      <c r="CD55" s="660">
        <f>+CD24+CD27</f>
        <v>47.836536853666466</v>
      </c>
      <c r="CE55" s="660">
        <f>+CE24+CE27</f>
        <v>170.67289450295516</v>
      </c>
      <c r="CF55" s="660">
        <f>+CF24+CF27</f>
        <v>180.17084886202474</v>
      </c>
      <c r="CG55" s="661">
        <f>+CG24+CG27</f>
        <v>572.86238598329589</v>
      </c>
    </row>
    <row r="56" spans="1:99" ht="11.25" customHeight="1" x14ac:dyDescent="0.2">
      <c r="A56" s="11"/>
      <c r="B56" s="657" t="s">
        <v>118</v>
      </c>
      <c r="C56" s="556">
        <f>C55/'P&amp;L'!C30</f>
        <v>-0.23801453591749647</v>
      </c>
      <c r="D56" s="167">
        <f>D55/'P&amp;L'!D30</f>
        <v>0.56429446633771574</v>
      </c>
      <c r="E56" s="167">
        <f>E55/'P&amp;L'!E30</f>
        <v>0.31453845228065946</v>
      </c>
      <c r="F56" s="167">
        <f>F55/'P&amp;L'!F30</f>
        <v>0.52421466679705764</v>
      </c>
      <c r="G56" s="557">
        <f>G55/'P&amp;L'!G30</f>
        <v>1.1703761394425372</v>
      </c>
      <c r="H56" s="23"/>
      <c r="I56" s="556">
        <f>I55/'P&amp;L'!I30</f>
        <v>-2.0052244225495864E-3</v>
      </c>
      <c r="J56" s="167">
        <f>J55/'P&amp;L'!J30</f>
        <v>0.62811372429683099</v>
      </c>
      <c r="K56" s="167">
        <f>K55/'P&amp;L'!K30</f>
        <v>0.19330568201715984</v>
      </c>
      <c r="L56" s="167">
        <f>L55/'P&amp;L'!L30</f>
        <v>1.0254851518371455</v>
      </c>
      <c r="M56" s="557">
        <f>M55/'P&amp;L'!M30</f>
        <v>1.8302364587101652</v>
      </c>
      <c r="N56" s="23"/>
      <c r="O56" s="556">
        <f>O55/'P&amp;L'!O30</f>
        <v>-0.22320820636462069</v>
      </c>
      <c r="P56" s="167">
        <f>P55/'P&amp;L'!P30</f>
        <v>0.50349040139616064</v>
      </c>
      <c r="Q56" s="167">
        <f>Q55/'P&amp;L'!Q30</f>
        <v>0.70365958934796169</v>
      </c>
      <c r="R56" s="167">
        <f>R55/'P&amp;L'!R30</f>
        <v>0.8982882295402671</v>
      </c>
      <c r="S56" s="557">
        <f>S55/'P&amp;L'!S30</f>
        <v>1.9063507663766064</v>
      </c>
      <c r="T56" s="23"/>
      <c r="U56" s="556">
        <f>U55/'P&amp;L'!U30</f>
        <v>6.8015875583740421E-2</v>
      </c>
      <c r="V56" s="167">
        <f>V55/'P&amp;L'!V30</f>
        <v>0.52935662867426514</v>
      </c>
      <c r="W56" s="167">
        <f>W55/'P&amp;L'!W30</f>
        <v>0.20613809370644379</v>
      </c>
      <c r="X56" s="167">
        <f>X55/'P&amp;L'!X30</f>
        <v>1.112037595280134</v>
      </c>
      <c r="Y56" s="557">
        <f>Y55/'P&amp;L'!Y30</f>
        <v>1.9110520221297767</v>
      </c>
      <c r="Z56" s="23"/>
      <c r="AA56" s="556">
        <f>AA55/'P&amp;L'!AA30</f>
        <v>0.20403387683687382</v>
      </c>
      <c r="AB56" s="167">
        <f>AB55/'P&amp;L'!AB30</f>
        <v>0.68323951801040184</v>
      </c>
      <c r="AC56" s="167">
        <f>AC55/'P&amp;L'!AC30</f>
        <v>0.4228752328548816</v>
      </c>
      <c r="AD56" s="167">
        <f>AD55/'P&amp;L'!AD30</f>
        <v>1.4532616558164002</v>
      </c>
      <c r="AE56" s="557">
        <f>AE55/'P&amp;L'!AE30</f>
        <v>2.7502105376808466</v>
      </c>
      <c r="AF56" s="23"/>
      <c r="AG56" s="556">
        <f>AG55/'P&amp;L'!AG30</f>
        <v>-0.33545099596320571</v>
      </c>
      <c r="AH56" s="167">
        <f>AH55/'P&amp;L'!AH30</f>
        <v>0.93508221704416183</v>
      </c>
      <c r="AI56" s="167">
        <f>AI55/'P&amp;L'!AI30</f>
        <v>0.37359309290885367</v>
      </c>
      <c r="AJ56" s="167">
        <f>AJ55/'P&amp;L'!AJ30</f>
        <v>1.0156242999865595</v>
      </c>
      <c r="AK56" s="557">
        <f>AK55/'P&amp;L'!AK30</f>
        <v>1.9864733976821081</v>
      </c>
      <c r="AL56" s="23"/>
      <c r="AM56" s="556">
        <f>AM55/'P&amp;L'!AM30</f>
        <v>-0.28104446346517697</v>
      </c>
      <c r="AN56" s="167">
        <f>AN55/'P&amp;L'!AN30</f>
        <v>1.5046721535103678</v>
      </c>
      <c r="AO56" s="167">
        <f>AO55/'P&amp;L'!AO30</f>
        <v>0.77797926868335554</v>
      </c>
      <c r="AP56" s="167">
        <f>AP55/'P&amp;L'!AP30</f>
        <v>1.4579455399926282</v>
      </c>
      <c r="AQ56" s="557">
        <f>AQ55/'P&amp;L'!AQ30</f>
        <v>3.4463947410467695</v>
      </c>
      <c r="AR56" s="23"/>
      <c r="AS56" s="556">
        <f>AS55/'P&amp;L'!AS30</f>
        <v>-0.42611364109202721</v>
      </c>
      <c r="AT56" s="167">
        <f>AT55/'P&amp;L'!AT30</f>
        <v>1.0452430797859968</v>
      </c>
      <c r="AU56" s="167">
        <f>AU55/'P&amp;L'!AU30</f>
        <v>0.8876301930953775</v>
      </c>
      <c r="AV56" s="167">
        <f>AV55/'P&amp;L'!AV30</f>
        <v>1.4859103578863184</v>
      </c>
      <c r="AW56" s="557">
        <f>AW55/'P&amp;L'!AW30</f>
        <v>2.9763704222066711</v>
      </c>
      <c r="AX56" s="23"/>
      <c r="AY56" s="556">
        <f>AY55/'P&amp;L'!AY30</f>
        <v>-0.24875759900844016</v>
      </c>
      <c r="AZ56" s="167">
        <f>AZ55/'P&amp;L'!AZ30</f>
        <v>1.1265356265356268</v>
      </c>
      <c r="BA56" s="167">
        <f>BA55/'P&amp;L'!BA30</f>
        <v>0.52741306312734892</v>
      </c>
      <c r="BB56" s="167">
        <f>BB55/'P&amp;L'!BB30</f>
        <v>1.6741388835511146</v>
      </c>
      <c r="BC56" s="557">
        <f>BC55/'P&amp;L'!BC30</f>
        <v>3.0618543833580989</v>
      </c>
      <c r="BD56" s="23"/>
      <c r="BE56" s="556">
        <f>BE55/'P&amp;L'!BE30</f>
        <v>-0.54631431368520278</v>
      </c>
      <c r="BF56" s="167">
        <f>BF55/'P&amp;L'!BF30</f>
        <v>1.4387880185450397</v>
      </c>
      <c r="BG56" s="167">
        <f>BG55/'P&amp;L'!BG30</f>
        <v>0.97572536802883159</v>
      </c>
      <c r="BH56" s="167">
        <f>BH55/'P&amp;L'!BH30</f>
        <v>1.4830862081812082</v>
      </c>
      <c r="BI56" s="557">
        <f>BI55/'P&amp;L'!BI30</f>
        <v>3.3298240685894336</v>
      </c>
      <c r="BJ56" s="23"/>
      <c r="BK56" s="556">
        <f>BK55/'P&amp;L'!BK30</f>
        <v>-0.43754929330612558</v>
      </c>
      <c r="BL56" s="167">
        <f>BL55/'P&amp;L'!BL30</f>
        <v>1.3143151701073699</v>
      </c>
      <c r="BM56" s="167">
        <f>BM55/'P&amp;L'!BM30</f>
        <v>0.71404110670937826</v>
      </c>
      <c r="BN56" s="167">
        <f>BN55/'P&amp;L'!BN30</f>
        <v>1.3657159067464408</v>
      </c>
      <c r="BO56" s="557">
        <f>BO55/'P&amp;L'!BO30</f>
        <v>2.9358266016459735</v>
      </c>
      <c r="BP56" s="23"/>
      <c r="BQ56" s="556">
        <f>BQ55/'P&amp;L'!BQ30</f>
        <v>0.59306124966756912</v>
      </c>
      <c r="BR56" s="167">
        <f>BR55/'P&amp;L'!BR30</f>
        <v>0.43513668748295253</v>
      </c>
      <c r="BS56" s="167">
        <f>BS55/'P&amp;L'!BS30</f>
        <v>1.172729922563968</v>
      </c>
      <c r="BT56" s="167">
        <f>BT55/'P&amp;L'!BT30</f>
        <v>1.2612324383480162</v>
      </c>
      <c r="BU56" s="557">
        <f>BU55/'P&amp;L'!BU30</f>
        <v>3.4486595286876769</v>
      </c>
      <c r="BV56" s="23"/>
      <c r="BW56" s="556">
        <f>BW55/'P&amp;L'!BW30</f>
        <v>1.0702473288738623</v>
      </c>
      <c r="BX56" s="167">
        <f>BX55/'P&amp;L'!BX30</f>
        <v>0.40434794176653727</v>
      </c>
      <c r="BY56" s="167">
        <f>BY55/'P&amp;L'!BY30</f>
        <v>1.1923120163198426</v>
      </c>
      <c r="BZ56" s="167">
        <f>BZ55/'P&amp;L'!BZ30</f>
        <v>1.2859170731596865</v>
      </c>
      <c r="CA56" s="557">
        <f>CA55/'P&amp;L'!CA30</f>
        <v>3.9449423061941946</v>
      </c>
      <c r="CB56" s="23"/>
      <c r="CC56" s="556">
        <f>CC55/'P&amp;L'!CC30</f>
        <v>1.2383274812722229</v>
      </c>
      <c r="CD56" s="167">
        <f>CD55/'P&amp;L'!CD30</f>
        <v>0.34422454299150596</v>
      </c>
      <c r="CE56" s="167">
        <f>CE55/'P&amp;L'!CE30</f>
        <v>1.2432628231229723</v>
      </c>
      <c r="CF56" s="167">
        <f>CF55/'P&amp;L'!CF30</f>
        <v>1.3288429639390575</v>
      </c>
      <c r="CG56" s="557">
        <f>CG55/'P&amp;L'!CG30</f>
        <v>4.1474866725085384</v>
      </c>
      <c r="CJ56" s="860">
        <f>POWER(CG56/BO56,1/3)-1</f>
        <v>0.12206547389137268</v>
      </c>
      <c r="CU56" s="185"/>
    </row>
    <row r="57" spans="1:99" ht="11.25" customHeight="1" thickBot="1" x14ac:dyDescent="0.25">
      <c r="A57" s="11"/>
      <c r="B57" s="658" t="s">
        <v>119</v>
      </c>
      <c r="C57" s="242">
        <f>(C56*4)/$BL$58</f>
        <v>-1.1494122222262294E-2</v>
      </c>
      <c r="D57" s="243">
        <f>(D56*4)/$BL$58</f>
        <v>2.725072878607827E-2</v>
      </c>
      <c r="E57" s="243">
        <f>(E56*4)/$BL$58</f>
        <v>1.5189590838133983E-2</v>
      </c>
      <c r="F57" s="243">
        <f>(F56*4)/$BL$58</f>
        <v>2.53152078617437E-2</v>
      </c>
      <c r="G57" s="409">
        <f>G56/$BL$58</f>
        <v>1.4129858015725428E-2</v>
      </c>
      <c r="H57" s="42"/>
      <c r="I57" s="242">
        <f>(I56*4)/$BL$58</f>
        <v>-9.6835659666767422E-5</v>
      </c>
      <c r="J57" s="243">
        <f>(J56*4)/$BL$58</f>
        <v>3.0332668081459905E-2</v>
      </c>
      <c r="K57" s="243">
        <f>(K56*4)/$BL$58</f>
        <v>9.335056477950493E-3</v>
      </c>
      <c r="L57" s="243">
        <f>(L56*4)/$BL$58</f>
        <v>4.95224025998863E-2</v>
      </c>
      <c r="M57" s="409">
        <f>M56/$BL$58</f>
        <v>2.2096299151396416E-2</v>
      </c>
      <c r="N57" s="42"/>
      <c r="O57" s="242">
        <f>(O56*4)/$BL$58</f>
        <v>-1.0779099667493453E-2</v>
      </c>
      <c r="P57" s="243">
        <f>(P56*4)/$BL$58</f>
        <v>2.4314398232339038E-2</v>
      </c>
      <c r="Q57" s="243">
        <f>(Q56*4)/$BL$58</f>
        <v>3.3980904954628119E-2</v>
      </c>
      <c r="R57" s="243">
        <f>(R56*4)/$BL$58</f>
        <v>4.3379849307751642E-2</v>
      </c>
      <c r="S57" s="409">
        <f>S56/$BL$58</f>
        <v>2.301522113215751E-2</v>
      </c>
      <c r="T57" s="42"/>
      <c r="U57" s="242">
        <f>(U56*4)/$BL$58</f>
        <v>3.2846010181692828E-3</v>
      </c>
      <c r="V57" s="243">
        <f>(V56*4)/$BL$58</f>
        <v>2.5563521848328632E-2</v>
      </c>
      <c r="W57" s="243">
        <f>(W56*4)/$BL$58</f>
        <v>9.9547552194346883E-3</v>
      </c>
      <c r="X57" s="243">
        <f>(X56*4)/$BL$58</f>
        <v>5.3702165653996575E-2</v>
      </c>
      <c r="Y57" s="409">
        <f>Y56/$BL$58</f>
        <v>2.3071979018831061E-2</v>
      </c>
      <c r="Z57" s="42"/>
      <c r="AA57" s="242">
        <f>(AA56*4)/$BL$58</f>
        <v>9.8531390480199842E-3</v>
      </c>
      <c r="AB57" s="243">
        <f>(AB56*4)/$BL$58</f>
        <v>3.2994785368122753E-2</v>
      </c>
      <c r="AC57" s="243">
        <f>(AC56*4)/$BL$58</f>
        <v>2.0421356168290793E-2</v>
      </c>
      <c r="AD57" s="243">
        <f>(AD56*4)/$BL$58</f>
        <v>7.0180449393524094E-2</v>
      </c>
      <c r="AE57" s="409">
        <f>AE56/$BL$58</f>
        <v>3.3203073013169701E-2</v>
      </c>
      <c r="AF57" s="42"/>
      <c r="AG57" s="242">
        <f>(AG56*4)/$BL$58</f>
        <v>-1.6199492742397958E-2</v>
      </c>
      <c r="AH57" s="243">
        <f>(AH56*4)/$BL$58</f>
        <v>4.5156692842890832E-2</v>
      </c>
      <c r="AI57" s="243">
        <f>(AI56*4)/$BL$58</f>
        <v>1.8041438749673001E-2</v>
      </c>
      <c r="AJ57" s="243">
        <f>(AJ56*4)/$BL$58</f>
        <v>4.9046205480456816E-2</v>
      </c>
      <c r="AK57" s="409">
        <f>AK56/$BM$58</f>
        <v>2.2834193315747993E-2</v>
      </c>
      <c r="AL57" s="42"/>
      <c r="AM57" s="242">
        <f>(AM56*4)/$BM$58</f>
        <v>-1.2922244247665469E-2</v>
      </c>
      <c r="AN57" s="243">
        <f>(AN56*4)/$BM$58</f>
        <v>6.9183860947080913E-2</v>
      </c>
      <c r="AO57" s="243">
        <f>(AO56*4)/$BM$58</f>
        <v>3.5770987998104201E-2</v>
      </c>
      <c r="AP57" s="243">
        <f>(AP56*4)/$BM$58</f>
        <v>6.7035401214774831E-2</v>
      </c>
      <c r="AQ57" s="409">
        <f>AQ56/$BM$58</f>
        <v>3.9615755162522803E-2</v>
      </c>
      <c r="AR57" s="42"/>
      <c r="AS57" s="242">
        <f>(AS56*4)/$BM$58</f>
        <v>-1.9592432028590751E-2</v>
      </c>
      <c r="AT57" s="243">
        <f>(AT56*4)/$BM$58</f>
        <v>4.8059606685154709E-2</v>
      </c>
      <c r="AU57" s="243">
        <f>(AU56*4)/$BM$58</f>
        <v>4.0812667203466019E-2</v>
      </c>
      <c r="AV57" s="243">
        <f>(AV56*4)/$BM$58</f>
        <v>6.8321205612798586E-2</v>
      </c>
      <c r="AW57" s="409">
        <f>AW56/$BM$58</f>
        <v>3.4212900952634663E-2</v>
      </c>
      <c r="AX57" s="42"/>
      <c r="AY57" s="242">
        <f>(AY56*4)/$BM$58</f>
        <v>-1.1437714919611592E-2</v>
      </c>
      <c r="AZ57" s="243">
        <f>(AZ56*4)/$BM$58</f>
        <v>5.1797385866645833E-2</v>
      </c>
      <c r="BA57" s="243">
        <f>(BA56*4)/$BM$58</f>
        <v>2.4250114508964422E-2</v>
      </c>
      <c r="BB57" s="243">
        <f>(BB56*4)/$BM$58</f>
        <v>7.6975832546304593E-2</v>
      </c>
      <c r="BC57" s="409">
        <f>BC56/$BM$58</f>
        <v>3.5195525384759049E-2</v>
      </c>
      <c r="BD57" s="42"/>
      <c r="BE57" s="242">
        <f>(BE56*4)/$BM$58</f>
        <v>-2.5119181891696103E-2</v>
      </c>
      <c r="BF57" s="243">
        <f>(BF56*4)/$BM$58</f>
        <v>6.6154550660832853E-2</v>
      </c>
      <c r="BG57" s="243">
        <f>(BG56*4)/$BM$58</f>
        <v>4.4863226867566865E-2</v>
      </c>
      <c r="BH57" s="243">
        <f>(BH56*4)/$BM$58</f>
        <v>6.8191353019968814E-2</v>
      </c>
      <c r="BI57" s="409">
        <f>BI56/$BM$58</f>
        <v>3.8275793966493984E-2</v>
      </c>
      <c r="BJ57" s="42"/>
      <c r="BK57" s="242">
        <f>(BK56*4)/$BM$58</f>
        <v>-2.0118235985800696E-2</v>
      </c>
      <c r="BL57" s="243">
        <f>(BL56*4)/$BM$58</f>
        <v>6.0431368891363434E-2</v>
      </c>
      <c r="BM57" s="243">
        <f>(BM56*4)/$BM$58</f>
        <v>3.2831152302401537E-2</v>
      </c>
      <c r="BN57" s="243">
        <f>(BN56*4)/$BM$58</f>
        <v>6.2794741808127205E-2</v>
      </c>
      <c r="BO57" s="409">
        <f>BO56/$BM$58</f>
        <v>3.3746856233625479E-2</v>
      </c>
      <c r="BP57" s="42"/>
      <c r="BQ57" s="242">
        <f>(BQ56*4)/$BM$58</f>
        <v>2.726857603789663E-2</v>
      </c>
      <c r="BR57" s="243">
        <f>(BR56*4)/$BM$58</f>
        <v>2.0007305916814495E-2</v>
      </c>
      <c r="BS57" s="243">
        <f>(BS56*4)/$BM$58</f>
        <v>5.3921369982067313E-2</v>
      </c>
      <c r="BT57" s="243">
        <f>(BT56*4)/$BM$58</f>
        <v>5.7990658917325216E-2</v>
      </c>
      <c r="BU57" s="409">
        <f>BU56/$BM$58</f>
        <v>3.9641788533456408E-2</v>
      </c>
      <c r="BV57" s="42"/>
      <c r="BW57" s="242">
        <f>(BW56*4)/$BM$58</f>
        <v>4.9209286027558474E-2</v>
      </c>
      <c r="BX57" s="243">
        <f>(BX56*4)/$BM$58</f>
        <v>1.8591659127970783E-2</v>
      </c>
      <c r="BY57" s="243">
        <f>(BY56*4)/$BM$58</f>
        <v>5.4821742098543645E-2</v>
      </c>
      <c r="BZ57" s="243">
        <f>(BZ56*4)/$BM$58</f>
        <v>5.9125642600219769E-2</v>
      </c>
      <c r="CA57" s="409">
        <f>CA56/$BM$58</f>
        <v>4.5346479517027104E-2</v>
      </c>
      <c r="CB57" s="42"/>
      <c r="CC57" s="242">
        <f>(CC56*4)/$BM$58</f>
        <v>5.6937503675744135E-2</v>
      </c>
      <c r="CD57" s="243">
        <f>(CD56*4)/$BM$58</f>
        <v>1.5827223798445027E-2</v>
      </c>
      <c r="CE57" s="243">
        <f>(CE56*4)/$BM$58</f>
        <v>5.7164427529908621E-2</v>
      </c>
      <c r="CF57" s="243">
        <f>(CF56*4)/$BM$58</f>
        <v>6.1099347537724696E-2</v>
      </c>
      <c r="CG57" s="409">
        <f>CG56/$BM$58</f>
        <v>4.7674694544136934E-2</v>
      </c>
    </row>
    <row r="58" spans="1:99" ht="11.25" customHeight="1" outlineLevel="1" thickBot="1" x14ac:dyDescent="0.25">
      <c r="B58" s="162" t="s">
        <v>120</v>
      </c>
      <c r="C58" s="36"/>
      <c r="D58" s="36"/>
      <c r="E58" s="36"/>
      <c r="G58" s="36"/>
      <c r="H58" s="13"/>
      <c r="I58" s="36"/>
      <c r="J58" s="36"/>
      <c r="K58" s="36"/>
      <c r="M58" s="36"/>
      <c r="N58" s="13"/>
      <c r="O58" s="36"/>
      <c r="P58" s="36"/>
      <c r="Q58" s="36"/>
      <c r="S58" s="36"/>
      <c r="T58" s="13"/>
      <c r="U58" s="36"/>
      <c r="V58" s="36"/>
      <c r="W58" s="36"/>
      <c r="Y58" s="36"/>
      <c r="Z58" s="13"/>
      <c r="AA58" s="36"/>
      <c r="AB58" s="36"/>
      <c r="AC58" s="36"/>
      <c r="AE58" s="36"/>
      <c r="AF58" s="13"/>
      <c r="AG58" s="36"/>
      <c r="AH58" s="36"/>
      <c r="AI58" s="36"/>
      <c r="AK58" s="36"/>
      <c r="AL58" s="13"/>
      <c r="AM58" s="36"/>
      <c r="AN58" s="36"/>
      <c r="AO58" s="36"/>
      <c r="AQ58" s="36"/>
      <c r="AR58" s="13"/>
      <c r="AS58" s="36"/>
      <c r="AT58" s="36"/>
      <c r="AU58" s="36"/>
      <c r="AV58" s="36"/>
      <c r="AW58" s="36"/>
      <c r="AX58" s="13"/>
      <c r="AY58" s="36"/>
      <c r="AZ58" s="36"/>
      <c r="BC58" s="36"/>
      <c r="BD58" s="13"/>
      <c r="BE58" s="36"/>
      <c r="BF58" s="200">
        <f>158.78/2</f>
        <v>79.39</v>
      </c>
      <c r="BG58" s="42"/>
      <c r="BI58" s="36"/>
      <c r="BJ58" s="13"/>
      <c r="BK58" s="200">
        <v>82.833873145161306</v>
      </c>
      <c r="BL58" s="200" t="s">
        <v>602</v>
      </c>
      <c r="BM58" s="200">
        <v>86.995558380952417</v>
      </c>
      <c r="BN58" s="200" t="s">
        <v>681</v>
      </c>
      <c r="BO58" s="36"/>
      <c r="BP58" s="13"/>
      <c r="BQ58" s="36"/>
      <c r="BR58" s="36"/>
      <c r="BS58" s="36"/>
      <c r="BT58" s="36"/>
      <c r="BU58" s="36"/>
      <c r="BV58" s="13"/>
      <c r="BW58" s="36"/>
      <c r="BX58" s="36"/>
      <c r="BY58" s="36"/>
      <c r="BZ58" s="36"/>
      <c r="CA58" s="36"/>
      <c r="CB58" s="13"/>
      <c r="CC58" s="36"/>
      <c r="CD58" s="36"/>
      <c r="CE58" s="36"/>
      <c r="CF58" s="36"/>
      <c r="CG58" s="36"/>
    </row>
    <row r="59" spans="1:99" s="7" customFormat="1" ht="11.25" customHeight="1" x14ac:dyDescent="0.2">
      <c r="C59" s="36"/>
      <c r="D59" s="36"/>
      <c r="E59" s="36"/>
      <c r="F59" s="36"/>
      <c r="G59" s="36"/>
      <c r="H59" s="181"/>
      <c r="I59" s="36"/>
      <c r="J59" s="36"/>
      <c r="K59" s="36"/>
      <c r="L59" s="36"/>
      <c r="M59" s="36"/>
      <c r="N59" s="181"/>
      <c r="O59" s="36"/>
      <c r="P59" s="36"/>
      <c r="Q59" s="36"/>
      <c r="R59" s="36"/>
      <c r="S59" s="36"/>
      <c r="T59" s="181"/>
      <c r="U59" s="36"/>
      <c r="V59" s="36"/>
      <c r="W59" s="36"/>
      <c r="X59" s="36"/>
      <c r="Y59" s="36"/>
      <c r="Z59" s="181"/>
      <c r="AA59" s="36"/>
      <c r="AB59" s="36"/>
      <c r="AC59" s="36"/>
      <c r="AD59" s="36"/>
      <c r="AE59" s="36"/>
      <c r="AF59" s="181"/>
      <c r="AG59" s="36"/>
      <c r="AH59" s="36"/>
      <c r="AI59" s="36"/>
      <c r="AJ59" s="36"/>
      <c r="AK59" s="251"/>
      <c r="AL59" s="181"/>
      <c r="AM59" s="36"/>
      <c r="AN59" s="36"/>
      <c r="AO59" s="36"/>
      <c r="AP59" s="36"/>
      <c r="AQ59" s="251"/>
      <c r="AR59" s="181"/>
      <c r="AS59" s="16"/>
      <c r="AT59" s="16"/>
      <c r="AU59" s="36"/>
      <c r="AV59" s="36"/>
      <c r="AW59" s="251"/>
      <c r="AX59" s="181"/>
      <c r="AY59" s="16"/>
      <c r="AZ59" s="16"/>
      <c r="BA59" s="36"/>
      <c r="BB59" s="36"/>
      <c r="BC59" s="251"/>
      <c r="BD59" s="181"/>
      <c r="BE59" s="36"/>
      <c r="BF59" s="36"/>
      <c r="BG59" s="36"/>
      <c r="BH59" s="36"/>
      <c r="BI59" s="251"/>
      <c r="BJ59" s="181"/>
      <c r="BK59" s="36"/>
      <c r="BL59" s="36"/>
      <c r="BM59" s="36"/>
      <c r="BN59" s="36"/>
      <c r="BO59" s="251"/>
      <c r="BP59" s="181"/>
      <c r="BQ59" s="36"/>
      <c r="BR59" s="36"/>
      <c r="BS59" s="36"/>
      <c r="BT59" s="36"/>
      <c r="BU59" s="251">
        <f>+(BU56/BI56)^(0.5)-1</f>
        <v>1.7687677945667613E-2</v>
      </c>
      <c r="BV59" s="181"/>
      <c r="BW59" s="36"/>
      <c r="BX59" s="36"/>
      <c r="BY59" s="36"/>
      <c r="BZ59" s="36"/>
      <c r="CA59" s="251">
        <f>+(CA56/BO56)^(0.5)-1</f>
        <v>0.15919133847840072</v>
      </c>
      <c r="CB59" s="181"/>
      <c r="CC59" s="36"/>
      <c r="CD59" s="36"/>
      <c r="CE59" s="36"/>
      <c r="CF59" s="36"/>
      <c r="CG59" s="251">
        <f>+(CG56/BU56)^(0.5)-1</f>
        <v>9.6648223272423506E-2</v>
      </c>
      <c r="CO59"/>
      <c r="CP59"/>
      <c r="CQ59"/>
      <c r="CR59"/>
      <c r="CS59"/>
      <c r="CT59"/>
    </row>
    <row r="60" spans="1:99" ht="11.25" customHeight="1" x14ac:dyDescent="0.2">
      <c r="A60" s="48"/>
      <c r="B60" s="815" t="s">
        <v>346</v>
      </c>
      <c r="C60" s="816"/>
      <c r="D60" s="816"/>
      <c r="E60" s="816"/>
      <c r="F60" s="816"/>
      <c r="G60" s="817"/>
      <c r="H60" s="818"/>
      <c r="I60" s="816"/>
      <c r="J60" s="816"/>
      <c r="K60" s="816"/>
      <c r="L60" s="816"/>
      <c r="M60" s="817"/>
      <c r="N60" s="818"/>
      <c r="O60" s="816"/>
      <c r="P60" s="816"/>
      <c r="Q60" s="816"/>
      <c r="R60" s="816"/>
      <c r="S60" s="817"/>
      <c r="T60" s="818"/>
      <c r="U60" s="816"/>
      <c r="V60" s="816"/>
      <c r="W60" s="816"/>
      <c r="X60" s="816"/>
      <c r="Y60" s="817"/>
      <c r="Z60" s="818"/>
      <c r="AA60" s="816"/>
      <c r="AB60" s="816"/>
      <c r="AC60" s="816"/>
      <c r="AD60" s="816"/>
      <c r="AE60" s="817"/>
      <c r="AF60" s="818"/>
      <c r="AG60" s="816"/>
      <c r="AH60" s="816"/>
      <c r="AI60" s="816"/>
      <c r="AJ60" s="816"/>
      <c r="AK60" s="817"/>
      <c r="AL60" s="818"/>
      <c r="AM60" s="816"/>
      <c r="AN60" s="816"/>
      <c r="AO60" s="816"/>
      <c r="AP60" s="816"/>
      <c r="AQ60" s="817"/>
      <c r="AR60" s="818"/>
      <c r="AS60" s="816"/>
      <c r="AT60" s="816"/>
      <c r="AU60" s="816"/>
      <c r="AV60" s="816"/>
      <c r="AW60" s="817"/>
      <c r="AX60" s="818"/>
      <c r="AY60" s="816"/>
      <c r="AZ60" s="816"/>
      <c r="BA60" s="816"/>
      <c r="BB60" s="816"/>
      <c r="BC60" s="816"/>
      <c r="BD60" s="818"/>
      <c r="BE60" s="816"/>
      <c r="BF60" s="816"/>
      <c r="BG60" s="816"/>
      <c r="BH60" s="816"/>
      <c r="BI60" s="816"/>
      <c r="BJ60" s="818"/>
      <c r="BK60" s="816"/>
      <c r="BL60" s="816"/>
      <c r="BM60" s="816"/>
      <c r="BN60" s="816"/>
      <c r="BO60" s="816"/>
      <c r="BP60" s="818"/>
      <c r="BQ60" s="816"/>
      <c r="BR60" s="816"/>
      <c r="BS60" s="816"/>
      <c r="BT60" s="816"/>
      <c r="BU60" s="816"/>
      <c r="BV60" s="818"/>
      <c r="BW60" s="816"/>
      <c r="BX60" s="816"/>
      <c r="BY60" s="816"/>
      <c r="BZ60" s="816"/>
      <c r="CA60" s="816"/>
      <c r="CB60" s="818"/>
      <c r="CC60" s="816"/>
      <c r="CD60" s="816"/>
      <c r="CE60" s="816"/>
      <c r="CF60" s="816"/>
      <c r="CG60" s="816"/>
    </row>
    <row r="61" spans="1:99" s="7" customFormat="1" ht="11.25" customHeight="1" outlineLevel="1" x14ac:dyDescent="0.2">
      <c r="B61" s="684" t="s">
        <v>112</v>
      </c>
      <c r="C61" s="681"/>
      <c r="D61" s="682"/>
      <c r="E61" s="682"/>
      <c r="F61" s="682"/>
      <c r="G61" s="683"/>
      <c r="H61" s="17"/>
      <c r="I61" s="689"/>
      <c r="J61" s="690"/>
      <c r="K61" s="690"/>
      <c r="L61" s="690"/>
      <c r="M61" s="691"/>
      <c r="N61" s="17"/>
      <c r="O61" s="689"/>
      <c r="P61" s="690"/>
      <c r="Q61" s="690"/>
      <c r="R61" s="690"/>
      <c r="S61" s="691"/>
      <c r="T61" s="17"/>
      <c r="U61" s="689"/>
      <c r="V61" s="690"/>
      <c r="W61" s="690"/>
      <c r="X61" s="690"/>
      <c r="Y61" s="691"/>
      <c r="Z61" s="17"/>
      <c r="AA61" s="689"/>
      <c r="AB61" s="690"/>
      <c r="AC61" s="690"/>
      <c r="AD61" s="690"/>
      <c r="AE61" s="691"/>
      <c r="AF61" s="17"/>
      <c r="AG61" s="689"/>
      <c r="AH61" s="690"/>
      <c r="AI61" s="690"/>
      <c r="AJ61" s="690"/>
      <c r="AK61" s="691"/>
      <c r="AL61" s="17"/>
      <c r="AM61" s="689"/>
      <c r="AN61" s="690"/>
      <c r="AO61" s="690"/>
      <c r="AP61" s="690"/>
      <c r="AQ61" s="691"/>
      <c r="AR61" s="17"/>
      <c r="AS61" s="689"/>
      <c r="AT61" s="690"/>
      <c r="AU61" s="690"/>
      <c r="AV61" s="690"/>
      <c r="AW61" s="691"/>
      <c r="AX61" s="17"/>
      <c r="AY61" s="689"/>
      <c r="AZ61" s="690"/>
      <c r="BA61" s="690"/>
      <c r="BB61" s="690"/>
      <c r="BC61" s="691"/>
      <c r="BD61" s="17"/>
      <c r="BE61" s="689"/>
      <c r="BF61" s="690"/>
      <c r="BG61" s="690"/>
      <c r="BH61" s="690"/>
      <c r="BI61" s="691"/>
      <c r="BJ61" s="17"/>
      <c r="BK61" s="689"/>
      <c r="BL61" s="690"/>
      <c r="BM61" s="690"/>
      <c r="BN61" s="690"/>
      <c r="BO61" s="691"/>
      <c r="BP61" s="17"/>
      <c r="BQ61" s="689"/>
      <c r="BR61" s="690"/>
      <c r="BS61" s="690"/>
      <c r="BT61" s="690"/>
      <c r="BU61" s="691"/>
      <c r="BV61" s="17"/>
      <c r="BW61" s="689"/>
      <c r="BX61" s="690"/>
      <c r="BY61" s="690"/>
      <c r="BZ61" s="690"/>
      <c r="CA61" s="691"/>
      <c r="CB61" s="17"/>
      <c r="CC61" s="689"/>
      <c r="CD61" s="690"/>
      <c r="CE61" s="690"/>
      <c r="CF61" s="690"/>
      <c r="CG61" s="691"/>
      <c r="CO61"/>
      <c r="CP61"/>
      <c r="CQ61"/>
      <c r="CR61"/>
      <c r="CS61"/>
      <c r="CT61"/>
    </row>
    <row r="62" spans="1:99" s="7" customFormat="1" ht="11.25" customHeight="1" outlineLevel="1" x14ac:dyDescent="0.2">
      <c r="B62" s="426" t="s">
        <v>113</v>
      </c>
      <c r="C62" s="668">
        <f>0.6125+0.0266</f>
        <v>0.6391</v>
      </c>
      <c r="D62" s="669">
        <v>0</v>
      </c>
      <c r="E62" s="669">
        <v>0</v>
      </c>
      <c r="F62" s="669">
        <v>0</v>
      </c>
      <c r="G62" s="460">
        <f>+SUM(C62:F62)</f>
        <v>0.6391</v>
      </c>
      <c r="H62" s="38"/>
      <c r="I62" s="668">
        <v>0</v>
      </c>
      <c r="J62" s="669">
        <f>0.602</f>
        <v>0.60199999999999998</v>
      </c>
      <c r="K62" s="669">
        <f>(0.4113+0.04)</f>
        <v>0.45129999999999998</v>
      </c>
      <c r="L62" s="669">
        <f>0.56841</f>
        <v>0.56840999999999997</v>
      </c>
      <c r="M62" s="460">
        <f>+SUM(I62:L62)</f>
        <v>1.6217099999999998</v>
      </c>
      <c r="N62" s="38"/>
      <c r="O62" s="668">
        <v>0</v>
      </c>
      <c r="P62" s="669">
        <v>0</v>
      </c>
      <c r="Q62" s="669">
        <v>0</v>
      </c>
      <c r="R62" s="669">
        <v>0</v>
      </c>
      <c r="S62" s="460">
        <f>+SUM(O62:R62)</f>
        <v>0</v>
      </c>
      <c r="T62" s="38"/>
      <c r="U62" s="668">
        <v>0</v>
      </c>
      <c r="V62" s="669">
        <v>0</v>
      </c>
      <c r="W62" s="669">
        <f>0.086171</f>
        <v>8.6170999999999998E-2</v>
      </c>
      <c r="X62" s="669">
        <f>(0.127085+0.792613)</f>
        <v>0.91969800000000002</v>
      </c>
      <c r="Y62" s="460">
        <f>+SUM(U62:X62)</f>
        <v>1.0058690000000001</v>
      </c>
      <c r="Z62" s="38"/>
      <c r="AA62" s="668">
        <f>(0.120355+0.2894)</f>
        <v>0.40975499999999998</v>
      </c>
      <c r="AB62" s="669">
        <f>(0.042+0.029338)</f>
        <v>7.1337999999999999E-2</v>
      </c>
      <c r="AC62" s="669">
        <f>(1.388507+0.220099)</f>
        <v>1.608606</v>
      </c>
      <c r="AD62" s="669">
        <f>(0.524112+0.37+0.195377)</f>
        <v>1.0894889999999999</v>
      </c>
      <c r="AE62" s="460">
        <f>+SUM(AA62:AD62)</f>
        <v>3.1791879999999999</v>
      </c>
      <c r="AF62" s="38"/>
      <c r="AG62" s="668">
        <f>(0.248794+0.087806+0.207139)</f>
        <v>0.54373899999999997</v>
      </c>
      <c r="AH62" s="669">
        <f>(0.405+1.080755+0.09)</f>
        <v>1.575755</v>
      </c>
      <c r="AI62" s="669">
        <f>(0.5217+0.035935+0.200898)</f>
        <v>0.75853300000000012</v>
      </c>
      <c r="AJ62" s="669">
        <f>(0.281428+0.2307+0.546899)</f>
        <v>1.0590269999999999</v>
      </c>
      <c r="AK62" s="460">
        <f>+SUM(AG62:AJ62)</f>
        <v>3.9370540000000003</v>
      </c>
      <c r="AL62" s="38"/>
      <c r="AM62" s="668">
        <f>(0.30145+0.256+0.282)</f>
        <v>0.83945000000000003</v>
      </c>
      <c r="AN62" s="669">
        <f>(0.275267+0.345989+0.218179)</f>
        <v>0.83943500000000004</v>
      </c>
      <c r="AO62" s="669">
        <f>(0.3162+0.227+0.1865)</f>
        <v>0.72970000000000002</v>
      </c>
      <c r="AP62" s="669">
        <f>(0.231+0.248057+0.1853)</f>
        <v>0.66435699999999998</v>
      </c>
      <c r="AQ62" s="460">
        <f>+SUM(AM62:AP62)</f>
        <v>3.0729420000000003</v>
      </c>
      <c r="AR62" s="38"/>
      <c r="AS62" s="668">
        <f>(0.255+0.182315+0.21)</f>
        <v>0.64731499999999997</v>
      </c>
      <c r="AT62" s="669">
        <f>(0.2089+0.24051+0.204542)</f>
        <v>0.65395199999999998</v>
      </c>
      <c r="AU62" s="669">
        <f>(0.241375+0.196137+0.195)</f>
        <v>0.63251199999999996</v>
      </c>
      <c r="AV62" s="669">
        <f>0.265874+0.179616+0.14894</f>
        <v>0.59443000000000001</v>
      </c>
      <c r="AW62" s="460">
        <f>+SUM(AS62:AV62)</f>
        <v>2.5282089999999999</v>
      </c>
      <c r="AX62" s="38"/>
      <c r="AY62" s="668">
        <f>0.213435+0.136194+0.1924</f>
        <v>0.54202899999999998</v>
      </c>
      <c r="AZ62" s="669">
        <v>0.26675700000000002</v>
      </c>
      <c r="BA62" s="669">
        <f>0.260095+0.0012</f>
        <v>0.261295</v>
      </c>
      <c r="BB62" s="669">
        <f>0.560638+0.231578+0.222</f>
        <v>1.014216</v>
      </c>
      <c r="BC62" s="460">
        <f>+SUM(AY62:BB62)</f>
        <v>2.0842970000000003</v>
      </c>
      <c r="BD62" s="38"/>
      <c r="BE62" s="668">
        <f>0.390163+0.274235</f>
        <v>0.66439800000000004</v>
      </c>
      <c r="BF62" s="669">
        <v>0.33654400000000001</v>
      </c>
      <c r="BG62" s="669">
        <f>0.021556+1.157942</f>
        <v>1.1794979999999999</v>
      </c>
      <c r="BH62" s="669">
        <f>0.310311+0.971031</f>
        <v>1.281342</v>
      </c>
      <c r="BI62" s="460">
        <f>+SUM(BE62:BH62)</f>
        <v>3.4617819999999999</v>
      </c>
      <c r="BJ62" s="38"/>
      <c r="BK62" s="668">
        <f>0.154128+0.145+0.008908</f>
        <v>0.30803599999999998</v>
      </c>
      <c r="BL62" s="669">
        <f>0.124639+0.164117</f>
        <v>0.28875600000000001</v>
      </c>
      <c r="BM62" s="669">
        <f>0.294238+0.851356+0.286052</f>
        <v>1.431646</v>
      </c>
      <c r="BN62" s="669">
        <f>1.821631+1.417543</f>
        <v>3.2391740000000002</v>
      </c>
      <c r="BO62" s="460">
        <f>+SUM(BK62:BN62)</f>
        <v>5.2676119999999997</v>
      </c>
      <c r="BP62" s="38"/>
      <c r="BQ62" s="679">
        <v>1.5</v>
      </c>
      <c r="BR62" s="677">
        <f>+BQ62</f>
        <v>1.5</v>
      </c>
      <c r="BS62" s="677">
        <f>+BR62</f>
        <v>1.5</v>
      </c>
      <c r="BT62" s="677">
        <f>+BS62</f>
        <v>1.5</v>
      </c>
      <c r="BU62" s="460">
        <f>+SUM(BQ62:BT62)</f>
        <v>6</v>
      </c>
      <c r="BV62" s="38"/>
      <c r="BW62" s="679">
        <f>+BQ62+0.1</f>
        <v>1.6</v>
      </c>
      <c r="BX62" s="677">
        <f>+BW62</f>
        <v>1.6</v>
      </c>
      <c r="BY62" s="677">
        <f>+BX62</f>
        <v>1.6</v>
      </c>
      <c r="BZ62" s="677">
        <f>+BY62</f>
        <v>1.6</v>
      </c>
      <c r="CA62" s="460">
        <f>+SUM(BW62:BZ62)</f>
        <v>6.4</v>
      </c>
      <c r="CB62" s="38"/>
      <c r="CC62" s="679">
        <f>+BW62+0.1</f>
        <v>1.7000000000000002</v>
      </c>
      <c r="CD62" s="677">
        <f>+CC62</f>
        <v>1.7000000000000002</v>
      </c>
      <c r="CE62" s="677">
        <f>+CD62</f>
        <v>1.7000000000000002</v>
      </c>
      <c r="CF62" s="677">
        <f>+CE62</f>
        <v>1.7000000000000002</v>
      </c>
      <c r="CG62" s="460">
        <f>+SUM(CC62:CF62)</f>
        <v>6.8000000000000007</v>
      </c>
      <c r="CO62"/>
      <c r="CP62"/>
      <c r="CQ62"/>
      <c r="CR62"/>
      <c r="CS62"/>
      <c r="CT62"/>
    </row>
    <row r="63" spans="1:99" s="7" customFormat="1" ht="11.25" customHeight="1" outlineLevel="1" x14ac:dyDescent="0.2">
      <c r="B63" s="426" t="s">
        <v>114</v>
      </c>
      <c r="C63" s="237">
        <f>+C62*C64</f>
        <v>30.691619000000003</v>
      </c>
      <c r="D63" s="39">
        <f>+D62*D64</f>
        <v>0</v>
      </c>
      <c r="E63" s="39">
        <f>+E62*E64</f>
        <v>0</v>
      </c>
      <c r="F63" s="39">
        <f>+F62*F64</f>
        <v>0</v>
      </c>
      <c r="G63" s="388">
        <f>+SUM(C63:F63)</f>
        <v>30.691619000000003</v>
      </c>
      <c r="H63" s="38"/>
      <c r="I63" s="237">
        <f>+I62*I64</f>
        <v>0</v>
      </c>
      <c r="J63" s="39">
        <f>+J62*J64</f>
        <v>31.64714</v>
      </c>
      <c r="K63" s="39">
        <f>+K62*K64</f>
        <v>23.297219999999999</v>
      </c>
      <c r="L63" s="39">
        <f>+L62*L64</f>
        <v>27.846405900000001</v>
      </c>
      <c r="M63" s="388">
        <f>+SUM(I63:L63)</f>
        <v>82.790765899999997</v>
      </c>
      <c r="N63" s="38"/>
      <c r="O63" s="237">
        <f>+O62*O64</f>
        <v>0</v>
      </c>
      <c r="P63" s="39">
        <f>+P62*P64</f>
        <v>0</v>
      </c>
      <c r="Q63" s="39">
        <f>+Q62*Q64</f>
        <v>0</v>
      </c>
      <c r="R63" s="39">
        <f>+R62*R64</f>
        <v>0</v>
      </c>
      <c r="S63" s="388">
        <f>+SUM(O63:R63)</f>
        <v>0</v>
      </c>
      <c r="T63" s="38"/>
      <c r="U63" s="237">
        <f>+U62*U64</f>
        <v>0</v>
      </c>
      <c r="V63" s="39">
        <f>+V62*V64</f>
        <v>0</v>
      </c>
      <c r="W63" s="39">
        <f>+W62*W64</f>
        <v>4.8186823199999997</v>
      </c>
      <c r="X63" s="39">
        <f>+X62*X64</f>
        <v>52.917281599999995</v>
      </c>
      <c r="Y63" s="388">
        <f>+SUM(U63:X63)</f>
        <v>57.735963919999996</v>
      </c>
      <c r="Z63" s="38"/>
      <c r="AA63" s="237">
        <f>+AA62*AA64</f>
        <v>27.098691599999999</v>
      </c>
      <c r="AB63" s="39">
        <f>+AB62*AB64</f>
        <v>4.9999381400000003</v>
      </c>
      <c r="AC63" s="39">
        <f>+AC62*AC64</f>
        <v>100.3781596</v>
      </c>
      <c r="AD63" s="39">
        <f>+AD62*AD64</f>
        <v>67.526918890000005</v>
      </c>
      <c r="AE63" s="388">
        <f>+SUM(AA63:AD63)</f>
        <v>200.00370823000003</v>
      </c>
      <c r="AF63" s="38"/>
      <c r="AG63" s="237">
        <f>+AG62*AG64</f>
        <v>38.562803209999998</v>
      </c>
      <c r="AH63" s="39">
        <f>+AH62*AH64</f>
        <v>118.32563254999998</v>
      </c>
      <c r="AI63" s="39">
        <f>+AI62*AI64</f>
        <v>58.800119350000003</v>
      </c>
      <c r="AJ63" s="39">
        <f>+AJ62*AJ64</f>
        <v>84.191592839999998</v>
      </c>
      <c r="AK63" s="388">
        <f>+SUM(AG63:AJ63)</f>
        <v>299.88014794999998</v>
      </c>
      <c r="AL63" s="38"/>
      <c r="AM63" s="237">
        <f>+AM62*AM64</f>
        <v>73.453141500000001</v>
      </c>
      <c r="AN63" s="39">
        <f>+AN62*AN64</f>
        <v>78.061434750000004</v>
      </c>
      <c r="AO63" s="39">
        <f>+AO62*AO64</f>
        <v>74.966686999999993</v>
      </c>
      <c r="AP63" s="39">
        <f>+AP62*AP64</f>
        <v>73.772797780000005</v>
      </c>
      <c r="AQ63" s="388">
        <f>+SUM(AM63:AP63)</f>
        <v>300.25406103</v>
      </c>
      <c r="AR63" s="38"/>
      <c r="AS63" s="237">
        <f>+AS62*AS64</f>
        <v>75.304879650000004</v>
      </c>
      <c r="AT63" s="39">
        <f>+AT62*AT64</f>
        <v>76.13667405999999</v>
      </c>
      <c r="AU63" s="39">
        <f>+AU62*AU64</f>
        <v>74.839628290000007</v>
      </c>
      <c r="AV63" s="39">
        <f>+AV62*AV64</f>
        <v>73.708214060000003</v>
      </c>
      <c r="AW63" s="388">
        <f>+SUM(AS63:AV63)</f>
        <v>299.98939605999999</v>
      </c>
      <c r="AX63" s="38"/>
      <c r="AY63" s="237">
        <f>+AY62*AY64</f>
        <v>75.707602359999996</v>
      </c>
      <c r="AZ63" s="39">
        <f>+AZ62*AZ64</f>
        <v>37.500699060000009</v>
      </c>
      <c r="BA63" s="39">
        <f>+BA62*BA64</f>
        <v>37.655753100000005</v>
      </c>
      <c r="BB63" s="39">
        <f>+BB62*BB64</f>
        <v>148.98966242</v>
      </c>
      <c r="BC63" s="388">
        <f>+SUM(AY63:BB63)</f>
        <v>299.85371694000003</v>
      </c>
      <c r="BD63" s="38"/>
      <c r="BE63" s="237">
        <f>+BE62*BE64</f>
        <v>99.997569499999997</v>
      </c>
      <c r="BF63" s="39">
        <f>+BF62*BF64</f>
        <v>57.013919039999998</v>
      </c>
      <c r="BG63" s="39">
        <f>+BG62*BG64</f>
        <v>193.02461852600001</v>
      </c>
      <c r="BH63" s="39">
        <f>+BH62*BH64</f>
        <v>200.01743528999998</v>
      </c>
      <c r="BI63" s="388">
        <f>+SUM(BE63:BH63)</f>
        <v>550.05354235599998</v>
      </c>
      <c r="BJ63" s="38"/>
      <c r="BK63" s="237">
        <f>+BK62*BK64</f>
        <v>50.004584599999994</v>
      </c>
      <c r="BL63" s="39">
        <f>+BL62*BL64</f>
        <v>49.999938580000006</v>
      </c>
      <c r="BM63" s="39">
        <f>+BM62*BM64</f>
        <v>124.99886324000001</v>
      </c>
      <c r="BN63" s="39">
        <f>+BN62*BN64</f>
        <v>224.99380244000002</v>
      </c>
      <c r="BO63" s="388">
        <f>+SUM(BK63:BN63)</f>
        <v>449.99718886000005</v>
      </c>
      <c r="BP63" s="38"/>
      <c r="BQ63" s="237">
        <f>+BQ62*BQ64</f>
        <v>104.19035953610395</v>
      </c>
      <c r="BR63" s="39">
        <f>+BR62*BR64</f>
        <v>104.19035953610395</v>
      </c>
      <c r="BS63" s="39">
        <f>+BS62*BS64</f>
        <v>104.19035953610395</v>
      </c>
      <c r="BT63" s="39">
        <f>+BT62*BT64</f>
        <v>104.19035953610395</v>
      </c>
      <c r="BU63" s="388">
        <f>+SUM(BQ63:BT63)</f>
        <v>416.76143814441582</v>
      </c>
      <c r="BV63" s="38"/>
      <c r="BW63" s="237">
        <f>+BW62*BW64</f>
        <v>111.13638350517756</v>
      </c>
      <c r="BX63" s="39">
        <f>+BX62*BX64</f>
        <v>111.13638350517756</v>
      </c>
      <c r="BY63" s="39">
        <f>+BY62*BY64</f>
        <v>111.13638350517756</v>
      </c>
      <c r="BZ63" s="39">
        <f>+BZ62*BZ64</f>
        <v>111.13638350517756</v>
      </c>
      <c r="CA63" s="388">
        <f>+SUM(BW63:BZ63)</f>
        <v>444.54553402071025</v>
      </c>
      <c r="CB63" s="38"/>
      <c r="CC63" s="237">
        <f>+CC62*CC64</f>
        <v>118.08240747425117</v>
      </c>
      <c r="CD63" s="39">
        <f>+CD62*CD64</f>
        <v>118.08240747425117</v>
      </c>
      <c r="CE63" s="39">
        <f>+CE62*CE64</f>
        <v>118.08240747425117</v>
      </c>
      <c r="CF63" s="39">
        <f>+CF62*CF64</f>
        <v>118.08240747425117</v>
      </c>
      <c r="CG63" s="388">
        <f>+SUM(CC63:CF63)</f>
        <v>472.32962989700468</v>
      </c>
      <c r="CO63"/>
      <c r="CP63"/>
      <c r="CQ63"/>
      <c r="CR63"/>
      <c r="CS63"/>
      <c r="CT63"/>
    </row>
    <row r="64" spans="1:99" s="7" customFormat="1" ht="11.25" customHeight="1" outlineLevel="1" x14ac:dyDescent="0.2">
      <c r="B64" s="426" t="s">
        <v>115</v>
      </c>
      <c r="C64" s="670">
        <f>(0.6125*47.89+0.0266*51.09)/C62</f>
        <v>48.023187294633082</v>
      </c>
      <c r="D64" s="671">
        <v>0</v>
      </c>
      <c r="E64" s="671">
        <v>0</v>
      </c>
      <c r="F64" s="671">
        <v>0</v>
      </c>
      <c r="G64" s="557">
        <f>+G63/G62</f>
        <v>48.023187294633082</v>
      </c>
      <c r="H64" s="38"/>
      <c r="I64" s="670">
        <v>0</v>
      </c>
      <c r="J64" s="671">
        <f>(0.602*52.57)/J62</f>
        <v>52.57</v>
      </c>
      <c r="K64" s="671">
        <f>(0.4113*51.4+0.04*53.91)/K62</f>
        <v>51.6224684245513</v>
      </c>
      <c r="L64" s="671">
        <f>(0.56841*48.99)/L62</f>
        <v>48.99</v>
      </c>
      <c r="M64" s="557">
        <f>+M63/M62</f>
        <v>51.051523330311838</v>
      </c>
      <c r="N64" s="38"/>
      <c r="O64" s="670">
        <v>0</v>
      </c>
      <c r="P64" s="671">
        <v>0</v>
      </c>
      <c r="Q64" s="671">
        <v>0</v>
      </c>
      <c r="R64" s="671">
        <v>0</v>
      </c>
      <c r="S64" s="557" t="e">
        <f>+S63/S62</f>
        <v>#DIV/0!</v>
      </c>
      <c r="T64" s="38"/>
      <c r="U64" s="670">
        <v>0</v>
      </c>
      <c r="V64" s="671">
        <v>0</v>
      </c>
      <c r="W64" s="671">
        <f>(0.086171*55.92)/W62</f>
        <v>55.92</v>
      </c>
      <c r="X64" s="671">
        <f>(0.127085*59.02+0.792613*57.3)/X62</f>
        <v>57.537671713975669</v>
      </c>
      <c r="Y64" s="557">
        <f>+Y63/Y62</f>
        <v>57.399088668603952</v>
      </c>
      <c r="Z64" s="38"/>
      <c r="AA64" s="670">
        <f>(0.120355*62.32+0.2894*67.72)/AA62</f>
        <v>66.13388878720211</v>
      </c>
      <c r="AB64" s="671">
        <f>(0.042*69.43+0.029338*71.03)/AB62</f>
        <v>70.088005551038719</v>
      </c>
      <c r="AC64" s="671">
        <f>(1.388507*62.19+0.220099*63.73)/AC62</f>
        <v>62.400711920756237</v>
      </c>
      <c r="AD64" s="671">
        <f>(0.524112*61.82+0.37*62.91+0.195377*60.65)/AD62</f>
        <v>61.980358580949428</v>
      </c>
      <c r="AE64" s="557">
        <f>+AE63/AE62</f>
        <v>62.9103117619971</v>
      </c>
      <c r="AF64" s="38"/>
      <c r="AG64" s="670">
        <f>(0.248794*67.57+0.087806*72.33+0.207139*74.35)/AG62</f>
        <v>70.921532591923693</v>
      </c>
      <c r="AH64" s="671">
        <f>(0.405*74.98+1.080755*75.01+0.09*76.57)/AH62</f>
        <v>75.091389556117534</v>
      </c>
      <c r="AI64" s="671">
        <f>(0.5217*77.5+0.035935*74.53+0.200898*78.1)/AI62</f>
        <v>77.518208634298034</v>
      </c>
      <c r="AJ64" s="671">
        <f>(0.281428*77.5+0.2307*78+0.546899*81.16)/AJ62</f>
        <v>79.499005067859457</v>
      </c>
      <c r="AK64" s="557">
        <f>+AK63/AK62</f>
        <v>76.16866518721865</v>
      </c>
      <c r="AL64" s="38"/>
      <c r="AM64" s="670">
        <f>(0.30145*84.47+0.256*88.33+0.282*89.99)/AM62</f>
        <v>87.50150872595151</v>
      </c>
      <c r="AN64" s="671">
        <f>(0.275267*90.94+0.345989*92.9+0.218179*95.73)/AN62</f>
        <v>92.992828211832958</v>
      </c>
      <c r="AO64" s="671">
        <f>(0.3162*101.26+0.227*104.42+0.1865*103.19)/AO62</f>
        <v>102.73631218308893</v>
      </c>
      <c r="AP64" s="671">
        <f>(0.231*107.78+0.248057*112.54+0.1853*113.11)/AP62</f>
        <v>111.04390829027166</v>
      </c>
      <c r="AQ64" s="557">
        <f>+AQ63/AQ62</f>
        <v>97.708990612253658</v>
      </c>
      <c r="AR64" s="38"/>
      <c r="AS64" s="670">
        <f>(0.255*115.22+0.182315*115.11+0.21*118.75)/AS62</f>
        <v>116.33421077836913</v>
      </c>
      <c r="AT64" s="671">
        <f>(0.2089*115.81+0.24051*114.66+0.204542*119.13)/AT62</f>
        <v>116.42547780265217</v>
      </c>
      <c r="AU64" s="671">
        <f>(0.241375*118.9+0.196137*117.67+0.195*118.26)/AU62</f>
        <v>118.32127815756857</v>
      </c>
      <c r="AV64" s="671">
        <f>(0.265874*115.19+0.179616*127.25+0.14894*135.8)/AV62</f>
        <v>123.99813949497839</v>
      </c>
      <c r="AW64" s="557">
        <f>+AW63/AW62</f>
        <v>118.65688163439019</v>
      </c>
      <c r="AX64" s="38"/>
      <c r="AY64" s="670">
        <f>(0.213435*139.02+0.136194*140.89+0.1924*139.54)/AY62</f>
        <v>139.67444981726069</v>
      </c>
      <c r="AZ64" s="671">
        <f>(0.266757*140.58)/AZ62</f>
        <v>140.58000000000001</v>
      </c>
      <c r="BA64" s="671">
        <f>(0.260095*144.18+0.0012*129.38)/BA62</f>
        <v>144.11203084636142</v>
      </c>
      <c r="BB64" s="671">
        <f>(0.560638*140.66+0.231578*153.03+0.222*156.27)/BB62</f>
        <v>146.90131334942458</v>
      </c>
      <c r="BC64" s="557">
        <f>+BC63/BC62</f>
        <v>143.8632387514831</v>
      </c>
      <c r="BD64" s="38"/>
      <c r="BE64" s="670">
        <f>(0.390163*149.65+0.274235*151.73)/BE62</f>
        <v>150.50853479390364</v>
      </c>
      <c r="BF64" s="671">
        <f>(0.336544*169.41)/BF62</f>
        <v>169.41</v>
      </c>
      <c r="BG64" s="671">
        <f>(168.85*0.021556+163.553*1.157942)/BG62</f>
        <v>163.64980570208684</v>
      </c>
      <c r="BH64" s="671">
        <f>(0.310311*153.44+0.971031*156.95)/BH62</f>
        <v>156.09996026821878</v>
      </c>
      <c r="BI64" s="557">
        <f>+BI63/BI62</f>
        <v>158.89317766283375</v>
      </c>
      <c r="BJ64" s="38"/>
      <c r="BK64" s="670">
        <f>(0.154128*157.41+0.145*166.98+0.008908*171.89)/BK62</f>
        <v>162.33357334856964</v>
      </c>
      <c r="BL64" s="671">
        <f>(0.124639*168.78+0.164117*176.48)/BL62</f>
        <v>173.15636239593292</v>
      </c>
      <c r="BM64" s="671">
        <f>(0.294238*91.54+0.851356*85.82+0.286052*87.4)/BM62</f>
        <v>87.311292903413275</v>
      </c>
      <c r="BN64" s="671">
        <f>(1.821631*68.62+1.417543*70.54)/BN62</f>
        <v>69.460239690735975</v>
      </c>
      <c r="BO64" s="557">
        <f>+BO63/BO62</f>
        <v>85.427170577483707</v>
      </c>
      <c r="BP64" s="38"/>
      <c r="BQ64" s="680">
        <f>+BN64</f>
        <v>69.460239690735975</v>
      </c>
      <c r="BR64" s="678">
        <f>+BQ64</f>
        <v>69.460239690735975</v>
      </c>
      <c r="BS64" s="678">
        <f>+BR64</f>
        <v>69.460239690735975</v>
      </c>
      <c r="BT64" s="678">
        <f>+BS64</f>
        <v>69.460239690735975</v>
      </c>
      <c r="BU64" s="557">
        <f>+BU63/BU62</f>
        <v>69.460239690735975</v>
      </c>
      <c r="BV64" s="38"/>
      <c r="BW64" s="680">
        <f>+BT64</f>
        <v>69.460239690735975</v>
      </c>
      <c r="BX64" s="678">
        <f>+BW64</f>
        <v>69.460239690735975</v>
      </c>
      <c r="BY64" s="678">
        <f>+BX64</f>
        <v>69.460239690735975</v>
      </c>
      <c r="BZ64" s="678">
        <f>+BY64</f>
        <v>69.460239690735975</v>
      </c>
      <c r="CA64" s="557">
        <f>+CA63/CA62</f>
        <v>69.460239690735975</v>
      </c>
      <c r="CB64" s="38"/>
      <c r="CC64" s="680">
        <f>+BZ64</f>
        <v>69.460239690735975</v>
      </c>
      <c r="CD64" s="678">
        <f>+CC64</f>
        <v>69.460239690735975</v>
      </c>
      <c r="CE64" s="678">
        <f>+CD64</f>
        <v>69.460239690735975</v>
      </c>
      <c r="CF64" s="678">
        <f>+CE64</f>
        <v>69.460239690735975</v>
      </c>
      <c r="CG64" s="557">
        <f>+CG63/CG62</f>
        <v>69.460239690735975</v>
      </c>
      <c r="CO64"/>
      <c r="CP64"/>
      <c r="CQ64"/>
      <c r="CR64"/>
      <c r="CS64"/>
      <c r="CT64"/>
    </row>
    <row r="65" spans="1:98" s="7" customFormat="1" ht="11.25" customHeight="1" outlineLevel="1" x14ac:dyDescent="0.2">
      <c r="B65" s="665" t="s">
        <v>116</v>
      </c>
      <c r="C65" s="672"/>
      <c r="D65" s="48"/>
      <c r="E65" s="48"/>
      <c r="F65" s="48"/>
      <c r="G65" s="673"/>
      <c r="H65" s="136"/>
      <c r="I65" s="672"/>
      <c r="J65" s="48"/>
      <c r="K65" s="48"/>
      <c r="L65" s="48"/>
      <c r="M65" s="673"/>
      <c r="N65" s="136"/>
      <c r="O65" s="672"/>
      <c r="P65" s="48"/>
      <c r="Q65" s="48"/>
      <c r="R65" s="48"/>
      <c r="S65" s="673"/>
      <c r="T65" s="136"/>
      <c r="U65" s="672"/>
      <c r="V65" s="48"/>
      <c r="W65" s="48"/>
      <c r="X65" s="48"/>
      <c r="Y65" s="673"/>
      <c r="Z65" s="136"/>
      <c r="AA65" s="672"/>
      <c r="AB65" s="48"/>
      <c r="AC65" s="48"/>
      <c r="AD65" s="48"/>
      <c r="AE65" s="673"/>
      <c r="AF65" s="136"/>
      <c r="AG65" s="672"/>
      <c r="AH65" s="48"/>
      <c r="AI65" s="48"/>
      <c r="AJ65" s="48"/>
      <c r="AK65" s="673"/>
      <c r="AL65" s="136"/>
      <c r="AM65" s="672"/>
      <c r="AN65" s="48"/>
      <c r="AO65" s="48"/>
      <c r="AP65" s="48"/>
      <c r="AQ65" s="673"/>
      <c r="AR65" s="136"/>
      <c r="AS65" s="672"/>
      <c r="AT65" s="48"/>
      <c r="AU65" s="48"/>
      <c r="AV65" s="48"/>
      <c r="AW65" s="673"/>
      <c r="AX65" s="136"/>
      <c r="AY65" s="672"/>
      <c r="AZ65" s="48"/>
      <c r="BA65" s="48"/>
      <c r="BB65" s="48"/>
      <c r="BC65" s="673"/>
      <c r="BD65" s="136"/>
      <c r="BE65" s="672"/>
      <c r="BF65" s="48"/>
      <c r="BG65" s="48"/>
      <c r="BH65" s="48"/>
      <c r="BI65" s="673"/>
      <c r="BJ65" s="136"/>
      <c r="BK65" s="672"/>
      <c r="BL65" s="48"/>
      <c r="BM65" s="48"/>
      <c r="BN65" s="48"/>
      <c r="BO65" s="673"/>
      <c r="BP65" s="136"/>
      <c r="BQ65" s="672"/>
      <c r="BR65" s="48"/>
      <c r="BS65" s="48"/>
      <c r="BT65" s="48"/>
      <c r="BU65" s="673"/>
      <c r="BV65" s="136"/>
      <c r="BW65" s="672"/>
      <c r="BX65" s="48"/>
      <c r="BY65" s="48"/>
      <c r="BZ65" s="48"/>
      <c r="CA65" s="673"/>
      <c r="CB65" s="136"/>
      <c r="CC65" s="672"/>
      <c r="CD65" s="48"/>
      <c r="CE65" s="48"/>
      <c r="CF65" s="48"/>
      <c r="CG65" s="673"/>
      <c r="CO65"/>
      <c r="CP65"/>
      <c r="CQ65"/>
      <c r="CR65"/>
      <c r="CS65"/>
      <c r="CT65"/>
    </row>
    <row r="66" spans="1:98" s="7" customFormat="1" ht="11.25" customHeight="1" x14ac:dyDescent="0.2">
      <c r="B66" s="426"/>
      <c r="C66" s="530"/>
      <c r="D66" s="13"/>
      <c r="E66" s="13"/>
      <c r="F66" s="13"/>
      <c r="G66" s="460"/>
      <c r="H66" s="13"/>
      <c r="I66" s="530"/>
      <c r="J66" s="13"/>
      <c r="K66" s="13"/>
      <c r="L66" s="13"/>
      <c r="M66" s="460"/>
      <c r="N66" s="13"/>
      <c r="O66" s="530"/>
      <c r="P66" s="13"/>
      <c r="Q66" s="13"/>
      <c r="R66" s="13"/>
      <c r="S66" s="460"/>
      <c r="T66" s="13"/>
      <c r="U66" s="530"/>
      <c r="V66" s="13"/>
      <c r="W66" s="13"/>
      <c r="X66" s="13"/>
      <c r="Y66" s="460"/>
      <c r="Z66" s="13"/>
      <c r="AA66" s="530"/>
      <c r="AB66" s="13"/>
      <c r="AC66" s="13"/>
      <c r="AD66" s="13"/>
      <c r="AE66" s="460"/>
      <c r="AF66" s="13"/>
      <c r="AG66" s="530"/>
      <c r="AH66" s="13"/>
      <c r="AI66" s="13"/>
      <c r="AJ66" s="13"/>
      <c r="AK66" s="460"/>
      <c r="AL66" s="13"/>
      <c r="AM66" s="530"/>
      <c r="AN66" s="13"/>
      <c r="AO66" s="13"/>
      <c r="AP66" s="13"/>
      <c r="AQ66" s="460"/>
      <c r="AR66" s="13"/>
      <c r="AS66" s="530"/>
      <c r="AT66" s="13"/>
      <c r="AU66" s="13"/>
      <c r="AV66" s="13"/>
      <c r="AW66" s="460"/>
      <c r="AX66" s="13"/>
      <c r="AY66" s="530"/>
      <c r="AZ66" s="13"/>
      <c r="BA66" s="13"/>
      <c r="BB66" s="13"/>
      <c r="BC66" s="460"/>
      <c r="BD66" s="13"/>
      <c r="BE66" s="530"/>
      <c r="BF66" s="13"/>
      <c r="BG66" s="13"/>
      <c r="BH66" s="13"/>
      <c r="BI66" s="460"/>
      <c r="BJ66" s="13"/>
      <c r="BK66" s="530"/>
      <c r="BL66" s="13"/>
      <c r="BM66" s="13"/>
      <c r="BN66" s="13"/>
      <c r="BO66" s="460"/>
      <c r="BP66" s="13"/>
      <c r="BQ66" s="530"/>
      <c r="BR66" s="13"/>
      <c r="BS66" s="13"/>
      <c r="BT66" s="13"/>
      <c r="BU66" s="460"/>
      <c r="BV66" s="13"/>
      <c r="BW66" s="530"/>
      <c r="BX66" s="13"/>
      <c r="BY66" s="13"/>
      <c r="BZ66" s="13"/>
      <c r="CA66" s="460"/>
      <c r="CB66" s="13"/>
      <c r="CC66" s="530"/>
      <c r="CD66" s="13"/>
      <c r="CE66" s="13"/>
      <c r="CF66" s="13"/>
      <c r="CG66" s="460"/>
      <c r="CO66"/>
      <c r="CP66"/>
      <c r="CQ66"/>
      <c r="CR66"/>
      <c r="CS66"/>
      <c r="CT66"/>
    </row>
    <row r="67" spans="1:98" s="7" customFormat="1" ht="11.25" customHeight="1" x14ac:dyDescent="0.2">
      <c r="B67" s="688" t="s">
        <v>341</v>
      </c>
      <c r="C67" s="685"/>
      <c r="D67" s="686"/>
      <c r="E67" s="686"/>
      <c r="F67" s="686"/>
      <c r="G67" s="687"/>
      <c r="H67" s="13"/>
      <c r="I67" s="692"/>
      <c r="J67" s="693"/>
      <c r="K67" s="693"/>
      <c r="L67" s="693"/>
      <c r="M67" s="694"/>
      <c r="N67" s="13"/>
      <c r="O67" s="692"/>
      <c r="P67" s="693"/>
      <c r="Q67" s="693"/>
      <c r="R67" s="693"/>
      <c r="S67" s="694"/>
      <c r="T67" s="13"/>
      <c r="U67" s="695"/>
      <c r="V67" s="696"/>
      <c r="W67" s="696"/>
      <c r="X67" s="696"/>
      <c r="Y67" s="697"/>
      <c r="Z67" s="13"/>
      <c r="AA67" s="695"/>
      <c r="AB67" s="696"/>
      <c r="AC67" s="696"/>
      <c r="AD67" s="696"/>
      <c r="AE67" s="697"/>
      <c r="AF67" s="13"/>
      <c r="AG67" s="695"/>
      <c r="AH67" s="696"/>
      <c r="AI67" s="696"/>
      <c r="AJ67" s="696"/>
      <c r="AK67" s="697"/>
      <c r="AL67" s="13"/>
      <c r="AM67" s="695"/>
      <c r="AN67" s="696"/>
      <c r="AO67" s="696"/>
      <c r="AP67" s="696"/>
      <c r="AQ67" s="697"/>
      <c r="AR67" s="13"/>
      <c r="AS67" s="695"/>
      <c r="AT67" s="696"/>
      <c r="AU67" s="696"/>
      <c r="AV67" s="696"/>
      <c r="AW67" s="697"/>
      <c r="AX67" s="13"/>
      <c r="AY67" s="695"/>
      <c r="AZ67" s="696"/>
      <c r="BA67" s="696"/>
      <c r="BB67" s="696"/>
      <c r="BC67" s="697"/>
      <c r="BD67" s="13"/>
      <c r="BE67" s="695"/>
      <c r="BF67" s="696"/>
      <c r="BG67" s="696"/>
      <c r="BH67" s="696"/>
      <c r="BI67" s="697"/>
      <c r="BJ67" s="13"/>
      <c r="BK67" s="695"/>
      <c r="BL67" s="696"/>
      <c r="BM67" s="696"/>
      <c r="BN67" s="696"/>
      <c r="BO67" s="697"/>
      <c r="BP67" s="13"/>
      <c r="BQ67" s="695"/>
      <c r="BR67" s="696"/>
      <c r="BS67" s="696"/>
      <c r="BT67" s="696"/>
      <c r="BU67" s="697"/>
      <c r="BV67" s="13"/>
      <c r="BW67" s="695"/>
      <c r="BX67" s="696"/>
      <c r="BY67" s="696"/>
      <c r="BZ67" s="696"/>
      <c r="CA67" s="697"/>
      <c r="CB67" s="13"/>
      <c r="CC67" s="695"/>
      <c r="CD67" s="696"/>
      <c r="CE67" s="696"/>
      <c r="CF67" s="696"/>
      <c r="CG67" s="697"/>
      <c r="CO67"/>
      <c r="CP67"/>
      <c r="CQ67"/>
      <c r="CR67"/>
      <c r="CS67"/>
      <c r="CT67"/>
    </row>
    <row r="68" spans="1:98" s="7" customFormat="1" ht="11.25" customHeight="1" x14ac:dyDescent="0.2">
      <c r="B68" s="426" t="s">
        <v>173</v>
      </c>
      <c r="C68" s="237">
        <v>7.4773209999999999</v>
      </c>
      <c r="D68" s="39">
        <f>+C72</f>
        <v>7.6122860000000001</v>
      </c>
      <c r="E68" s="39">
        <f>+D72</f>
        <v>7.3638170000000001</v>
      </c>
      <c r="F68" s="39">
        <f>+E72</f>
        <v>6.9545899999999996</v>
      </c>
      <c r="G68" s="388">
        <f>+C68</f>
        <v>7.4773209999999999</v>
      </c>
      <c r="H68" s="13"/>
      <c r="I68" s="237">
        <f>+F72</f>
        <v>6.8294529999999991</v>
      </c>
      <c r="J68" s="39">
        <f>+I72</f>
        <v>7.607016999999999</v>
      </c>
      <c r="K68" s="39">
        <f>+J72</f>
        <v>7.4081869999999999</v>
      </c>
      <c r="L68" s="39">
        <f>+K72</f>
        <v>6.9004309999999993</v>
      </c>
      <c r="M68" s="388">
        <f>+I68</f>
        <v>6.8294529999999991</v>
      </c>
      <c r="N68" s="13"/>
      <c r="O68" s="237">
        <f>+L72</f>
        <v>6.7918279999999998</v>
      </c>
      <c r="P68" s="39">
        <f>+O72</f>
        <v>6.7645679999999997</v>
      </c>
      <c r="Q68" s="39">
        <f>+P72</f>
        <v>6.626423</v>
      </c>
      <c r="R68" s="39">
        <f>+Q72</f>
        <v>6.4321160000000006</v>
      </c>
      <c r="S68" s="388">
        <f>+O68</f>
        <v>6.7918279999999998</v>
      </c>
      <c r="T68" s="13"/>
      <c r="U68" s="237">
        <f>+R72</f>
        <v>6.2947420000000003</v>
      </c>
      <c r="V68" s="39">
        <f>+U72</f>
        <v>5.7829750000000004</v>
      </c>
      <c r="W68" s="39">
        <f>+V72</f>
        <v>5.5604550000000001</v>
      </c>
      <c r="X68" s="39">
        <f>+W72</f>
        <v>5.4223740000000005</v>
      </c>
      <c r="Y68" s="388">
        <f>+U68</f>
        <v>6.2947420000000003</v>
      </c>
      <c r="Z68" s="13"/>
      <c r="AA68" s="237">
        <f>+X72</f>
        <v>5.0120000000000005</v>
      </c>
      <c r="AB68" s="39">
        <f>+AA72</f>
        <v>4.4760000000000009</v>
      </c>
      <c r="AC68" s="39">
        <f>+AB72</f>
        <v>4.2640000000000011</v>
      </c>
      <c r="AD68" s="39">
        <f>+AC72</f>
        <v>4.1900000000000013</v>
      </c>
      <c r="AE68" s="388">
        <f>+AA68</f>
        <v>5.0120000000000005</v>
      </c>
      <c r="AF68" s="13"/>
      <c r="AG68" s="237">
        <f>+AD72</f>
        <v>4.0590000000000019</v>
      </c>
      <c r="AH68" s="39">
        <f>+AG72</f>
        <v>3.236000000000002</v>
      </c>
      <c r="AI68" s="39">
        <f>+AH72</f>
        <v>2.9440000000000022</v>
      </c>
      <c r="AJ68" s="39">
        <f>+AI72</f>
        <v>2.8400000000000021</v>
      </c>
      <c r="AK68" s="388">
        <f>+AG68</f>
        <v>4.0590000000000019</v>
      </c>
      <c r="AL68" s="13"/>
      <c r="AM68" s="237">
        <f>+AJ72</f>
        <v>2.1380000000000021</v>
      </c>
      <c r="AN68" s="39">
        <f>+AM72</f>
        <v>1.8460000000000021</v>
      </c>
      <c r="AO68" s="39">
        <f>+AN72</f>
        <v>1.669000000000002</v>
      </c>
      <c r="AP68" s="39">
        <f>+AO72</f>
        <v>1.5940000000000021</v>
      </c>
      <c r="AQ68" s="388">
        <f>+AM68</f>
        <v>2.1380000000000021</v>
      </c>
      <c r="AR68" s="13"/>
      <c r="AS68" s="237">
        <f>+AP72</f>
        <v>1.3230000000000022</v>
      </c>
      <c r="AT68" s="39">
        <f>+AS72</f>
        <v>0.9850000000000021</v>
      </c>
      <c r="AU68" s="39">
        <f>+AT72</f>
        <v>0.88300000000000212</v>
      </c>
      <c r="AV68" s="39">
        <f>+AU72</f>
        <v>0.82200000000000206</v>
      </c>
      <c r="AW68" s="388">
        <f>+AS68</f>
        <v>1.3230000000000022</v>
      </c>
      <c r="AX68" s="13"/>
      <c r="AY68" s="237">
        <f>+AV72</f>
        <v>0.68400000000000194</v>
      </c>
      <c r="AZ68" s="39">
        <f>+AY72</f>
        <v>0.52100000000000191</v>
      </c>
      <c r="BA68" s="39">
        <f>+AZ72</f>
        <v>0.46100000000000191</v>
      </c>
      <c r="BB68" s="39">
        <f>+BA72</f>
        <v>0.44600000000000195</v>
      </c>
      <c r="BC68" s="388">
        <f>+AY68</f>
        <v>0.68400000000000194</v>
      </c>
      <c r="BD68" s="13"/>
      <c r="BE68" s="237">
        <f>+BB72</f>
        <v>0.3850000000000019</v>
      </c>
      <c r="BF68" s="39">
        <f>+BE72</f>
        <v>0.2650000000000019</v>
      </c>
      <c r="BG68" s="39">
        <f>+BF72</f>
        <v>0.21900000000000189</v>
      </c>
      <c r="BH68" s="39">
        <f>+BG72</f>
        <v>0.2070000000000019</v>
      </c>
      <c r="BI68" s="388">
        <f>+BE68</f>
        <v>0.3850000000000019</v>
      </c>
      <c r="BJ68" s="13"/>
      <c r="BK68" s="237">
        <f>+BH72</f>
        <v>0.17700000000000191</v>
      </c>
      <c r="BL68" s="39">
        <f>+BK72</f>
        <v>0.10100000000000191</v>
      </c>
      <c r="BM68" s="39">
        <f>+BL72</f>
        <v>8.800000000000191E-2</v>
      </c>
      <c r="BN68" s="39">
        <f>+BM72</f>
        <v>0.1660000000000019</v>
      </c>
      <c r="BO68" s="388">
        <f>+BK68</f>
        <v>0.17700000000000191</v>
      </c>
      <c r="BP68" s="13"/>
      <c r="BQ68" s="237">
        <f>+BN72</f>
        <v>0.33200000000000185</v>
      </c>
      <c r="BR68" s="39">
        <f>+BQ72</f>
        <v>0.31000000000000194</v>
      </c>
      <c r="BS68" s="39">
        <f>+BR72</f>
        <v>0.28945783132530323</v>
      </c>
      <c r="BT68" s="39">
        <f>+BS72</f>
        <v>0.27027689069531347</v>
      </c>
      <c r="BU68" s="388">
        <f>+BQ68</f>
        <v>0.33200000000000185</v>
      </c>
      <c r="BV68" s="13"/>
      <c r="BW68" s="237">
        <f>+BT72</f>
        <v>0.25236697625164828</v>
      </c>
      <c r="BX68" s="39">
        <f>+BW72</f>
        <v>0.23564386336750309</v>
      </c>
      <c r="BY68" s="39">
        <f>+BX72</f>
        <v>0.22002890856604221</v>
      </c>
      <c r="BZ68" s="39">
        <f>+BY72</f>
        <v>0.20544867968516003</v>
      </c>
      <c r="CA68" s="388">
        <f>+BW68</f>
        <v>0.25236697625164828</v>
      </c>
      <c r="CB68" s="13"/>
      <c r="CC68" s="237">
        <f>+BZ72</f>
        <v>0.19183461054939657</v>
      </c>
      <c r="CD68" s="39">
        <f>+CC72</f>
        <v>0.1791226785250391</v>
      </c>
      <c r="CE68" s="39">
        <f>+CD72</f>
        <v>0.16725310344205471</v>
      </c>
      <c r="CF68" s="39">
        <f>+CE72</f>
        <v>0.15617006646697892</v>
      </c>
      <c r="CG68" s="388">
        <f>+CC68</f>
        <v>0.19183461054939657</v>
      </c>
      <c r="CO68"/>
      <c r="CP68"/>
      <c r="CQ68"/>
      <c r="CR68"/>
      <c r="CS68"/>
      <c r="CT68"/>
    </row>
    <row r="69" spans="1:98" s="7" customFormat="1" ht="11.25" customHeight="1" x14ac:dyDescent="0.2">
      <c r="B69" s="429" t="s">
        <v>105</v>
      </c>
      <c r="C69" s="238">
        <v>0.91260399999999997</v>
      </c>
      <c r="D69" s="204">
        <f>0.926607-C69</f>
        <v>1.4002999999999988E-2</v>
      </c>
      <c r="E69" s="204">
        <f>0.930844-D69-C69</f>
        <v>4.2370000000000463E-3</v>
      </c>
      <c r="F69" s="204">
        <f>0.930112-E69-D69-C69</f>
        <v>-7.3199999999995491E-4</v>
      </c>
      <c r="G69" s="388">
        <f>+SUM(C69:F69)</f>
        <v>0.93011200000000005</v>
      </c>
      <c r="H69" s="13"/>
      <c r="I69" s="238">
        <v>1.101801</v>
      </c>
      <c r="J69" s="204">
        <f>1.101801-I69</f>
        <v>0</v>
      </c>
      <c r="K69" s="204">
        <f>1.124795-J69-I69</f>
        <v>2.2993999999999959E-2</v>
      </c>
      <c r="L69" s="204">
        <f>1.124795-K69-J69-I69</f>
        <v>0</v>
      </c>
      <c r="M69" s="388">
        <f>+SUM(I69:L69)</f>
        <v>1.124795</v>
      </c>
      <c r="N69" s="13"/>
      <c r="O69" s="238">
        <v>4.0621999999999998E-2</v>
      </c>
      <c r="P69" s="204">
        <f>0.042206-O69</f>
        <v>1.5840000000000021E-3</v>
      </c>
      <c r="Q69" s="204">
        <f>0.042206-P69-O69</f>
        <v>0</v>
      </c>
      <c r="R69" s="204">
        <f>0.042206-Q69-P69-O69</f>
        <v>0</v>
      </c>
      <c r="S69" s="388">
        <f>+SUM(O69:R69)</f>
        <v>4.2206E-2</v>
      </c>
      <c r="T69" s="13"/>
      <c r="U69" s="238">
        <v>0.01</v>
      </c>
      <c r="V69" s="204">
        <f>0.01-U69</f>
        <v>0</v>
      </c>
      <c r="W69" s="204">
        <f>0.01-V69-U69</f>
        <v>0</v>
      </c>
      <c r="X69" s="204">
        <f>0.01-W69-V69-U69</f>
        <v>0</v>
      </c>
      <c r="Y69" s="388">
        <f>+SUM(U69:X69)</f>
        <v>0.01</v>
      </c>
      <c r="Z69" s="13"/>
      <c r="AA69" s="238">
        <v>0.01</v>
      </c>
      <c r="AB69" s="204">
        <f>0.01-AA69</f>
        <v>0</v>
      </c>
      <c r="AC69" s="204">
        <f>0.01-AB69-AA69</f>
        <v>0</v>
      </c>
      <c r="AD69" s="204">
        <f>0.01-AC69-AB69-AA69</f>
        <v>0</v>
      </c>
      <c r="AE69" s="388">
        <f>+SUM(AA69:AD69)</f>
        <v>0.01</v>
      </c>
      <c r="AF69" s="13"/>
      <c r="AG69" s="238">
        <v>0</v>
      </c>
      <c r="AH69" s="204">
        <f>0-AG69</f>
        <v>0</v>
      </c>
      <c r="AI69" s="204">
        <f>0-AH69-AG69</f>
        <v>0</v>
      </c>
      <c r="AJ69" s="204">
        <f>0-AI69-AH69-AG69</f>
        <v>0</v>
      </c>
      <c r="AK69" s="388">
        <f>+SUM(AG69:AJ69)</f>
        <v>0</v>
      </c>
      <c r="AL69" s="13"/>
      <c r="AM69" s="238">
        <v>0</v>
      </c>
      <c r="AN69" s="204">
        <f>0-AM69</f>
        <v>0</v>
      </c>
      <c r="AO69" s="204">
        <f>0-AN69-AM69</f>
        <v>0</v>
      </c>
      <c r="AP69" s="204">
        <f>0-AO69-AN69-AM69</f>
        <v>0</v>
      </c>
      <c r="AQ69" s="388">
        <f>+SUM(AM69:AP69)</f>
        <v>0</v>
      </c>
      <c r="AR69" s="13"/>
      <c r="AS69" s="238">
        <v>0</v>
      </c>
      <c r="AT69" s="204">
        <f>0-AS69</f>
        <v>0</v>
      </c>
      <c r="AU69" s="204">
        <f>0-AT69-AS69</f>
        <v>0</v>
      </c>
      <c r="AV69" s="204">
        <f>0-AU69-AT69-AS69</f>
        <v>0</v>
      </c>
      <c r="AW69" s="388">
        <f>+SUM(AS69:AV69)</f>
        <v>0</v>
      </c>
      <c r="AX69" s="13"/>
      <c r="AY69" s="238">
        <v>0</v>
      </c>
      <c r="AZ69" s="204">
        <f>0-AY69</f>
        <v>0</v>
      </c>
      <c r="BA69" s="204">
        <f>0-AZ69-AY69</f>
        <v>0</v>
      </c>
      <c r="BB69" s="204">
        <f>0-BA69-AZ69-AY69</f>
        <v>0</v>
      </c>
      <c r="BC69" s="388">
        <f>+SUM(AY69:BB69)</f>
        <v>0</v>
      </c>
      <c r="BD69" s="13"/>
      <c r="BE69" s="238">
        <v>0</v>
      </c>
      <c r="BF69" s="204">
        <f>0-BE69</f>
        <v>0</v>
      </c>
      <c r="BG69" s="204">
        <f>0-BF69-BE69</f>
        <v>0</v>
      </c>
      <c r="BH69" s="204">
        <f>0-BG69-BF69-BE69</f>
        <v>0</v>
      </c>
      <c r="BI69" s="388">
        <f>SUM(BE69:BH69)</f>
        <v>0</v>
      </c>
      <c r="BJ69" s="13"/>
      <c r="BK69" s="238">
        <v>0</v>
      </c>
      <c r="BL69" s="204">
        <f>0-BK69</f>
        <v>0</v>
      </c>
      <c r="BM69" s="1235">
        <f>0.353-0.177</f>
        <v>0.17599999999999999</v>
      </c>
      <c r="BN69" s="587">
        <f>0.353-SUM(BK69:BM69)</f>
        <v>0.17699999999999999</v>
      </c>
      <c r="BO69" s="388">
        <f>SUM(BK69:BN69)</f>
        <v>0.35299999999999998</v>
      </c>
      <c r="BP69" s="13"/>
      <c r="BQ69" s="537">
        <v>0</v>
      </c>
      <c r="BR69" s="206">
        <v>0</v>
      </c>
      <c r="BS69" s="206">
        <v>0</v>
      </c>
      <c r="BT69" s="206">
        <v>0</v>
      </c>
      <c r="BU69" s="388">
        <f>SUM(BQ69:BT69)</f>
        <v>0</v>
      </c>
      <c r="BV69" s="13"/>
      <c r="BW69" s="537">
        <v>0</v>
      </c>
      <c r="BX69" s="206">
        <v>0</v>
      </c>
      <c r="BY69" s="206">
        <v>0</v>
      </c>
      <c r="BZ69" s="206">
        <v>0</v>
      </c>
      <c r="CA69" s="388">
        <f>SUM(BW69:BZ69)</f>
        <v>0</v>
      </c>
      <c r="CB69" s="13"/>
      <c r="CC69" s="537">
        <v>0</v>
      </c>
      <c r="CD69" s="206">
        <v>0</v>
      </c>
      <c r="CE69" s="206">
        <v>0</v>
      </c>
      <c r="CF69" s="206">
        <v>0</v>
      </c>
      <c r="CG69" s="388">
        <f>SUM(CC69:CF69)</f>
        <v>0</v>
      </c>
      <c r="CO69"/>
      <c r="CP69"/>
      <c r="CQ69"/>
      <c r="CR69"/>
      <c r="CS69"/>
      <c r="CT69"/>
    </row>
    <row r="70" spans="1:98" s="7" customFormat="1" ht="11.25" customHeight="1" x14ac:dyDescent="0.2">
      <c r="B70" s="429" t="s">
        <v>174</v>
      </c>
      <c r="C70" s="238">
        <v>-0.75347299999999995</v>
      </c>
      <c r="D70" s="204">
        <f>-1.012605-C70</f>
        <v>-0.25913200000000003</v>
      </c>
      <c r="E70" s="204">
        <f>-1.384109-D70-C70</f>
        <v>-0.37150399999999995</v>
      </c>
      <c r="F70" s="204">
        <f>-1.487238-E70-D70-C70</f>
        <v>-0.10312900000000025</v>
      </c>
      <c r="G70" s="388">
        <f>+SUM(C70:F70)</f>
        <v>-1.4872380000000003</v>
      </c>
      <c r="H70" s="13"/>
      <c r="I70" s="238">
        <v>-0.30461700000000003</v>
      </c>
      <c r="J70" s="204">
        <f>-0.445525-I70</f>
        <v>-0.14090799999999998</v>
      </c>
      <c r="K70" s="204">
        <f>-0.961874-J70-I70</f>
        <v>-0.51634900000000006</v>
      </c>
      <c r="L70" s="204">
        <f>-0.991259-K70-J70-I70</f>
        <v>-2.9384999999999939E-2</v>
      </c>
      <c r="M70" s="388">
        <f>+SUM(I70:L70)</f>
        <v>-0.99125900000000011</v>
      </c>
      <c r="N70" s="13"/>
      <c r="O70" s="238">
        <v>-2.385E-2</v>
      </c>
      <c r="P70" s="204">
        <f>-0.137382-O70</f>
        <v>-0.11353200000000001</v>
      </c>
      <c r="Q70" s="204">
        <f>-0.311491-P70-O70</f>
        <v>-0.17410899999999999</v>
      </c>
      <c r="R70" s="204">
        <f>-0.445916-Q70-P70-O70</f>
        <v>-0.13442499999999999</v>
      </c>
      <c r="S70" s="388">
        <f>+SUM(O70:R70)</f>
        <v>-0.44591599999999998</v>
      </c>
      <c r="T70" s="13"/>
      <c r="U70" s="238">
        <v>-0.49929299999999999</v>
      </c>
      <c r="V70" s="204">
        <f>-0.706077-U70</f>
        <v>-0.20678399999999997</v>
      </c>
      <c r="W70" s="204">
        <f>-0.840501-V70-U70</f>
        <v>-0.1344240000000001</v>
      </c>
      <c r="X70" s="204">
        <f>-1.249-W70-V70-U70</f>
        <v>-0.40849900000000006</v>
      </c>
      <c r="Y70" s="388">
        <f>+SUM(U70:X70)</f>
        <v>-1.2490000000000001</v>
      </c>
      <c r="Z70" s="13"/>
      <c r="AA70" s="238">
        <v>-0.53900000000000003</v>
      </c>
      <c r="AB70" s="204">
        <f>-0.743-AA70</f>
        <v>-0.20399999999999996</v>
      </c>
      <c r="AC70" s="204">
        <f>-0.813-AB70-AA70</f>
        <v>-6.9999999999999951E-2</v>
      </c>
      <c r="AD70" s="204">
        <f>-0.942-AC70-AB70-AA70</f>
        <v>-0.129</v>
      </c>
      <c r="AE70" s="388">
        <f>+SUM(AA70:AD70)</f>
        <v>-0.94199999999999995</v>
      </c>
      <c r="AF70" s="13"/>
      <c r="AG70" s="238">
        <v>-0.80300000000000005</v>
      </c>
      <c r="AH70" s="204">
        <f>-1.085-AG70</f>
        <v>-0.28199999999999992</v>
      </c>
      <c r="AI70" s="204">
        <f>-1.189-AH70-AG70</f>
        <v>-0.10400000000000009</v>
      </c>
      <c r="AJ70" s="204">
        <f>-1.89-AI70-AH70-AG70</f>
        <v>-0.70099999999999996</v>
      </c>
      <c r="AK70" s="388">
        <f>+SUM(AG70:AJ70)</f>
        <v>-1.8900000000000001</v>
      </c>
      <c r="AL70" s="13"/>
      <c r="AM70" s="238">
        <v>-0.29199999999999998</v>
      </c>
      <c r="AN70" s="204">
        <f>-0.469-AM70</f>
        <v>-0.17699999999999999</v>
      </c>
      <c r="AO70" s="204">
        <f>-0.544-AN70-AM70</f>
        <v>-7.5000000000000067E-2</v>
      </c>
      <c r="AP70" s="204">
        <f>-0.815-AO70-AN70-AM70</f>
        <v>-0.27099999999999996</v>
      </c>
      <c r="AQ70" s="388">
        <f>+SUM(AM70:AP70)</f>
        <v>-0.81499999999999995</v>
      </c>
      <c r="AR70" s="13"/>
      <c r="AS70" s="238">
        <v>-0.33800000000000002</v>
      </c>
      <c r="AT70" s="204">
        <f>-0.44-AS70</f>
        <v>-0.10199999999999998</v>
      </c>
      <c r="AU70" s="204">
        <f>-0.501-AT70-AS70</f>
        <v>-6.0999999999999999E-2</v>
      </c>
      <c r="AV70" s="204">
        <f>-0.639-AU70-AT70-AS70</f>
        <v>-0.13800000000000007</v>
      </c>
      <c r="AW70" s="388">
        <f>+SUM(AS70:AV70)</f>
        <v>-0.63900000000000001</v>
      </c>
      <c r="AX70" s="13"/>
      <c r="AY70" s="238">
        <v>-0.16300000000000001</v>
      </c>
      <c r="AZ70" s="204">
        <f>-0.223-AY70</f>
        <v>-0.06</v>
      </c>
      <c r="BA70" s="204">
        <f>-0.238-AZ70-AY70</f>
        <v>-1.4999999999999986E-2</v>
      </c>
      <c r="BB70" s="204">
        <f>-0.299-BA70-AZ70-AY70</f>
        <v>-6.1000000000000026E-2</v>
      </c>
      <c r="BC70" s="388">
        <f>+SUM(AY70:BB70)</f>
        <v>-0.29900000000000004</v>
      </c>
      <c r="BD70" s="13"/>
      <c r="BE70" s="238">
        <v>-0.12</v>
      </c>
      <c r="BF70" s="204">
        <f>-0.166-BE70</f>
        <v>-4.6000000000000013E-2</v>
      </c>
      <c r="BG70" s="204">
        <f>-0.178-BF70-BE70</f>
        <v>-1.1999999999999983E-2</v>
      </c>
      <c r="BH70" s="204">
        <f>-0.208-BG70-BF70-BE70</f>
        <v>-0.03</v>
      </c>
      <c r="BI70" s="388">
        <f>SUM(BE70:BH70)</f>
        <v>-0.20799999999999999</v>
      </c>
      <c r="BJ70" s="13"/>
      <c r="BK70" s="238">
        <v>-7.5999999999999998E-2</v>
      </c>
      <c r="BL70" s="204">
        <f>-0.089-BK70</f>
        <v>-1.2999999999999998E-2</v>
      </c>
      <c r="BM70" s="204">
        <f>-0.187-SUM(BK70:BL70)</f>
        <v>-9.8000000000000004E-2</v>
      </c>
      <c r="BN70" s="587">
        <f>-0.198-SUM(BK70:BM70)</f>
        <v>-1.100000000000001E-2</v>
      </c>
      <c r="BO70" s="388">
        <f>SUM(BK70:BN70)</f>
        <v>-0.19800000000000001</v>
      </c>
      <c r="BP70" s="13"/>
      <c r="BQ70" s="537">
        <f>-BQ68*BQ76/4</f>
        <v>-2.1999999999999888E-2</v>
      </c>
      <c r="BR70" s="206">
        <f>-BR68*BR76/4</f>
        <v>-2.0542168674698706E-2</v>
      </c>
      <c r="BS70" s="206">
        <f>-BS68*BS76/4</f>
        <v>-1.9180940629989769E-2</v>
      </c>
      <c r="BT70" s="206">
        <f>-BT68*BT76/4</f>
        <v>-1.7909914443665159E-2</v>
      </c>
      <c r="BU70" s="388">
        <f>SUM(BQ70:BT70)</f>
        <v>-7.9633023748353515E-2</v>
      </c>
      <c r="BV70" s="13"/>
      <c r="BW70" s="537">
        <f>-BW68*BW76/4</f>
        <v>-1.6723112884145189E-2</v>
      </c>
      <c r="BX70" s="206">
        <f>-BX68*BX76/4</f>
        <v>-1.5614954801460882E-2</v>
      </c>
      <c r="BY70" s="206">
        <f>-BY68*BY76/4</f>
        <v>-1.4580228880882161E-2</v>
      </c>
      <c r="BZ70" s="206">
        <f>-BZ68*BZ76/4</f>
        <v>-1.3614069135763473E-2</v>
      </c>
      <c r="CA70" s="388">
        <f>SUM(BW70:BZ70)</f>
        <v>-6.0532365702251706E-2</v>
      </c>
      <c r="CB70" s="13"/>
      <c r="CC70" s="537">
        <f>-CC68*CC76/4</f>
        <v>-1.271193202435747E-2</v>
      </c>
      <c r="CD70" s="206">
        <f>-CD68*CD76/4</f>
        <v>-1.1869575082984392E-2</v>
      </c>
      <c r="CE70" s="206">
        <f>-CE68*CE76/4</f>
        <v>-1.1083036975075797E-2</v>
      </c>
      <c r="CF70" s="206">
        <f>-CF68*CF76/4</f>
        <v>-1.0348618862269577E-2</v>
      </c>
      <c r="CG70" s="388">
        <f>SUM(CC70:CF70)</f>
        <v>-4.6013162944687235E-2</v>
      </c>
      <c r="CO70"/>
      <c r="CP70"/>
      <c r="CQ70"/>
      <c r="CR70"/>
      <c r="CS70"/>
      <c r="CT70"/>
    </row>
    <row r="71" spans="1:98" s="7" customFormat="1" ht="11.25" customHeight="1" x14ac:dyDescent="0.2">
      <c r="B71" s="429" t="s">
        <v>333</v>
      </c>
      <c r="C71" s="238">
        <v>-2.4166E-2</v>
      </c>
      <c r="D71" s="204">
        <f>-0.027506-C71</f>
        <v>-3.3399999999999992E-3</v>
      </c>
      <c r="E71" s="204">
        <f>-0.069466-D71-C71</f>
        <v>-4.1960000000000004E-2</v>
      </c>
      <c r="F71" s="204">
        <f>-0.090742-E71-D71-C71</f>
        <v>-2.1275999999999996E-2</v>
      </c>
      <c r="G71" s="388">
        <f>+SUM(C71:F71)</f>
        <v>-9.0741999999999989E-2</v>
      </c>
      <c r="H71" s="13"/>
      <c r="I71" s="238">
        <v>-1.9619999999999999E-2</v>
      </c>
      <c r="J71" s="204">
        <f>-0.077542-I71</f>
        <v>-5.7922000000000001E-2</v>
      </c>
      <c r="K71" s="204">
        <f>-0.091943-J71-I71</f>
        <v>-1.4400999999999997E-2</v>
      </c>
      <c r="L71" s="204">
        <f>-0.171161-K71-J71-I71</f>
        <v>-7.9218000000000011E-2</v>
      </c>
      <c r="M71" s="388">
        <f>+SUM(I71:L71)</f>
        <v>-0.17116100000000001</v>
      </c>
      <c r="N71" s="13"/>
      <c r="O71" s="238">
        <v>-4.4032000000000002E-2</v>
      </c>
      <c r="P71" s="204">
        <f>-0.070229-O71</f>
        <v>-2.6196999999999998E-2</v>
      </c>
      <c r="Q71" s="204">
        <f>-0.090427-P71-O71</f>
        <v>-2.0197999999999994E-2</v>
      </c>
      <c r="R71" s="204">
        <f>-0.093376-Q71-P71-O71</f>
        <v>-2.9490000000000072E-3</v>
      </c>
      <c r="S71" s="388">
        <f>+SUM(O71:R71)</f>
        <v>-9.3376000000000001E-2</v>
      </c>
      <c r="T71" s="13"/>
      <c r="U71" s="238">
        <v>-2.2474000000000001E-2</v>
      </c>
      <c r="V71" s="204">
        <f>-0.03821-U71</f>
        <v>-1.5736E-2</v>
      </c>
      <c r="W71" s="204">
        <f>-0.041867-V71-U71</f>
        <v>-3.6570000000000005E-3</v>
      </c>
      <c r="X71" s="204">
        <f>-0.044-W71-V71-U71+(6.295-6.294742)</f>
        <v>-1.8750000000003486E-3</v>
      </c>
      <c r="Y71" s="388">
        <f>+SUM(U71:X71)</f>
        <v>-4.374200000000035E-2</v>
      </c>
      <c r="Z71" s="13"/>
      <c r="AA71" s="238">
        <v>-7.0000000000000001E-3</v>
      </c>
      <c r="AB71" s="204">
        <f>-0.015-AA71</f>
        <v>-8.0000000000000002E-3</v>
      </c>
      <c r="AC71" s="204">
        <f>-0.019-AB71-AA71</f>
        <v>-3.9999999999999992E-3</v>
      </c>
      <c r="AD71" s="204">
        <f>-0.021-AC71-AB71-AA71</f>
        <v>-2.0000000000000009E-3</v>
      </c>
      <c r="AE71" s="388">
        <f>+SUM(AA71:AD71)</f>
        <v>-2.1000000000000001E-2</v>
      </c>
      <c r="AF71" s="13"/>
      <c r="AG71" s="238">
        <v>-0.02</v>
      </c>
      <c r="AH71" s="204">
        <f>-0.03-AG71</f>
        <v>-9.9999999999999985E-3</v>
      </c>
      <c r="AI71" s="204">
        <f>-0.03-AH71-AG71</f>
        <v>0</v>
      </c>
      <c r="AJ71" s="204">
        <f>-0.031-AI71-AH71-AG71</f>
        <v>-1.0000000000000009E-3</v>
      </c>
      <c r="AK71" s="388">
        <f>+SUM(AG71:AJ71)</f>
        <v>-3.1E-2</v>
      </c>
      <c r="AL71" s="13"/>
      <c r="AM71" s="238">
        <v>0</v>
      </c>
      <c r="AN71" s="204">
        <f>0-AM71</f>
        <v>0</v>
      </c>
      <c r="AO71" s="204">
        <f>0-AN71-AM71</f>
        <v>0</v>
      </c>
      <c r="AP71" s="204">
        <f>0-AO71-AN71-AM71</f>
        <v>0</v>
      </c>
      <c r="AQ71" s="388">
        <f>+SUM(AM71:AP71)</f>
        <v>0</v>
      </c>
      <c r="AR71" s="13"/>
      <c r="AS71" s="238">
        <v>0</v>
      </c>
      <c r="AT71" s="204">
        <f>0-AS71</f>
        <v>0</v>
      </c>
      <c r="AU71" s="204">
        <f>0-AT71-AS71</f>
        <v>0</v>
      </c>
      <c r="AV71" s="204">
        <f>0-AU71-AT71-AS71</f>
        <v>0</v>
      </c>
      <c r="AW71" s="388">
        <f>+SUM(AS71:AV71)</f>
        <v>0</v>
      </c>
      <c r="AX71" s="13"/>
      <c r="AY71" s="238">
        <v>0</v>
      </c>
      <c r="AZ71" s="204">
        <f>0-AY71</f>
        <v>0</v>
      </c>
      <c r="BA71" s="204">
        <f>0-AZ71-AY71</f>
        <v>0</v>
      </c>
      <c r="BB71" s="204">
        <f>0-BA71-AZ71-AY71</f>
        <v>0</v>
      </c>
      <c r="BC71" s="388">
        <f>+SUM(AY71:BB71)</f>
        <v>0</v>
      </c>
      <c r="BD71" s="13"/>
      <c r="BE71" s="238">
        <v>0</v>
      </c>
      <c r="BF71" s="204">
        <f>0-BE71</f>
        <v>0</v>
      </c>
      <c r="BG71" s="204">
        <f>0-BF71-BE71</f>
        <v>0</v>
      </c>
      <c r="BH71" s="204">
        <f>0-BG71-BF71-BE71</f>
        <v>0</v>
      </c>
      <c r="BI71" s="388">
        <f>SUM(BE71:BH71)</f>
        <v>0</v>
      </c>
      <c r="BJ71" s="13"/>
      <c r="BK71" s="238">
        <v>0</v>
      </c>
      <c r="BL71" s="204">
        <f>0-BK71</f>
        <v>0</v>
      </c>
      <c r="BM71" s="204">
        <f>0-SUM(BK71:BL71)</f>
        <v>0</v>
      </c>
      <c r="BN71" s="587">
        <f>0-SUM(BK71:BM71)</f>
        <v>0</v>
      </c>
      <c r="BO71" s="388">
        <f>SUM(BK71:BN71)</f>
        <v>0</v>
      </c>
      <c r="BP71" s="13"/>
      <c r="BQ71" s="537">
        <f>-BQ68*BQ77/4</f>
        <v>0</v>
      </c>
      <c r="BR71" s="206">
        <f>-BR68*BR77/4</f>
        <v>0</v>
      </c>
      <c r="BS71" s="206">
        <f>-BS68*BS77/4</f>
        <v>0</v>
      </c>
      <c r="BT71" s="206">
        <f>-BT68*BT77/4</f>
        <v>0</v>
      </c>
      <c r="BU71" s="388">
        <f>SUM(BQ71:BT71)</f>
        <v>0</v>
      </c>
      <c r="BV71" s="13"/>
      <c r="BW71" s="537">
        <f>-BW68*BW77/4</f>
        <v>0</v>
      </c>
      <c r="BX71" s="206">
        <f>-BX68*BX77/4</f>
        <v>0</v>
      </c>
      <c r="BY71" s="206">
        <f>-BY68*BY77/4</f>
        <v>0</v>
      </c>
      <c r="BZ71" s="206">
        <f>-BZ68*BZ77/4</f>
        <v>0</v>
      </c>
      <c r="CA71" s="388">
        <f>SUM(BW71:BZ71)</f>
        <v>0</v>
      </c>
      <c r="CB71" s="13"/>
      <c r="CC71" s="537">
        <f>-CC68*CC77/4</f>
        <v>0</v>
      </c>
      <c r="CD71" s="206">
        <f>-CD68*CD77/4</f>
        <v>0</v>
      </c>
      <c r="CE71" s="206">
        <f>-CE68*CE77/4</f>
        <v>0</v>
      </c>
      <c r="CF71" s="206">
        <f>-CF68*CF77/4</f>
        <v>0</v>
      </c>
      <c r="CG71" s="388">
        <f>SUM(CC71:CF71)</f>
        <v>0</v>
      </c>
      <c r="CO71"/>
      <c r="CP71"/>
      <c r="CQ71"/>
      <c r="CR71"/>
      <c r="CS71"/>
      <c r="CT71"/>
    </row>
    <row r="72" spans="1:98" s="7" customFormat="1" ht="11.25" customHeight="1" x14ac:dyDescent="0.2">
      <c r="B72" s="666" t="s">
        <v>175</v>
      </c>
      <c r="C72" s="237">
        <f>+SUM(C68:C71)</f>
        <v>7.6122860000000001</v>
      </c>
      <c r="D72" s="39">
        <f>+SUM(D68:D71)</f>
        <v>7.3638170000000001</v>
      </c>
      <c r="E72" s="39">
        <f>+SUM(E68:E71)</f>
        <v>6.9545899999999996</v>
      </c>
      <c r="F72" s="39">
        <f>+SUM(F68:F71)</f>
        <v>6.8294529999999991</v>
      </c>
      <c r="G72" s="388">
        <f>+SUM(G68:G71)</f>
        <v>6.8294529999999991</v>
      </c>
      <c r="H72" s="13"/>
      <c r="I72" s="237">
        <f>+SUM(I68:I71)</f>
        <v>7.607016999999999</v>
      </c>
      <c r="J72" s="39">
        <f>+SUM(J68:J71)</f>
        <v>7.4081869999999999</v>
      </c>
      <c r="K72" s="39">
        <f>+SUM(K68:K71)</f>
        <v>6.9004309999999993</v>
      </c>
      <c r="L72" s="39">
        <f>+SUM(L68:L71)</f>
        <v>6.7918279999999998</v>
      </c>
      <c r="M72" s="388">
        <f>+SUM(M68:M71)</f>
        <v>6.7918279999999989</v>
      </c>
      <c r="N72" s="13"/>
      <c r="O72" s="237">
        <f>+SUM(O68:O71)</f>
        <v>6.7645679999999997</v>
      </c>
      <c r="P72" s="39">
        <f>+SUM(P68:P71)</f>
        <v>6.626423</v>
      </c>
      <c r="Q72" s="39">
        <f>+SUM(Q68:Q71)</f>
        <v>6.4321160000000006</v>
      </c>
      <c r="R72" s="39">
        <f>+SUM(R68:R71)</f>
        <v>6.2947420000000003</v>
      </c>
      <c r="S72" s="388">
        <f>+SUM(S68:S71)</f>
        <v>6.2947420000000003</v>
      </c>
      <c r="T72" s="13"/>
      <c r="U72" s="237">
        <f>+SUM(U68:U71)</f>
        <v>5.7829750000000004</v>
      </c>
      <c r="V72" s="39">
        <f>+SUM(V68:V71)</f>
        <v>5.5604550000000001</v>
      </c>
      <c r="W72" s="39">
        <f>+SUM(W68:W71)</f>
        <v>5.4223740000000005</v>
      </c>
      <c r="X72" s="39">
        <f>+SUM(X68:X71)</f>
        <v>5.0120000000000005</v>
      </c>
      <c r="Y72" s="388">
        <f>+SUM(Y68:Y71)</f>
        <v>5.0120000000000005</v>
      </c>
      <c r="Z72" s="13"/>
      <c r="AA72" s="237">
        <f>+SUM(AA68:AA71)</f>
        <v>4.4760000000000009</v>
      </c>
      <c r="AB72" s="39">
        <f>+SUM(AB68:AB71)</f>
        <v>4.2640000000000011</v>
      </c>
      <c r="AC72" s="39">
        <f>+SUM(AC68:AC71)</f>
        <v>4.1900000000000013</v>
      </c>
      <c r="AD72" s="39">
        <f>+SUM(AD68:AD71)</f>
        <v>4.0590000000000019</v>
      </c>
      <c r="AE72" s="388">
        <f>+SUM(AE68:AE71)</f>
        <v>4.0590000000000002</v>
      </c>
      <c r="AF72" s="13"/>
      <c r="AG72" s="237">
        <f>+SUM(AG68:AG71)</f>
        <v>3.236000000000002</v>
      </c>
      <c r="AH72" s="39">
        <f>+SUM(AH68:AH71)</f>
        <v>2.9440000000000022</v>
      </c>
      <c r="AI72" s="39">
        <f>+SUM(AI68:AI71)</f>
        <v>2.8400000000000021</v>
      </c>
      <c r="AJ72" s="39">
        <f>+SUM(AJ68:AJ71)</f>
        <v>2.1380000000000021</v>
      </c>
      <c r="AK72" s="388">
        <f>+SUM(AK68:AK71)</f>
        <v>2.1380000000000017</v>
      </c>
      <c r="AL72" s="13"/>
      <c r="AM72" s="237">
        <f>+SUM(AM68:AM71)</f>
        <v>1.8460000000000021</v>
      </c>
      <c r="AN72" s="39">
        <f>+SUM(AN68:AN71)</f>
        <v>1.669000000000002</v>
      </c>
      <c r="AO72" s="39">
        <f>+SUM(AO68:AO71)</f>
        <v>1.5940000000000021</v>
      </c>
      <c r="AP72" s="39">
        <f>+SUM(AP68:AP71)</f>
        <v>1.3230000000000022</v>
      </c>
      <c r="AQ72" s="388">
        <f>+SUM(AQ68:AQ71)</f>
        <v>1.3230000000000022</v>
      </c>
      <c r="AR72" s="13"/>
      <c r="AS72" s="237">
        <f>+SUM(AS68:AS71)</f>
        <v>0.9850000000000021</v>
      </c>
      <c r="AT72" s="39">
        <f>+SUM(AT68:AT71)</f>
        <v>0.88300000000000212</v>
      </c>
      <c r="AU72" s="39">
        <f>+SUM(AU68:AU71)</f>
        <v>0.82200000000000206</v>
      </c>
      <c r="AV72" s="39">
        <f>+SUM(AV68:AV71)</f>
        <v>0.68400000000000194</v>
      </c>
      <c r="AW72" s="388">
        <f>+SUM(AW68:AW71)</f>
        <v>0.68400000000000216</v>
      </c>
      <c r="AX72" s="13"/>
      <c r="AY72" s="237">
        <f>+SUM(AY68:AY71)</f>
        <v>0.52100000000000191</v>
      </c>
      <c r="AZ72" s="39">
        <f>+SUM(AZ68:AZ71)</f>
        <v>0.46100000000000191</v>
      </c>
      <c r="BA72" s="39">
        <f>+SUM(BA68:BA71)</f>
        <v>0.44600000000000195</v>
      </c>
      <c r="BB72" s="39">
        <f>+SUM(BB68:BB71)</f>
        <v>0.3850000000000019</v>
      </c>
      <c r="BC72" s="388">
        <f>+SUM(BC68:BC71)</f>
        <v>0.3850000000000019</v>
      </c>
      <c r="BD72" s="13"/>
      <c r="BE72" s="237">
        <f>+SUM(BE68:BE71)</f>
        <v>0.2650000000000019</v>
      </c>
      <c r="BF72" s="39">
        <f>+SUM(BF68:BF71)</f>
        <v>0.21900000000000189</v>
      </c>
      <c r="BG72" s="39">
        <f>+SUM(BG68:BG71)</f>
        <v>0.2070000000000019</v>
      </c>
      <c r="BH72" s="39">
        <f>+SUM(BH68:BH71)</f>
        <v>0.17700000000000191</v>
      </c>
      <c r="BI72" s="388">
        <f>+SUM(BI68:BI71)</f>
        <v>0.17700000000000191</v>
      </c>
      <c r="BJ72" s="13"/>
      <c r="BK72" s="237">
        <f>+SUM(BK68:BK71)</f>
        <v>0.10100000000000191</v>
      </c>
      <c r="BL72" s="39">
        <f>+SUM(BL68:BL71)</f>
        <v>8.800000000000191E-2</v>
      </c>
      <c r="BM72" s="39">
        <f>+SUM(BM68:BM71)</f>
        <v>0.1660000000000019</v>
      </c>
      <c r="BN72" s="39">
        <f>+SUM(BN68:BN71)</f>
        <v>0.33200000000000185</v>
      </c>
      <c r="BO72" s="388">
        <f>+SUM(BO68:BO71)</f>
        <v>0.3320000000000019</v>
      </c>
      <c r="BP72" s="13"/>
      <c r="BQ72" s="237">
        <f>+SUM(BQ68:BQ71)</f>
        <v>0.31000000000000194</v>
      </c>
      <c r="BR72" s="39">
        <f>+SUM(BR68:BR71)</f>
        <v>0.28945783132530323</v>
      </c>
      <c r="BS72" s="39">
        <f>+SUM(BS68:BS71)</f>
        <v>0.27027689069531347</v>
      </c>
      <c r="BT72" s="39">
        <f>+SUM(BT68:BT71)</f>
        <v>0.25236697625164828</v>
      </c>
      <c r="BU72" s="388">
        <f>+SUM(BU68:BU71)</f>
        <v>0.25236697625164833</v>
      </c>
      <c r="BV72" s="13"/>
      <c r="BW72" s="237">
        <f>+SUM(BW68:BW71)</f>
        <v>0.23564386336750309</v>
      </c>
      <c r="BX72" s="39">
        <f>+SUM(BX68:BX71)</f>
        <v>0.22002890856604221</v>
      </c>
      <c r="BY72" s="39">
        <f>+SUM(BY68:BY71)</f>
        <v>0.20544867968516003</v>
      </c>
      <c r="BZ72" s="39">
        <f>+SUM(BZ68:BZ71)</f>
        <v>0.19183461054939657</v>
      </c>
      <c r="CA72" s="388">
        <f>+SUM(CA68:CA71)</f>
        <v>0.19183461054939657</v>
      </c>
      <c r="CB72" s="13"/>
      <c r="CC72" s="237">
        <f>+SUM(CC68:CC71)</f>
        <v>0.1791226785250391</v>
      </c>
      <c r="CD72" s="39">
        <f>+SUM(CD68:CD71)</f>
        <v>0.16725310344205471</v>
      </c>
      <c r="CE72" s="39">
        <f>+SUM(CE68:CE71)</f>
        <v>0.15617006646697892</v>
      </c>
      <c r="CF72" s="39">
        <f>+SUM(CF68:CF71)</f>
        <v>0.14582144760470936</v>
      </c>
      <c r="CG72" s="388">
        <f>+SUM(CG68:CG71)</f>
        <v>0.14582144760470933</v>
      </c>
      <c r="CO72"/>
      <c r="CP72"/>
      <c r="CQ72"/>
      <c r="CR72"/>
      <c r="CS72"/>
      <c r="CT72"/>
    </row>
    <row r="73" spans="1:98" s="7" customFormat="1" ht="11.25" customHeight="1" x14ac:dyDescent="0.2">
      <c r="B73" s="426" t="s">
        <v>176</v>
      </c>
      <c r="C73" s="670">
        <v>23.82</v>
      </c>
      <c r="D73" s="671">
        <v>23.7</v>
      </c>
      <c r="E73" s="671">
        <v>23.81</v>
      </c>
      <c r="F73" s="671">
        <v>23.85</v>
      </c>
      <c r="G73" s="557">
        <f>AVERAGE(C73:F73)</f>
        <v>23.795000000000002</v>
      </c>
      <c r="H73" s="13"/>
      <c r="I73" s="670">
        <v>27.63</v>
      </c>
      <c r="J73" s="671">
        <v>28.49</v>
      </c>
      <c r="K73" s="671">
        <v>26.16</v>
      </c>
      <c r="L73" s="671">
        <v>25.87</v>
      </c>
      <c r="M73" s="557">
        <f>AVERAGE(I73:L73)</f>
        <v>27.037500000000001</v>
      </c>
      <c r="N73" s="13"/>
      <c r="O73" s="670">
        <v>15.8</v>
      </c>
      <c r="P73" s="671">
        <v>28.59</v>
      </c>
      <c r="Q73" s="671">
        <v>31.11</v>
      </c>
      <c r="R73" s="671">
        <v>26.62</v>
      </c>
      <c r="S73" s="557">
        <f>AVERAGE(O73:R73)</f>
        <v>25.53</v>
      </c>
      <c r="T73" s="13"/>
      <c r="U73" s="670">
        <v>30.6</v>
      </c>
      <c r="V73" s="671">
        <v>29.86</v>
      </c>
      <c r="W73" s="671">
        <v>30.21</v>
      </c>
      <c r="X73" s="671">
        <v>30.84</v>
      </c>
      <c r="Y73" s="557">
        <f>AVERAGE(U73:X73)</f>
        <v>30.377500000000001</v>
      </c>
      <c r="Z73" s="13"/>
      <c r="AA73" s="670">
        <v>35.04</v>
      </c>
      <c r="AB73" s="671">
        <v>37.85</v>
      </c>
      <c r="AC73" s="671">
        <v>37.42</v>
      </c>
      <c r="AD73" s="671">
        <v>36.840000000000003</v>
      </c>
      <c r="AE73" s="557">
        <f>AVERAGE(AA73:AD73)</f>
        <v>36.787500000000001</v>
      </c>
      <c r="AF73" s="13"/>
      <c r="AG73" s="670">
        <v>38.020000000000003</v>
      </c>
      <c r="AH73" s="671">
        <v>38.19</v>
      </c>
      <c r="AI73" s="671">
        <v>38.49</v>
      </c>
      <c r="AJ73" s="671">
        <v>40.06</v>
      </c>
      <c r="AK73" s="557">
        <f>AVERAGE(AG73:AJ73)</f>
        <v>38.690000000000005</v>
      </c>
      <c r="AL73" s="13"/>
      <c r="AM73" s="670">
        <v>40.950000000000003</v>
      </c>
      <c r="AN73" s="671">
        <v>41.81</v>
      </c>
      <c r="AO73" s="671">
        <v>41.91</v>
      </c>
      <c r="AP73" s="671">
        <v>43.86</v>
      </c>
      <c r="AQ73" s="557">
        <f>AVERAGE(AM73:AP73)</f>
        <v>42.1325</v>
      </c>
      <c r="AR73" s="13"/>
      <c r="AS73" s="670">
        <v>49.09</v>
      </c>
      <c r="AT73" s="671">
        <v>48.66</v>
      </c>
      <c r="AU73" s="671">
        <v>48.45</v>
      </c>
      <c r="AV73" s="671">
        <v>49.51</v>
      </c>
      <c r="AW73" s="557">
        <f>AVERAGE(AS73:AV73)</f>
        <v>48.927499999999995</v>
      </c>
      <c r="AX73" s="13"/>
      <c r="AY73" s="670">
        <v>47.15</v>
      </c>
      <c r="AZ73" s="671">
        <v>49.31</v>
      </c>
      <c r="BA73" s="671">
        <v>49.43</v>
      </c>
      <c r="BB73" s="671">
        <v>50.09</v>
      </c>
      <c r="BC73" s="557">
        <f>AVERAGE(AY73:BB73)</f>
        <v>48.995000000000005</v>
      </c>
      <c r="BD73" s="13"/>
      <c r="BE73" s="670">
        <v>53.7</v>
      </c>
      <c r="BF73" s="671">
        <v>54.87</v>
      </c>
      <c r="BG73" s="671">
        <v>54.88</v>
      </c>
      <c r="BH73" s="671">
        <v>54.99</v>
      </c>
      <c r="BI73" s="557">
        <f>+AVERAGE(BE73:BH73)</f>
        <v>54.61</v>
      </c>
      <c r="BJ73" s="13"/>
      <c r="BK73" s="670">
        <v>54.6</v>
      </c>
      <c r="BL73" s="671">
        <v>55.11</v>
      </c>
      <c r="BM73" s="671">
        <v>55.11</v>
      </c>
      <c r="BN73" s="671">
        <v>27.76</v>
      </c>
      <c r="BO73" s="557">
        <f>+AVERAGE(BK73:BN73)</f>
        <v>48.144999999999996</v>
      </c>
      <c r="BP73" s="13"/>
      <c r="BQ73" s="556">
        <f>+BK73*(1+BQ74)</f>
        <v>54.828826530612247</v>
      </c>
      <c r="BR73" s="167">
        <f>+BL73*(1+BR74)</f>
        <v>55.3409639212828</v>
      </c>
      <c r="BS73" s="167">
        <f>+BM73*(1+BS74)</f>
        <v>55.3409639212828</v>
      </c>
      <c r="BT73" s="167">
        <f>+BN73*(1+BT74)</f>
        <v>27.876341107871724</v>
      </c>
      <c r="BU73" s="557">
        <f>+AVERAGE(BQ73:BT73)</f>
        <v>48.346773870262389</v>
      </c>
      <c r="BV73" s="13"/>
      <c r="BW73" s="556">
        <f>+BQ73*(1+BW74)</f>
        <v>55.058612064541563</v>
      </c>
      <c r="BX73" s="167">
        <f>+BR73*(1+BX74)</f>
        <v>55.572895803605959</v>
      </c>
      <c r="BY73" s="167">
        <f>+BS73*(1+BY74)</f>
        <v>55.572895803605959</v>
      </c>
      <c r="BZ73" s="167">
        <f>+BT73*(1+BZ74)</f>
        <v>27.993169796917105</v>
      </c>
      <c r="CA73" s="557">
        <f>+AVERAGE(BW73:BZ73)</f>
        <v>48.549393367167646</v>
      </c>
      <c r="CB73" s="13"/>
      <c r="CC73" s="556">
        <f>+BW73*(1+CC74)</f>
        <v>55.289360620934502</v>
      </c>
      <c r="CD73" s="167">
        <f>+BX73*(1+CD74)</f>
        <v>55.80579970365752</v>
      </c>
      <c r="CE73" s="167">
        <f>+BY73*(1+CE74)</f>
        <v>55.80579970365752</v>
      </c>
      <c r="CF73" s="167">
        <f>+BZ73*(1+CF74)</f>
        <v>28.110488110570365</v>
      </c>
      <c r="CG73" s="557">
        <f>+AVERAGE(CC73:CF73)</f>
        <v>48.752862034704982</v>
      </c>
      <c r="CO73"/>
      <c r="CP73"/>
      <c r="CQ73"/>
      <c r="CR73"/>
      <c r="CS73"/>
      <c r="CT73"/>
    </row>
    <row r="74" spans="1:98" s="7" customFormat="1" ht="11.25" customHeight="1" x14ac:dyDescent="0.2">
      <c r="A74" s="186"/>
      <c r="B74" s="665" t="s">
        <v>106</v>
      </c>
      <c r="C74" s="604"/>
      <c r="D74" s="605"/>
      <c r="E74" s="605"/>
      <c r="F74" s="605"/>
      <c r="G74" s="611"/>
      <c r="H74" s="26"/>
      <c r="I74" s="604">
        <f>+I73/C73-1</f>
        <v>0.15994962216624686</v>
      </c>
      <c r="J74" s="605">
        <f>+J73/D73-1</f>
        <v>0.20210970464135025</v>
      </c>
      <c r="K74" s="605">
        <f>+K73/E73-1</f>
        <v>9.8698026039479192E-2</v>
      </c>
      <c r="L74" s="605">
        <f>+L73/F73-1</f>
        <v>8.4696016771488525E-2</v>
      </c>
      <c r="M74" s="611">
        <f>+M73/G73-1</f>
        <v>0.13626812355536866</v>
      </c>
      <c r="N74" s="26"/>
      <c r="O74" s="604">
        <f>+O73/I73-1</f>
        <v>-0.42815779949330435</v>
      </c>
      <c r="P74" s="605">
        <f>+P73/J73-1</f>
        <v>3.5100035100035232E-3</v>
      </c>
      <c r="Q74" s="605">
        <f>+Q73/K73-1</f>
        <v>0.18922018348623859</v>
      </c>
      <c r="R74" s="605">
        <f>+R73/L73-1</f>
        <v>2.8991109393119441E-2</v>
      </c>
      <c r="S74" s="611">
        <f>+S73/M73-1</f>
        <v>-5.5755894590846067E-2</v>
      </c>
      <c r="T74" s="26"/>
      <c r="U74" s="604">
        <f>+U73/O73-1</f>
        <v>0.93670886075949378</v>
      </c>
      <c r="V74" s="605">
        <f>+V73/P73-1</f>
        <v>4.4421126267925937E-2</v>
      </c>
      <c r="W74" s="605">
        <f>+W73/Q73-1</f>
        <v>-2.8929604628736727E-2</v>
      </c>
      <c r="X74" s="605">
        <f>+X73/R73-1</f>
        <v>0.15852742299023292</v>
      </c>
      <c r="Y74" s="611">
        <f>+Y73/S73-1</f>
        <v>0.18987465726596153</v>
      </c>
      <c r="Z74" s="26"/>
      <c r="AA74" s="604">
        <f>+AA73/U73-1</f>
        <v>0.1450980392156862</v>
      </c>
      <c r="AB74" s="605">
        <f>+AB73/V73-1</f>
        <v>0.26758204956463505</v>
      </c>
      <c r="AC74" s="605">
        <f>+AC73/W73-1</f>
        <v>0.23866269447202915</v>
      </c>
      <c r="AD74" s="605">
        <f>+AD73/X73-1</f>
        <v>0.19455252918287957</v>
      </c>
      <c r="AE74" s="611">
        <f>+AE73/Y73-1</f>
        <v>0.21101143938770472</v>
      </c>
      <c r="AF74" s="26"/>
      <c r="AG74" s="604">
        <f>+AG73/AA73-1</f>
        <v>8.504566210045672E-2</v>
      </c>
      <c r="AH74" s="605">
        <f>+AH73/AB73-1</f>
        <v>8.9828269484808487E-3</v>
      </c>
      <c r="AI74" s="605">
        <f>+AI73/AC73-1</f>
        <v>2.8594334580438252E-2</v>
      </c>
      <c r="AJ74" s="605">
        <f>+AJ73/AD73-1</f>
        <v>8.7404994571118388E-2</v>
      </c>
      <c r="AK74" s="611">
        <f>+AK73/AE73-1</f>
        <v>5.171593611960601E-2</v>
      </c>
      <c r="AL74" s="26"/>
      <c r="AM74" s="604">
        <f>+AM73/AG73-1</f>
        <v>7.7064702788006256E-2</v>
      </c>
      <c r="AN74" s="605">
        <f>+AN73/AH73-1</f>
        <v>9.4789211835559106E-2</v>
      </c>
      <c r="AO74" s="605">
        <f>+AO73/AI73-1</f>
        <v>8.8854247856585911E-2</v>
      </c>
      <c r="AP74" s="605">
        <f>+AP73/AJ73-1</f>
        <v>9.4857713429855162E-2</v>
      </c>
      <c r="AQ74" s="611">
        <f>+AQ73/AK73-1</f>
        <v>8.8976479710519474E-2</v>
      </c>
      <c r="AR74" s="26"/>
      <c r="AS74" s="604">
        <f>+AS73/AM73-1</f>
        <v>0.19877899877899874</v>
      </c>
      <c r="AT74" s="605">
        <f>+AT73/AN73-1</f>
        <v>0.16383640277445566</v>
      </c>
      <c r="AU74" s="605">
        <f>+AU73/AO73-1</f>
        <v>0.15604867573371517</v>
      </c>
      <c r="AV74" s="605">
        <f>+AV73/AP73-1</f>
        <v>0.12881896944824445</v>
      </c>
      <c r="AW74" s="611">
        <f>+AW73/AQ73-1</f>
        <v>0.16127692398979399</v>
      </c>
      <c r="AX74" s="26"/>
      <c r="AY74" s="604">
        <f>+AY73/AS73-1</f>
        <v>-3.9519250356488178E-2</v>
      </c>
      <c r="AZ74" s="605">
        <f>+AZ73/AT73-1</f>
        <v>1.3357994245787319E-2</v>
      </c>
      <c r="BA74" s="605">
        <f>+BA73/AU73-1</f>
        <v>2.0227038183694424E-2</v>
      </c>
      <c r="BB74" s="605">
        <f>+BB73/AV73-1</f>
        <v>1.1714805089880986E-2</v>
      </c>
      <c r="BC74" s="611">
        <f>+BC73/AW73-1</f>
        <v>1.3795922538450966E-3</v>
      </c>
      <c r="BD74" s="26"/>
      <c r="BE74" s="604">
        <f>+BE73/AY73-1</f>
        <v>0.13891834570519634</v>
      </c>
      <c r="BF74" s="605">
        <f>+BF73/AZ73-1</f>
        <v>0.11275603325897365</v>
      </c>
      <c r="BG74" s="605">
        <f>+BG73/BA73-1</f>
        <v>0.11025692899049155</v>
      </c>
      <c r="BH74" s="605">
        <f>+BH73/BB73-1</f>
        <v>9.7823916949490775E-2</v>
      </c>
      <c r="BI74" s="611">
        <f>+BI73/BC73-1</f>
        <v>0.11460353097254816</v>
      </c>
      <c r="BJ74" s="26"/>
      <c r="BK74" s="604">
        <f>+BK73/BE73-1</f>
        <v>1.6759776536312776E-2</v>
      </c>
      <c r="BL74" s="605">
        <f>+BL73/BF73-1</f>
        <v>4.3739748496447461E-3</v>
      </c>
      <c r="BM74" s="605">
        <f>+BM73/BG73-1</f>
        <v>4.1909620991253949E-3</v>
      </c>
      <c r="BN74" s="605">
        <f>+BM74</f>
        <v>4.1909620991253949E-3</v>
      </c>
      <c r="BO74" s="611">
        <f>+BO73/BI73-1</f>
        <v>-0.11838491118842709</v>
      </c>
      <c r="BP74" s="26"/>
      <c r="BQ74" s="604">
        <f>+BN74</f>
        <v>4.1909620991253949E-3</v>
      </c>
      <c r="BR74" s="605">
        <f>+BQ74</f>
        <v>4.1909620991253949E-3</v>
      </c>
      <c r="BS74" s="605">
        <f>+BR74</f>
        <v>4.1909620991253949E-3</v>
      </c>
      <c r="BT74" s="605">
        <f>+BS74</f>
        <v>4.1909620991253949E-3</v>
      </c>
      <c r="BU74" s="611">
        <f>+BU73/BO73-1</f>
        <v>4.1909620991253949E-3</v>
      </c>
      <c r="BV74" s="26"/>
      <c r="BW74" s="604">
        <f>+BT74</f>
        <v>4.1909620991253949E-3</v>
      </c>
      <c r="BX74" s="605">
        <f>+BW74</f>
        <v>4.1909620991253949E-3</v>
      </c>
      <c r="BY74" s="605">
        <f>+BX74</f>
        <v>4.1909620991253949E-3</v>
      </c>
      <c r="BZ74" s="605">
        <f>+BY74</f>
        <v>4.1909620991253949E-3</v>
      </c>
      <c r="CA74" s="611">
        <f>+CA73/BU73-1</f>
        <v>4.1909620991253949E-3</v>
      </c>
      <c r="CB74" s="26"/>
      <c r="CC74" s="604">
        <f>+BZ74</f>
        <v>4.1909620991253949E-3</v>
      </c>
      <c r="CD74" s="605">
        <f>+CC74</f>
        <v>4.1909620991253949E-3</v>
      </c>
      <c r="CE74" s="605">
        <f>+CD74</f>
        <v>4.1909620991253949E-3</v>
      </c>
      <c r="CF74" s="605">
        <f>+CE74</f>
        <v>4.1909620991253949E-3</v>
      </c>
      <c r="CG74" s="611">
        <f>+CG73/CA73-1</f>
        <v>4.1909620991256169E-3</v>
      </c>
      <c r="CO74"/>
      <c r="CP74"/>
      <c r="CQ74"/>
      <c r="CR74"/>
      <c r="CS74"/>
      <c r="CT74"/>
    </row>
    <row r="75" spans="1:98" s="7" customFormat="1" ht="11.25" customHeight="1" x14ac:dyDescent="0.2">
      <c r="B75" s="426"/>
      <c r="C75" s="530"/>
      <c r="D75" s="13"/>
      <c r="E75" s="13"/>
      <c r="F75" s="13"/>
      <c r="G75" s="460"/>
      <c r="H75" s="13"/>
      <c r="I75" s="530"/>
      <c r="J75" s="13"/>
      <c r="K75" s="13"/>
      <c r="L75" s="13"/>
      <c r="M75" s="460"/>
      <c r="N75" s="13"/>
      <c r="O75" s="530"/>
      <c r="P75" s="13"/>
      <c r="Q75" s="13"/>
      <c r="R75" s="13"/>
      <c r="S75" s="460"/>
      <c r="T75" s="13"/>
      <c r="U75" s="530"/>
      <c r="V75" s="13"/>
      <c r="W75" s="13"/>
      <c r="X75" s="13"/>
      <c r="Y75" s="460"/>
      <c r="Z75" s="13"/>
      <c r="AA75" s="530"/>
      <c r="AB75" s="13"/>
      <c r="AC75" s="13"/>
      <c r="AD75" s="13"/>
      <c r="AE75" s="460"/>
      <c r="AF75" s="13"/>
      <c r="AG75" s="530"/>
      <c r="AH75" s="13"/>
      <c r="AI75" s="13"/>
      <c r="AJ75" s="13"/>
      <c r="AK75" s="460"/>
      <c r="AL75" s="13"/>
      <c r="AM75" s="530"/>
      <c r="AN75" s="13"/>
      <c r="AO75" s="13"/>
      <c r="AP75" s="13"/>
      <c r="AQ75" s="460"/>
      <c r="AR75" s="13"/>
      <c r="AS75" s="530"/>
      <c r="AT75" s="13"/>
      <c r="AU75" s="13"/>
      <c r="AV75" s="13"/>
      <c r="AW75" s="460"/>
      <c r="AX75" s="13"/>
      <c r="AY75" s="530"/>
      <c r="AZ75" s="13"/>
      <c r="BA75" s="13"/>
      <c r="BB75" s="13"/>
      <c r="BC75" s="460"/>
      <c r="BD75" s="13"/>
      <c r="BE75" s="530"/>
      <c r="BF75" s="13"/>
      <c r="BG75" s="13"/>
      <c r="BH75" s="13"/>
      <c r="BI75" s="460"/>
      <c r="BJ75" s="13"/>
      <c r="BK75" s="530"/>
      <c r="BL75" s="13"/>
      <c r="BM75" s="13"/>
      <c r="BN75" s="13"/>
      <c r="BO75" s="460"/>
      <c r="BP75" s="13"/>
      <c r="BQ75" s="530"/>
      <c r="BR75" s="13"/>
      <c r="BS75" s="13"/>
      <c r="BT75" s="13"/>
      <c r="BU75" s="460"/>
      <c r="BV75" s="13"/>
      <c r="BW75" s="530"/>
      <c r="BX75" s="13"/>
      <c r="BY75" s="13"/>
      <c r="BZ75" s="13"/>
      <c r="CA75" s="460"/>
      <c r="CB75" s="13"/>
      <c r="CC75" s="530"/>
      <c r="CD75" s="13"/>
      <c r="CE75" s="13"/>
      <c r="CF75" s="13"/>
      <c r="CG75" s="460"/>
      <c r="CO75"/>
      <c r="CP75"/>
      <c r="CQ75"/>
      <c r="CR75"/>
      <c r="CS75"/>
      <c r="CT75"/>
    </row>
    <row r="76" spans="1:98" s="7" customFormat="1" ht="11.25" customHeight="1" x14ac:dyDescent="0.2">
      <c r="A76" s="186"/>
      <c r="B76" s="665" t="s">
        <v>110</v>
      </c>
      <c r="C76" s="604">
        <f t="shared" ref="C76:F77" si="28">-C70*4/C$68</f>
        <v>0.40307109993004175</v>
      </c>
      <c r="D76" s="605">
        <f t="shared" si="28"/>
        <v>0.13616514145685016</v>
      </c>
      <c r="E76" s="605">
        <f t="shared" si="28"/>
        <v>0.20179969165447753</v>
      </c>
      <c r="F76" s="605">
        <f t="shared" si="28"/>
        <v>5.9315646213508058E-2</v>
      </c>
      <c r="G76" s="611">
        <f>-G70/G$68</f>
        <v>0.19889984661618784</v>
      </c>
      <c r="H76" s="202"/>
      <c r="I76" s="604">
        <f t="shared" ref="I76:L77" si="29">-I70*4/I$68</f>
        <v>0.17841370311795107</v>
      </c>
      <c r="J76" s="605">
        <f t="shared" si="29"/>
        <v>7.4093695334189469E-2</v>
      </c>
      <c r="K76" s="605">
        <f t="shared" si="29"/>
        <v>0.27879911778684857</v>
      </c>
      <c r="L76" s="605">
        <f t="shared" si="29"/>
        <v>1.7033718618445683E-2</v>
      </c>
      <c r="M76" s="611">
        <f>-M70/M$68</f>
        <v>0.14514471363958434</v>
      </c>
      <c r="N76" s="202"/>
      <c r="O76" s="604">
        <f t="shared" ref="O76:R77" si="30">-O70*4/O$68</f>
        <v>1.4046292102803545E-2</v>
      </c>
      <c r="P76" s="605">
        <f t="shared" si="30"/>
        <v>6.7133333569859899E-2</v>
      </c>
      <c r="Q76" s="605">
        <f t="shared" si="30"/>
        <v>0.10509984044181905</v>
      </c>
      <c r="R76" s="605">
        <f t="shared" si="30"/>
        <v>8.359612917428727E-2</v>
      </c>
      <c r="S76" s="611">
        <f>-S70/S$68</f>
        <v>6.5654783955070711E-2</v>
      </c>
      <c r="T76" s="202"/>
      <c r="U76" s="604">
        <f t="shared" ref="U76:X77" si="31">-U70*4/U$68</f>
        <v>0.31727622831880953</v>
      </c>
      <c r="V76" s="605">
        <f t="shared" si="31"/>
        <v>0.14302949606387713</v>
      </c>
      <c r="W76" s="605">
        <f t="shared" si="31"/>
        <v>9.6700000269762165E-2</v>
      </c>
      <c r="X76" s="605">
        <f t="shared" si="31"/>
        <v>0.30134328616948963</v>
      </c>
      <c r="Y76" s="611">
        <f>-Y70/Y$68</f>
        <v>0.1984195698568742</v>
      </c>
      <c r="Z76" s="202"/>
      <c r="AA76" s="604">
        <f t="shared" ref="AA76:AD77" si="32">-AA70*4/AA$68</f>
        <v>0.43016759776536312</v>
      </c>
      <c r="AB76" s="605">
        <f t="shared" si="32"/>
        <v>0.18230563002680958</v>
      </c>
      <c r="AC76" s="605">
        <f t="shared" si="32"/>
        <v>6.566604127579731E-2</v>
      </c>
      <c r="AD76" s="605">
        <f t="shared" si="32"/>
        <v>0.12315035799522669</v>
      </c>
      <c r="AE76" s="611">
        <f>-AE70/AE$68</f>
        <v>0.18794892258579407</v>
      </c>
      <c r="AF76" s="202"/>
      <c r="AG76" s="604">
        <f t="shared" ref="AG76:AJ77" si="33">-AG70*4/AG$68</f>
        <v>0.79132791327913243</v>
      </c>
      <c r="AH76" s="605">
        <f t="shared" si="33"/>
        <v>0.34857849196538904</v>
      </c>
      <c r="AI76" s="605">
        <f t="shared" si="33"/>
        <v>0.14130434782608697</v>
      </c>
      <c r="AJ76" s="605">
        <f t="shared" si="33"/>
        <v>0.98732394366197107</v>
      </c>
      <c r="AK76" s="611">
        <f>-AK70/AK$68</f>
        <v>0.46563192904656298</v>
      </c>
      <c r="AL76" s="202"/>
      <c r="AM76" s="604">
        <f t="shared" ref="AM76:AP77" si="34">-AM70*4/AM$68</f>
        <v>0.54630495790458311</v>
      </c>
      <c r="AN76" s="605">
        <f t="shared" si="34"/>
        <v>0.3835319609967493</v>
      </c>
      <c r="AO76" s="605">
        <f t="shared" si="34"/>
        <v>0.17974835230677047</v>
      </c>
      <c r="AP76" s="605">
        <f t="shared" si="34"/>
        <v>0.68005018820577068</v>
      </c>
      <c r="AQ76" s="611">
        <f>-AQ70/AQ$68</f>
        <v>0.38119738072965348</v>
      </c>
      <c r="AR76" s="202"/>
      <c r="AS76" s="604">
        <f t="shared" ref="AS76:AV77" si="35">-AS70*4/AS$68</f>
        <v>1.0219198790627346</v>
      </c>
      <c r="AT76" s="605">
        <f t="shared" si="35"/>
        <v>0.4142131979695422</v>
      </c>
      <c r="AU76" s="605">
        <f t="shared" si="35"/>
        <v>0.2763306908267264</v>
      </c>
      <c r="AV76" s="605">
        <f t="shared" si="35"/>
        <v>0.67153284671532709</v>
      </c>
      <c r="AW76" s="611">
        <f>-AW70/AW$68</f>
        <v>0.48299319727891077</v>
      </c>
      <c r="AX76" s="202"/>
      <c r="AY76" s="604">
        <f t="shared" ref="AY76:BB77" si="36">-AY70*4/AY$68</f>
        <v>0.95321637426900319</v>
      </c>
      <c r="AZ76" s="605">
        <f t="shared" si="36"/>
        <v>0.46065259117082363</v>
      </c>
      <c r="BA76" s="605">
        <f t="shared" si="36"/>
        <v>0.13015184381778674</v>
      </c>
      <c r="BB76" s="605">
        <f t="shared" si="36"/>
        <v>0.54708520179371978</v>
      </c>
      <c r="BC76" s="611">
        <f>-BC70/BC$68</f>
        <v>0.43713450292397543</v>
      </c>
      <c r="BD76" s="202"/>
      <c r="BE76" s="604">
        <f t="shared" ref="BE76:BH77" si="37">-BE70*4/BE$68</f>
        <v>1.2467532467532405</v>
      </c>
      <c r="BF76" s="605">
        <f t="shared" si="37"/>
        <v>0.69433962264150462</v>
      </c>
      <c r="BG76" s="605">
        <f t="shared" si="37"/>
        <v>0.21917808219177862</v>
      </c>
      <c r="BH76" s="605">
        <f t="shared" si="37"/>
        <v>0.57971014492753092</v>
      </c>
      <c r="BI76" s="611">
        <f>-BI70/BI$68</f>
        <v>0.54025974025973755</v>
      </c>
      <c r="BJ76" s="202"/>
      <c r="BK76" s="604">
        <f t="shared" ref="BK76:BN77" si="38">-BK70*4/BK$68</f>
        <v>1.7175141242937668</v>
      </c>
      <c r="BL76" s="605">
        <f t="shared" si="38"/>
        <v>0.51485148514850498</v>
      </c>
      <c r="BM76" s="605">
        <f t="shared" si="38"/>
        <v>4.4545454545453582</v>
      </c>
      <c r="BN76" s="605">
        <f t="shared" si="38"/>
        <v>0.26506024096385261</v>
      </c>
      <c r="BO76" s="611">
        <f>-BO70/BO$68</f>
        <v>1.1186440677965981</v>
      </c>
      <c r="BP76" s="202"/>
      <c r="BQ76" s="618">
        <f>+BN76</f>
        <v>0.26506024096385261</v>
      </c>
      <c r="BR76" s="616">
        <f t="shared" ref="BR76:BT77" si="39">+BQ76</f>
        <v>0.26506024096385261</v>
      </c>
      <c r="BS76" s="616">
        <f t="shared" si="39"/>
        <v>0.26506024096385261</v>
      </c>
      <c r="BT76" s="616">
        <f t="shared" si="39"/>
        <v>0.26506024096385261</v>
      </c>
      <c r="BU76" s="611">
        <f>-BU70/BU$68</f>
        <v>0.23985850526612371</v>
      </c>
      <c r="BV76" s="202"/>
      <c r="BW76" s="618">
        <f>+BT76</f>
        <v>0.26506024096385261</v>
      </c>
      <c r="BX76" s="616">
        <f t="shared" ref="BX76:BZ77" si="40">+BW76</f>
        <v>0.26506024096385261</v>
      </c>
      <c r="BY76" s="616">
        <f t="shared" si="40"/>
        <v>0.26506024096385261</v>
      </c>
      <c r="BZ76" s="616">
        <f t="shared" si="40"/>
        <v>0.26506024096385261</v>
      </c>
      <c r="CA76" s="611">
        <f>-CA70/CA$68</f>
        <v>0.23985850526612376</v>
      </c>
      <c r="CB76" s="202"/>
      <c r="CC76" s="618">
        <f>+BZ76</f>
        <v>0.26506024096385261</v>
      </c>
      <c r="CD76" s="616">
        <f t="shared" ref="CD76:CF77" si="41">+CC76</f>
        <v>0.26506024096385261</v>
      </c>
      <c r="CE76" s="616">
        <f t="shared" si="41"/>
        <v>0.26506024096385261</v>
      </c>
      <c r="CF76" s="616">
        <f t="shared" si="41"/>
        <v>0.26506024096385261</v>
      </c>
      <c r="CG76" s="611">
        <f>-CG70/CG$68</f>
        <v>0.23985850526612373</v>
      </c>
      <c r="CO76"/>
      <c r="CP76"/>
      <c r="CQ76"/>
      <c r="CR76"/>
      <c r="CS76"/>
      <c r="CT76"/>
    </row>
    <row r="77" spans="1:98" s="7" customFormat="1" ht="11.25" customHeight="1" x14ac:dyDescent="0.2">
      <c r="A77" s="186"/>
      <c r="B77" s="665" t="s">
        <v>342</v>
      </c>
      <c r="C77" s="604">
        <f t="shared" si="28"/>
        <v>1.2927624746884614E-2</v>
      </c>
      <c r="D77" s="605">
        <f t="shared" si="28"/>
        <v>1.7550575477589777E-3</v>
      </c>
      <c r="E77" s="605">
        <f t="shared" si="28"/>
        <v>2.2792527299361189E-2</v>
      </c>
      <c r="F77" s="605">
        <f t="shared" si="28"/>
        <v>1.2237098089175636E-2</v>
      </c>
      <c r="G77" s="611">
        <f>-G71/G$68</f>
        <v>1.2135629859945827E-2</v>
      </c>
      <c r="H77" s="202"/>
      <c r="I77" s="604">
        <f t="shared" si="29"/>
        <v>1.1491403484290763E-2</v>
      </c>
      <c r="J77" s="605">
        <f t="shared" si="29"/>
        <v>3.0457142398919317E-2</v>
      </c>
      <c r="K77" s="605">
        <f t="shared" si="29"/>
        <v>7.7757216441755577E-3</v>
      </c>
      <c r="L77" s="605">
        <f t="shared" si="29"/>
        <v>4.5920609886541883E-2</v>
      </c>
      <c r="M77" s="611">
        <f>-M71/M$68</f>
        <v>2.5062182871746833E-2</v>
      </c>
      <c r="N77" s="202"/>
      <c r="O77" s="604">
        <f t="shared" si="30"/>
        <v>2.5932341042794373E-2</v>
      </c>
      <c r="P77" s="605">
        <f t="shared" si="30"/>
        <v>1.5490715741197368E-2</v>
      </c>
      <c r="Q77" s="605">
        <f t="shared" si="30"/>
        <v>1.2192400032415675E-2</v>
      </c>
      <c r="R77" s="605">
        <f t="shared" si="30"/>
        <v>1.8339221494139764E-3</v>
      </c>
      <c r="S77" s="611">
        <f>-S71/S$68</f>
        <v>1.3748286911859371E-2</v>
      </c>
      <c r="T77" s="202"/>
      <c r="U77" s="604">
        <f t="shared" si="31"/>
        <v>1.4281125421820307E-2</v>
      </c>
      <c r="V77" s="605">
        <f t="shared" si="31"/>
        <v>1.0884363152183781E-2</v>
      </c>
      <c r="W77" s="605">
        <f t="shared" si="31"/>
        <v>2.6307199680601682E-3</v>
      </c>
      <c r="X77" s="605">
        <f t="shared" si="31"/>
        <v>1.3831580042249748E-3</v>
      </c>
      <c r="Y77" s="611">
        <f>-Y71/Y$68</f>
        <v>6.9489742391348761E-3</v>
      </c>
      <c r="Z77" s="202"/>
      <c r="AA77" s="604">
        <f t="shared" si="32"/>
        <v>5.586592178770949E-3</v>
      </c>
      <c r="AB77" s="605">
        <f t="shared" si="32"/>
        <v>7.1492403932082206E-3</v>
      </c>
      <c r="AC77" s="605">
        <f t="shared" si="32"/>
        <v>3.7523452157598482E-3</v>
      </c>
      <c r="AD77" s="605">
        <f t="shared" si="32"/>
        <v>1.9093078758949883E-3</v>
      </c>
      <c r="AE77" s="611">
        <f>-AE71/AE$68</f>
        <v>4.1899441340782122E-3</v>
      </c>
      <c r="AF77" s="202"/>
      <c r="AG77" s="604">
        <f t="shared" si="33"/>
        <v>1.9709288001970918E-2</v>
      </c>
      <c r="AH77" s="605">
        <f t="shared" si="33"/>
        <v>1.2360939431396777E-2</v>
      </c>
      <c r="AI77" s="605">
        <f t="shared" si="33"/>
        <v>0</v>
      </c>
      <c r="AJ77" s="605">
        <f t="shared" si="33"/>
        <v>1.4084507042253524E-3</v>
      </c>
      <c r="AK77" s="611">
        <f>-AK71/AK$68</f>
        <v>7.6373491007637314E-3</v>
      </c>
      <c r="AL77" s="202"/>
      <c r="AM77" s="604">
        <f t="shared" si="34"/>
        <v>0</v>
      </c>
      <c r="AN77" s="605">
        <f t="shared" si="34"/>
        <v>0</v>
      </c>
      <c r="AO77" s="605">
        <f t="shared" si="34"/>
        <v>0</v>
      </c>
      <c r="AP77" s="605">
        <f t="shared" si="34"/>
        <v>0</v>
      </c>
      <c r="AQ77" s="611">
        <f>-AQ71/AQ$68</f>
        <v>0</v>
      </c>
      <c r="AR77" s="202"/>
      <c r="AS77" s="604">
        <f t="shared" si="35"/>
        <v>0</v>
      </c>
      <c r="AT77" s="605">
        <f t="shared" si="35"/>
        <v>0</v>
      </c>
      <c r="AU77" s="605">
        <f t="shared" si="35"/>
        <v>0</v>
      </c>
      <c r="AV77" s="605">
        <f t="shared" si="35"/>
        <v>0</v>
      </c>
      <c r="AW77" s="611">
        <f>-AW71/AW$68</f>
        <v>0</v>
      </c>
      <c r="AX77" s="202"/>
      <c r="AY77" s="604">
        <f t="shared" si="36"/>
        <v>0</v>
      </c>
      <c r="AZ77" s="605">
        <f t="shared" si="36"/>
        <v>0</v>
      </c>
      <c r="BA77" s="605">
        <f t="shared" si="36"/>
        <v>0</v>
      </c>
      <c r="BB77" s="605">
        <f t="shared" si="36"/>
        <v>0</v>
      </c>
      <c r="BC77" s="611">
        <f>-BC71/BC$68</f>
        <v>0</v>
      </c>
      <c r="BD77" s="202"/>
      <c r="BE77" s="604">
        <f t="shared" si="37"/>
        <v>0</v>
      </c>
      <c r="BF77" s="605">
        <f t="shared" si="37"/>
        <v>0</v>
      </c>
      <c r="BG77" s="605">
        <f t="shared" si="37"/>
        <v>0</v>
      </c>
      <c r="BH77" s="605">
        <f t="shared" si="37"/>
        <v>0</v>
      </c>
      <c r="BI77" s="611">
        <f>-BI71/BI$68</f>
        <v>0</v>
      </c>
      <c r="BJ77" s="202"/>
      <c r="BK77" s="604">
        <f t="shared" si="38"/>
        <v>0</v>
      </c>
      <c r="BL77" s="605">
        <f t="shared" si="38"/>
        <v>0</v>
      </c>
      <c r="BM77" s="605">
        <f t="shared" si="38"/>
        <v>0</v>
      </c>
      <c r="BN77" s="605">
        <f t="shared" si="38"/>
        <v>0</v>
      </c>
      <c r="BO77" s="611">
        <f>-BO71/BO$68</f>
        <v>0</v>
      </c>
      <c r="BP77" s="202"/>
      <c r="BQ77" s="618">
        <f>+BN77</f>
        <v>0</v>
      </c>
      <c r="BR77" s="616">
        <f t="shared" si="39"/>
        <v>0</v>
      </c>
      <c r="BS77" s="616">
        <f t="shared" si="39"/>
        <v>0</v>
      </c>
      <c r="BT77" s="616">
        <f t="shared" si="39"/>
        <v>0</v>
      </c>
      <c r="BU77" s="611">
        <f>-BU71/BU$68</f>
        <v>0</v>
      </c>
      <c r="BV77" s="202"/>
      <c r="BW77" s="618">
        <f>+BT77</f>
        <v>0</v>
      </c>
      <c r="BX77" s="616">
        <f t="shared" si="40"/>
        <v>0</v>
      </c>
      <c r="BY77" s="616">
        <f t="shared" si="40"/>
        <v>0</v>
      </c>
      <c r="BZ77" s="616">
        <f t="shared" si="40"/>
        <v>0</v>
      </c>
      <c r="CA77" s="611">
        <f>-CA71/CA$68</f>
        <v>0</v>
      </c>
      <c r="CB77" s="202"/>
      <c r="CC77" s="618">
        <f>+BZ77</f>
        <v>0</v>
      </c>
      <c r="CD77" s="616">
        <f t="shared" si="41"/>
        <v>0</v>
      </c>
      <c r="CE77" s="616">
        <f t="shared" si="41"/>
        <v>0</v>
      </c>
      <c r="CF77" s="616">
        <f t="shared" si="41"/>
        <v>0</v>
      </c>
      <c r="CG77" s="611">
        <f>-CG71/CG$68</f>
        <v>0</v>
      </c>
      <c r="CO77"/>
      <c r="CP77"/>
      <c r="CQ77"/>
      <c r="CR77"/>
      <c r="CS77"/>
      <c r="CT77"/>
    </row>
    <row r="78" spans="1:98" s="7" customFormat="1" ht="11.25" customHeight="1" x14ac:dyDescent="0.2">
      <c r="A78" s="186"/>
      <c r="B78" s="665" t="s">
        <v>247</v>
      </c>
      <c r="C78" s="604">
        <f>C69*4/C$68</f>
        <v>0.48819838014176464</v>
      </c>
      <c r="D78" s="605">
        <f>D69*4/D$68</f>
        <v>7.3581050422960922E-3</v>
      </c>
      <c r="E78" s="605">
        <f>E69*4/E$68</f>
        <v>2.301523788546101E-3</v>
      </c>
      <c r="F78" s="605">
        <f>F69*4/F$68</f>
        <v>-4.2101691113348449E-4</v>
      </c>
      <c r="G78" s="611">
        <f>G69/G$68</f>
        <v>0.12439107535974449</v>
      </c>
      <c r="H78" s="202"/>
      <c r="I78" s="604">
        <f>I69*4/I$68</f>
        <v>0.64532313202828995</v>
      </c>
      <c r="J78" s="605">
        <f>J69*4/J$68</f>
        <v>0</v>
      </c>
      <c r="K78" s="605">
        <f>K69*4/K$68</f>
        <v>1.2415453335613672E-2</v>
      </c>
      <c r="L78" s="605">
        <f>L69*4/L$68</f>
        <v>0</v>
      </c>
      <c r="M78" s="611">
        <f>M69/M$68</f>
        <v>0.16469767051621853</v>
      </c>
      <c r="N78" s="202"/>
      <c r="O78" s="604">
        <f>O69*4/O$68</f>
        <v>2.3924045190779272E-2</v>
      </c>
      <c r="P78" s="605">
        <f>P69*4/P$68</f>
        <v>9.3664517822867753E-4</v>
      </c>
      <c r="Q78" s="605">
        <f>Q69*4/Q$68</f>
        <v>0</v>
      </c>
      <c r="R78" s="605">
        <f>R69*4/R$68</f>
        <v>0</v>
      </c>
      <c r="S78" s="611">
        <f>S69/S$68</f>
        <v>6.2142327514772165E-3</v>
      </c>
      <c r="T78" s="202"/>
      <c r="U78" s="604">
        <f>U69*4/U$68</f>
        <v>6.3545098432946099E-3</v>
      </c>
      <c r="V78" s="605">
        <f>V69*4/V$68</f>
        <v>0</v>
      </c>
      <c r="W78" s="605">
        <f>W69*4/W$68</f>
        <v>0</v>
      </c>
      <c r="X78" s="605">
        <f>X69*4/X$68</f>
        <v>0</v>
      </c>
      <c r="Y78" s="611">
        <f>Y69/Y$68</f>
        <v>1.5886274608236525E-3</v>
      </c>
      <c r="Z78" s="202"/>
      <c r="AA78" s="604">
        <f>AA69*4/AA$68</f>
        <v>7.9808459696727851E-3</v>
      </c>
      <c r="AB78" s="605">
        <f>AB69*4/AB$68</f>
        <v>0</v>
      </c>
      <c r="AC78" s="605">
        <f>AC69*4/AC$68</f>
        <v>0</v>
      </c>
      <c r="AD78" s="605">
        <f>AD69*4/AD$68</f>
        <v>0</v>
      </c>
      <c r="AE78" s="611">
        <f>AE69/AE$68</f>
        <v>1.9952114924181963E-3</v>
      </c>
      <c r="AF78" s="202"/>
      <c r="AG78" s="604">
        <f>AG69*4/AG$68</f>
        <v>0</v>
      </c>
      <c r="AH78" s="605">
        <f>AH69*4/AH$68</f>
        <v>0</v>
      </c>
      <c r="AI78" s="605">
        <f>AI69*4/AI$68</f>
        <v>0</v>
      </c>
      <c r="AJ78" s="605">
        <f>AJ69*4/AJ$68</f>
        <v>0</v>
      </c>
      <c r="AK78" s="611">
        <f>AK69/AK$68</f>
        <v>0</v>
      </c>
      <c r="AL78" s="202"/>
      <c r="AM78" s="604">
        <f>AM69*4/AM$68</f>
        <v>0</v>
      </c>
      <c r="AN78" s="605">
        <f>AN69*4/AN$68</f>
        <v>0</v>
      </c>
      <c r="AO78" s="605">
        <f>AO69*4/AO$68</f>
        <v>0</v>
      </c>
      <c r="AP78" s="605">
        <f>AP69*4/AP$68</f>
        <v>0</v>
      </c>
      <c r="AQ78" s="611">
        <f>AQ69/AQ$68</f>
        <v>0</v>
      </c>
      <c r="AR78" s="202"/>
      <c r="AS78" s="604">
        <f>AS69*4/AS$68</f>
        <v>0</v>
      </c>
      <c r="AT78" s="605">
        <f>AT69*4/AT$68</f>
        <v>0</v>
      </c>
      <c r="AU78" s="605">
        <f>AU69*4/AU$68</f>
        <v>0</v>
      </c>
      <c r="AV78" s="605">
        <f>AV69*4/AV$68</f>
        <v>0</v>
      </c>
      <c r="AW78" s="611">
        <f>AW69/AW$68</f>
        <v>0</v>
      </c>
      <c r="AX78" s="202"/>
      <c r="AY78" s="604">
        <f>AY69*4/AY$68</f>
        <v>0</v>
      </c>
      <c r="AZ78" s="605">
        <f>AZ69*4/AZ$68</f>
        <v>0</v>
      </c>
      <c r="BA78" s="605">
        <f>BA69*4/BA$68</f>
        <v>0</v>
      </c>
      <c r="BB78" s="605">
        <f>BB69*4/BB$68</f>
        <v>0</v>
      </c>
      <c r="BC78" s="611">
        <f>BC69/BC$68</f>
        <v>0</v>
      </c>
      <c r="BD78" s="202"/>
      <c r="BE78" s="604">
        <f>BE69*4/BE$68</f>
        <v>0</v>
      </c>
      <c r="BF78" s="605">
        <f>BF69*4/BF$68</f>
        <v>0</v>
      </c>
      <c r="BG78" s="605">
        <f>BG69*4/BG$68</f>
        <v>0</v>
      </c>
      <c r="BH78" s="605">
        <f>BH69*4/BH$68</f>
        <v>0</v>
      </c>
      <c r="BI78" s="611">
        <f>BI69/BI$68</f>
        <v>0</v>
      </c>
      <c r="BJ78" s="202"/>
      <c r="BK78" s="604">
        <f>BK69*4/BK$68</f>
        <v>0</v>
      </c>
      <c r="BL78" s="605">
        <f>BL69*4/BL$68</f>
        <v>0</v>
      </c>
      <c r="BM78" s="605">
        <f>BM69*4/BM$68</f>
        <v>7.9999999999998259</v>
      </c>
      <c r="BN78" s="605">
        <f>BN69*4/BN$68</f>
        <v>4.2650602409638063</v>
      </c>
      <c r="BO78" s="611">
        <f>BO69/BO$68</f>
        <v>1.9943502824858541</v>
      </c>
      <c r="BP78" s="202"/>
      <c r="BQ78" s="618">
        <f>BQ69*4/BQ$68</f>
        <v>0</v>
      </c>
      <c r="BR78" s="616">
        <f>BR69*4/BR$68</f>
        <v>0</v>
      </c>
      <c r="BS78" s="616">
        <f>BS69*4/BS$68</f>
        <v>0</v>
      </c>
      <c r="BT78" s="616">
        <f>BT69*4/BT$68</f>
        <v>0</v>
      </c>
      <c r="BU78" s="611">
        <f>BU69/BU$68</f>
        <v>0</v>
      </c>
      <c r="BV78" s="202"/>
      <c r="BW78" s="618">
        <f>BW69*4/BW$68</f>
        <v>0</v>
      </c>
      <c r="BX78" s="616">
        <f>BX69*4/BX$68</f>
        <v>0</v>
      </c>
      <c r="BY78" s="616">
        <f>BY69*4/BY$68</f>
        <v>0</v>
      </c>
      <c r="BZ78" s="616">
        <f>BZ69*4/BZ$68</f>
        <v>0</v>
      </c>
      <c r="CA78" s="611">
        <f>CA69/CA$68</f>
        <v>0</v>
      </c>
      <c r="CB78" s="202"/>
      <c r="CC78" s="618">
        <f>CC69*4/CC$68</f>
        <v>0</v>
      </c>
      <c r="CD78" s="616">
        <f>CD69*4/CD$68</f>
        <v>0</v>
      </c>
      <c r="CE78" s="616">
        <f>CE69*4/CE$68</f>
        <v>0</v>
      </c>
      <c r="CF78" s="616">
        <f>CF69*4/CF$68</f>
        <v>0</v>
      </c>
      <c r="CG78" s="611">
        <f>CG69/CG$68</f>
        <v>0</v>
      </c>
      <c r="CO78"/>
      <c r="CP78"/>
      <c r="CQ78"/>
      <c r="CR78"/>
      <c r="CS78"/>
      <c r="CT78"/>
    </row>
    <row r="79" spans="1:98" s="7" customFormat="1" ht="11.25" customHeight="1" x14ac:dyDescent="0.2">
      <c r="B79" s="426"/>
      <c r="C79" s="530"/>
      <c r="D79" s="13"/>
      <c r="E79" s="13"/>
      <c r="F79" s="13"/>
      <c r="G79" s="460"/>
      <c r="H79" s="13"/>
      <c r="I79" s="530"/>
      <c r="J79" s="13"/>
      <c r="K79" s="13"/>
      <c r="L79" s="13"/>
      <c r="M79" s="460"/>
      <c r="N79" s="13"/>
      <c r="O79" s="530"/>
      <c r="P79" s="13"/>
      <c r="Q79" s="13"/>
      <c r="R79" s="13"/>
      <c r="S79" s="460"/>
      <c r="T79" s="13"/>
      <c r="U79" s="530"/>
      <c r="V79" s="13"/>
      <c r="W79" s="13"/>
      <c r="X79" s="13"/>
      <c r="Y79" s="460"/>
      <c r="Z79" s="13"/>
      <c r="AA79" s="530"/>
      <c r="AB79" s="13"/>
      <c r="AC79" s="13"/>
      <c r="AD79" s="13"/>
      <c r="AE79" s="460"/>
      <c r="AF79" s="13"/>
      <c r="AG79" s="530"/>
      <c r="AH79" s="13"/>
      <c r="AI79" s="13"/>
      <c r="AJ79" s="13"/>
      <c r="AK79" s="460"/>
      <c r="AL79" s="13"/>
      <c r="AM79" s="530"/>
      <c r="AN79" s="13"/>
      <c r="AO79" s="13"/>
      <c r="AP79" s="13"/>
      <c r="AQ79" s="460"/>
      <c r="AR79" s="13"/>
      <c r="AS79" s="530"/>
      <c r="AT79" s="13"/>
      <c r="AU79" s="13"/>
      <c r="AV79" s="13"/>
      <c r="AW79" s="460"/>
      <c r="AX79" s="13"/>
      <c r="AY79" s="530"/>
      <c r="AZ79" s="13"/>
      <c r="BA79" s="13"/>
      <c r="BB79" s="13"/>
      <c r="BC79" s="460"/>
      <c r="BD79" s="13"/>
      <c r="BE79" s="530"/>
      <c r="BF79" s="13"/>
      <c r="BG79" s="13"/>
      <c r="BH79" s="13"/>
      <c r="BI79" s="460"/>
      <c r="BJ79" s="13"/>
      <c r="BK79" s="530"/>
      <c r="BL79" s="13"/>
      <c r="BM79" s="13"/>
      <c r="BN79" s="13"/>
      <c r="BO79" s="460"/>
      <c r="BP79" s="13"/>
      <c r="BQ79" s="530"/>
      <c r="BR79" s="13"/>
      <c r="BS79" s="13"/>
      <c r="BT79" s="13"/>
      <c r="BU79" s="460"/>
      <c r="BV79" s="13"/>
      <c r="BW79" s="530"/>
      <c r="BX79" s="13"/>
      <c r="BY79" s="13"/>
      <c r="BZ79" s="13"/>
      <c r="CA79" s="460"/>
      <c r="CB79" s="13"/>
      <c r="CC79" s="530"/>
      <c r="CD79" s="13"/>
      <c r="CE79" s="13"/>
      <c r="CF79" s="13"/>
      <c r="CG79" s="460"/>
      <c r="CO79"/>
      <c r="CP79"/>
      <c r="CQ79"/>
      <c r="CR79"/>
      <c r="CS79"/>
      <c r="CT79"/>
    </row>
    <row r="80" spans="1:98" s="7" customFormat="1" ht="11.25" customHeight="1" x14ac:dyDescent="0.2">
      <c r="A80" s="186"/>
      <c r="B80" s="665" t="s">
        <v>111</v>
      </c>
      <c r="C80" s="604"/>
      <c r="D80" s="605"/>
      <c r="E80" s="605"/>
      <c r="F80" s="605"/>
      <c r="G80" s="611"/>
      <c r="H80" s="26"/>
      <c r="I80" s="604">
        <f>IF(ISERROR(+I69/C69-1),"NM",+I69/C69-1)</f>
        <v>0.20731554978939393</v>
      </c>
      <c r="J80" s="605">
        <f>IF(ISERROR(+J69/D69-1),"NM",+J69/D69-1)</f>
        <v>-1</v>
      </c>
      <c r="K80" s="605">
        <f>IF(ISERROR(+K69/E69-1),"NM",+K69/E69-1)</f>
        <v>4.4269530328061615</v>
      </c>
      <c r="L80" s="605">
        <f>IF(ISERROR(+L69/F69-1),"NM",+L69/F69-1)</f>
        <v>-1</v>
      </c>
      <c r="M80" s="611">
        <f>IF(ISERROR(+M69/G69-1),"NM",+M69/G69-1)</f>
        <v>0.20931135175118687</v>
      </c>
      <c r="N80" s="26"/>
      <c r="O80" s="604">
        <f>IF(ISERROR(+O69/I69-1),"NM",+O69/I69-1)</f>
        <v>-0.96313127325170333</v>
      </c>
      <c r="P80" s="605" t="str">
        <f>IF(ISERROR(+P69/J69-1),"NM",+P69/J69-1)</f>
        <v>NM</v>
      </c>
      <c r="Q80" s="605">
        <f>IF(ISERROR(+Q69/K69-1),"NM",+Q69/K69-1)</f>
        <v>-1</v>
      </c>
      <c r="R80" s="605" t="str">
        <f>IF(ISERROR(+R69/L69-1),"NM",+R69/L69-1)</f>
        <v>NM</v>
      </c>
      <c r="S80" s="611">
        <f>IF(ISERROR(+S69/M69-1),"NM",+S69/M69-1)</f>
        <v>-0.96247671797972079</v>
      </c>
      <c r="T80" s="26"/>
      <c r="U80" s="604">
        <f>IF(ISERROR(+U69/O69-1),"NM",+U69/O69-1)</f>
        <v>-0.75382797498892229</v>
      </c>
      <c r="V80" s="605">
        <f>IF(ISERROR(+V69/P69-1),"NM",+V69/P69-1)</f>
        <v>-1</v>
      </c>
      <c r="W80" s="605" t="str">
        <f>IF(ISERROR(+W69/Q69-1),"NM",+W69/Q69-1)</f>
        <v>NM</v>
      </c>
      <c r="X80" s="605" t="str">
        <f>IF(ISERROR(+X69/R69-1),"NM",+X69/R69-1)</f>
        <v>NM</v>
      </c>
      <c r="Y80" s="611">
        <f>IF(ISERROR(+Y69/S69-1),"NM",+Y69/S69-1)</f>
        <v>-0.76306686253139366</v>
      </c>
      <c r="Z80" s="26"/>
      <c r="AA80" s="604">
        <f>IF(ISERROR(+AA69/U69-1),"NM",+AA69/U69-1)</f>
        <v>0</v>
      </c>
      <c r="AB80" s="605" t="str">
        <f>IF(ISERROR(+AB69/V69-1),"NM",+AB69/V69-1)</f>
        <v>NM</v>
      </c>
      <c r="AC80" s="605" t="str">
        <f>IF(ISERROR(+AC69/W69-1),"NM",+AC69/W69-1)</f>
        <v>NM</v>
      </c>
      <c r="AD80" s="605" t="str">
        <f>IF(ISERROR(+AD69/X69-1),"NM",+AD69/X69-1)</f>
        <v>NM</v>
      </c>
      <c r="AE80" s="611">
        <f>IF(ISERROR(+AE69/Y69-1),"NM",+AE69/Y69-1)</f>
        <v>0</v>
      </c>
      <c r="AF80" s="26"/>
      <c r="AG80" s="604">
        <f>IF(ISERROR(+AG69/AA69-1),"NM",+AG69/AA69-1)</f>
        <v>-1</v>
      </c>
      <c r="AH80" s="605" t="str">
        <f>IF(ISERROR(+AH69/AB69-1),"NM",+AH69/AB69-1)</f>
        <v>NM</v>
      </c>
      <c r="AI80" s="605" t="str">
        <f>IF(ISERROR(+AI69/AC69-1),"NM",+AI69/AC69-1)</f>
        <v>NM</v>
      </c>
      <c r="AJ80" s="605" t="str">
        <f>IF(ISERROR(+AJ69/AD69-1),"NM",+AJ69/AD69-1)</f>
        <v>NM</v>
      </c>
      <c r="AK80" s="707">
        <f>IF(ISERROR(+AK69/AE69-1),"NM",+AK69/AE69-1)</f>
        <v>-1</v>
      </c>
      <c r="AL80" s="26"/>
      <c r="AM80" s="604" t="str">
        <f>IF(ISERROR(+AM69/AG69-1),"NM",+AM69/AG69-1)</f>
        <v>NM</v>
      </c>
      <c r="AN80" s="605" t="str">
        <f>IF(ISERROR(+AN69/AH69-1),"NM",+AN69/AH69-1)</f>
        <v>NM</v>
      </c>
      <c r="AO80" s="605" t="str">
        <f>IF(ISERROR(+AO69/AI69-1),"NM",+AO69/AI69-1)</f>
        <v>NM</v>
      </c>
      <c r="AP80" s="605" t="str">
        <f>IF(ISERROR(+AP69/AJ69-1),"NM",+AP69/AJ69-1)</f>
        <v>NM</v>
      </c>
      <c r="AQ80" s="611" t="str">
        <f>IF(ISERROR(+AQ69/AK69-1),"NM",+AQ69/AK69-1)</f>
        <v>NM</v>
      </c>
      <c r="AR80" s="26"/>
      <c r="AS80" s="604" t="str">
        <f>IF(ISERROR(+AS69/AM69-1),"NM",+AS69/AM69-1)</f>
        <v>NM</v>
      </c>
      <c r="AT80" s="605" t="str">
        <f>IF(ISERROR(+AT69/AN69-1),"NM",+AT69/AN69-1)</f>
        <v>NM</v>
      </c>
      <c r="AU80" s="605" t="str">
        <f>IF(ISERROR(+AU69/AO69-1),"NM",+AU69/AO69-1)</f>
        <v>NM</v>
      </c>
      <c r="AV80" s="605" t="str">
        <f>IF(ISERROR(+AV69/AP69-1),"NM",+AV69/AP69-1)</f>
        <v>NM</v>
      </c>
      <c r="AW80" s="611" t="str">
        <f>IF(ISERROR(+AW69/AQ69-1),"NM",+AW69/AQ69-1)</f>
        <v>NM</v>
      </c>
      <c r="AX80" s="26"/>
      <c r="AY80" s="604" t="str">
        <f>IF(ISERROR(+AY69/AS69-1),"NM",+AY69/AS69-1)</f>
        <v>NM</v>
      </c>
      <c r="AZ80" s="605" t="str">
        <f>IF(ISERROR(+AZ69/AT69-1),"NM",+AZ69/AT69-1)</f>
        <v>NM</v>
      </c>
      <c r="BA80" s="605" t="str">
        <f>IF(ISERROR(+BA69/AU69-1),"NM",+BA69/AU69-1)</f>
        <v>NM</v>
      </c>
      <c r="BB80" s="605" t="str">
        <f>IF(ISERROR(+BB69/AV69-1),"NM",+BB69/AV69-1)</f>
        <v>NM</v>
      </c>
      <c r="BC80" s="611" t="str">
        <f>IF(ISERROR(+BC69/AW69-1),"NM",+BC69/AW69-1)</f>
        <v>NM</v>
      </c>
      <c r="BD80" s="26"/>
      <c r="BE80" s="604" t="str">
        <f>IF(ISERROR(+BE69/AY69-1),"NM",+BE69/AY69-1)</f>
        <v>NM</v>
      </c>
      <c r="BF80" s="605" t="str">
        <f>IF(ISERROR(+BF69/AZ69-1),"NM",+BF69/AZ69-1)</f>
        <v>NM</v>
      </c>
      <c r="BG80" s="605" t="str">
        <f>IF(ISERROR(+BG69/BA69-1),"NM",+BG69/BA69-1)</f>
        <v>NM</v>
      </c>
      <c r="BH80" s="605" t="str">
        <f>IF(ISERROR(+BH69/BB69-1),"NM",+BH69/BB69-1)</f>
        <v>NM</v>
      </c>
      <c r="BI80" s="611" t="str">
        <f>IF(ISERROR(+BI69/BC69-1),"NM",+BI69/BC69-1)</f>
        <v>NM</v>
      </c>
      <c r="BJ80" s="26"/>
      <c r="BK80" s="604" t="str">
        <f>IF(ISERROR(+BK69/BE69-1),"NM",+BK69/BE69-1)</f>
        <v>NM</v>
      </c>
      <c r="BL80" s="605" t="str">
        <f>IF(ISERROR(+BL69/BF69-1),"NM",+BL69/BF69-1)</f>
        <v>NM</v>
      </c>
      <c r="BM80" s="605" t="str">
        <f>IF(ISERROR(+BM69/BG69-1),"NM",+BM69/BG69-1)</f>
        <v>NM</v>
      </c>
      <c r="BN80" s="605" t="str">
        <f>IF(ISERROR(+BN69/BH69-1),"NM",+BN69/BH69-1)</f>
        <v>NM</v>
      </c>
      <c r="BO80" s="611" t="str">
        <f>IF(ISERROR(+BO69/BI69-1),"NM",+BO69/BI69-1)</f>
        <v>NM</v>
      </c>
      <c r="BP80" s="26"/>
      <c r="BQ80" s="604" t="str">
        <f>IF(ISERROR(+BQ69/BK69-1),"NM",+BQ69/BK69-1)</f>
        <v>NM</v>
      </c>
      <c r="BR80" s="605" t="str">
        <f>IF(ISERROR(+BR69/BL69-1),"NM",+BR69/BL69-1)</f>
        <v>NM</v>
      </c>
      <c r="BS80" s="605">
        <f>IF(ISERROR(+BS69/BM69-1),"NM",+BS69/BM69-1)</f>
        <v>-1</v>
      </c>
      <c r="BT80" s="605">
        <f>IF(ISERROR(+BT69/BN69-1),"NM",+BT69/BN69-1)</f>
        <v>-1</v>
      </c>
      <c r="BU80" s="611">
        <f>IF(ISERROR(+BU69/BO69-1),"NM",+BU69/BO69-1)</f>
        <v>-1</v>
      </c>
      <c r="BV80" s="26"/>
      <c r="BW80" s="604" t="str">
        <f>IF(ISERROR(+BW69/BQ69-1),"NM",+BW69/BQ69-1)</f>
        <v>NM</v>
      </c>
      <c r="BX80" s="605" t="str">
        <f>IF(ISERROR(+BX69/BR69-1),"NM",+BX69/BR69-1)</f>
        <v>NM</v>
      </c>
      <c r="BY80" s="605" t="str">
        <f>IF(ISERROR(+BY69/BS69-1),"NM",+BY69/BS69-1)</f>
        <v>NM</v>
      </c>
      <c r="BZ80" s="605" t="str">
        <f>IF(ISERROR(+BZ69/BT69-1),"NM",+BZ69/BT69-1)</f>
        <v>NM</v>
      </c>
      <c r="CA80" s="611" t="str">
        <f>IF(ISERROR(+CA69/BU69-1),"NM",+CA69/BU69-1)</f>
        <v>NM</v>
      </c>
      <c r="CB80" s="26"/>
      <c r="CC80" s="604" t="str">
        <f>IF(ISERROR(+CC69/BW69-1),"NM",+CC69/BW69-1)</f>
        <v>NM</v>
      </c>
      <c r="CD80" s="605" t="str">
        <f>IF(ISERROR(+CD69/BX69-1),"NM",+CD69/BX69-1)</f>
        <v>NM</v>
      </c>
      <c r="CE80" s="605" t="str">
        <f>IF(ISERROR(+CE69/BY69-1),"NM",+CE69/BY69-1)</f>
        <v>NM</v>
      </c>
      <c r="CF80" s="605" t="str">
        <f>IF(ISERROR(+CF69/BZ69-1),"NM",+CF69/BZ69-1)</f>
        <v>NM</v>
      </c>
      <c r="CG80" s="611" t="str">
        <f>IF(ISERROR(+CG69/CA69-1),"NM",+CG69/CA69-1)</f>
        <v>NM</v>
      </c>
      <c r="CO80"/>
      <c r="CP80"/>
      <c r="CQ80"/>
      <c r="CR80"/>
      <c r="CS80"/>
      <c r="CT80"/>
    </row>
    <row r="81" spans="1:99" s="7" customFormat="1" ht="11.25" customHeight="1" x14ac:dyDescent="0.2">
      <c r="B81" s="426"/>
      <c r="C81" s="530"/>
      <c r="D81" s="13"/>
      <c r="E81" s="13"/>
      <c r="F81" s="13"/>
      <c r="G81" s="460"/>
      <c r="H81" s="13"/>
      <c r="I81" s="530"/>
      <c r="J81" s="13"/>
      <c r="K81" s="13"/>
      <c r="L81" s="13"/>
      <c r="M81" s="460"/>
      <c r="N81" s="13"/>
      <c r="O81" s="530"/>
      <c r="P81" s="13"/>
      <c r="Q81" s="13"/>
      <c r="R81" s="13"/>
      <c r="S81" s="460"/>
      <c r="T81" s="13"/>
      <c r="U81" s="530"/>
      <c r="V81" s="13"/>
      <c r="W81" s="13"/>
      <c r="X81" s="13"/>
      <c r="Y81" s="460"/>
      <c r="Z81" s="13"/>
      <c r="AA81" s="530"/>
      <c r="AB81" s="13"/>
      <c r="AC81" s="13"/>
      <c r="AD81" s="13"/>
      <c r="AE81" s="460"/>
      <c r="AF81" s="13"/>
      <c r="AG81" s="530"/>
      <c r="AH81" s="13"/>
      <c r="AI81" s="13"/>
      <c r="AJ81" s="13"/>
      <c r="AK81" s="460"/>
      <c r="AL81" s="13"/>
      <c r="AM81" s="530"/>
      <c r="AN81" s="13"/>
      <c r="AO81" s="13"/>
      <c r="AP81" s="13"/>
      <c r="AQ81" s="460"/>
      <c r="AR81" s="13"/>
      <c r="AS81" s="530"/>
      <c r="AT81" s="13"/>
      <c r="AU81" s="13"/>
      <c r="AV81" s="13"/>
      <c r="AW81" s="460"/>
      <c r="AX81" s="13"/>
      <c r="AY81" s="530"/>
      <c r="AZ81" s="13"/>
      <c r="BA81" s="13"/>
      <c r="BB81" s="13"/>
      <c r="BC81" s="460"/>
      <c r="BD81" s="13"/>
      <c r="BE81" s="530"/>
      <c r="BF81" s="13"/>
      <c r="BG81" s="13"/>
      <c r="BH81" s="13"/>
      <c r="BI81" s="460"/>
      <c r="BJ81" s="13"/>
      <c r="BK81" s="530"/>
      <c r="BL81" s="13"/>
      <c r="BM81" s="13"/>
      <c r="BN81" s="13"/>
      <c r="BO81" s="460"/>
      <c r="BP81" s="13"/>
      <c r="BQ81" s="530"/>
      <c r="BR81" s="13"/>
      <c r="BS81" s="13"/>
      <c r="BT81" s="13"/>
      <c r="BU81" s="460"/>
      <c r="BV81" s="13"/>
      <c r="BW81" s="530"/>
      <c r="BX81" s="13"/>
      <c r="BY81" s="13"/>
      <c r="BZ81" s="13"/>
      <c r="CA81" s="460"/>
      <c r="CB81" s="13"/>
      <c r="CC81" s="530"/>
      <c r="CD81" s="13"/>
      <c r="CE81" s="13"/>
      <c r="CF81" s="13"/>
      <c r="CG81" s="460"/>
      <c r="CO81"/>
      <c r="CP81"/>
      <c r="CQ81"/>
      <c r="CR81"/>
      <c r="CS81"/>
      <c r="CT81"/>
    </row>
    <row r="82" spans="1:99" s="7" customFormat="1" ht="11.25" customHeight="1" x14ac:dyDescent="0.2">
      <c r="B82" s="667" t="s">
        <v>122</v>
      </c>
      <c r="C82" s="674">
        <f>-C70*C73</f>
        <v>17.94772686</v>
      </c>
      <c r="D82" s="675">
        <f>-D70*D73</f>
        <v>6.1414284000000006</v>
      </c>
      <c r="E82" s="675">
        <f>-E70*E73</f>
        <v>8.8455102399999976</v>
      </c>
      <c r="F82" s="675">
        <f>-F70*F73</f>
        <v>2.4596266500000059</v>
      </c>
      <c r="G82" s="676">
        <f>+SUM(C82:F82)</f>
        <v>35.394292149999998</v>
      </c>
      <c r="H82" s="39"/>
      <c r="I82" s="674">
        <f>-I70*I73</f>
        <v>8.4165677100000007</v>
      </c>
      <c r="J82" s="675">
        <f>-J70*J73</f>
        <v>4.0144689199999988</v>
      </c>
      <c r="K82" s="675">
        <f>-K70*K73</f>
        <v>13.507689840000001</v>
      </c>
      <c r="L82" s="675">
        <f>-L70*L73</f>
        <v>0.76018994999999845</v>
      </c>
      <c r="M82" s="676">
        <f>+SUM(I82:L82)</f>
        <v>26.698916419999996</v>
      </c>
      <c r="N82" s="39"/>
      <c r="O82" s="674">
        <f>-O70*O73</f>
        <v>0.37683</v>
      </c>
      <c r="P82" s="675">
        <f>-P70*P73</f>
        <v>3.2458798800000004</v>
      </c>
      <c r="Q82" s="675">
        <f>-Q70*Q73</f>
        <v>5.4165309899999992</v>
      </c>
      <c r="R82" s="675">
        <f>-R70*R73</f>
        <v>3.5783934999999998</v>
      </c>
      <c r="S82" s="676">
        <f>+SUM(O82:R82)</f>
        <v>12.617634370000001</v>
      </c>
      <c r="T82" s="39"/>
      <c r="U82" s="674">
        <f>-U70*U73</f>
        <v>15.2783658</v>
      </c>
      <c r="V82" s="675">
        <f>-V70*V73</f>
        <v>6.1745702399999987</v>
      </c>
      <c r="W82" s="675">
        <f>-W70*W73</f>
        <v>4.0609490400000032</v>
      </c>
      <c r="X82" s="675">
        <f>-X70*X73</f>
        <v>12.598109160000002</v>
      </c>
      <c r="Y82" s="676">
        <f>+SUM(U82:X82)</f>
        <v>38.111994240000001</v>
      </c>
      <c r="Z82" s="39"/>
      <c r="AA82" s="674">
        <f>-AA70*AA73</f>
        <v>18.886559999999999</v>
      </c>
      <c r="AB82" s="675">
        <f>-AB70*AB73</f>
        <v>7.7213999999999992</v>
      </c>
      <c r="AC82" s="675">
        <f>-AC70*AC73</f>
        <v>2.6193999999999984</v>
      </c>
      <c r="AD82" s="675">
        <f>-AD70*AD73</f>
        <v>4.7523600000000004</v>
      </c>
      <c r="AE82" s="676">
        <f>+SUM(AA82:AD82)</f>
        <v>33.97972</v>
      </c>
      <c r="AF82" s="39"/>
      <c r="AG82" s="674">
        <f>-AG70*AG73</f>
        <v>30.530060000000006</v>
      </c>
      <c r="AH82" s="675">
        <f>-AH70*AH73</f>
        <v>10.769579999999996</v>
      </c>
      <c r="AI82" s="675">
        <f>-AI70*AI73</f>
        <v>4.0029600000000034</v>
      </c>
      <c r="AJ82" s="675">
        <f>-AJ70*AJ73</f>
        <v>28.082059999999998</v>
      </c>
      <c r="AK82" s="676">
        <f>+SUM(AG82:AJ82)</f>
        <v>73.384659999999997</v>
      </c>
      <c r="AL82" s="39"/>
      <c r="AM82" s="674">
        <f>-AM70*AM73</f>
        <v>11.9574</v>
      </c>
      <c r="AN82" s="675">
        <f>-AN70*AN73</f>
        <v>7.4003699999999997</v>
      </c>
      <c r="AO82" s="675">
        <f>-AO70*AO73</f>
        <v>3.1432500000000023</v>
      </c>
      <c r="AP82" s="675">
        <f>-AP70*AP73</f>
        <v>11.886059999999999</v>
      </c>
      <c r="AQ82" s="676">
        <f>+SUM(AM82:AP82)</f>
        <v>34.387079999999997</v>
      </c>
      <c r="AR82" s="39"/>
      <c r="AS82" s="674">
        <f>-AS70*AS73</f>
        <v>16.592420000000001</v>
      </c>
      <c r="AT82" s="675">
        <f>-AT70*AT73</f>
        <v>4.9633199999999986</v>
      </c>
      <c r="AU82" s="675">
        <f>-AU70*AU73</f>
        <v>2.9554499999999999</v>
      </c>
      <c r="AV82" s="675">
        <f>-AV70*AV73</f>
        <v>6.8323800000000032</v>
      </c>
      <c r="AW82" s="676">
        <f>+SUM(AS82:AV82)</f>
        <v>31.343570000000003</v>
      </c>
      <c r="AX82" s="39"/>
      <c r="AY82" s="674">
        <f>-AY70*AY73</f>
        <v>7.6854500000000003</v>
      </c>
      <c r="AZ82" s="675">
        <f>-AZ70*AZ73</f>
        <v>2.9586000000000001</v>
      </c>
      <c r="BA82" s="675">
        <f>-BA70*BA73</f>
        <v>0.74144999999999928</v>
      </c>
      <c r="BB82" s="675">
        <f>-BB70*BB73</f>
        <v>3.0554900000000016</v>
      </c>
      <c r="BC82" s="676">
        <f>+SUM(AY82:BB82)</f>
        <v>14.440989999999999</v>
      </c>
      <c r="BD82" s="39"/>
      <c r="BE82" s="674">
        <f>-BE70*BE73</f>
        <v>6.444</v>
      </c>
      <c r="BF82" s="675">
        <f>-BF70*BF73</f>
        <v>2.5240200000000006</v>
      </c>
      <c r="BG82" s="675">
        <f>-BG70*BG73</f>
        <v>0.65855999999999915</v>
      </c>
      <c r="BH82" s="675">
        <f>-BH70*BH73</f>
        <v>1.6496999999999999</v>
      </c>
      <c r="BI82" s="676">
        <f>SUM(BE82:BH82)</f>
        <v>11.27628</v>
      </c>
      <c r="BJ82" s="39"/>
      <c r="BK82" s="674">
        <f>-BK70*BK73</f>
        <v>4.1496000000000004</v>
      </c>
      <c r="BL82" s="675">
        <f>-BL70*BL73</f>
        <v>0.7164299999999999</v>
      </c>
      <c r="BM82" s="675">
        <f>-BM70*BM73</f>
        <v>5.4007800000000001</v>
      </c>
      <c r="BN82" s="1337">
        <f>-BN70*BN73</f>
        <v>0.3053600000000003</v>
      </c>
      <c r="BO82" s="676">
        <f>SUM(BK82:BN82)</f>
        <v>10.57217</v>
      </c>
      <c r="BP82" s="39"/>
      <c r="BQ82" s="674">
        <f>-BQ70*BQ73</f>
        <v>1.2062341836734634</v>
      </c>
      <c r="BR82" s="675">
        <f>-BR70*BR73</f>
        <v>1.1368234154914068</v>
      </c>
      <c r="BS82" s="675">
        <f>-BS70*BS73</f>
        <v>1.0614917433805311</v>
      </c>
      <c r="BT82" s="675">
        <f>-BT70*BT73</f>
        <v>0.49926288424440862</v>
      </c>
      <c r="BU82" s="676">
        <f>SUM(BQ82:BT82)</f>
        <v>3.9038122267898099</v>
      </c>
      <c r="BV82" s="39"/>
      <c r="BW82" s="674">
        <f>-BW70*BW73</f>
        <v>0.92075138479968677</v>
      </c>
      <c r="BX82" s="675">
        <f>-BX70*BX73</f>
        <v>0.86776825615960218</v>
      </c>
      <c r="BY82" s="675">
        <f>-BY70*BY73</f>
        <v>0.81026554038999066</v>
      </c>
      <c r="BZ82" s="675">
        <f>-BZ70*BZ73</f>
        <v>0.38110094894439539</v>
      </c>
      <c r="CA82" s="676">
        <f>SUM(BW82:BZ82)</f>
        <v>2.979886130293675</v>
      </c>
      <c r="CB82" s="39"/>
      <c r="CC82" s="674">
        <f>-CC70*CC73</f>
        <v>0.70283459388350611</v>
      </c>
      <c r="CD82" s="675">
        <f>-CD70*CD73</f>
        <v>0.66239112964855107</v>
      </c>
      <c r="CE82" s="675">
        <f>-CE70*CE73</f>
        <v>0.61849774153931025</v>
      </c>
      <c r="CF82" s="675">
        <f>-CF70*CF73</f>
        <v>0.2909047274886532</v>
      </c>
      <c r="CG82" s="676">
        <f>SUM(CC82:CF82)</f>
        <v>2.2746281925600207</v>
      </c>
      <c r="CO82"/>
      <c r="CP82"/>
      <c r="CQ82"/>
      <c r="CR82"/>
      <c r="CS82"/>
      <c r="CT82"/>
    </row>
    <row r="83" spans="1:99" s="7" customFormat="1" ht="11.25" customHeight="1" x14ac:dyDescent="0.2">
      <c r="B83" s="11"/>
      <c r="C83" s="16"/>
      <c r="D83" s="16"/>
      <c r="E83" s="16"/>
      <c r="F83" s="16"/>
      <c r="G83" s="16"/>
      <c r="H83" s="13"/>
      <c r="I83" s="16"/>
      <c r="J83" s="16"/>
      <c r="K83" s="16"/>
      <c r="L83" s="16"/>
      <c r="M83" s="16"/>
      <c r="N83" s="13"/>
      <c r="O83" s="16"/>
      <c r="P83" s="16"/>
      <c r="Q83" s="16"/>
      <c r="R83" s="16"/>
      <c r="S83" s="16"/>
      <c r="T83" s="13"/>
      <c r="U83" s="16"/>
      <c r="V83" s="16"/>
      <c r="W83" s="16"/>
      <c r="X83" s="16"/>
      <c r="Y83" s="16"/>
      <c r="Z83" s="13"/>
      <c r="AA83" s="16"/>
      <c r="AB83" s="16"/>
      <c r="AC83" s="16"/>
      <c r="AD83" s="16"/>
      <c r="AE83" s="16"/>
      <c r="AF83" s="13"/>
      <c r="AG83" s="16"/>
      <c r="AH83" s="16"/>
      <c r="AI83" s="16"/>
      <c r="AJ83" s="16"/>
      <c r="AK83" s="16"/>
      <c r="AL83" s="13"/>
      <c r="AM83" s="16"/>
      <c r="AN83" s="16"/>
      <c r="AO83" s="16"/>
      <c r="AP83" s="16"/>
      <c r="AQ83" s="16"/>
      <c r="AR83" s="13"/>
      <c r="AS83" s="16"/>
      <c r="AT83" s="16"/>
      <c r="AU83" s="16"/>
      <c r="AV83" s="16"/>
      <c r="AW83" s="16"/>
      <c r="AX83" s="13"/>
      <c r="AY83" s="16"/>
      <c r="AZ83" s="16"/>
      <c r="BA83" s="16"/>
      <c r="BB83" s="16"/>
      <c r="BC83" s="16"/>
      <c r="BD83" s="13"/>
      <c r="BE83" s="16"/>
      <c r="BF83" s="16"/>
      <c r="BG83" s="16"/>
      <c r="BH83" s="16"/>
      <c r="BI83" s="16"/>
      <c r="BJ83" s="13"/>
      <c r="BK83" s="16"/>
      <c r="BL83" s="16"/>
      <c r="BM83" s="16"/>
      <c r="BN83" s="16"/>
      <c r="BO83" s="16"/>
      <c r="BP83" s="13"/>
      <c r="BQ83" s="16"/>
      <c r="BR83" s="16"/>
      <c r="BS83" s="16"/>
      <c r="BT83" s="16"/>
      <c r="BU83" s="16"/>
      <c r="BV83" s="13"/>
      <c r="BW83" s="16"/>
      <c r="BX83" s="16"/>
      <c r="BY83" s="16"/>
      <c r="BZ83" s="16"/>
      <c r="CA83" s="16"/>
      <c r="CB83" s="13"/>
      <c r="CC83" s="16"/>
      <c r="CD83" s="16"/>
      <c r="CE83" s="16"/>
      <c r="CF83" s="16"/>
      <c r="CG83" s="16"/>
      <c r="CO83"/>
      <c r="CP83"/>
      <c r="CQ83"/>
      <c r="CR83"/>
      <c r="CS83"/>
      <c r="CT83"/>
    </row>
    <row r="84" spans="1:99" ht="11.25" customHeight="1" x14ac:dyDescent="0.2">
      <c r="A84" s="48"/>
      <c r="B84" s="815" t="s">
        <v>347</v>
      </c>
      <c r="C84" s="816"/>
      <c r="D84" s="816"/>
      <c r="E84" s="816"/>
      <c r="F84" s="816"/>
      <c r="G84" s="817"/>
      <c r="H84" s="818"/>
      <c r="I84" s="816"/>
      <c r="J84" s="816"/>
      <c r="K84" s="816"/>
      <c r="L84" s="816"/>
      <c r="M84" s="817"/>
      <c r="N84" s="818"/>
      <c r="O84" s="816"/>
      <c r="P84" s="816"/>
      <c r="Q84" s="816"/>
      <c r="R84" s="816"/>
      <c r="S84" s="817"/>
      <c r="T84" s="818"/>
      <c r="U84" s="816"/>
      <c r="V84" s="816"/>
      <c r="W84" s="816"/>
      <c r="X84" s="816"/>
      <c r="Y84" s="817"/>
      <c r="Z84" s="818"/>
      <c r="AA84" s="816"/>
      <c r="AB84" s="816"/>
      <c r="AC84" s="816"/>
      <c r="AD84" s="816"/>
      <c r="AE84" s="817"/>
      <c r="AF84" s="818"/>
      <c r="AG84" s="816"/>
      <c r="AH84" s="816"/>
      <c r="AI84" s="816"/>
      <c r="AJ84" s="816"/>
      <c r="AK84" s="817"/>
      <c r="AL84" s="818"/>
      <c r="AM84" s="816"/>
      <c r="AN84" s="816"/>
      <c r="AO84" s="816"/>
      <c r="AP84" s="816"/>
      <c r="AQ84" s="817"/>
      <c r="AR84" s="818"/>
      <c r="AS84" s="816"/>
      <c r="AT84" s="816"/>
      <c r="AU84" s="816"/>
      <c r="AV84" s="816"/>
      <c r="AW84" s="817"/>
      <c r="AX84" s="818"/>
      <c r="AY84" s="816"/>
      <c r="AZ84" s="816"/>
      <c r="BA84" s="816"/>
      <c r="BB84" s="816"/>
      <c r="BC84" s="816"/>
      <c r="BD84" s="818"/>
      <c r="BE84" s="816"/>
      <c r="BF84" s="816"/>
      <c r="BG84" s="816"/>
      <c r="BH84" s="816"/>
      <c r="BI84" s="816"/>
      <c r="BJ84" s="818"/>
      <c r="BK84" s="816"/>
      <c r="BL84" s="816"/>
      <c r="BM84" s="816"/>
      <c r="BN84" s="816"/>
      <c r="BO84" s="816"/>
      <c r="BP84" s="818"/>
      <c r="BQ84" s="816"/>
      <c r="BR84" s="816"/>
      <c r="BS84" s="816"/>
      <c r="BT84" s="816"/>
      <c r="BU84" s="816"/>
      <c r="BV84" s="818"/>
      <c r="BW84" s="816"/>
      <c r="BX84" s="816"/>
      <c r="BY84" s="816"/>
      <c r="BZ84" s="816"/>
      <c r="CA84" s="816"/>
      <c r="CB84" s="818"/>
      <c r="CC84" s="816"/>
      <c r="CD84" s="816"/>
      <c r="CE84" s="816"/>
      <c r="CF84" s="816"/>
      <c r="CG84" s="816"/>
    </row>
    <row r="85" spans="1:99" s="7" customFormat="1" ht="11.25" customHeight="1" x14ac:dyDescent="0.2">
      <c r="B85" s="428" t="s">
        <v>123</v>
      </c>
      <c r="C85" s="662">
        <f>+'P&amp;L'!C9</f>
        <v>919.08199999999999</v>
      </c>
      <c r="D85" s="663">
        <f>+'P&amp;L'!D9</f>
        <v>973.24</v>
      </c>
      <c r="E85" s="663">
        <f>+'P&amp;L'!E9</f>
        <v>1076.2449999999999</v>
      </c>
      <c r="F85" s="663">
        <f>+'P&amp;L'!F9</f>
        <v>1219.2749999999996</v>
      </c>
      <c r="G85" s="664">
        <f>+'P&amp;L'!G9</f>
        <v>4187.8419999999996</v>
      </c>
      <c r="H85" s="136"/>
      <c r="I85" s="662">
        <f>+'P&amp;L'!I9</f>
        <v>1071.146</v>
      </c>
      <c r="J85" s="663">
        <f>+'P&amp;L'!J9</f>
        <v>1152.741</v>
      </c>
      <c r="K85" s="663">
        <f>+'P&amp;L'!K9</f>
        <v>1168.615</v>
      </c>
      <c r="L85" s="663">
        <f>+'P&amp;L'!L9</f>
        <v>1113.6160000000009</v>
      </c>
      <c r="M85" s="664">
        <f>+'P&amp;L'!M9</f>
        <v>4506.1180000000004</v>
      </c>
      <c r="N85" s="136"/>
      <c r="O85" s="662">
        <f>+'P&amp;L'!O9</f>
        <v>1047.0250000000001</v>
      </c>
      <c r="P85" s="663">
        <f>+'P&amp;L'!P9</f>
        <v>1131.5160000000001</v>
      </c>
      <c r="Q85" s="663">
        <f>+'P&amp;L'!Q9</f>
        <v>1183.1659999999999</v>
      </c>
      <c r="R85" s="663">
        <f>+'P&amp;L'!R9</f>
        <v>1259.8089999999993</v>
      </c>
      <c r="S85" s="664">
        <f>+'P&amp;L'!S9</f>
        <v>4621.5159999999996</v>
      </c>
      <c r="T85" s="136"/>
      <c r="U85" s="662">
        <f>+'P&amp;L'!U9</f>
        <v>1247.277</v>
      </c>
      <c r="V85" s="663">
        <f>+'P&amp;L'!V9</f>
        <v>1303.7570000000001</v>
      </c>
      <c r="W85" s="663">
        <f>+'P&amp;L'!W9</f>
        <v>1356.0550000000001</v>
      </c>
      <c r="X85" s="663">
        <f>+'P&amp;L'!X9</f>
        <v>1448.8249999999998</v>
      </c>
      <c r="Y85" s="664">
        <f>+'P&amp;L'!Y9</f>
        <v>5355.9139999999998</v>
      </c>
      <c r="Z85" s="136"/>
      <c r="AA85" s="662">
        <f>+'P&amp;L'!AA9</f>
        <v>1381.9390000000001</v>
      </c>
      <c r="AB85" s="663">
        <f>+'P&amp;L'!AB9</f>
        <v>1518.4159999999999</v>
      </c>
      <c r="AC85" s="663">
        <f>+'P&amp;L'!AC9</f>
        <v>1524.2729999999999</v>
      </c>
      <c r="AD85" s="663">
        <f>+'P&amp;L'!AD9</f>
        <v>1687.5590000000002</v>
      </c>
      <c r="AE85" s="664">
        <f>+'P&amp;L'!AE9</f>
        <v>6112.1869999999999</v>
      </c>
      <c r="AF85" s="136"/>
      <c r="AG85" s="662">
        <f>+'P&amp;L'!AG9</f>
        <v>1488.44</v>
      </c>
      <c r="AH85" s="663">
        <f>+'P&amp;L'!AH9</f>
        <v>1577.057</v>
      </c>
      <c r="AI85" s="663">
        <f>+'P&amp;L'!AI9</f>
        <v>1622.0139999999999</v>
      </c>
      <c r="AJ85" s="663">
        <f>+'P&amp;L'!AJ9</f>
        <v>1744.9429999999993</v>
      </c>
      <c r="AK85" s="664">
        <f>+'P&amp;L'!AK9</f>
        <v>6432.4539999999997</v>
      </c>
      <c r="AL85" s="136"/>
      <c r="AM85" s="662">
        <f>+'P&amp;L'!AM9</f>
        <v>1646.52</v>
      </c>
      <c r="AN85" s="663">
        <f>+'P&amp;L'!AN9</f>
        <v>1721.954</v>
      </c>
      <c r="AO85" s="663">
        <f>+'P&amp;L'!AO9</f>
        <v>1709.309</v>
      </c>
      <c r="AP85" s="663">
        <f>+'P&amp;L'!AP9</f>
        <v>1826.8499999999995</v>
      </c>
      <c r="AQ85" s="664">
        <f>+'P&amp;L'!AQ9</f>
        <v>6904.6329999999998</v>
      </c>
      <c r="AR85" s="136"/>
      <c r="AS85" s="662">
        <f>+'P&amp;L'!AS9</f>
        <v>1733.4459999999999</v>
      </c>
      <c r="AT85" s="663">
        <f>+'P&amp;L'!AT9</f>
        <v>1886.934</v>
      </c>
      <c r="AU85" s="663">
        <f>+'P&amp;L'!AU9</f>
        <v>1902.0630000000001</v>
      </c>
      <c r="AV85" s="663">
        <f>+'P&amp;L'!AV9</f>
        <v>1937.6319999999996</v>
      </c>
      <c r="AW85" s="664">
        <f>+'P&amp;L'!AW9</f>
        <v>7460.0749999999998</v>
      </c>
      <c r="AX85" s="136"/>
      <c r="AY85" s="662">
        <f>+'P&amp;L'!AY9</f>
        <v>1750.251</v>
      </c>
      <c r="AZ85" s="663">
        <f>+'P&amp;L'!AZ9</f>
        <v>1878.6420000000001</v>
      </c>
      <c r="BA85" s="663">
        <f>+'P&amp;L'!BA9</f>
        <v>1936.9269999999999</v>
      </c>
      <c r="BB85" s="663">
        <f>+'P&amp;L'!BB9</f>
        <v>2051.6400000000003</v>
      </c>
      <c r="BC85" s="664">
        <f>+'P&amp;L'!BC9</f>
        <v>7617.46</v>
      </c>
      <c r="BD85" s="136"/>
      <c r="BE85" s="662">
        <f>+'P&amp;L'!BE9</f>
        <v>1933.6510000000001</v>
      </c>
      <c r="BF85" s="663">
        <f>+'P&amp;L'!BF9</f>
        <v>2069.3139999999999</v>
      </c>
      <c r="BG85" s="663">
        <f>+'P&amp;L'!BG9</f>
        <v>2075.6570000000002</v>
      </c>
      <c r="BH85" s="663">
        <f>+'P&amp;L'!BH9</f>
        <v>2259.0770000000002</v>
      </c>
      <c r="BI85" s="664">
        <f>+'P&amp;L'!BI9</f>
        <v>8337.6990000000005</v>
      </c>
      <c r="BJ85" s="136"/>
      <c r="BK85" s="662">
        <f>+'P&amp;L'!BK9</f>
        <v>2100.0279999999998</v>
      </c>
      <c r="BL85" s="663">
        <f>+'P&amp;L'!BL9</f>
        <v>2220.2849999999999</v>
      </c>
      <c r="BM85" s="663">
        <f>+'P&amp;L'!BM9</f>
        <v>2325.029</v>
      </c>
      <c r="BN85" s="663">
        <f>+'P&amp;L'!BN9</f>
        <v>2417.098</v>
      </c>
      <c r="BO85" s="664">
        <f>+'P&amp;L'!BO9</f>
        <v>9062.44</v>
      </c>
      <c r="BP85" s="136"/>
      <c r="BQ85" s="662">
        <f>+'P&amp;L'!BQ9</f>
        <v>2218.6457186032662</v>
      </c>
      <c r="BR85" s="663">
        <f>+'P&amp;L'!BR9</f>
        <v>2371.559423468078</v>
      </c>
      <c r="BS85" s="663">
        <f>+'P&amp;L'!BS9</f>
        <v>2450.8350154485183</v>
      </c>
      <c r="BT85" s="663">
        <f>+'P&amp;L'!BT9</f>
        <v>2518.1824334789153</v>
      </c>
      <c r="BU85" s="664">
        <f>+'P&amp;L'!BU9</f>
        <v>9559.2225909987792</v>
      </c>
      <c r="BV85" s="136"/>
      <c r="BW85" s="662">
        <f>+'P&amp;L'!BW9</f>
        <v>2337.2104001038124</v>
      </c>
      <c r="BX85" s="663">
        <f>+'P&amp;L'!BX9</f>
        <v>2489.6026980807951</v>
      </c>
      <c r="BY85" s="663">
        <f>+'P&amp;L'!BY9</f>
        <v>2572.8952195488109</v>
      </c>
      <c r="BZ85" s="663">
        <f>+'P&amp;L'!BZ9</f>
        <v>2641.7587297848531</v>
      </c>
      <c r="CA85" s="664">
        <f>+'P&amp;L'!CA9</f>
        <v>10041.467047518272</v>
      </c>
      <c r="CB85" s="136"/>
      <c r="CC85" s="662">
        <f>+'P&amp;L'!CC9</f>
        <v>2444.7446844940068</v>
      </c>
      <c r="CD85" s="663">
        <f>+'P&amp;L'!CD9</f>
        <v>2604.8006787441</v>
      </c>
      <c r="CE85" s="663">
        <f>+'P&amp;L'!CE9</f>
        <v>2691.6468141374398</v>
      </c>
      <c r="CF85" s="663">
        <f>+'P&amp;L'!CF9</f>
        <v>2762.7116698087366</v>
      </c>
      <c r="CG85" s="664">
        <f>+'P&amp;L'!CG9</f>
        <v>10503.903847184283</v>
      </c>
      <c r="CO85"/>
      <c r="CP85"/>
      <c r="CQ85"/>
      <c r="CR85"/>
      <c r="CS85"/>
      <c r="CT85"/>
    </row>
    <row r="86" spans="1:99" s="7" customFormat="1" ht="11.25" customHeight="1" x14ac:dyDescent="0.2">
      <c r="B86" s="426" t="s">
        <v>124</v>
      </c>
      <c r="C86" s="237">
        <f>+'P&amp;L'!C11</f>
        <v>317.32499999999999</v>
      </c>
      <c r="D86" s="39">
        <f>+'P&amp;L'!D11</f>
        <v>322.92500000000001</v>
      </c>
      <c r="E86" s="39">
        <f>+'P&amp;L'!E11</f>
        <v>332.63</v>
      </c>
      <c r="F86" s="39">
        <f>+'P&amp;L'!F11</f>
        <v>355.755</v>
      </c>
      <c r="G86" s="388">
        <f>+'P&amp;L'!G11</f>
        <v>1328.635</v>
      </c>
      <c r="H86" s="136"/>
      <c r="I86" s="237">
        <f>+'P&amp;L'!I11</f>
        <v>365.35599999999999</v>
      </c>
      <c r="J86" s="39">
        <f>+'P&amp;L'!J11</f>
        <v>374.11799999999999</v>
      </c>
      <c r="K86" s="39">
        <f>+'P&amp;L'!K11</f>
        <v>360.18</v>
      </c>
      <c r="L86" s="39">
        <f>+'P&amp;L'!L11</f>
        <v>332.11500000000001</v>
      </c>
      <c r="M86" s="388">
        <f>+'P&amp;L'!M11</f>
        <v>1431.769</v>
      </c>
      <c r="N86" s="136"/>
      <c r="O86" s="237">
        <f>+'P&amp;L'!O11</f>
        <v>343.73200000000003</v>
      </c>
      <c r="P86" s="39">
        <f>+'P&amp;L'!P11</f>
        <v>353.94799999999998</v>
      </c>
      <c r="Q86" s="39">
        <f>+'P&amp;L'!Q11</f>
        <v>362.38200000000001</v>
      </c>
      <c r="R86" s="39">
        <f>+'P&amp;L'!R11</f>
        <v>389.65299999999979</v>
      </c>
      <c r="S86" s="388">
        <f>+'P&amp;L'!S11</f>
        <v>1449.7149999999999</v>
      </c>
      <c r="T86" s="136"/>
      <c r="U86" s="237">
        <f>+'P&amp;L'!U11</f>
        <v>396.98899999999998</v>
      </c>
      <c r="V86" s="39">
        <f>+'P&amp;L'!V11</f>
        <v>407.63799999999998</v>
      </c>
      <c r="W86" s="39">
        <f>+'P&amp;L'!W11</f>
        <v>400.08800000000002</v>
      </c>
      <c r="X86" s="39">
        <f>+'P&amp;L'!X11</f>
        <v>432.74500000000012</v>
      </c>
      <c r="Y86" s="388">
        <f>+'P&amp;L'!Y11</f>
        <v>1637.46</v>
      </c>
      <c r="Z86" s="136"/>
      <c r="AA86" s="237">
        <f>+'P&amp;L'!AA11</f>
        <v>441.52199999999999</v>
      </c>
      <c r="AB86" s="39">
        <f>+'P&amp;L'!AB11</f>
        <v>461.00900000000001</v>
      </c>
      <c r="AC86" s="39">
        <f>+'P&amp;L'!AC11</f>
        <v>444.15899999999999</v>
      </c>
      <c r="AD86" s="39">
        <f>+'P&amp;L'!AD11</f>
        <v>489.21599999999989</v>
      </c>
      <c r="AE86" s="388">
        <f>+'P&amp;L'!AE11</f>
        <v>1835.9059999999999</v>
      </c>
      <c r="AF86" s="136"/>
      <c r="AG86" s="237">
        <f>+'P&amp;L'!AG11</f>
        <v>465.452</v>
      </c>
      <c r="AH86" s="39">
        <f>+'P&amp;L'!AH11</f>
        <v>466.33300000000003</v>
      </c>
      <c r="AI86" s="39">
        <f>+'P&amp;L'!AI11</f>
        <v>459.42200000000003</v>
      </c>
      <c r="AJ86" s="39">
        <f>+'P&amp;L'!AJ11</f>
        <v>482.15299999999979</v>
      </c>
      <c r="AK86" s="388">
        <f>+'P&amp;L'!AK11</f>
        <v>1873.36</v>
      </c>
      <c r="AL86" s="136"/>
      <c r="AM86" s="237">
        <f>+'P&amp;L'!AM11</f>
        <v>493.36200000000002</v>
      </c>
      <c r="AN86" s="39">
        <f>+'P&amp;L'!AN11</f>
        <v>493.791</v>
      </c>
      <c r="AO86" s="39">
        <f>+'P&amp;L'!AO11</f>
        <v>479.17</v>
      </c>
      <c r="AP86" s="39">
        <f>+'P&amp;L'!AP11</f>
        <v>512.63699999999994</v>
      </c>
      <c r="AQ86" s="388">
        <f>+'P&amp;L'!AQ11</f>
        <v>1978.96</v>
      </c>
      <c r="AR86" s="136"/>
      <c r="AS86" s="237">
        <f>+'P&amp;L'!AS11</f>
        <v>539.44500000000005</v>
      </c>
      <c r="AT86" s="39">
        <f>+'P&amp;L'!AT11</f>
        <v>547.62800000000004</v>
      </c>
      <c r="AU86" s="39">
        <f>+'P&amp;L'!AU11</f>
        <v>547.57799999999997</v>
      </c>
      <c r="AV86" s="39">
        <f>+'P&amp;L'!AV11</f>
        <v>561.52199999999971</v>
      </c>
      <c r="AW86" s="388">
        <f>+'P&amp;L'!AW11</f>
        <v>2196.1729999999998</v>
      </c>
      <c r="AX86" s="136"/>
      <c r="AY86" s="237">
        <f>+'P&amp;L'!AY11</f>
        <v>545.16600000000005</v>
      </c>
      <c r="AZ86" s="39">
        <f>+'P&amp;L'!AZ11</f>
        <v>560.42600000000004</v>
      </c>
      <c r="BA86" s="39">
        <f>+'P&amp;L'!BA11</f>
        <v>551.58799999999997</v>
      </c>
      <c r="BB86" s="39">
        <f>+'P&amp;L'!BB11</f>
        <v>586.17600000000016</v>
      </c>
      <c r="BC86" s="388">
        <f>+'P&amp;L'!BC11</f>
        <v>2243.3560000000002</v>
      </c>
      <c r="BD86" s="136"/>
      <c r="BE86" s="237">
        <f>+'P&amp;L'!BE11</f>
        <v>599.053</v>
      </c>
      <c r="BF86" s="39">
        <f>+'P&amp;L'!BF11</f>
        <v>602.25599999999997</v>
      </c>
      <c r="BG86" s="39">
        <f>+'P&amp;L'!BG11</f>
        <v>583.4</v>
      </c>
      <c r="BH86" s="39">
        <f>+'P&amp;L'!BH11</f>
        <v>631.79499999999996</v>
      </c>
      <c r="BI86" s="388">
        <f>+'P&amp;L'!BI11</f>
        <v>2416.5039999999999</v>
      </c>
      <c r="BJ86" s="136"/>
      <c r="BK86" s="237">
        <f>+'P&amp;L'!BK11</f>
        <v>628.952</v>
      </c>
      <c r="BL86" s="39">
        <f>+'P&amp;L'!BL11</f>
        <v>628.51099999999997</v>
      </c>
      <c r="BM86" s="39">
        <f>+'P&amp;L'!BM11</f>
        <v>622.50599999999997</v>
      </c>
      <c r="BN86" s="39">
        <f>+'P&amp;L'!BN11</f>
        <v>659.76499999999999</v>
      </c>
      <c r="BO86" s="388">
        <f>+'P&amp;L'!BO11</f>
        <v>2539.7339999999999</v>
      </c>
      <c r="BP86" s="136"/>
      <c r="BQ86" s="237">
        <f>+'P&amp;L'!BQ11</f>
        <v>646.38899850690905</v>
      </c>
      <c r="BR86" s="39">
        <f>+'P&amp;L'!BR11</f>
        <v>664.38622465973924</v>
      </c>
      <c r="BS86" s="39">
        <f>+'P&amp;L'!BS11</f>
        <v>653.72653012897786</v>
      </c>
      <c r="BT86" s="39">
        <f>+'P&amp;L'!BT11</f>
        <v>684.66581014845769</v>
      </c>
      <c r="BU86" s="388">
        <f>+'P&amp;L'!BU11</f>
        <v>2649.1675634440835</v>
      </c>
      <c r="BV86" s="136"/>
      <c r="BW86" s="237">
        <f>+'P&amp;L'!BW11</f>
        <v>680.13985690160655</v>
      </c>
      <c r="BX86" s="39">
        <f>+'P&amp;L'!BX11</f>
        <v>689.84935850318743</v>
      </c>
      <c r="BY86" s="39">
        <f>+'P&amp;L'!BY11</f>
        <v>678.74501538045035</v>
      </c>
      <c r="BZ86" s="39">
        <f>+'P&amp;L'!BZ11</f>
        <v>710.4098332012951</v>
      </c>
      <c r="CA86" s="388">
        <f>+'P&amp;L'!CA11</f>
        <v>2759.1440639865391</v>
      </c>
      <c r="CB86" s="136"/>
      <c r="CC86" s="237">
        <f>+'P&amp;L'!CC11</f>
        <v>703.94874500258607</v>
      </c>
      <c r="CD86" s="39">
        <f>+'P&amp;L'!CD11</f>
        <v>714.05713294319128</v>
      </c>
      <c r="CE86" s="39">
        <f>+'P&amp;L'!CE11</f>
        <v>702.43918026340475</v>
      </c>
      <c r="CF86" s="39">
        <f>+'P&amp;L'!CF11</f>
        <v>734.97604304019069</v>
      </c>
      <c r="CG86" s="388">
        <f>+'P&amp;L'!CG11</f>
        <v>2855.4211012493729</v>
      </c>
      <c r="CO86"/>
      <c r="CP86"/>
      <c r="CQ86"/>
      <c r="CR86"/>
      <c r="CS86"/>
      <c r="CT86"/>
    </row>
    <row r="87" spans="1:99" s="7" customFormat="1" ht="11.25" customHeight="1" x14ac:dyDescent="0.2">
      <c r="B87" s="426" t="s">
        <v>343</v>
      </c>
      <c r="C87" s="237">
        <f>+C85+C86</f>
        <v>1236.4069999999999</v>
      </c>
      <c r="D87" s="39">
        <f>+D85+D86</f>
        <v>1296.165</v>
      </c>
      <c r="E87" s="39">
        <f>+E85+E86</f>
        <v>1408.875</v>
      </c>
      <c r="F87" s="39">
        <f>+F85+F86</f>
        <v>1575.0299999999997</v>
      </c>
      <c r="G87" s="388">
        <f>+G85+G86</f>
        <v>5516.4769999999999</v>
      </c>
      <c r="H87" s="136"/>
      <c r="I87" s="237">
        <f>+I85+I86</f>
        <v>1436.502</v>
      </c>
      <c r="J87" s="39">
        <f>+J85+J86</f>
        <v>1526.8589999999999</v>
      </c>
      <c r="K87" s="39">
        <f>+K85+K86</f>
        <v>1528.7950000000001</v>
      </c>
      <c r="L87" s="39">
        <f>+L85+L86</f>
        <v>1445.7310000000009</v>
      </c>
      <c r="M87" s="388">
        <f>+M85+M86</f>
        <v>5937.8870000000006</v>
      </c>
      <c r="N87" s="136"/>
      <c r="O87" s="237">
        <f>+O85+O86</f>
        <v>1390.7570000000001</v>
      </c>
      <c r="P87" s="39">
        <f>+P85+P86</f>
        <v>1485.4639999999999</v>
      </c>
      <c r="Q87" s="39">
        <f>+Q85+Q86</f>
        <v>1545.548</v>
      </c>
      <c r="R87" s="39">
        <f>+R85+R86</f>
        <v>1649.4619999999991</v>
      </c>
      <c r="S87" s="388">
        <f>+S85+S86</f>
        <v>6071.2309999999998</v>
      </c>
      <c r="T87" s="136"/>
      <c r="U87" s="237">
        <f>+U85+U86</f>
        <v>1644.2660000000001</v>
      </c>
      <c r="V87" s="39">
        <f>+V85+V86</f>
        <v>1711.395</v>
      </c>
      <c r="W87" s="39">
        <f>+W85+W86</f>
        <v>1756.143</v>
      </c>
      <c r="X87" s="39">
        <f>+X85+X86</f>
        <v>1881.57</v>
      </c>
      <c r="Y87" s="388">
        <f>+Y85+Y86</f>
        <v>6993.3739999999998</v>
      </c>
      <c r="Z87" s="136"/>
      <c r="AA87" s="237">
        <f>+AA85+AA86</f>
        <v>1823.461</v>
      </c>
      <c r="AB87" s="39">
        <f>+AB85+AB86</f>
        <v>1979.425</v>
      </c>
      <c r="AC87" s="39">
        <f>+AC85+AC86</f>
        <v>1968.4319999999998</v>
      </c>
      <c r="AD87" s="39">
        <f>+AD85+AD86</f>
        <v>2176.7750000000001</v>
      </c>
      <c r="AE87" s="388">
        <f>+AE85+AE86</f>
        <v>7948.0929999999998</v>
      </c>
      <c r="AF87" s="136"/>
      <c r="AG87" s="237">
        <f>+AG85+AG86</f>
        <v>1953.8920000000001</v>
      </c>
      <c r="AH87" s="39">
        <f>+AH85+AH86</f>
        <v>2043.39</v>
      </c>
      <c r="AI87" s="39">
        <f>+AI85+AI86</f>
        <v>2081.4359999999997</v>
      </c>
      <c r="AJ87" s="39">
        <f>+AJ85+AJ86</f>
        <v>2227.0959999999991</v>
      </c>
      <c r="AK87" s="388">
        <f>+AK85+AK86</f>
        <v>8305.8140000000003</v>
      </c>
      <c r="AL87" s="136"/>
      <c r="AM87" s="237">
        <f>+AM85+AM86</f>
        <v>2139.8820000000001</v>
      </c>
      <c r="AN87" s="39">
        <f>+AN85+AN86</f>
        <v>2215.7449999999999</v>
      </c>
      <c r="AO87" s="39">
        <f>+AO85+AO86</f>
        <v>2188.4789999999998</v>
      </c>
      <c r="AP87" s="39">
        <f>+AP85+AP86</f>
        <v>2339.4869999999992</v>
      </c>
      <c r="AQ87" s="388">
        <f>+AQ85+AQ86</f>
        <v>8883.5930000000008</v>
      </c>
      <c r="AR87" s="136"/>
      <c r="AS87" s="237">
        <f>+AS85+AS86</f>
        <v>2272.8910000000001</v>
      </c>
      <c r="AT87" s="39">
        <f>+AT85+AT86</f>
        <v>2434.5619999999999</v>
      </c>
      <c r="AU87" s="39">
        <f>+AU85+AU86</f>
        <v>2449.6410000000001</v>
      </c>
      <c r="AV87" s="39">
        <f>+AV85+AV86</f>
        <v>2499.1539999999995</v>
      </c>
      <c r="AW87" s="388">
        <f>+AW85+AW86</f>
        <v>9656.2479999999996</v>
      </c>
      <c r="AX87" s="136"/>
      <c r="AY87" s="237">
        <f>+AY85+AY86</f>
        <v>2295.4169999999999</v>
      </c>
      <c r="AZ87" s="39">
        <f>+AZ85+AZ86</f>
        <v>2439.0680000000002</v>
      </c>
      <c r="BA87" s="39">
        <f>+BA85+BA86</f>
        <v>2488.5149999999999</v>
      </c>
      <c r="BB87" s="39">
        <f>+BB85+BB86</f>
        <v>2637.8160000000007</v>
      </c>
      <c r="BC87" s="388">
        <f>+BC85+BC86</f>
        <v>9860.8160000000007</v>
      </c>
      <c r="BD87" s="136"/>
      <c r="BE87" s="237">
        <f>+BE85+BE86</f>
        <v>2532.7040000000002</v>
      </c>
      <c r="BF87" s="39">
        <f>+BF85+BF86</f>
        <v>2671.5699999999997</v>
      </c>
      <c r="BG87" s="39">
        <f>+BG85+BG86</f>
        <v>2659.0570000000002</v>
      </c>
      <c r="BH87" s="39">
        <f>+BH85+BH86</f>
        <v>2890.8720000000003</v>
      </c>
      <c r="BI87" s="388">
        <f>+BI85+BI86</f>
        <v>10754.203000000001</v>
      </c>
      <c r="BJ87" s="136"/>
      <c r="BK87" s="237">
        <f>+BK85+BK86</f>
        <v>2728.9799999999996</v>
      </c>
      <c r="BL87" s="39">
        <f>+BL85+BL86</f>
        <v>2848.7959999999998</v>
      </c>
      <c r="BM87" s="39">
        <f>+BM85+BM86</f>
        <v>2947.5349999999999</v>
      </c>
      <c r="BN87" s="39">
        <f>+BN85+BN86</f>
        <v>3076.8629999999998</v>
      </c>
      <c r="BO87" s="388">
        <f>+BO85+BO86</f>
        <v>11602.174000000001</v>
      </c>
      <c r="BP87" s="136"/>
      <c r="BQ87" s="237">
        <f>+BQ85+BQ86</f>
        <v>2865.0347171101753</v>
      </c>
      <c r="BR87" s="39">
        <f>+BR85+BR86</f>
        <v>3035.9456481278171</v>
      </c>
      <c r="BS87" s="39">
        <f>+BS85+BS86</f>
        <v>3104.561545577496</v>
      </c>
      <c r="BT87" s="39">
        <f>+BT85+BT86</f>
        <v>3202.848243627373</v>
      </c>
      <c r="BU87" s="388">
        <f>+BU85+BU86</f>
        <v>12208.390154442863</v>
      </c>
      <c r="BV87" s="136"/>
      <c r="BW87" s="237">
        <f>+BW85+BW86</f>
        <v>3017.3502570054188</v>
      </c>
      <c r="BX87" s="39">
        <f>+BX85+BX86</f>
        <v>3179.4520565839825</v>
      </c>
      <c r="BY87" s="39">
        <f>+BY85+BY86</f>
        <v>3251.6402349292612</v>
      </c>
      <c r="BZ87" s="39">
        <f>+BZ85+BZ86</f>
        <v>3352.1685629861481</v>
      </c>
      <c r="CA87" s="388">
        <f>+CA85+CA86</f>
        <v>12800.611111504812</v>
      </c>
      <c r="CB87" s="136"/>
      <c r="CC87" s="237">
        <f>+CC85+CC86</f>
        <v>3148.6934294965931</v>
      </c>
      <c r="CD87" s="39">
        <f>+CD85+CD86</f>
        <v>3318.8578116872914</v>
      </c>
      <c r="CE87" s="39">
        <f>+CE85+CE86</f>
        <v>3394.0859944008444</v>
      </c>
      <c r="CF87" s="39">
        <f>+CF85+CF86</f>
        <v>3497.6877128489273</v>
      </c>
      <c r="CG87" s="388">
        <f>+CG85+CG86</f>
        <v>13359.324948433656</v>
      </c>
      <c r="CO87"/>
      <c r="CP87"/>
      <c r="CQ87"/>
      <c r="CR87"/>
      <c r="CS87"/>
      <c r="CT87"/>
    </row>
    <row r="88" spans="1:99" s="7" customFormat="1" ht="11.25" customHeight="1" x14ac:dyDescent="0.2">
      <c r="B88" s="426" t="s">
        <v>344</v>
      </c>
      <c r="C88" s="237">
        <f>+C11</f>
        <v>4.117</v>
      </c>
      <c r="D88" s="39">
        <f>+D11</f>
        <v>6.6079999999999997</v>
      </c>
      <c r="E88" s="39">
        <f>+E11</f>
        <v>5.9949999999999983</v>
      </c>
      <c r="F88" s="39">
        <f>+F11</f>
        <v>5.8330000000000028</v>
      </c>
      <c r="G88" s="388">
        <f>+G11</f>
        <v>22.553000000000001</v>
      </c>
      <c r="H88" s="136"/>
      <c r="I88" s="237">
        <f>+I11</f>
        <v>9.26</v>
      </c>
      <c r="J88" s="39">
        <f>+J11</f>
        <v>6.9560000000000013</v>
      </c>
      <c r="K88" s="39">
        <f>+K11</f>
        <v>6.8439999999999994</v>
      </c>
      <c r="L88" s="39">
        <f>+L11</f>
        <v>2.3689999999999998</v>
      </c>
      <c r="M88" s="388">
        <f>+M11</f>
        <v>25.429000000000002</v>
      </c>
      <c r="N88" s="136"/>
      <c r="O88" s="237">
        <f>+O11</f>
        <v>6.0670000000000002</v>
      </c>
      <c r="P88" s="39">
        <f>+P11</f>
        <v>6.2360000000000007</v>
      </c>
      <c r="Q88" s="39">
        <f>+Q11</f>
        <v>6.0410000000000004</v>
      </c>
      <c r="R88" s="39">
        <f>+R11</f>
        <v>7.5799999999999983</v>
      </c>
      <c r="S88" s="388">
        <f>+S11</f>
        <v>25.923999999999999</v>
      </c>
      <c r="T88" s="136"/>
      <c r="U88" s="237">
        <f>+U11</f>
        <v>6.1420000000000003</v>
      </c>
      <c r="V88" s="39">
        <f>+V11</f>
        <v>6.8570000000000002</v>
      </c>
      <c r="W88" s="39">
        <f>+W11</f>
        <v>6.7460000000000013</v>
      </c>
      <c r="X88" s="39">
        <f>+X11</f>
        <v>10.164999999999999</v>
      </c>
      <c r="Y88" s="388">
        <f>+Y11</f>
        <v>29.91</v>
      </c>
      <c r="Z88" s="136"/>
      <c r="AA88" s="237">
        <f>+AA11</f>
        <v>8.3450000000000006</v>
      </c>
      <c r="AB88" s="39">
        <f>+AB11</f>
        <v>9.6150000000000002</v>
      </c>
      <c r="AC88" s="39">
        <f>+AC11</f>
        <v>8.0849999999999991</v>
      </c>
      <c r="AD88" s="39">
        <f>+AD11</f>
        <v>10.886999999999999</v>
      </c>
      <c r="AE88" s="388">
        <f>+AE11</f>
        <v>36.932000000000002</v>
      </c>
      <c r="AF88" s="136"/>
      <c r="AG88" s="237">
        <f>+AG11</f>
        <v>8.7539999999999996</v>
      </c>
      <c r="AH88" s="39">
        <f>+AH11</f>
        <v>11.295</v>
      </c>
      <c r="AI88" s="39">
        <f>+AI11</f>
        <v>11.818000000000003</v>
      </c>
      <c r="AJ88" s="39">
        <f>+AJ11</f>
        <v>5.445999999999998</v>
      </c>
      <c r="AK88" s="388">
        <f>+AK11</f>
        <v>37.313000000000002</v>
      </c>
      <c r="AL88" s="136"/>
      <c r="AM88" s="237">
        <f>+AM11</f>
        <v>5.31</v>
      </c>
      <c r="AN88" s="39">
        <f>+AN11</f>
        <v>11.422000000000001</v>
      </c>
      <c r="AO88" s="39">
        <f>+AO11</f>
        <v>7.9630000000000001</v>
      </c>
      <c r="AP88" s="39">
        <f>+AP11</f>
        <v>10.832000000000001</v>
      </c>
      <c r="AQ88" s="388">
        <f>+AQ11</f>
        <v>35.527000000000001</v>
      </c>
      <c r="AR88" s="136"/>
      <c r="AS88" s="237">
        <f>+AS11</f>
        <v>8.9629999999999992</v>
      </c>
      <c r="AT88" s="39">
        <f>+AT11</f>
        <v>10.542</v>
      </c>
      <c r="AU88" s="39">
        <f>+AU11</f>
        <v>13.747000000000002</v>
      </c>
      <c r="AV88" s="39">
        <f>+AV11</f>
        <v>12.623999999999997</v>
      </c>
      <c r="AW88" s="388">
        <f>+AW11</f>
        <v>45.875999999999998</v>
      </c>
      <c r="AX88" s="136"/>
      <c r="AY88" s="237">
        <f>+AY11</f>
        <v>8.4990000000000006</v>
      </c>
      <c r="AZ88" s="39">
        <f>+AZ11</f>
        <v>13.502000000000001</v>
      </c>
      <c r="BA88" s="39">
        <f>+BA11</f>
        <v>13.078999999999995</v>
      </c>
      <c r="BB88" s="39">
        <f>+BB11</f>
        <v>9.5340000000000007</v>
      </c>
      <c r="BC88" s="388">
        <f>+BC11</f>
        <v>44.613999999999997</v>
      </c>
      <c r="BD88" s="136"/>
      <c r="BE88" s="237">
        <f>+BE11</f>
        <v>14.144</v>
      </c>
      <c r="BF88" s="39">
        <f>+BF11</f>
        <v>13.311999999999999</v>
      </c>
      <c r="BG88" s="39">
        <f>+BG11</f>
        <v>16.171000000000006</v>
      </c>
      <c r="BH88" s="39">
        <f>+BH11</f>
        <v>14.618999999999998</v>
      </c>
      <c r="BI88" s="388">
        <f>+SUM(BE88:BH88)</f>
        <v>58.246000000000009</v>
      </c>
      <c r="BJ88" s="136"/>
      <c r="BK88" s="237">
        <f>+BK11</f>
        <v>8.4969999999999999</v>
      </c>
      <c r="BL88" s="39">
        <f>+BL11</f>
        <v>10.858000000000001</v>
      </c>
      <c r="BM88" s="39">
        <f>+BM11</f>
        <v>12.631999999999998</v>
      </c>
      <c r="BN88" s="39">
        <f>+BN11</f>
        <v>10.306999999999999</v>
      </c>
      <c r="BO88" s="388">
        <f>+SUM(BK88:BN88)</f>
        <v>42.293999999999997</v>
      </c>
      <c r="BP88" s="136"/>
      <c r="BQ88" s="237">
        <f>+BQ87*BQ89</f>
        <v>9.7411180381745961</v>
      </c>
      <c r="BR88" s="39">
        <f>+BR87*BR89</f>
        <v>10.322215203634578</v>
      </c>
      <c r="BS88" s="39">
        <f>+BS87*BS89</f>
        <v>10.555509254963486</v>
      </c>
      <c r="BT88" s="39">
        <f>+BT87*BT89</f>
        <v>10.889684028333068</v>
      </c>
      <c r="BU88" s="388">
        <f>+SUM(BQ88:BT88)</f>
        <v>41.508526525105729</v>
      </c>
      <c r="BV88" s="136"/>
      <c r="BW88" s="237">
        <f>+BW87*BW89</f>
        <v>10.258990873818423</v>
      </c>
      <c r="BX88" s="39">
        <f>+BX87*BX89</f>
        <v>10.810136992385541</v>
      </c>
      <c r="BY88" s="39">
        <f>+BY87*BY89</f>
        <v>11.055576798759487</v>
      </c>
      <c r="BZ88" s="39">
        <f>+BZ87*BZ89</f>
        <v>11.397373114152902</v>
      </c>
      <c r="CA88" s="388">
        <f>+SUM(BW88:BZ88)</f>
        <v>43.522077779116358</v>
      </c>
      <c r="CB88" s="136"/>
      <c r="CC88" s="237">
        <f>+CC87*CC89</f>
        <v>10.705557660288417</v>
      </c>
      <c r="CD88" s="39">
        <f>+CD87*CD89</f>
        <v>11.284116559736789</v>
      </c>
      <c r="CE88" s="39">
        <f>+CE87*CE89</f>
        <v>11.53989238096287</v>
      </c>
      <c r="CF88" s="39">
        <f>+CF87*CF89</f>
        <v>11.892138223686352</v>
      </c>
      <c r="CG88" s="388">
        <f>+SUM(CC88:CF88)</f>
        <v>45.421704824674428</v>
      </c>
      <c r="CO88"/>
      <c r="CP88"/>
      <c r="CQ88"/>
      <c r="CR88"/>
      <c r="CS88"/>
      <c r="CT88"/>
      <c r="CU88" s="186"/>
    </row>
    <row r="89" spans="1:99" s="7" customFormat="1" ht="11.25" customHeight="1" x14ac:dyDescent="0.2">
      <c r="B89" s="427" t="s">
        <v>345</v>
      </c>
      <c r="C89" s="242">
        <f>+C88/C87</f>
        <v>3.3298096824104038E-3</v>
      </c>
      <c r="D89" s="243">
        <f>+D88/D87</f>
        <v>5.0981163663576783E-3</v>
      </c>
      <c r="E89" s="243">
        <f>+E88/E87</f>
        <v>4.2551681306006554E-3</v>
      </c>
      <c r="F89" s="243">
        <f>+F88/F87</f>
        <v>3.7034215221297398E-3</v>
      </c>
      <c r="G89" s="409">
        <f>+G88/G87</f>
        <v>4.088297658088668E-3</v>
      </c>
      <c r="H89" s="136"/>
      <c r="I89" s="242">
        <f>+I88/I87</f>
        <v>6.4462144849084793E-3</v>
      </c>
      <c r="J89" s="243">
        <f>+J88/J87</f>
        <v>4.5557579318064086E-3</v>
      </c>
      <c r="K89" s="243">
        <f>+K88/K87</f>
        <v>4.4767284037428162E-3</v>
      </c>
      <c r="L89" s="243">
        <f>+L88/L87</f>
        <v>1.6386174191464376E-3</v>
      </c>
      <c r="M89" s="409">
        <f>+M88/M87</f>
        <v>4.282499818538143E-3</v>
      </c>
      <c r="N89" s="136"/>
      <c r="O89" s="242">
        <f>+O88/O87</f>
        <v>4.3623724345805918E-3</v>
      </c>
      <c r="P89" s="243">
        <f>+P88/P87</f>
        <v>4.1980148963556172E-3</v>
      </c>
      <c r="Q89" s="243">
        <f>+Q88/Q87</f>
        <v>3.9086459948186663E-3</v>
      </c>
      <c r="R89" s="243">
        <f>+R88/R87</f>
        <v>4.5954377851687416E-3</v>
      </c>
      <c r="S89" s="409">
        <f>+S88/S87</f>
        <v>4.2699742441030496E-3</v>
      </c>
      <c r="T89" s="136"/>
      <c r="U89" s="242">
        <f>+U88/U87</f>
        <v>3.7354053419580533E-3</v>
      </c>
      <c r="V89" s="243">
        <f>+V88/V87</f>
        <v>4.0066729188761221E-3</v>
      </c>
      <c r="W89" s="243">
        <f>+W88/W87</f>
        <v>3.8413728267003319E-3</v>
      </c>
      <c r="X89" s="243">
        <f>+X88/X87</f>
        <v>5.402403312127638E-3</v>
      </c>
      <c r="Y89" s="409">
        <f>+Y88/Y87</f>
        <v>4.2769055394434787E-3</v>
      </c>
      <c r="Z89" s="136"/>
      <c r="AA89" s="242">
        <f>+AA88/AA87</f>
        <v>4.5764620137200632E-3</v>
      </c>
      <c r="AB89" s="243">
        <f>+AB88/AB87</f>
        <v>4.8574712353334935E-3</v>
      </c>
      <c r="AC89" s="243">
        <f>+AC88/AC87</f>
        <v>4.107330098271111E-3</v>
      </c>
      <c r="AD89" s="243">
        <f>+AD88/AD87</f>
        <v>5.0014356100194085E-3</v>
      </c>
      <c r="AE89" s="409">
        <f>+AE88/AE87</f>
        <v>4.6466492025193972E-3</v>
      </c>
      <c r="AF89" s="136"/>
      <c r="AG89" s="242">
        <f>+AG88/AG87</f>
        <v>4.4802885727563239E-3</v>
      </c>
      <c r="AH89" s="243">
        <f>+AH88/AH87</f>
        <v>5.5275791699088278E-3</v>
      </c>
      <c r="AI89" s="243">
        <f>+AI88/AI87</f>
        <v>5.677810895939152E-3</v>
      </c>
      <c r="AJ89" s="243">
        <f>+AJ88/AJ87</f>
        <v>2.4453368871391267E-3</v>
      </c>
      <c r="AK89" s="409">
        <f>+AK88/AK87</f>
        <v>4.4923953269360474E-3</v>
      </c>
      <c r="AL89" s="136"/>
      <c r="AM89" s="242">
        <f>+AM88/AM87</f>
        <v>2.4814452385692291E-3</v>
      </c>
      <c r="AN89" s="243">
        <f>+AN88/AN87</f>
        <v>5.1549253185723095E-3</v>
      </c>
      <c r="AO89" s="243">
        <f>+AO88/AO87</f>
        <v>3.6386001419250543E-3</v>
      </c>
      <c r="AP89" s="243">
        <f>+AP88/AP87</f>
        <v>4.630074883938233E-3</v>
      </c>
      <c r="AQ89" s="409">
        <f>+AQ88/AQ87</f>
        <v>3.9991701555890727E-3</v>
      </c>
      <c r="AR89" s="136"/>
      <c r="AS89" s="242">
        <f>+AS88/AS87</f>
        <v>3.9434359148766921E-3</v>
      </c>
      <c r="AT89" s="243">
        <f>+AT88/AT87</f>
        <v>4.3301423418257573E-3</v>
      </c>
      <c r="AU89" s="243">
        <f>+AU88/AU87</f>
        <v>5.611842714912104E-3</v>
      </c>
      <c r="AV89" s="243">
        <f>+AV88/AV87</f>
        <v>5.0513093630884685E-3</v>
      </c>
      <c r="AW89" s="409">
        <f>+AW88/AW87</f>
        <v>4.7509136053672189E-3</v>
      </c>
      <c r="AX89" s="136"/>
      <c r="AY89" s="242">
        <f>+AY88/AY87</f>
        <v>3.7025952147256907E-3</v>
      </c>
      <c r="AZ89" s="243">
        <f>+AZ88/AZ87</f>
        <v>5.5357210213081388E-3</v>
      </c>
      <c r="BA89" s="243">
        <f>+BA88/BA87</f>
        <v>5.2557448920340028E-3</v>
      </c>
      <c r="BB89" s="243">
        <f>+BB88/BB87</f>
        <v>3.6143536926002413E-3</v>
      </c>
      <c r="BC89" s="409">
        <f>+BC88/BC87</f>
        <v>4.5243720195164367E-3</v>
      </c>
      <c r="BD89" s="136"/>
      <c r="BE89" s="242">
        <f>+BE88/BE87</f>
        <v>5.5845452133372079E-3</v>
      </c>
      <c r="BF89" s="243">
        <f>+BF88/BF87</f>
        <v>4.9828378069824118E-3</v>
      </c>
      <c r="BG89" s="243">
        <f>+BG88/BG87</f>
        <v>6.0814792612569057E-3</v>
      </c>
      <c r="BH89" s="243">
        <f>+BH88/BH87</f>
        <v>5.0569516740969498E-3</v>
      </c>
      <c r="BI89" s="409">
        <f>+BI88/BI87</f>
        <v>5.4161149831372908E-3</v>
      </c>
      <c r="BJ89" s="136"/>
      <c r="BK89" s="242">
        <f>+BK88/BK87</f>
        <v>3.1136175420853219E-3</v>
      </c>
      <c r="BL89" s="243">
        <f>+BL88/BL87</f>
        <v>3.8114347254068039E-3</v>
      </c>
      <c r="BM89" s="243">
        <f>+BM88/BM87</f>
        <v>4.2856149290848109E-3</v>
      </c>
      <c r="BN89" s="243">
        <f>+BN88/BN87</f>
        <v>3.3498404056339199E-3</v>
      </c>
      <c r="BO89" s="409">
        <f>+BO88/BO87</f>
        <v>3.6453512936454836E-3</v>
      </c>
      <c r="BP89" s="136"/>
      <c r="BQ89" s="603">
        <v>3.3999999999999998E-3</v>
      </c>
      <c r="BR89" s="602">
        <f>+BQ89</f>
        <v>3.3999999999999998E-3</v>
      </c>
      <c r="BS89" s="602">
        <f>+BR89</f>
        <v>3.3999999999999998E-3</v>
      </c>
      <c r="BT89" s="602">
        <f>+BS89</f>
        <v>3.3999999999999998E-3</v>
      </c>
      <c r="BU89" s="409">
        <f>+BU88/BU87</f>
        <v>3.3999999999999998E-3</v>
      </c>
      <c r="BV89" s="136"/>
      <c r="BW89" s="603">
        <f>+BT89</f>
        <v>3.3999999999999998E-3</v>
      </c>
      <c r="BX89" s="602">
        <f>+BW89</f>
        <v>3.3999999999999998E-3</v>
      </c>
      <c r="BY89" s="602">
        <f>+BX89</f>
        <v>3.3999999999999998E-3</v>
      </c>
      <c r="BZ89" s="602">
        <f>+BY89</f>
        <v>3.3999999999999998E-3</v>
      </c>
      <c r="CA89" s="409">
        <f>+CA88/CA87</f>
        <v>3.3999999999999998E-3</v>
      </c>
      <c r="CB89" s="136"/>
      <c r="CC89" s="603">
        <f>+BZ89</f>
        <v>3.3999999999999998E-3</v>
      </c>
      <c r="CD89" s="602">
        <f>+CC89</f>
        <v>3.3999999999999998E-3</v>
      </c>
      <c r="CE89" s="602">
        <f>+CD89</f>
        <v>3.3999999999999998E-3</v>
      </c>
      <c r="CF89" s="602">
        <f>+CE89</f>
        <v>3.3999999999999998E-3</v>
      </c>
      <c r="CG89" s="409">
        <f>+CG88/CG87</f>
        <v>3.3999999999999998E-3</v>
      </c>
      <c r="CO89"/>
      <c r="CP89"/>
      <c r="CQ89"/>
      <c r="CR89"/>
      <c r="CS89"/>
      <c r="CT89"/>
      <c r="CU89" s="186"/>
    </row>
    <row r="90" spans="1:99" s="7" customFormat="1" ht="11.25" customHeight="1" x14ac:dyDescent="0.2">
      <c r="CO90"/>
      <c r="CP90"/>
      <c r="CQ90"/>
      <c r="CR90"/>
      <c r="CS90"/>
      <c r="CT90"/>
      <c r="CU90" s="186"/>
    </row>
    <row r="91" spans="1:99" s="7" customFormat="1" ht="11.25" customHeight="1" x14ac:dyDescent="0.2">
      <c r="CO91"/>
      <c r="CP91"/>
      <c r="CQ91"/>
      <c r="CR91"/>
      <c r="CS91"/>
      <c r="CT91"/>
    </row>
    <row r="92" spans="1:99" s="7" customFormat="1" ht="11.25" customHeight="1" x14ac:dyDescent="0.2">
      <c r="CO92"/>
      <c r="CP92"/>
      <c r="CQ92"/>
      <c r="CR92"/>
      <c r="CS92"/>
      <c r="CT92"/>
    </row>
    <row r="93" spans="1:99" s="7" customFormat="1" ht="11.25" customHeight="1" x14ac:dyDescent="0.2">
      <c r="CO93"/>
      <c r="CP93"/>
      <c r="CQ93"/>
      <c r="CR93"/>
      <c r="CS93"/>
      <c r="CT93"/>
    </row>
    <row r="94" spans="1:99" s="7" customFormat="1" ht="11.25" customHeight="1" x14ac:dyDescent="0.2">
      <c r="CO94"/>
      <c r="CP94"/>
      <c r="CQ94"/>
      <c r="CR94"/>
      <c r="CS94"/>
      <c r="CT94"/>
    </row>
    <row r="95" spans="1:99" customFormat="1" ht="11.25" customHeight="1" x14ac:dyDescent="0.2"/>
    <row r="96" spans="1:99" ht="11.25" customHeight="1" x14ac:dyDescent="0.2">
      <c r="BK96" s="1233">
        <v>42736</v>
      </c>
      <c r="BL96" s="1233">
        <v>42826</v>
      </c>
      <c r="BM96" s="1233">
        <v>42917</v>
      </c>
      <c r="BN96" s="1233">
        <v>43009</v>
      </c>
      <c r="BO96" s="1234">
        <f>BK96</f>
        <v>42736</v>
      </c>
      <c r="CU96" s="7"/>
    </row>
    <row r="97" spans="63:99" ht="11.25" customHeight="1" x14ac:dyDescent="0.2">
      <c r="BK97" s="1233">
        <v>42825</v>
      </c>
      <c r="BL97" s="1233">
        <v>42916</v>
      </c>
      <c r="BM97" s="1233">
        <v>43008</v>
      </c>
      <c r="BN97" s="1233">
        <v>43100</v>
      </c>
      <c r="BO97" s="1234">
        <f>BN97</f>
        <v>43100</v>
      </c>
      <c r="CU97" s="7"/>
    </row>
    <row r="98" spans="63:99" ht="11.25" customHeight="1" x14ac:dyDescent="0.2">
      <c r="CU98" s="7"/>
    </row>
    <row r="99" spans="63:99" ht="11.25" customHeight="1" x14ac:dyDescent="0.2">
      <c r="CU99" s="7"/>
    </row>
    <row r="100" spans="63:99" ht="11.25" customHeight="1" x14ac:dyDescent="0.2">
      <c r="CU100" s="11"/>
    </row>
    <row r="101" spans="63:99" ht="11.25" customHeight="1" x14ac:dyDescent="0.2">
      <c r="CU101" s="11"/>
    </row>
    <row r="102" spans="63:99" ht="11.25" customHeight="1" x14ac:dyDescent="0.2">
      <c r="CU102" s="11"/>
    </row>
    <row r="103" spans="63:99" ht="11.25" customHeight="1" x14ac:dyDescent="0.2">
      <c r="CU103" s="11"/>
    </row>
    <row r="104" spans="63:99" ht="11.25" customHeight="1" x14ac:dyDescent="0.2">
      <c r="CU104" s="7"/>
    </row>
    <row r="105" spans="63:99" ht="11.25" customHeight="1" x14ac:dyDescent="0.2">
      <c r="CU105" s="7"/>
    </row>
    <row r="106" spans="63:99" ht="11.25" customHeight="1" x14ac:dyDescent="0.2"/>
    <row r="107" spans="63:99" ht="11.25" customHeight="1" x14ac:dyDescent="0.2"/>
    <row r="108" spans="63:99" ht="11.25" customHeight="1" x14ac:dyDescent="0.2"/>
    <row r="109" spans="63:99" ht="11.25" customHeight="1" x14ac:dyDescent="0.2"/>
    <row r="110" spans="63:99" ht="11.25" customHeight="1" x14ac:dyDescent="0.2"/>
    <row r="111" spans="63:99" ht="11.25" customHeight="1" x14ac:dyDescent="0.2"/>
    <row r="112" spans="63:99" ht="11.25" customHeight="1" x14ac:dyDescent="0.2"/>
    <row r="113" ht="11.25" customHeight="1" x14ac:dyDescent="0.2"/>
    <row r="114" ht="11.25" customHeight="1" x14ac:dyDescent="0.2"/>
    <row r="115" ht="11.25" customHeight="1" x14ac:dyDescent="0.2"/>
    <row r="116" ht="8.85" customHeight="1" x14ac:dyDescent="0.2"/>
    <row r="117" ht="8.85" customHeight="1" x14ac:dyDescent="0.2"/>
    <row r="130" spans="99:99" x14ac:dyDescent="0.2">
      <c r="CU130" s="7"/>
    </row>
  </sheetData>
  <mergeCells count="14">
    <mergeCell ref="AG5:AJ5"/>
    <mergeCell ref="AM5:AP5"/>
    <mergeCell ref="BW5:BZ5"/>
    <mergeCell ref="CC5:CF5"/>
    <mergeCell ref="AS5:AV5"/>
    <mergeCell ref="AY5:BB5"/>
    <mergeCell ref="BE5:BH5"/>
    <mergeCell ref="BK5:BN5"/>
    <mergeCell ref="BQ5:BT5"/>
    <mergeCell ref="C5:F5"/>
    <mergeCell ref="I5:L5"/>
    <mergeCell ref="O5:R5"/>
    <mergeCell ref="U5:X5"/>
    <mergeCell ref="AA5:AD5"/>
  </mergeCells>
  <printOptions horizontalCentered="1" verticalCentered="1"/>
  <pageMargins left="0" right="0" top="0" bottom="0" header="0" footer="0"/>
  <pageSetup fitToHeight="0" orientation="landscape" r:id="rId1"/>
  <headerFooter alignWithMargins="0"/>
  <rowBreaks count="1" manualBreakCount="1">
    <brk id="59" max="16383" man="1"/>
  </rowBreaks>
  <ignoredErrors>
    <ignoredError sqref="BL70 BU39 BR63" formula="1"/>
    <ignoredError sqref="BL58"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pageSetUpPr fitToPage="1"/>
  </sheetPr>
  <dimension ref="B1:CG154"/>
  <sheetViews>
    <sheetView showGridLines="0" zoomScaleNormal="100" zoomScaleSheetLayoutView="85" workbookViewId="0">
      <pane xSplit="2" ySplit="5" topLeftCell="BF100" activePane="bottomRight" state="frozen"/>
      <selection activeCell="S21" sqref="S21"/>
      <selection pane="topRight" activeCell="S21" sqref="S21"/>
      <selection pane="bottomLeft" activeCell="S21" sqref="S21"/>
      <selection pane="bottomRight" sqref="A1:XFD1048576"/>
    </sheetView>
  </sheetViews>
  <sheetFormatPr defaultRowHeight="12" customHeight="1" outlineLevelRow="1" outlineLevelCol="1" x14ac:dyDescent="0.2"/>
  <cols>
    <col min="1" max="1" width="1.7109375" style="9" customWidth="1"/>
    <col min="2" max="2" width="26.140625" style="9" customWidth="1"/>
    <col min="3" max="7" width="7.28515625" style="9" hidden="1" customWidth="1" outlineLevel="1"/>
    <col min="8" max="8" width="0.85546875" style="9" hidden="1" customWidth="1" outlineLevel="1"/>
    <col min="9" max="13" width="7.28515625" style="9" hidden="1" customWidth="1" outlineLevel="1"/>
    <col min="14" max="14" width="0.85546875" style="9" hidden="1" customWidth="1" outlineLevel="1"/>
    <col min="15" max="19" width="7.28515625" style="9" hidden="1" customWidth="1" outlineLevel="1"/>
    <col min="20" max="20" width="0.85546875" style="9" hidden="1" customWidth="1" outlineLevel="1"/>
    <col min="21" max="25" width="7.28515625" style="9" hidden="1" customWidth="1" outlineLevel="1"/>
    <col min="26" max="26" width="0.85546875" style="9" hidden="1" customWidth="1" outlineLevel="1"/>
    <col min="27" max="31" width="7.28515625" style="9" hidden="1" customWidth="1" outlineLevel="1"/>
    <col min="32" max="32" width="0.85546875" style="9" hidden="1" customWidth="1" outlineLevel="1"/>
    <col min="33" max="36" width="7.28515625" style="9" hidden="1" customWidth="1" outlineLevel="1"/>
    <col min="37" max="37" width="7.28515625" style="9" customWidth="1" collapsed="1"/>
    <col min="38" max="38" width="0.85546875" style="9" customWidth="1"/>
    <col min="39" max="42" width="7.28515625" style="9" hidden="1" customWidth="1" outlineLevel="1"/>
    <col min="43" max="43" width="7.28515625" style="9" customWidth="1" collapsed="1"/>
    <col min="44" max="44" width="0.85546875" style="9" customWidth="1"/>
    <col min="45" max="48" width="7.28515625" style="9" hidden="1" customWidth="1" outlineLevel="1"/>
    <col min="49" max="49" width="7.28515625" style="9" customWidth="1" collapsed="1"/>
    <col min="50" max="50" width="0.85546875" style="9" customWidth="1"/>
    <col min="51" max="54" width="7.28515625" style="9" hidden="1" customWidth="1" outlineLevel="1"/>
    <col min="55" max="55" width="7.28515625" style="9" customWidth="1" collapsed="1"/>
    <col min="56" max="56" width="0.85546875" style="9" customWidth="1"/>
    <col min="57" max="60" width="7.28515625" style="9" customWidth="1" outlineLevel="1"/>
    <col min="61" max="61" width="7.28515625" style="9" customWidth="1"/>
    <col min="62" max="62" width="0.85546875" style="9" customWidth="1"/>
    <col min="63" max="66" width="7.28515625" style="9" customWidth="1" outlineLevel="1"/>
    <col min="67" max="67" width="7.28515625" style="9" customWidth="1"/>
    <col min="68" max="68" width="0.85546875" style="9" customWidth="1"/>
    <col min="69" max="72" width="7.28515625" style="9" customWidth="1" outlineLevel="1"/>
    <col min="73" max="73" width="7.28515625" style="9" customWidth="1"/>
    <col min="74" max="74" width="0.85546875" style="9" customWidth="1"/>
    <col min="75" max="78" width="7.28515625" style="9" customWidth="1" outlineLevel="1"/>
    <col min="79" max="79" width="7.28515625" style="9" customWidth="1"/>
    <col min="80" max="80" width="0.85546875" style="9" customWidth="1"/>
    <col min="81" max="84" width="7.28515625" style="9" hidden="1" customWidth="1" outlineLevel="1"/>
    <col min="85" max="85" width="7.28515625" style="9" customWidth="1" collapsed="1"/>
    <col min="86" max="94" width="8.140625" style="9" customWidth="1"/>
    <col min="95" max="16384" width="9.140625" style="9"/>
  </cols>
  <sheetData>
    <row r="1" spans="2:85" ht="11.25" customHeight="1" x14ac:dyDescent="0.2">
      <c r="G1" s="7"/>
      <c r="M1" s="7"/>
      <c r="S1" s="7"/>
      <c r="Y1" s="7"/>
    </row>
    <row r="2" spans="2:85" ht="11.25" customHeight="1" x14ac:dyDescent="0.2">
      <c r="B2" s="56" t="s">
        <v>263</v>
      </c>
      <c r="G2" s="7"/>
      <c r="M2" s="7"/>
      <c r="S2" s="7"/>
      <c r="Y2" s="7"/>
      <c r="BE2" s="76"/>
    </row>
    <row r="3" spans="2:85" s="15" customFormat="1" ht="11.25" customHeight="1" x14ac:dyDescent="0.2">
      <c r="B3" s="187" t="s">
        <v>202</v>
      </c>
      <c r="G3" s="11"/>
      <c r="M3" s="11"/>
      <c r="S3" s="11"/>
      <c r="Y3" s="11"/>
      <c r="BE3" s="9"/>
      <c r="BF3" s="9"/>
      <c r="BG3" s="9"/>
    </row>
    <row r="4" spans="2:85" s="87" customFormat="1" ht="11.25" customHeight="1" x14ac:dyDescent="0.2">
      <c r="B4" s="203"/>
      <c r="C4" s="1422" t="s">
        <v>32</v>
      </c>
      <c r="D4" s="1423"/>
      <c r="E4" s="1423"/>
      <c r="F4" s="1424"/>
      <c r="G4" s="389" t="str">
        <f>C4</f>
        <v>2007A</v>
      </c>
      <c r="H4" s="85"/>
      <c r="I4" s="1422" t="s">
        <v>33</v>
      </c>
      <c r="J4" s="1423"/>
      <c r="K4" s="1423"/>
      <c r="L4" s="1424"/>
      <c r="M4" s="389" t="str">
        <f>I4</f>
        <v>2008A</v>
      </c>
      <c r="N4" s="85"/>
      <c r="O4" s="1422" t="s">
        <v>34</v>
      </c>
      <c r="P4" s="1423"/>
      <c r="Q4" s="1423"/>
      <c r="R4" s="1424"/>
      <c r="S4" s="389" t="str">
        <f>O4</f>
        <v>2009A</v>
      </c>
      <c r="T4" s="85"/>
      <c r="U4" s="1422" t="s">
        <v>100</v>
      </c>
      <c r="V4" s="1423"/>
      <c r="W4" s="1423"/>
      <c r="X4" s="1423"/>
      <c r="Y4" s="389" t="str">
        <f>U4</f>
        <v>2010A</v>
      </c>
      <c r="Z4" s="85"/>
      <c r="AA4" s="1422" t="s">
        <v>130</v>
      </c>
      <c r="AB4" s="1423"/>
      <c r="AC4" s="1423"/>
      <c r="AD4" s="1423"/>
      <c r="AE4" s="389" t="str">
        <f>AA4</f>
        <v>2011A</v>
      </c>
      <c r="AF4" s="85"/>
      <c r="AG4" s="1422" t="s">
        <v>131</v>
      </c>
      <c r="AH4" s="1423"/>
      <c r="AI4" s="1423"/>
      <c r="AJ4" s="1423"/>
      <c r="AK4" s="389" t="str">
        <f>AG4</f>
        <v>2012A</v>
      </c>
      <c r="AL4" s="85"/>
      <c r="AM4" s="1422" t="s">
        <v>132</v>
      </c>
      <c r="AN4" s="1423"/>
      <c r="AO4" s="1423"/>
      <c r="AP4" s="1423"/>
      <c r="AQ4" s="389" t="str">
        <f>AM4</f>
        <v>2013A</v>
      </c>
      <c r="AR4" s="85"/>
      <c r="AS4" s="1422" t="s">
        <v>238</v>
      </c>
      <c r="AT4" s="1423"/>
      <c r="AU4" s="1423"/>
      <c r="AV4" s="1423"/>
      <c r="AW4" s="389" t="str">
        <f>AS4</f>
        <v>2014A</v>
      </c>
      <c r="AX4" s="85"/>
      <c r="AY4" s="1422" t="s">
        <v>251</v>
      </c>
      <c r="AZ4" s="1423"/>
      <c r="BA4" s="1423"/>
      <c r="BB4" s="1423"/>
      <c r="BC4" s="389" t="str">
        <f>AY4</f>
        <v>2015A</v>
      </c>
      <c r="BD4" s="85"/>
      <c r="BE4" s="1422" t="s">
        <v>449</v>
      </c>
      <c r="BF4" s="1423"/>
      <c r="BG4" s="1423"/>
      <c r="BH4" s="1423"/>
      <c r="BI4" s="389" t="str">
        <f>BE4</f>
        <v>2016A</v>
      </c>
      <c r="BJ4" s="85"/>
      <c r="BK4" s="1422" t="s">
        <v>678</v>
      </c>
      <c r="BL4" s="1423"/>
      <c r="BM4" s="1423"/>
      <c r="BN4" s="1423"/>
      <c r="BO4" s="389" t="str">
        <f>BK4</f>
        <v>2017A</v>
      </c>
      <c r="BP4" s="85"/>
      <c r="BQ4" s="1422" t="s">
        <v>244</v>
      </c>
      <c r="BR4" s="1423"/>
      <c r="BS4" s="1423"/>
      <c r="BT4" s="1423"/>
      <c r="BU4" s="389" t="str">
        <f>BQ4</f>
        <v>2018E</v>
      </c>
      <c r="BV4" s="85"/>
      <c r="BW4" s="1422" t="s">
        <v>245</v>
      </c>
      <c r="BX4" s="1423"/>
      <c r="BY4" s="1423"/>
      <c r="BZ4" s="1423"/>
      <c r="CA4" s="389" t="str">
        <f>BW4</f>
        <v>2019E</v>
      </c>
      <c r="CB4" s="85"/>
      <c r="CC4" s="1422" t="s">
        <v>457</v>
      </c>
      <c r="CD4" s="1423"/>
      <c r="CE4" s="1423"/>
      <c r="CF4" s="1423"/>
      <c r="CG4" s="389" t="str">
        <f>CC4</f>
        <v>2020E</v>
      </c>
    </row>
    <row r="5" spans="2:85" ht="11.25" customHeight="1" x14ac:dyDescent="0.2">
      <c r="B5" s="179" t="s">
        <v>203</v>
      </c>
      <c r="C5" s="395">
        <v>39172</v>
      </c>
      <c r="D5" s="2">
        <v>39263</v>
      </c>
      <c r="E5" s="2">
        <v>39355</v>
      </c>
      <c r="F5" s="390">
        <v>39447</v>
      </c>
      <c r="G5" s="382" t="str">
        <f>+C4</f>
        <v>2007A</v>
      </c>
      <c r="H5" s="71"/>
      <c r="I5" s="395">
        <v>39538</v>
      </c>
      <c r="J5" s="2">
        <v>39629</v>
      </c>
      <c r="K5" s="2">
        <v>39721</v>
      </c>
      <c r="L5" s="2">
        <v>39813</v>
      </c>
      <c r="M5" s="382" t="str">
        <f>+I4</f>
        <v>2008A</v>
      </c>
      <c r="N5" s="71"/>
      <c r="O5" s="397">
        <v>39903</v>
      </c>
      <c r="P5" s="72">
        <v>39994</v>
      </c>
      <c r="Q5" s="72">
        <v>40086</v>
      </c>
      <c r="R5" s="398">
        <v>40178</v>
      </c>
      <c r="S5" s="382" t="str">
        <f>+O4</f>
        <v>2009A</v>
      </c>
      <c r="T5" s="71"/>
      <c r="U5" s="399">
        <v>40268</v>
      </c>
      <c r="V5" s="72">
        <v>40359</v>
      </c>
      <c r="W5" s="72">
        <v>40451</v>
      </c>
      <c r="X5" s="72">
        <v>40543</v>
      </c>
      <c r="Y5" s="403" t="str">
        <f>+U4</f>
        <v>2010A</v>
      </c>
      <c r="Z5" s="71"/>
      <c r="AA5" s="72">
        <v>40633</v>
      </c>
      <c r="AB5" s="72">
        <v>40724</v>
      </c>
      <c r="AC5" s="72">
        <v>40816</v>
      </c>
      <c r="AD5" s="72">
        <v>40908</v>
      </c>
      <c r="AE5" s="404" t="str">
        <f>+AA4</f>
        <v>2011A</v>
      </c>
      <c r="AF5" s="71"/>
      <c r="AG5" s="72">
        <v>40999</v>
      </c>
      <c r="AH5" s="72">
        <v>41090</v>
      </c>
      <c r="AI5" s="72">
        <v>41182</v>
      </c>
      <c r="AJ5" s="72">
        <v>41274</v>
      </c>
      <c r="AK5" s="404" t="str">
        <f>+AG4</f>
        <v>2012A</v>
      </c>
      <c r="AL5" s="71"/>
      <c r="AM5" s="72">
        <v>41364</v>
      </c>
      <c r="AN5" s="72">
        <v>41455</v>
      </c>
      <c r="AO5" s="72">
        <v>41547</v>
      </c>
      <c r="AP5" s="72">
        <v>41639</v>
      </c>
      <c r="AQ5" s="404" t="str">
        <f>+AM4</f>
        <v>2013A</v>
      </c>
      <c r="AR5" s="71"/>
      <c r="AS5" s="397">
        <v>41729</v>
      </c>
      <c r="AT5" s="72">
        <v>41820</v>
      </c>
      <c r="AU5" s="72">
        <v>41912</v>
      </c>
      <c r="AV5" s="72">
        <v>42004</v>
      </c>
      <c r="AW5" s="404" t="str">
        <f>+AS4</f>
        <v>2014A</v>
      </c>
      <c r="AX5" s="71"/>
      <c r="AY5" s="397">
        <v>42094</v>
      </c>
      <c r="AZ5" s="72">
        <v>42185</v>
      </c>
      <c r="BA5" s="72">
        <v>42277</v>
      </c>
      <c r="BB5" s="72">
        <v>42369</v>
      </c>
      <c r="BC5" s="404" t="str">
        <f>+AY4</f>
        <v>2015A</v>
      </c>
      <c r="BD5" s="71"/>
      <c r="BE5" s="397">
        <v>42460</v>
      </c>
      <c r="BF5" s="72">
        <v>42551</v>
      </c>
      <c r="BG5" s="72">
        <v>42643</v>
      </c>
      <c r="BH5" s="72">
        <v>42735</v>
      </c>
      <c r="BI5" s="404" t="str">
        <f>+BE4</f>
        <v>2016A</v>
      </c>
      <c r="BJ5" s="71"/>
      <c r="BK5" s="397">
        <v>42825</v>
      </c>
      <c r="BL5" s="1113">
        <f>BK5+FLOOR(365/4,1)</f>
        <v>42916</v>
      </c>
      <c r="BM5" s="1113">
        <f>BL5+FLOOR(365/4,1)+1</f>
        <v>43008</v>
      </c>
      <c r="BN5" s="72">
        <v>42735</v>
      </c>
      <c r="BO5" s="404"/>
      <c r="BP5" s="71"/>
      <c r="BQ5" s="401">
        <f>BK5+365</f>
        <v>43190</v>
      </c>
      <c r="BR5" s="70">
        <f>BQ5+FLOOR(365/4,1)</f>
        <v>43281</v>
      </c>
      <c r="BS5" s="70">
        <f>BR5+FLOOR(365/4,1)+1</f>
        <v>43373</v>
      </c>
      <c r="BT5" s="70">
        <f>BS5+FLOOR(365/4,1)+1</f>
        <v>43465</v>
      </c>
      <c r="BU5" s="404"/>
      <c r="BV5" s="71"/>
      <c r="BW5" s="401">
        <f>BQ5+365</f>
        <v>43555</v>
      </c>
      <c r="BX5" s="70">
        <f>BW5+FLOOR(365/4,1)</f>
        <v>43646</v>
      </c>
      <c r="BY5" s="70">
        <f>BX5+FLOOR(365/4,1)+1</f>
        <v>43738</v>
      </c>
      <c r="BZ5" s="70">
        <f>BY5+FLOOR(365/4,1)+1</f>
        <v>43830</v>
      </c>
      <c r="CA5" s="404"/>
      <c r="CB5" s="71"/>
      <c r="CC5" s="401">
        <f>BW5+365</f>
        <v>43920</v>
      </c>
      <c r="CD5" s="70">
        <f>CC5+FLOOR(365/4,1)</f>
        <v>44011</v>
      </c>
      <c r="CE5" s="70">
        <f>CD5+FLOOR(365/4,1)+1</f>
        <v>44103</v>
      </c>
      <c r="CF5" s="70">
        <f>CE5+FLOOR(365/4,1)+1</f>
        <v>44195</v>
      </c>
      <c r="CG5" s="404"/>
    </row>
    <row r="6" spans="2:85" s="7" customFormat="1" ht="11.25" customHeight="1" x14ac:dyDescent="0.2">
      <c r="B6" s="428" t="s">
        <v>269</v>
      </c>
      <c r="C6" s="735"/>
      <c r="D6" s="736"/>
      <c r="E6" s="736"/>
      <c r="F6" s="736"/>
      <c r="G6" s="737">
        <v>8.9770000000000003</v>
      </c>
      <c r="H6" s="199"/>
      <c r="I6" s="735"/>
      <c r="J6" s="736"/>
      <c r="K6" s="736"/>
      <c r="L6" s="736"/>
      <c r="M6" s="737">
        <v>4.9359999999999999</v>
      </c>
      <c r="N6" s="199"/>
      <c r="O6" s="735"/>
      <c r="P6" s="736"/>
      <c r="Q6" s="736"/>
      <c r="R6" s="736"/>
      <c r="S6" s="737">
        <v>0.93200000000000005</v>
      </c>
      <c r="T6" s="199"/>
      <c r="U6" s="735"/>
      <c r="V6" s="736"/>
      <c r="W6" s="736"/>
      <c r="X6" s="736"/>
      <c r="Y6" s="737">
        <v>41.508000000000003</v>
      </c>
      <c r="Z6" s="199"/>
      <c r="AA6" s="735"/>
      <c r="AB6" s="736"/>
      <c r="AC6" s="736"/>
      <c r="AD6" s="736"/>
      <c r="AE6" s="737">
        <v>55.014000000000003</v>
      </c>
      <c r="AF6" s="199"/>
      <c r="AG6" s="735"/>
      <c r="AH6" s="736"/>
      <c r="AI6" s="736"/>
      <c r="AJ6" s="736"/>
      <c r="AK6" s="737">
        <v>27.166</v>
      </c>
      <c r="AL6" s="199"/>
      <c r="AM6" s="735"/>
      <c r="AN6" s="736"/>
      <c r="AO6" s="736"/>
      <c r="AP6" s="736"/>
      <c r="AQ6" s="737">
        <v>29.507999999999999</v>
      </c>
      <c r="AR6" s="199"/>
      <c r="AS6" s="735">
        <v>144.042</v>
      </c>
      <c r="AT6" s="736">
        <v>83.671000000000006</v>
      </c>
      <c r="AU6" s="736">
        <v>188.815</v>
      </c>
      <c r="AV6" s="736">
        <v>182.899</v>
      </c>
      <c r="AW6" s="737">
        <f>+AV6</f>
        <v>182.899</v>
      </c>
      <c r="AX6" s="199"/>
      <c r="AY6" s="735">
        <v>163.06700000000001</v>
      </c>
      <c r="AZ6" s="736">
        <v>132.428</v>
      </c>
      <c r="BA6" s="736">
        <v>186.886</v>
      </c>
      <c r="BB6" s="736">
        <v>328.63099999999997</v>
      </c>
      <c r="BC6" s="737">
        <f>+BB6</f>
        <v>328.63099999999997</v>
      </c>
      <c r="BD6" s="199"/>
      <c r="BE6" s="735">
        <v>424.03</v>
      </c>
      <c r="BF6" s="736">
        <v>237.809</v>
      </c>
      <c r="BG6" s="736">
        <v>333.12299999999999</v>
      </c>
      <c r="BH6" s="736">
        <v>437.476</v>
      </c>
      <c r="BI6" s="740">
        <f>BH6</f>
        <v>437.476</v>
      </c>
      <c r="BJ6" s="199"/>
      <c r="BK6" s="735">
        <v>671.72400000000005</v>
      </c>
      <c r="BL6" s="736">
        <v>577.47699999999998</v>
      </c>
      <c r="BM6" s="736">
        <v>631.86500000000001</v>
      </c>
      <c r="BN6" s="736">
        <v>741.65300000000002</v>
      </c>
      <c r="BO6" s="639">
        <f>BN6</f>
        <v>741.65300000000002</v>
      </c>
      <c r="BP6" s="199"/>
      <c r="BQ6" s="733">
        <f>BN6+BQ40</f>
        <v>741.65300000000002</v>
      </c>
      <c r="BR6" s="734">
        <f>BQ6+BR40</f>
        <v>741.65300000000002</v>
      </c>
      <c r="BS6" s="734">
        <f>BR6+BS40</f>
        <v>741.65300000000002</v>
      </c>
      <c r="BT6" s="734">
        <f>BS6+BT40</f>
        <v>741.65300000000002</v>
      </c>
      <c r="BU6" s="639">
        <f>BT6</f>
        <v>741.65300000000002</v>
      </c>
      <c r="BV6" s="199"/>
      <c r="BW6" s="733">
        <f>BT6+BW40</f>
        <v>741.65300000000002</v>
      </c>
      <c r="BX6" s="734">
        <f>BW6+BX40</f>
        <v>741.65300000000002</v>
      </c>
      <c r="BY6" s="734">
        <f>BX6+BY40</f>
        <v>741.65300000000002</v>
      </c>
      <c r="BZ6" s="734">
        <f>BY6+BZ40</f>
        <v>741.65300000000002</v>
      </c>
      <c r="CA6" s="639">
        <f>BZ6</f>
        <v>741.65300000000002</v>
      </c>
      <c r="CB6" s="199"/>
      <c r="CC6" s="733">
        <f>BZ6+CC40</f>
        <v>741.65300000000002</v>
      </c>
      <c r="CD6" s="734">
        <f>CC6+CD40</f>
        <v>741.65300000000002</v>
      </c>
      <c r="CE6" s="734">
        <f>CD6+CE40</f>
        <v>741.65300000000002</v>
      </c>
      <c r="CF6" s="734">
        <f>CE6+CF40</f>
        <v>741.65300000000002</v>
      </c>
      <c r="CG6" s="639">
        <f>CF6</f>
        <v>741.65300000000002</v>
      </c>
    </row>
    <row r="7" spans="2:85" s="7" customFormat="1" ht="11.25" customHeight="1" x14ac:dyDescent="0.2">
      <c r="B7" s="491"/>
      <c r="C7" s="586"/>
      <c r="D7" s="587"/>
      <c r="E7" s="587"/>
      <c r="F7" s="587"/>
      <c r="G7" s="738"/>
      <c r="H7" s="38"/>
      <c r="I7" s="586"/>
      <c r="J7" s="587"/>
      <c r="K7" s="587"/>
      <c r="L7" s="587"/>
      <c r="M7" s="738"/>
      <c r="N7" s="38"/>
      <c r="O7" s="586"/>
      <c r="P7" s="587"/>
      <c r="Q7" s="587"/>
      <c r="R7" s="587"/>
      <c r="S7" s="738"/>
      <c r="T7" s="38"/>
      <c r="U7" s="586"/>
      <c r="V7" s="587"/>
      <c r="W7" s="587"/>
      <c r="X7" s="587"/>
      <c r="Y7" s="738"/>
      <c r="Z7" s="38"/>
      <c r="AA7" s="586"/>
      <c r="AB7" s="587"/>
      <c r="AC7" s="587"/>
      <c r="AD7" s="587"/>
      <c r="AE7" s="738"/>
      <c r="AF7" s="38"/>
      <c r="AG7" s="586"/>
      <c r="AH7" s="587"/>
      <c r="AI7" s="587"/>
      <c r="AJ7" s="587"/>
      <c r="AK7" s="738"/>
      <c r="AL7" s="38"/>
      <c r="AM7" s="586"/>
      <c r="AN7" s="587"/>
      <c r="AO7" s="587"/>
      <c r="AP7" s="587"/>
      <c r="AQ7" s="738"/>
      <c r="AR7" s="38"/>
      <c r="AS7" s="586"/>
      <c r="AT7" s="587"/>
      <c r="AU7" s="587"/>
      <c r="AV7" s="587"/>
      <c r="AW7" s="738"/>
      <c r="AX7" s="38"/>
      <c r="AY7" s="586"/>
      <c r="AZ7" s="587"/>
      <c r="BA7" s="587"/>
      <c r="BB7" s="587"/>
      <c r="BC7" s="738"/>
      <c r="BD7" s="38"/>
      <c r="BE7" s="586"/>
      <c r="BF7" s="587"/>
      <c r="BG7" s="587"/>
      <c r="BH7" s="587"/>
      <c r="BI7" s="388"/>
      <c r="BJ7" s="38"/>
      <c r="BK7" s="586"/>
      <c r="BL7" s="587"/>
      <c r="BM7" s="39"/>
      <c r="BN7" s="587"/>
      <c r="BO7" s="388"/>
      <c r="BP7" s="38"/>
      <c r="BQ7" s="237"/>
      <c r="BR7" s="39"/>
      <c r="BS7" s="39"/>
      <c r="BT7" s="39"/>
      <c r="BU7" s="388"/>
      <c r="BV7" s="38"/>
      <c r="BW7" s="237"/>
      <c r="BX7" s="39"/>
      <c r="BY7" s="39"/>
      <c r="BZ7" s="39"/>
      <c r="CA7" s="388"/>
      <c r="CB7" s="38"/>
      <c r="CC7" s="237"/>
      <c r="CD7" s="39"/>
      <c r="CE7" s="39"/>
      <c r="CF7" s="39"/>
      <c r="CG7" s="388"/>
    </row>
    <row r="8" spans="2:85" s="7" customFormat="1" ht="11.25" customHeight="1" x14ac:dyDescent="0.2">
      <c r="B8" s="426" t="s">
        <v>210</v>
      </c>
      <c r="C8" s="238"/>
      <c r="D8" s="204"/>
      <c r="E8" s="204"/>
      <c r="F8" s="204"/>
      <c r="G8" s="387">
        <v>24.318999999999999</v>
      </c>
      <c r="H8" s="39"/>
      <c r="I8" s="238"/>
      <c r="J8" s="204"/>
      <c r="K8" s="204"/>
      <c r="L8" s="204"/>
      <c r="M8" s="387">
        <v>156.405</v>
      </c>
      <c r="N8" s="39"/>
      <c r="O8" s="238"/>
      <c r="P8" s="204"/>
      <c r="Q8" s="204"/>
      <c r="R8" s="204"/>
      <c r="S8" s="387">
        <v>23.56</v>
      </c>
      <c r="T8" s="39"/>
      <c r="U8" s="238"/>
      <c r="V8" s="204"/>
      <c r="W8" s="204"/>
      <c r="X8" s="204"/>
      <c r="Y8" s="387">
        <v>4.4870000000000001</v>
      </c>
      <c r="Z8" s="39"/>
      <c r="AA8" s="238"/>
      <c r="AB8" s="204"/>
      <c r="AC8" s="204"/>
      <c r="AD8" s="204"/>
      <c r="AE8" s="387">
        <v>22.818999999999999</v>
      </c>
      <c r="AF8" s="39"/>
      <c r="AG8" s="238"/>
      <c r="AH8" s="204"/>
      <c r="AI8" s="204"/>
      <c r="AJ8" s="204"/>
      <c r="AK8" s="387">
        <v>17.992000000000001</v>
      </c>
      <c r="AL8" s="39"/>
      <c r="AM8" s="238"/>
      <c r="AN8" s="204"/>
      <c r="AO8" s="204"/>
      <c r="AP8" s="204"/>
      <c r="AQ8" s="387">
        <v>5.4409999999999998</v>
      </c>
      <c r="AR8" s="39"/>
      <c r="AS8" s="238">
        <v>105.98399999999999</v>
      </c>
      <c r="AT8" s="204">
        <v>6.3019999999999996</v>
      </c>
      <c r="AU8" s="204">
        <v>5.782</v>
      </c>
      <c r="AV8" s="204">
        <v>5.8150000000000004</v>
      </c>
      <c r="AW8" s="387">
        <f>+AV8</f>
        <v>5.8150000000000004</v>
      </c>
      <c r="AX8" s="39"/>
      <c r="AY8" s="238">
        <v>14.586</v>
      </c>
      <c r="AZ8" s="204">
        <v>14.715999999999999</v>
      </c>
      <c r="BA8" s="204">
        <v>14.456</v>
      </c>
      <c r="BB8" s="204">
        <v>17.331</v>
      </c>
      <c r="BC8" s="387">
        <f>+BB8</f>
        <v>17.331</v>
      </c>
      <c r="BD8" s="39"/>
      <c r="BE8" s="238">
        <v>17.332999999999998</v>
      </c>
      <c r="BF8" s="204">
        <v>17.189</v>
      </c>
      <c r="BG8" s="204">
        <v>17.46</v>
      </c>
      <c r="BH8" s="204">
        <v>65.923000000000002</v>
      </c>
      <c r="BI8" s="388">
        <f>BH8+BI56</f>
        <v>65.923000000000002</v>
      </c>
      <c r="BJ8" s="39"/>
      <c r="BK8" s="238">
        <v>18.603999999999999</v>
      </c>
      <c r="BL8" s="204">
        <v>17.241</v>
      </c>
      <c r="BM8" s="204">
        <v>17.247</v>
      </c>
      <c r="BN8" s="204">
        <v>16.658999999999999</v>
      </c>
      <c r="BO8" s="388">
        <f>BN8+BO56</f>
        <v>16.658999999999999</v>
      </c>
      <c r="BP8" s="39"/>
      <c r="BQ8" s="237">
        <f>BN8+BQ42</f>
        <v>16.658999999999999</v>
      </c>
      <c r="BR8" s="39">
        <f>BQ8+BR42</f>
        <v>16.658999999999999</v>
      </c>
      <c r="BS8" s="39">
        <f>BR8+BS42</f>
        <v>16.658999999999999</v>
      </c>
      <c r="BT8" s="39">
        <f>BS8+BT42</f>
        <v>16.658999999999999</v>
      </c>
      <c r="BU8" s="388">
        <f>BT8+BU56</f>
        <v>16.658999999999999</v>
      </c>
      <c r="BV8" s="39"/>
      <c r="BW8" s="237">
        <f>BT8+BW42</f>
        <v>16.658999999999999</v>
      </c>
      <c r="BX8" s="39">
        <f>BW8+BX42</f>
        <v>16.658999999999999</v>
      </c>
      <c r="BY8" s="39">
        <f>BX8+BY42</f>
        <v>16.658999999999999</v>
      </c>
      <c r="BZ8" s="39">
        <f>BY8+BZ42</f>
        <v>16.658999999999999</v>
      </c>
      <c r="CA8" s="388">
        <f>BZ8+CA56</f>
        <v>16.658999999999999</v>
      </c>
      <c r="CB8" s="39"/>
      <c r="CC8" s="237">
        <f>BZ8+CC42</f>
        <v>16.658999999999999</v>
      </c>
      <c r="CD8" s="39">
        <f>CC8+CD42</f>
        <v>16.658999999999999</v>
      </c>
      <c r="CE8" s="39">
        <f>CD8+CE42</f>
        <v>16.658999999999999</v>
      </c>
      <c r="CF8" s="39">
        <f>CE8+CF42</f>
        <v>16.658999999999999</v>
      </c>
      <c r="CG8" s="388">
        <f>CF8+CG56</f>
        <v>16.658999999999999</v>
      </c>
    </row>
    <row r="9" spans="2:85" s="7" customFormat="1" ht="11.25" customHeight="1" x14ac:dyDescent="0.2">
      <c r="B9" s="429"/>
      <c r="C9" s="237"/>
      <c r="D9" s="39"/>
      <c r="E9" s="39"/>
      <c r="F9" s="39"/>
      <c r="G9" s="388"/>
      <c r="H9" s="38"/>
      <c r="I9" s="237"/>
      <c r="J9" s="39"/>
      <c r="K9" s="39"/>
      <c r="L9" s="39"/>
      <c r="M9" s="388"/>
      <c r="N9" s="38"/>
      <c r="O9" s="237"/>
      <c r="P9" s="39"/>
      <c r="Q9" s="39"/>
      <c r="R9" s="39"/>
      <c r="S9" s="388"/>
      <c r="T9" s="38"/>
      <c r="U9" s="237"/>
      <c r="V9" s="39"/>
      <c r="W9" s="39"/>
      <c r="X9" s="39"/>
      <c r="Y9" s="388"/>
      <c r="Z9" s="38"/>
      <c r="AA9" s="237"/>
      <c r="AB9" s="39"/>
      <c r="AC9" s="39"/>
      <c r="AD9" s="39"/>
      <c r="AE9" s="388"/>
      <c r="AF9" s="38"/>
      <c r="AG9" s="237"/>
      <c r="AH9" s="39"/>
      <c r="AI9" s="39"/>
      <c r="AJ9" s="39"/>
      <c r="AK9" s="388"/>
      <c r="AL9" s="38"/>
      <c r="AM9" s="237"/>
      <c r="AN9" s="39"/>
      <c r="AO9" s="39"/>
      <c r="AP9" s="39"/>
      <c r="AQ9" s="388"/>
      <c r="AR9" s="38"/>
      <c r="AS9" s="237"/>
      <c r="AT9" s="39"/>
      <c r="AU9" s="39"/>
      <c r="AV9" s="39"/>
      <c r="AW9" s="388"/>
      <c r="AX9" s="38"/>
      <c r="AY9" s="237"/>
      <c r="AZ9" s="39"/>
      <c r="BA9" s="39"/>
      <c r="BB9" s="39"/>
      <c r="BC9" s="388"/>
      <c r="BD9" s="38"/>
      <c r="BE9" s="237"/>
      <c r="BF9" s="39"/>
      <c r="BG9" s="39"/>
      <c r="BH9" s="39"/>
      <c r="BI9" s="388"/>
      <c r="BJ9" s="38"/>
      <c r="BK9" s="237"/>
      <c r="BL9" s="39"/>
      <c r="BM9" s="39"/>
      <c r="BN9" s="39"/>
      <c r="BO9" s="388"/>
      <c r="BP9" s="38"/>
      <c r="BQ9" s="237"/>
      <c r="BR9" s="39"/>
      <c r="BS9" s="39"/>
      <c r="BT9" s="39"/>
      <c r="BU9" s="388"/>
      <c r="BV9" s="38"/>
      <c r="BW9" s="237"/>
      <c r="BX9" s="39"/>
      <c r="BY9" s="39"/>
      <c r="BZ9" s="39"/>
      <c r="CA9" s="388"/>
      <c r="CB9" s="38"/>
      <c r="CC9" s="237"/>
      <c r="CD9" s="39"/>
      <c r="CE9" s="39"/>
      <c r="CF9" s="39"/>
      <c r="CG9" s="388"/>
    </row>
    <row r="10" spans="2:85" s="7" customFormat="1" ht="11.25" customHeight="1" x14ac:dyDescent="0.2">
      <c r="B10" s="130" t="s">
        <v>139</v>
      </c>
      <c r="C10" s="237"/>
      <c r="D10" s="39"/>
      <c r="E10" s="39"/>
      <c r="F10" s="39"/>
      <c r="G10" s="388"/>
      <c r="H10" s="38"/>
      <c r="I10" s="237"/>
      <c r="J10" s="39"/>
      <c r="K10" s="39"/>
      <c r="L10" s="39"/>
      <c r="M10" s="388"/>
      <c r="N10" s="38"/>
      <c r="O10" s="237"/>
      <c r="P10" s="39"/>
      <c r="Q10" s="39"/>
      <c r="R10" s="39"/>
      <c r="S10" s="388"/>
      <c r="T10" s="38"/>
      <c r="U10" s="237"/>
      <c r="V10" s="39"/>
      <c r="W10" s="39"/>
      <c r="X10" s="39"/>
      <c r="Y10" s="388"/>
      <c r="Z10" s="38"/>
      <c r="AA10" s="237"/>
      <c r="AB10" s="39"/>
      <c r="AC10" s="39"/>
      <c r="AD10" s="39"/>
      <c r="AE10" s="388"/>
      <c r="AF10" s="38"/>
      <c r="AG10" s="237"/>
      <c r="AH10" s="39"/>
      <c r="AI10" s="39"/>
      <c r="AJ10" s="39"/>
      <c r="AK10" s="388"/>
      <c r="AL10" s="38"/>
      <c r="AM10" s="237"/>
      <c r="AN10" s="39"/>
      <c r="AO10" s="39"/>
      <c r="AP10" s="39"/>
      <c r="AQ10" s="388"/>
      <c r="AR10" s="38"/>
      <c r="AS10" s="237"/>
      <c r="AT10" s="39"/>
      <c r="AU10" s="39"/>
      <c r="AV10" s="39"/>
      <c r="AW10" s="388"/>
      <c r="AX10" s="38"/>
      <c r="AY10" s="237"/>
      <c r="AZ10" s="39"/>
      <c r="BA10" s="39"/>
      <c r="BB10" s="39"/>
      <c r="BC10" s="388"/>
      <c r="BD10" s="38"/>
      <c r="BE10" s="237"/>
      <c r="BF10" s="39"/>
      <c r="BG10" s="39"/>
      <c r="BH10" s="39"/>
      <c r="BI10" s="388"/>
      <c r="BJ10" s="38"/>
      <c r="BK10" s="237"/>
      <c r="BL10" s="39"/>
      <c r="BM10" s="39"/>
      <c r="BN10" s="39"/>
      <c r="BO10" s="388"/>
      <c r="BP10" s="38"/>
      <c r="BQ10" s="237"/>
      <c r="BR10" s="39"/>
      <c r="BS10" s="39"/>
      <c r="BT10" s="39"/>
      <c r="BU10" s="388"/>
      <c r="BV10" s="38"/>
      <c r="BW10" s="237"/>
      <c r="BX10" s="39"/>
      <c r="BY10" s="39"/>
      <c r="BZ10" s="39"/>
      <c r="CA10" s="388"/>
      <c r="CB10" s="38"/>
      <c r="CC10" s="237"/>
      <c r="CD10" s="39"/>
      <c r="CE10" s="39"/>
      <c r="CF10" s="39"/>
      <c r="CG10" s="388"/>
    </row>
    <row r="11" spans="2:85" s="7" customFormat="1" ht="11.25" customHeight="1" x14ac:dyDescent="0.2">
      <c r="B11" s="429" t="s">
        <v>320</v>
      </c>
      <c r="C11" s="237"/>
      <c r="D11" s="39"/>
      <c r="E11" s="39"/>
      <c r="F11" s="39"/>
      <c r="G11" s="388">
        <v>0</v>
      </c>
      <c r="H11" s="39"/>
      <c r="I11" s="237"/>
      <c r="J11" s="39"/>
      <c r="K11" s="39"/>
      <c r="L11" s="39"/>
      <c r="M11" s="388">
        <v>0</v>
      </c>
      <c r="N11" s="39"/>
      <c r="O11" s="237"/>
      <c r="P11" s="39"/>
      <c r="Q11" s="39"/>
      <c r="R11" s="39"/>
      <c r="S11" s="388">
        <v>0</v>
      </c>
      <c r="T11" s="39"/>
      <c r="U11" s="237"/>
      <c r="V11" s="39"/>
      <c r="W11" s="39"/>
      <c r="X11" s="39"/>
      <c r="Y11" s="388">
        <f>+SUM(Y12:Y16)</f>
        <v>100</v>
      </c>
      <c r="Z11" s="39"/>
      <c r="AA11" s="237"/>
      <c r="AB11" s="39"/>
      <c r="AC11" s="39"/>
      <c r="AD11" s="39"/>
      <c r="AE11" s="388">
        <f>+SUM(AE12:AE16)</f>
        <v>100</v>
      </c>
      <c r="AF11" s="39"/>
      <c r="AG11" s="237"/>
      <c r="AH11" s="39"/>
      <c r="AI11" s="39"/>
      <c r="AJ11" s="39"/>
      <c r="AK11" s="388">
        <f>+SUM(AK12:AK16)</f>
        <v>250</v>
      </c>
      <c r="AL11" s="39"/>
      <c r="AM11" s="237"/>
      <c r="AN11" s="39"/>
      <c r="AO11" s="39"/>
      <c r="AP11" s="39"/>
      <c r="AQ11" s="388">
        <f>+SUM(AQ12:AQ16)</f>
        <v>250</v>
      </c>
      <c r="AR11" s="39"/>
      <c r="AS11" s="237">
        <f>+SUM(AS12:AS16)</f>
        <v>250</v>
      </c>
      <c r="AT11" s="39">
        <f>+SUM(AT12:AT16)</f>
        <v>350</v>
      </c>
      <c r="AU11" s="39">
        <f>+SUM(AU12:AU16)</f>
        <v>350</v>
      </c>
      <c r="AV11" s="39">
        <f>+SUM(AV12:AV16)</f>
        <v>350</v>
      </c>
      <c r="AW11" s="388">
        <f>+SUM(AW12:AW16)</f>
        <v>350</v>
      </c>
      <c r="AX11" s="39"/>
      <c r="AY11" s="237">
        <f>+SUM(AY12:AY16)</f>
        <v>350</v>
      </c>
      <c r="AZ11" s="39">
        <f>+SUM(AZ12:AZ16)</f>
        <v>350</v>
      </c>
      <c r="BA11" s="39">
        <f>+SUM(BA12:BA16)</f>
        <v>350</v>
      </c>
      <c r="BB11" s="39">
        <f>+SUM(BB12:BB16)</f>
        <v>350</v>
      </c>
      <c r="BC11" s="388">
        <f>+SUM(BC12:BC16)</f>
        <v>350</v>
      </c>
      <c r="BD11" s="39"/>
      <c r="BE11" s="237">
        <f>+SUM(BE12:BE16)</f>
        <v>342.85699999999997</v>
      </c>
      <c r="BF11" s="39">
        <f>+SUM(BF12:BF16)</f>
        <v>342.85699999999997</v>
      </c>
      <c r="BG11" s="39">
        <f>+SUM(BG12:BG16)</f>
        <v>342.85699999999997</v>
      </c>
      <c r="BH11" s="39">
        <f>+SUM(BH12:BH16)</f>
        <v>342.85699999999997</v>
      </c>
      <c r="BI11" s="388">
        <f>BH11</f>
        <v>342.85699999999997</v>
      </c>
      <c r="BJ11" s="39"/>
      <c r="BK11" s="237">
        <f>+SUM(BK12:BK17)</f>
        <v>335.714</v>
      </c>
      <c r="BL11" s="39">
        <f>+SUM(BL12:BL17)</f>
        <v>435.714</v>
      </c>
      <c r="BM11" s="39">
        <f>+SUM(BM12:BM18)</f>
        <v>535.46399999999994</v>
      </c>
      <c r="BN11" s="39">
        <f>+SUM(BN12:BN18)</f>
        <v>535.29499999999996</v>
      </c>
      <c r="BO11" s="388">
        <f t="shared" ref="BO11:BO18" si="0">BN11</f>
        <v>535.29499999999996</v>
      </c>
      <c r="BP11" s="39"/>
      <c r="BQ11" s="237">
        <f>+SUM(BQ12:BQ18)</f>
        <v>535.29499999999996</v>
      </c>
      <c r="BR11" s="39">
        <f>+SUM(BR12:BR18)</f>
        <v>535.29499999999996</v>
      </c>
      <c r="BS11" s="39">
        <f>+SUM(BS12:BS18)</f>
        <v>535.29499999999996</v>
      </c>
      <c r="BT11" s="39">
        <f>+SUM(BT12:BT18)</f>
        <v>535.29499999999996</v>
      </c>
      <c r="BU11" s="388">
        <f>+SUM(BU12:BU18)</f>
        <v>535.29499999999996</v>
      </c>
      <c r="BV11" s="39"/>
      <c r="BW11" s="237">
        <f>+SUM(BW12:BW18)</f>
        <v>535.29499999999996</v>
      </c>
      <c r="BX11" s="39">
        <f>+SUM(BX12:BX18)</f>
        <v>535.29499999999996</v>
      </c>
      <c r="BY11" s="39">
        <f>+SUM(BY12:BY18)</f>
        <v>535.29499999999996</v>
      </c>
      <c r="BZ11" s="39">
        <f>+SUM(BZ12:BZ18)</f>
        <v>535.29499999999996</v>
      </c>
      <c r="CA11" s="388">
        <f>+SUM(CA12:CA18)</f>
        <v>535.29499999999996</v>
      </c>
      <c r="CB11" s="39"/>
      <c r="CC11" s="237">
        <f>+SUM(CC12:CC18)</f>
        <v>535.29499999999996</v>
      </c>
      <c r="CD11" s="39">
        <f>+SUM(CD12:CD18)</f>
        <v>535.29499999999996</v>
      </c>
      <c r="CE11" s="39">
        <f>+SUM(CE12:CE18)</f>
        <v>435.29500000000002</v>
      </c>
      <c r="CF11" s="39">
        <f>+SUM(CF12:CF18)</f>
        <v>435.29500000000002</v>
      </c>
      <c r="CG11" s="388">
        <f>+SUM(CG12:CG18)</f>
        <v>435.29500000000002</v>
      </c>
    </row>
    <row r="12" spans="2:85" s="7" customFormat="1" ht="11.25" customHeight="1" x14ac:dyDescent="0.2">
      <c r="B12" s="491" t="s">
        <v>326</v>
      </c>
      <c r="C12" s="238"/>
      <c r="D12" s="204"/>
      <c r="E12" s="204"/>
      <c r="F12" s="204"/>
      <c r="G12" s="387">
        <v>0</v>
      </c>
      <c r="H12" s="39"/>
      <c r="I12" s="238"/>
      <c r="J12" s="204"/>
      <c r="K12" s="204"/>
      <c r="L12" s="204"/>
      <c r="M12" s="387">
        <v>0</v>
      </c>
      <c r="N12" s="39"/>
      <c r="O12" s="238"/>
      <c r="P12" s="204"/>
      <c r="Q12" s="204"/>
      <c r="R12" s="204"/>
      <c r="S12" s="387">
        <v>0</v>
      </c>
      <c r="T12" s="39"/>
      <c r="U12" s="238"/>
      <c r="V12" s="204"/>
      <c r="W12" s="204"/>
      <c r="X12" s="204"/>
      <c r="Y12" s="387">
        <v>100</v>
      </c>
      <c r="Z12" s="39"/>
      <c r="AA12" s="238"/>
      <c r="AB12" s="204"/>
      <c r="AC12" s="204"/>
      <c r="AD12" s="204"/>
      <c r="AE12" s="387">
        <v>100</v>
      </c>
      <c r="AF12" s="39"/>
      <c r="AG12" s="238"/>
      <c r="AH12" s="204"/>
      <c r="AI12" s="204"/>
      <c r="AJ12" s="204"/>
      <c r="AK12" s="387">
        <v>100</v>
      </c>
      <c r="AL12" s="39"/>
      <c r="AM12" s="238"/>
      <c r="AN12" s="204"/>
      <c r="AO12" s="204"/>
      <c r="AP12" s="204"/>
      <c r="AQ12" s="387">
        <v>100</v>
      </c>
      <c r="AR12" s="39"/>
      <c r="AS12" s="238">
        <v>100</v>
      </c>
      <c r="AT12" s="204">
        <v>100</v>
      </c>
      <c r="AU12" s="204">
        <v>100</v>
      </c>
      <c r="AV12" s="204">
        <v>100</v>
      </c>
      <c r="AW12" s="387">
        <f>+AV12</f>
        <v>100</v>
      </c>
      <c r="AX12" s="39"/>
      <c r="AY12" s="238">
        <v>100</v>
      </c>
      <c r="AZ12" s="204">
        <v>100</v>
      </c>
      <c r="BA12" s="204">
        <v>100</v>
      </c>
      <c r="BB12" s="204">
        <v>100</v>
      </c>
      <c r="BC12" s="387">
        <f>+BB12</f>
        <v>100</v>
      </c>
      <c r="BD12" s="39"/>
      <c r="BE12" s="238">
        <v>100</v>
      </c>
      <c r="BF12" s="204">
        <v>100</v>
      </c>
      <c r="BG12" s="204">
        <v>100</v>
      </c>
      <c r="BH12" s="204">
        <v>100</v>
      </c>
      <c r="BI12" s="388">
        <f t="shared" ref="BI12:BI17" si="1">BH12</f>
        <v>100</v>
      </c>
      <c r="BJ12" s="39"/>
      <c r="BK12" s="238">
        <v>100</v>
      </c>
      <c r="BL12" s="204">
        <v>100</v>
      </c>
      <c r="BM12" s="204">
        <v>100</v>
      </c>
      <c r="BN12" s="204">
        <v>100</v>
      </c>
      <c r="BO12" s="388">
        <f t="shared" si="0"/>
        <v>100</v>
      </c>
      <c r="BP12" s="39"/>
      <c r="BQ12" s="237">
        <f t="shared" ref="BQ12:BQ17" si="2">BN12+BQ46</f>
        <v>100</v>
      </c>
      <c r="BR12" s="39">
        <f t="shared" ref="BR12:BT17" si="3">BQ12+BR46</f>
        <v>100</v>
      </c>
      <c r="BS12" s="39">
        <f t="shared" si="3"/>
        <v>100</v>
      </c>
      <c r="BT12" s="39">
        <f t="shared" si="3"/>
        <v>100</v>
      </c>
      <c r="BU12" s="388">
        <f t="shared" ref="BU12:BU18" si="4">BT12</f>
        <v>100</v>
      </c>
      <c r="BV12" s="39"/>
      <c r="BW12" s="237">
        <f t="shared" ref="BW12:BW17" si="5">BT12+BW46</f>
        <v>100</v>
      </c>
      <c r="BX12" s="39">
        <f t="shared" ref="BX12:BZ17" si="6">BW12+BX46</f>
        <v>100</v>
      </c>
      <c r="BY12" s="39">
        <f t="shared" si="6"/>
        <v>100</v>
      </c>
      <c r="BZ12" s="39">
        <f t="shared" si="6"/>
        <v>100</v>
      </c>
      <c r="CA12" s="388">
        <f t="shared" ref="CA12:CA18" si="7">BZ12</f>
        <v>100</v>
      </c>
      <c r="CB12" s="39"/>
      <c r="CC12" s="237">
        <f t="shared" ref="CC12:CC17" si="8">BZ12+CC46</f>
        <v>100</v>
      </c>
      <c r="CD12" s="39">
        <f t="shared" ref="CD12:CF17" si="9">CC12+CD46</f>
        <v>100</v>
      </c>
      <c r="CE12" s="39">
        <f t="shared" si="9"/>
        <v>0</v>
      </c>
      <c r="CF12" s="39">
        <f t="shared" si="9"/>
        <v>0</v>
      </c>
      <c r="CG12" s="388">
        <f t="shared" ref="CG12:CG18" si="10">CF12</f>
        <v>0</v>
      </c>
    </row>
    <row r="13" spans="2:85" s="7" customFormat="1" ht="11.25" customHeight="1" x14ac:dyDescent="0.2">
      <c r="B13" s="491" t="s">
        <v>327</v>
      </c>
      <c r="C13" s="238"/>
      <c r="D13" s="204"/>
      <c r="E13" s="204"/>
      <c r="F13" s="204"/>
      <c r="G13" s="387">
        <v>0</v>
      </c>
      <c r="H13" s="39"/>
      <c r="I13" s="238"/>
      <c r="J13" s="204"/>
      <c r="K13" s="204"/>
      <c r="L13" s="204"/>
      <c r="M13" s="387">
        <v>0</v>
      </c>
      <c r="N13" s="39"/>
      <c r="O13" s="238"/>
      <c r="P13" s="204"/>
      <c r="Q13" s="204"/>
      <c r="R13" s="204"/>
      <c r="S13" s="387">
        <v>0</v>
      </c>
      <c r="T13" s="39"/>
      <c r="U13" s="238"/>
      <c r="V13" s="204"/>
      <c r="W13" s="204"/>
      <c r="X13" s="204"/>
      <c r="Y13" s="387">
        <v>0</v>
      </c>
      <c r="Z13" s="39"/>
      <c r="AA13" s="238"/>
      <c r="AB13" s="204"/>
      <c r="AC13" s="204"/>
      <c r="AD13" s="204"/>
      <c r="AE13" s="387">
        <v>0</v>
      </c>
      <c r="AF13" s="39"/>
      <c r="AG13" s="238"/>
      <c r="AH13" s="204"/>
      <c r="AI13" s="204"/>
      <c r="AJ13" s="204"/>
      <c r="AK13" s="387">
        <v>50</v>
      </c>
      <c r="AL13" s="39"/>
      <c r="AM13" s="238"/>
      <c r="AN13" s="204"/>
      <c r="AO13" s="204"/>
      <c r="AP13" s="204"/>
      <c r="AQ13" s="387">
        <v>50</v>
      </c>
      <c r="AR13" s="39"/>
      <c r="AS13" s="238">
        <v>50</v>
      </c>
      <c r="AT13" s="204">
        <v>50</v>
      </c>
      <c r="AU13" s="204">
        <v>50</v>
      </c>
      <c r="AV13" s="204">
        <v>50</v>
      </c>
      <c r="AW13" s="387">
        <f>+AV13</f>
        <v>50</v>
      </c>
      <c r="AX13" s="39"/>
      <c r="AY13" s="238">
        <v>50</v>
      </c>
      <c r="AZ13" s="204">
        <v>50</v>
      </c>
      <c r="BA13" s="204">
        <v>50</v>
      </c>
      <c r="BB13" s="204">
        <v>50</v>
      </c>
      <c r="BC13" s="387">
        <f>+BB13</f>
        <v>50</v>
      </c>
      <c r="BD13" s="39"/>
      <c r="BE13" s="238">
        <v>50</v>
      </c>
      <c r="BF13" s="204">
        <v>50</v>
      </c>
      <c r="BG13" s="204">
        <v>50</v>
      </c>
      <c r="BH13" s="204">
        <v>50</v>
      </c>
      <c r="BI13" s="388">
        <f t="shared" si="1"/>
        <v>50</v>
      </c>
      <c r="BJ13" s="39"/>
      <c r="BK13" s="238">
        <v>50</v>
      </c>
      <c r="BL13" s="204">
        <v>50</v>
      </c>
      <c r="BM13" s="204">
        <v>50</v>
      </c>
      <c r="BN13" s="204">
        <v>50</v>
      </c>
      <c r="BO13" s="388">
        <f t="shared" si="0"/>
        <v>50</v>
      </c>
      <c r="BP13" s="39"/>
      <c r="BQ13" s="237">
        <f t="shared" si="2"/>
        <v>50</v>
      </c>
      <c r="BR13" s="39">
        <f t="shared" si="3"/>
        <v>50</v>
      </c>
      <c r="BS13" s="39">
        <f t="shared" si="3"/>
        <v>50</v>
      </c>
      <c r="BT13" s="39">
        <f t="shared" si="3"/>
        <v>50</v>
      </c>
      <c r="BU13" s="388">
        <f t="shared" si="4"/>
        <v>50</v>
      </c>
      <c r="BV13" s="39"/>
      <c r="BW13" s="237">
        <f t="shared" si="5"/>
        <v>50</v>
      </c>
      <c r="BX13" s="39">
        <f t="shared" si="6"/>
        <v>50</v>
      </c>
      <c r="BY13" s="39">
        <f t="shared" si="6"/>
        <v>50</v>
      </c>
      <c r="BZ13" s="39">
        <f t="shared" si="6"/>
        <v>50</v>
      </c>
      <c r="CA13" s="388">
        <f t="shared" si="7"/>
        <v>50</v>
      </c>
      <c r="CB13" s="39"/>
      <c r="CC13" s="237">
        <f t="shared" si="8"/>
        <v>50</v>
      </c>
      <c r="CD13" s="39">
        <f t="shared" si="9"/>
        <v>50</v>
      </c>
      <c r="CE13" s="39">
        <f t="shared" si="9"/>
        <v>50</v>
      </c>
      <c r="CF13" s="39">
        <f t="shared" si="9"/>
        <v>50</v>
      </c>
      <c r="CG13" s="388">
        <f t="shared" si="10"/>
        <v>50</v>
      </c>
    </row>
    <row r="14" spans="2:85" s="7" customFormat="1" ht="11.25" customHeight="1" x14ac:dyDescent="0.2">
      <c r="B14" s="491" t="s">
        <v>328</v>
      </c>
      <c r="C14" s="238"/>
      <c r="D14" s="204"/>
      <c r="E14" s="204"/>
      <c r="F14" s="204"/>
      <c r="G14" s="387">
        <v>0</v>
      </c>
      <c r="H14" s="39"/>
      <c r="I14" s="238"/>
      <c r="J14" s="204"/>
      <c r="K14" s="204"/>
      <c r="L14" s="204"/>
      <c r="M14" s="387">
        <v>0</v>
      </c>
      <c r="N14" s="39"/>
      <c r="O14" s="238"/>
      <c r="P14" s="204"/>
      <c r="Q14" s="204"/>
      <c r="R14" s="204"/>
      <c r="S14" s="387">
        <v>0</v>
      </c>
      <c r="T14" s="39"/>
      <c r="U14" s="238"/>
      <c r="V14" s="204"/>
      <c r="W14" s="204"/>
      <c r="X14" s="204"/>
      <c r="Y14" s="387">
        <v>0</v>
      </c>
      <c r="Z14" s="39"/>
      <c r="AA14" s="238"/>
      <c r="AB14" s="204"/>
      <c r="AC14" s="204"/>
      <c r="AD14" s="204"/>
      <c r="AE14" s="387">
        <v>0</v>
      </c>
      <c r="AF14" s="39"/>
      <c r="AG14" s="238"/>
      <c r="AH14" s="204"/>
      <c r="AI14" s="204"/>
      <c r="AJ14" s="204"/>
      <c r="AK14" s="387">
        <v>50</v>
      </c>
      <c r="AL14" s="39"/>
      <c r="AM14" s="238"/>
      <c r="AN14" s="204"/>
      <c r="AO14" s="204"/>
      <c r="AP14" s="204"/>
      <c r="AQ14" s="387">
        <v>50</v>
      </c>
      <c r="AR14" s="39"/>
      <c r="AS14" s="238">
        <v>50</v>
      </c>
      <c r="AT14" s="204">
        <v>50</v>
      </c>
      <c r="AU14" s="204">
        <v>50</v>
      </c>
      <c r="AV14" s="204">
        <v>50</v>
      </c>
      <c r="AW14" s="387">
        <f>+AV14</f>
        <v>50</v>
      </c>
      <c r="AX14" s="39"/>
      <c r="AY14" s="238">
        <v>50</v>
      </c>
      <c r="AZ14" s="204">
        <v>50</v>
      </c>
      <c r="BA14" s="204">
        <v>50</v>
      </c>
      <c r="BB14" s="204">
        <v>50</v>
      </c>
      <c r="BC14" s="387">
        <f>+BB14</f>
        <v>50</v>
      </c>
      <c r="BD14" s="39"/>
      <c r="BE14" s="238">
        <v>42.856999999999999</v>
      </c>
      <c r="BF14" s="204">
        <v>42.856999999999999</v>
      </c>
      <c r="BG14" s="204">
        <v>42.856999999999999</v>
      </c>
      <c r="BH14" s="204">
        <v>42.856999999999999</v>
      </c>
      <c r="BI14" s="388">
        <f t="shared" si="1"/>
        <v>42.856999999999999</v>
      </c>
      <c r="BJ14" s="39"/>
      <c r="BK14" s="238">
        <v>35.713999999999999</v>
      </c>
      <c r="BL14" s="204">
        <v>35.713999999999999</v>
      </c>
      <c r="BM14" s="204">
        <v>35.713999999999999</v>
      </c>
      <c r="BN14" s="204">
        <f>BM14</f>
        <v>35.713999999999999</v>
      </c>
      <c r="BO14" s="388">
        <f t="shared" si="0"/>
        <v>35.713999999999999</v>
      </c>
      <c r="BP14" s="39"/>
      <c r="BQ14" s="237">
        <f t="shared" si="2"/>
        <v>35.713999999999999</v>
      </c>
      <c r="BR14" s="39">
        <f t="shared" si="3"/>
        <v>35.713999999999999</v>
      </c>
      <c r="BS14" s="39">
        <f t="shared" si="3"/>
        <v>35.713999999999999</v>
      </c>
      <c r="BT14" s="39">
        <f t="shared" si="3"/>
        <v>35.713999999999999</v>
      </c>
      <c r="BU14" s="388">
        <f t="shared" si="4"/>
        <v>35.713999999999999</v>
      </c>
      <c r="BV14" s="39"/>
      <c r="BW14" s="237">
        <f t="shared" si="5"/>
        <v>35.713999999999999</v>
      </c>
      <c r="BX14" s="39">
        <f t="shared" si="6"/>
        <v>35.713999999999999</v>
      </c>
      <c r="BY14" s="39">
        <f t="shared" si="6"/>
        <v>35.713999999999999</v>
      </c>
      <c r="BZ14" s="39">
        <f t="shared" si="6"/>
        <v>35.713999999999999</v>
      </c>
      <c r="CA14" s="388">
        <f t="shared" si="7"/>
        <v>35.713999999999999</v>
      </c>
      <c r="CB14" s="39"/>
      <c r="CC14" s="237">
        <f t="shared" si="8"/>
        <v>35.713999999999999</v>
      </c>
      <c r="CD14" s="39">
        <f t="shared" si="9"/>
        <v>35.713999999999999</v>
      </c>
      <c r="CE14" s="39">
        <f t="shared" si="9"/>
        <v>35.713999999999999</v>
      </c>
      <c r="CF14" s="39">
        <f t="shared" si="9"/>
        <v>35.713999999999999</v>
      </c>
      <c r="CG14" s="388">
        <f t="shared" si="10"/>
        <v>35.713999999999999</v>
      </c>
    </row>
    <row r="15" spans="2:85" s="7" customFormat="1" ht="11.25" customHeight="1" x14ac:dyDescent="0.2">
      <c r="B15" s="491" t="s">
        <v>329</v>
      </c>
      <c r="C15" s="238"/>
      <c r="D15" s="204"/>
      <c r="E15" s="204"/>
      <c r="F15" s="204"/>
      <c r="G15" s="387">
        <v>0</v>
      </c>
      <c r="H15" s="39"/>
      <c r="I15" s="238"/>
      <c r="J15" s="204"/>
      <c r="K15" s="204"/>
      <c r="L15" s="204"/>
      <c r="M15" s="387">
        <v>0</v>
      </c>
      <c r="N15" s="39"/>
      <c r="O15" s="238"/>
      <c r="P15" s="204"/>
      <c r="Q15" s="204"/>
      <c r="R15" s="204"/>
      <c r="S15" s="387">
        <v>0</v>
      </c>
      <c r="T15" s="39"/>
      <c r="U15" s="238"/>
      <c r="V15" s="204"/>
      <c r="W15" s="204"/>
      <c r="X15" s="204"/>
      <c r="Y15" s="387">
        <v>0</v>
      </c>
      <c r="Z15" s="39"/>
      <c r="AA15" s="238"/>
      <c r="AB15" s="204"/>
      <c r="AC15" s="204"/>
      <c r="AD15" s="204"/>
      <c r="AE15" s="387">
        <v>0</v>
      </c>
      <c r="AF15" s="39"/>
      <c r="AG15" s="238"/>
      <c r="AH15" s="204"/>
      <c r="AI15" s="204"/>
      <c r="AJ15" s="204"/>
      <c r="AK15" s="387">
        <v>50</v>
      </c>
      <c r="AL15" s="39"/>
      <c r="AM15" s="238"/>
      <c r="AN15" s="204"/>
      <c r="AO15" s="204"/>
      <c r="AP15" s="204"/>
      <c r="AQ15" s="387">
        <v>50</v>
      </c>
      <c r="AR15" s="39"/>
      <c r="AS15" s="238">
        <v>50</v>
      </c>
      <c r="AT15" s="204">
        <v>50</v>
      </c>
      <c r="AU15" s="204">
        <v>50</v>
      </c>
      <c r="AV15" s="204">
        <v>50</v>
      </c>
      <c r="AW15" s="387">
        <f>+AV15</f>
        <v>50</v>
      </c>
      <c r="AX15" s="39"/>
      <c r="AY15" s="238">
        <v>50</v>
      </c>
      <c r="AZ15" s="204">
        <v>50</v>
      </c>
      <c r="BA15" s="204">
        <v>50</v>
      </c>
      <c r="BB15" s="204">
        <v>50</v>
      </c>
      <c r="BC15" s="387">
        <f>+BB15</f>
        <v>50</v>
      </c>
      <c r="BD15" s="39"/>
      <c r="BE15" s="238">
        <v>50</v>
      </c>
      <c r="BF15" s="204">
        <v>50</v>
      </c>
      <c r="BG15" s="204">
        <v>50</v>
      </c>
      <c r="BH15" s="204">
        <v>50</v>
      </c>
      <c r="BI15" s="388">
        <f t="shared" si="1"/>
        <v>50</v>
      </c>
      <c r="BJ15" s="39"/>
      <c r="BK15" s="238">
        <v>50</v>
      </c>
      <c r="BL15" s="204">
        <v>50</v>
      </c>
      <c r="BM15" s="204">
        <v>50</v>
      </c>
      <c r="BN15" s="204">
        <v>50</v>
      </c>
      <c r="BO15" s="388">
        <f t="shared" si="0"/>
        <v>50</v>
      </c>
      <c r="BP15" s="39"/>
      <c r="BQ15" s="237">
        <f t="shared" si="2"/>
        <v>50</v>
      </c>
      <c r="BR15" s="39">
        <f t="shared" si="3"/>
        <v>50</v>
      </c>
      <c r="BS15" s="39">
        <f t="shared" si="3"/>
        <v>50</v>
      </c>
      <c r="BT15" s="39">
        <f t="shared" si="3"/>
        <v>50</v>
      </c>
      <c r="BU15" s="388">
        <f t="shared" si="4"/>
        <v>50</v>
      </c>
      <c r="BV15" s="39"/>
      <c r="BW15" s="237">
        <f t="shared" si="5"/>
        <v>50</v>
      </c>
      <c r="BX15" s="39">
        <f t="shared" si="6"/>
        <v>50</v>
      </c>
      <c r="BY15" s="39">
        <f t="shared" si="6"/>
        <v>50</v>
      </c>
      <c r="BZ15" s="39">
        <f t="shared" si="6"/>
        <v>50</v>
      </c>
      <c r="CA15" s="388">
        <f t="shared" si="7"/>
        <v>50</v>
      </c>
      <c r="CB15" s="39"/>
      <c r="CC15" s="237">
        <f t="shared" si="8"/>
        <v>50</v>
      </c>
      <c r="CD15" s="39">
        <f t="shared" si="9"/>
        <v>50</v>
      </c>
      <c r="CE15" s="39">
        <f t="shared" si="9"/>
        <v>50</v>
      </c>
      <c r="CF15" s="39">
        <f t="shared" si="9"/>
        <v>50</v>
      </c>
      <c r="CG15" s="388">
        <f t="shared" si="10"/>
        <v>50</v>
      </c>
    </row>
    <row r="16" spans="2:85" s="7" customFormat="1" ht="11.25" customHeight="1" x14ac:dyDescent="0.2">
      <c r="B16" s="491" t="s">
        <v>330</v>
      </c>
      <c r="C16" s="238"/>
      <c r="D16" s="204"/>
      <c r="E16" s="204"/>
      <c r="F16" s="204"/>
      <c r="G16" s="387">
        <v>0</v>
      </c>
      <c r="H16" s="39"/>
      <c r="I16" s="238"/>
      <c r="J16" s="204"/>
      <c r="K16" s="204"/>
      <c r="L16" s="204"/>
      <c r="M16" s="387">
        <v>0</v>
      </c>
      <c r="N16" s="39"/>
      <c r="O16" s="238"/>
      <c r="P16" s="204"/>
      <c r="Q16" s="204"/>
      <c r="R16" s="204"/>
      <c r="S16" s="387">
        <v>0</v>
      </c>
      <c r="T16" s="39"/>
      <c r="U16" s="238"/>
      <c r="V16" s="204"/>
      <c r="W16" s="204"/>
      <c r="X16" s="204"/>
      <c r="Y16" s="387">
        <v>0</v>
      </c>
      <c r="Z16" s="39"/>
      <c r="AA16" s="238"/>
      <c r="AB16" s="204"/>
      <c r="AC16" s="204"/>
      <c r="AD16" s="204"/>
      <c r="AE16" s="387">
        <v>0</v>
      </c>
      <c r="AF16" s="39"/>
      <c r="AG16" s="238"/>
      <c r="AH16" s="204"/>
      <c r="AI16" s="204"/>
      <c r="AJ16" s="204"/>
      <c r="AK16" s="387">
        <v>0</v>
      </c>
      <c r="AL16" s="39"/>
      <c r="AM16" s="238"/>
      <c r="AN16" s="204"/>
      <c r="AO16" s="204"/>
      <c r="AP16" s="204"/>
      <c r="AQ16" s="387">
        <v>0</v>
      </c>
      <c r="AR16" s="39"/>
      <c r="AS16" s="238">
        <v>0</v>
      </c>
      <c r="AT16" s="204">
        <v>100</v>
      </c>
      <c r="AU16" s="204">
        <v>100</v>
      </c>
      <c r="AV16" s="204">
        <v>100</v>
      </c>
      <c r="AW16" s="387">
        <f>+AV16</f>
        <v>100</v>
      </c>
      <c r="AX16" s="39"/>
      <c r="AY16" s="238">
        <v>100</v>
      </c>
      <c r="AZ16" s="204">
        <v>100</v>
      </c>
      <c r="BA16" s="204">
        <v>100</v>
      </c>
      <c r="BB16" s="204">
        <v>100</v>
      </c>
      <c r="BC16" s="387">
        <f>+BB16</f>
        <v>100</v>
      </c>
      <c r="BD16" s="39"/>
      <c r="BE16" s="238">
        <v>100</v>
      </c>
      <c r="BF16" s="204">
        <v>100</v>
      </c>
      <c r="BG16" s="204">
        <v>100</v>
      </c>
      <c r="BH16" s="204">
        <v>100</v>
      </c>
      <c r="BI16" s="388">
        <f t="shared" si="1"/>
        <v>100</v>
      </c>
      <c r="BJ16" s="39"/>
      <c r="BK16" s="238">
        <v>100</v>
      </c>
      <c r="BL16" s="204">
        <v>100</v>
      </c>
      <c r="BM16" s="204">
        <v>100</v>
      </c>
      <c r="BN16" s="204">
        <v>100</v>
      </c>
      <c r="BO16" s="388">
        <f t="shared" si="0"/>
        <v>100</v>
      </c>
      <c r="BP16" s="39"/>
      <c r="BQ16" s="237">
        <f t="shared" si="2"/>
        <v>100</v>
      </c>
      <c r="BR16" s="39">
        <f t="shared" si="3"/>
        <v>100</v>
      </c>
      <c r="BS16" s="39">
        <f t="shared" si="3"/>
        <v>100</v>
      </c>
      <c r="BT16" s="39">
        <f t="shared" si="3"/>
        <v>100</v>
      </c>
      <c r="BU16" s="388">
        <f t="shared" si="4"/>
        <v>100</v>
      </c>
      <c r="BV16" s="39"/>
      <c r="BW16" s="237">
        <f t="shared" si="5"/>
        <v>100</v>
      </c>
      <c r="BX16" s="39">
        <f t="shared" si="6"/>
        <v>100</v>
      </c>
      <c r="BY16" s="39">
        <f t="shared" si="6"/>
        <v>100</v>
      </c>
      <c r="BZ16" s="39">
        <f t="shared" si="6"/>
        <v>100</v>
      </c>
      <c r="CA16" s="388">
        <f t="shared" si="7"/>
        <v>100</v>
      </c>
      <c r="CB16" s="39"/>
      <c r="CC16" s="237">
        <f t="shared" si="8"/>
        <v>100</v>
      </c>
      <c r="CD16" s="39">
        <f t="shared" si="9"/>
        <v>100</v>
      </c>
      <c r="CE16" s="39">
        <f t="shared" si="9"/>
        <v>100</v>
      </c>
      <c r="CF16" s="39">
        <f t="shared" si="9"/>
        <v>100</v>
      </c>
      <c r="CG16" s="388">
        <f t="shared" si="10"/>
        <v>100</v>
      </c>
    </row>
    <row r="17" spans="2:85" s="7" customFormat="1" ht="11.25" customHeight="1" x14ac:dyDescent="0.2">
      <c r="B17" s="1149" t="s">
        <v>596</v>
      </c>
      <c r="C17" s="380"/>
      <c r="D17" s="204"/>
      <c r="E17" s="204"/>
      <c r="F17" s="204"/>
      <c r="G17" s="387">
        <v>0</v>
      </c>
      <c r="H17" s="39"/>
      <c r="I17" s="380"/>
      <c r="J17" s="204"/>
      <c r="K17" s="204"/>
      <c r="L17" s="204"/>
      <c r="M17" s="387">
        <v>0</v>
      </c>
      <c r="N17" s="39"/>
      <c r="O17" s="380"/>
      <c r="P17" s="204"/>
      <c r="Q17" s="204"/>
      <c r="R17" s="204"/>
      <c r="S17" s="387">
        <v>0</v>
      </c>
      <c r="T17" s="39"/>
      <c r="U17" s="380"/>
      <c r="V17" s="204"/>
      <c r="W17" s="204"/>
      <c r="X17" s="204"/>
      <c r="Y17" s="387">
        <v>0</v>
      </c>
      <c r="Z17" s="39"/>
      <c r="AA17" s="238"/>
      <c r="AB17" s="204"/>
      <c r="AC17" s="204"/>
      <c r="AD17" s="204"/>
      <c r="AE17" s="387">
        <v>0</v>
      </c>
      <c r="AF17" s="39"/>
      <c r="AG17" s="238"/>
      <c r="AH17" s="204"/>
      <c r="AI17" s="204"/>
      <c r="AJ17" s="204"/>
      <c r="AK17" s="387">
        <v>0</v>
      </c>
      <c r="AL17" s="39"/>
      <c r="AM17" s="238"/>
      <c r="AN17" s="204"/>
      <c r="AO17" s="204"/>
      <c r="AP17" s="204"/>
      <c r="AQ17" s="387">
        <v>0</v>
      </c>
      <c r="AR17" s="39"/>
      <c r="AS17" s="380">
        <v>0</v>
      </c>
      <c r="AT17" s="204">
        <v>0</v>
      </c>
      <c r="AU17" s="204">
        <v>0</v>
      </c>
      <c r="AV17" s="204">
        <v>0</v>
      </c>
      <c r="AW17" s="387">
        <v>0</v>
      </c>
      <c r="AX17" s="39"/>
      <c r="AY17" s="380">
        <v>0</v>
      </c>
      <c r="AZ17" s="204">
        <v>0</v>
      </c>
      <c r="BA17" s="204">
        <v>0</v>
      </c>
      <c r="BB17" s="204">
        <v>0</v>
      </c>
      <c r="BC17" s="387">
        <v>0</v>
      </c>
      <c r="BD17" s="39"/>
      <c r="BE17" s="380">
        <v>0</v>
      </c>
      <c r="BF17" s="204">
        <v>0</v>
      </c>
      <c r="BG17" s="204">
        <v>0</v>
      </c>
      <c r="BH17" s="204">
        <v>0</v>
      </c>
      <c r="BI17" s="388">
        <f t="shared" si="1"/>
        <v>0</v>
      </c>
      <c r="BJ17" s="39"/>
      <c r="BK17" s="380">
        <v>0</v>
      </c>
      <c r="BL17" s="204">
        <v>100</v>
      </c>
      <c r="BM17" s="204">
        <v>100</v>
      </c>
      <c r="BN17" s="204">
        <f>BM17</f>
        <v>100</v>
      </c>
      <c r="BO17" s="388">
        <f t="shared" si="0"/>
        <v>100</v>
      </c>
      <c r="BP17" s="39"/>
      <c r="BQ17" s="237">
        <f t="shared" si="2"/>
        <v>100</v>
      </c>
      <c r="BR17" s="39">
        <f t="shared" si="3"/>
        <v>100</v>
      </c>
      <c r="BS17" s="39">
        <f t="shared" si="3"/>
        <v>100</v>
      </c>
      <c r="BT17" s="39">
        <f t="shared" si="3"/>
        <v>100</v>
      </c>
      <c r="BU17" s="388">
        <f t="shared" si="4"/>
        <v>100</v>
      </c>
      <c r="BV17" s="39"/>
      <c r="BW17" s="237">
        <f t="shared" si="5"/>
        <v>100</v>
      </c>
      <c r="BX17" s="39">
        <f t="shared" si="6"/>
        <v>100</v>
      </c>
      <c r="BY17" s="39">
        <f t="shared" si="6"/>
        <v>100</v>
      </c>
      <c r="BZ17" s="39">
        <f t="shared" si="6"/>
        <v>100</v>
      </c>
      <c r="CA17" s="388">
        <f t="shared" si="7"/>
        <v>100</v>
      </c>
      <c r="CB17" s="39"/>
      <c r="CC17" s="237">
        <f t="shared" si="8"/>
        <v>100</v>
      </c>
      <c r="CD17" s="39">
        <f t="shared" si="9"/>
        <v>100</v>
      </c>
      <c r="CE17" s="39">
        <f t="shared" si="9"/>
        <v>100</v>
      </c>
      <c r="CF17" s="39">
        <f t="shared" si="9"/>
        <v>100</v>
      </c>
      <c r="CG17" s="388">
        <f t="shared" si="10"/>
        <v>100</v>
      </c>
    </row>
    <row r="18" spans="2:85" s="7" customFormat="1" ht="11.25" customHeight="1" x14ac:dyDescent="0.2">
      <c r="B18" s="1149" t="s">
        <v>625</v>
      </c>
      <c r="C18" s="380"/>
      <c r="D18" s="204"/>
      <c r="E18" s="204"/>
      <c r="F18" s="204"/>
      <c r="G18" s="387">
        <v>0</v>
      </c>
      <c r="H18" s="39"/>
      <c r="I18" s="380"/>
      <c r="J18" s="204"/>
      <c r="K18" s="204"/>
      <c r="L18" s="204"/>
      <c r="M18" s="387">
        <v>0</v>
      </c>
      <c r="N18" s="39"/>
      <c r="O18" s="380"/>
      <c r="P18" s="204"/>
      <c r="Q18" s="204"/>
      <c r="R18" s="204"/>
      <c r="S18" s="387">
        <v>0</v>
      </c>
      <c r="T18" s="39"/>
      <c r="U18" s="380"/>
      <c r="V18" s="204"/>
      <c r="W18" s="204"/>
      <c r="X18" s="204"/>
      <c r="Y18" s="387">
        <v>0</v>
      </c>
      <c r="Z18" s="39"/>
      <c r="AA18" s="238"/>
      <c r="AB18" s="204"/>
      <c r="AC18" s="204"/>
      <c r="AD18" s="204"/>
      <c r="AE18" s="387">
        <v>0</v>
      </c>
      <c r="AF18" s="39"/>
      <c r="AG18" s="238"/>
      <c r="AH18" s="204"/>
      <c r="AI18" s="204"/>
      <c r="AJ18" s="204"/>
      <c r="AK18" s="387">
        <v>0</v>
      </c>
      <c r="AL18" s="39"/>
      <c r="AM18" s="238"/>
      <c r="AN18" s="204"/>
      <c r="AO18" s="204"/>
      <c r="AP18" s="204"/>
      <c r="AQ18" s="387">
        <v>0</v>
      </c>
      <c r="AR18" s="39"/>
      <c r="AS18" s="380">
        <v>0</v>
      </c>
      <c r="AT18" s="204">
        <v>0</v>
      </c>
      <c r="AU18" s="204">
        <v>0</v>
      </c>
      <c r="AV18" s="204">
        <v>0</v>
      </c>
      <c r="AW18" s="387">
        <v>0</v>
      </c>
      <c r="AX18" s="39"/>
      <c r="AY18" s="380">
        <v>0</v>
      </c>
      <c r="AZ18" s="204">
        <v>0</v>
      </c>
      <c r="BA18" s="204">
        <v>0</v>
      </c>
      <c r="BB18" s="204">
        <v>0</v>
      </c>
      <c r="BC18" s="387">
        <v>0</v>
      </c>
      <c r="BD18" s="39"/>
      <c r="BE18" s="380">
        <v>0</v>
      </c>
      <c r="BF18" s="204">
        <v>0</v>
      </c>
      <c r="BG18" s="204">
        <v>0</v>
      </c>
      <c r="BH18" s="204">
        <v>0</v>
      </c>
      <c r="BI18" s="388">
        <f>BH18</f>
        <v>0</v>
      </c>
      <c r="BJ18" s="39"/>
      <c r="BK18" s="380">
        <v>0</v>
      </c>
      <c r="BL18" s="204">
        <v>100</v>
      </c>
      <c r="BM18" s="204">
        <f>100-0.25</f>
        <v>99.75</v>
      </c>
      <c r="BN18" s="204">
        <f>100-0.419</f>
        <v>99.581000000000003</v>
      </c>
      <c r="BO18" s="388">
        <f t="shared" si="0"/>
        <v>99.581000000000003</v>
      </c>
      <c r="BP18" s="39"/>
      <c r="BQ18" s="237">
        <f>BN18+BQ53</f>
        <v>99.581000000000003</v>
      </c>
      <c r="BR18" s="39">
        <f>BQ18+BR53</f>
        <v>99.581000000000003</v>
      </c>
      <c r="BS18" s="39">
        <f>BR18+BS53</f>
        <v>99.581000000000003</v>
      </c>
      <c r="BT18" s="39">
        <f>BS18+BT53</f>
        <v>99.581000000000003</v>
      </c>
      <c r="BU18" s="388">
        <f t="shared" si="4"/>
        <v>99.581000000000003</v>
      </c>
      <c r="BV18" s="39"/>
      <c r="BW18" s="237">
        <f>BT18+BW53</f>
        <v>99.581000000000003</v>
      </c>
      <c r="BX18" s="39">
        <f>BW18+BX53</f>
        <v>99.581000000000003</v>
      </c>
      <c r="BY18" s="39">
        <f>BX18+BY53</f>
        <v>99.581000000000003</v>
      </c>
      <c r="BZ18" s="39">
        <f>BY18+BZ53</f>
        <v>99.581000000000003</v>
      </c>
      <c r="CA18" s="388">
        <f t="shared" si="7"/>
        <v>99.581000000000003</v>
      </c>
      <c r="CB18" s="39"/>
      <c r="CC18" s="237">
        <f>BZ18+CC53</f>
        <v>99.581000000000003</v>
      </c>
      <c r="CD18" s="39">
        <f>CC18+CD53</f>
        <v>99.581000000000003</v>
      </c>
      <c r="CE18" s="39">
        <f>CD18+CE53</f>
        <v>99.581000000000003</v>
      </c>
      <c r="CF18" s="39">
        <f>CE18+CF53</f>
        <v>99.581000000000003</v>
      </c>
      <c r="CG18" s="388">
        <f t="shared" si="10"/>
        <v>99.581000000000003</v>
      </c>
    </row>
    <row r="19" spans="2:85" s="7" customFormat="1" ht="11.25" customHeight="1" x14ac:dyDescent="0.2">
      <c r="B19" s="429"/>
      <c r="C19" s="237"/>
      <c r="D19" s="39"/>
      <c r="E19" s="39"/>
      <c r="F19" s="39"/>
      <c r="G19" s="388"/>
      <c r="H19" s="39"/>
      <c r="I19" s="237"/>
      <c r="J19" s="39"/>
      <c r="K19" s="39"/>
      <c r="L19" s="39"/>
      <c r="M19" s="388"/>
      <c r="N19" s="39"/>
      <c r="O19" s="237"/>
      <c r="P19" s="39"/>
      <c r="Q19" s="39"/>
      <c r="R19" s="39"/>
      <c r="S19" s="388"/>
      <c r="T19" s="39"/>
      <c r="U19" s="237"/>
      <c r="V19" s="39"/>
      <c r="W19" s="39"/>
      <c r="X19" s="39"/>
      <c r="Y19" s="388"/>
      <c r="Z19" s="39"/>
      <c r="AA19" s="237"/>
      <c r="AB19" s="39"/>
      <c r="AC19" s="39"/>
      <c r="AD19" s="39"/>
      <c r="AE19" s="388"/>
      <c r="AF19" s="39"/>
      <c r="AG19" s="237"/>
      <c r="AH19" s="39"/>
      <c r="AI19" s="39"/>
      <c r="AJ19" s="39"/>
      <c r="AK19" s="388"/>
      <c r="AL19" s="39"/>
      <c r="AM19" s="237"/>
      <c r="AN19" s="39"/>
      <c r="AO19" s="39"/>
      <c r="AP19" s="39"/>
      <c r="AQ19" s="388"/>
      <c r="AR19" s="39"/>
      <c r="AS19" s="237"/>
      <c r="AT19" s="39"/>
      <c r="AU19" s="39"/>
      <c r="AV19" s="39"/>
      <c r="AW19" s="388"/>
      <c r="AX19" s="39"/>
      <c r="AY19" s="237"/>
      <c r="AZ19" s="39"/>
      <c r="BA19" s="39"/>
      <c r="BB19" s="39"/>
      <c r="BC19" s="388"/>
      <c r="BD19" s="39"/>
      <c r="BE19" s="237"/>
      <c r="BF19" s="39"/>
      <c r="BG19" s="39"/>
      <c r="BH19" s="39"/>
      <c r="BI19" s="388"/>
      <c r="BJ19" s="39"/>
      <c r="BK19" s="237"/>
      <c r="BL19" s="39"/>
      <c r="BM19" s="39"/>
      <c r="BN19" s="39"/>
      <c r="BO19" s="388"/>
      <c r="BP19" s="39"/>
      <c r="BQ19" s="237"/>
      <c r="BR19" s="39"/>
      <c r="BS19" s="39"/>
      <c r="BT19" s="39"/>
      <c r="BU19" s="388"/>
      <c r="BV19" s="39"/>
      <c r="BW19" s="237"/>
      <c r="BX19" s="39"/>
      <c r="BY19" s="39"/>
      <c r="BZ19" s="39"/>
      <c r="CA19" s="388"/>
      <c r="CB19" s="39"/>
      <c r="CC19" s="237"/>
      <c r="CD19" s="39"/>
      <c r="CE19" s="39"/>
      <c r="CF19" s="39"/>
      <c r="CG19" s="388"/>
    </row>
    <row r="20" spans="2:85" s="7" customFormat="1" ht="11.25" customHeight="1" x14ac:dyDescent="0.2">
      <c r="B20" s="429" t="s">
        <v>321</v>
      </c>
      <c r="C20" s="238"/>
      <c r="D20" s="204"/>
      <c r="E20" s="204"/>
      <c r="F20" s="204"/>
      <c r="G20" s="387">
        <v>0</v>
      </c>
      <c r="H20" s="39"/>
      <c r="I20" s="238"/>
      <c r="J20" s="204"/>
      <c r="K20" s="204"/>
      <c r="L20" s="204"/>
      <c r="M20" s="387">
        <v>0</v>
      </c>
      <c r="N20" s="39"/>
      <c r="O20" s="238"/>
      <c r="P20" s="204"/>
      <c r="Q20" s="204"/>
      <c r="R20" s="204"/>
      <c r="S20" s="387">
        <v>0</v>
      </c>
      <c r="T20" s="39"/>
      <c r="U20" s="238"/>
      <c r="V20" s="204"/>
      <c r="W20" s="204"/>
      <c r="X20" s="204"/>
      <c r="Y20" s="387">
        <v>0</v>
      </c>
      <c r="Z20" s="39"/>
      <c r="AA20" s="238"/>
      <c r="AB20" s="204"/>
      <c r="AC20" s="204"/>
      <c r="AD20" s="204"/>
      <c r="AE20" s="387">
        <v>0</v>
      </c>
      <c r="AF20" s="39"/>
      <c r="AG20" s="238"/>
      <c r="AH20" s="204"/>
      <c r="AI20" s="204"/>
      <c r="AJ20" s="204"/>
      <c r="AK20" s="387">
        <v>0</v>
      </c>
      <c r="AL20" s="39"/>
      <c r="AM20" s="238"/>
      <c r="AN20" s="204"/>
      <c r="AO20" s="204"/>
      <c r="AP20" s="204"/>
      <c r="AQ20" s="387">
        <v>160</v>
      </c>
      <c r="AR20" s="39"/>
      <c r="AS20" s="238">
        <v>250</v>
      </c>
      <c r="AT20" s="204">
        <v>274.39999999999998</v>
      </c>
      <c r="AU20" s="204">
        <v>240</v>
      </c>
      <c r="AV20" s="204">
        <v>150</v>
      </c>
      <c r="AW20" s="387">
        <f t="shared" ref="AW20:AW26" si="11">+AV20</f>
        <v>150</v>
      </c>
      <c r="AX20" s="39"/>
      <c r="AY20" s="238">
        <v>275</v>
      </c>
      <c r="AZ20" s="204">
        <v>210</v>
      </c>
      <c r="BA20" s="204">
        <v>220</v>
      </c>
      <c r="BB20" s="204">
        <v>90</v>
      </c>
      <c r="BC20" s="387">
        <f t="shared" ref="BC20:BC26" si="12">+BB20</f>
        <v>90</v>
      </c>
      <c r="BD20" s="39"/>
      <c r="BE20" s="238">
        <v>300</v>
      </c>
      <c r="BF20" s="204">
        <v>334</v>
      </c>
      <c r="BG20" s="204">
        <v>350</v>
      </c>
      <c r="BH20" s="204">
        <v>350</v>
      </c>
      <c r="BI20" s="388">
        <f t="shared" ref="BI20:BI28" si="13">BH20</f>
        <v>350</v>
      </c>
      <c r="BJ20" s="39"/>
      <c r="BK20" s="238">
        <v>350</v>
      </c>
      <c r="BL20" s="204">
        <v>349.56</v>
      </c>
      <c r="BM20" s="204">
        <v>350</v>
      </c>
      <c r="BN20" s="204">
        <v>350</v>
      </c>
      <c r="BO20" s="388">
        <f t="shared" ref="BO20:BO28" si="14">BN20</f>
        <v>350</v>
      </c>
      <c r="BP20" s="39"/>
      <c r="BQ20" s="237">
        <f t="shared" ref="BQ20:BQ26" si="15">BN20+BQ54</f>
        <v>350</v>
      </c>
      <c r="BR20" s="39">
        <f t="shared" ref="BR20:BT26" si="16">BQ20+BR54</f>
        <v>350</v>
      </c>
      <c r="BS20" s="39">
        <f t="shared" si="16"/>
        <v>350</v>
      </c>
      <c r="BT20" s="39">
        <f t="shared" si="16"/>
        <v>350</v>
      </c>
      <c r="BU20" s="388">
        <f t="shared" ref="BU20:BU28" si="17">BT20</f>
        <v>350</v>
      </c>
      <c r="BV20" s="39"/>
      <c r="BW20" s="237">
        <f t="shared" ref="BW20:BW26" si="18">BT20+BW54</f>
        <v>350</v>
      </c>
      <c r="BX20" s="39">
        <f t="shared" ref="BX20:BZ26" si="19">BW20+BX54</f>
        <v>350</v>
      </c>
      <c r="BY20" s="39">
        <f t="shared" si="19"/>
        <v>350</v>
      </c>
      <c r="BZ20" s="39">
        <f t="shared" si="19"/>
        <v>350</v>
      </c>
      <c r="CA20" s="388">
        <f t="shared" ref="CA20:CA28" si="20">BZ20</f>
        <v>350</v>
      </c>
      <c r="CB20" s="39"/>
      <c r="CC20" s="237">
        <f t="shared" ref="CC20:CC26" si="21">BZ20+CC54</f>
        <v>350</v>
      </c>
      <c r="CD20" s="39">
        <f t="shared" ref="CD20:CF26" si="22">CC20+CD54</f>
        <v>350</v>
      </c>
      <c r="CE20" s="39">
        <f t="shared" si="22"/>
        <v>350</v>
      </c>
      <c r="CF20" s="39">
        <f t="shared" si="22"/>
        <v>350</v>
      </c>
      <c r="CG20" s="388">
        <f t="shared" ref="CG20:CG28" si="23">CF20</f>
        <v>350</v>
      </c>
    </row>
    <row r="21" spans="2:85" s="7" customFormat="1" ht="11.25" customHeight="1" x14ac:dyDescent="0.2">
      <c r="B21" s="429" t="s">
        <v>337</v>
      </c>
      <c r="C21" s="238"/>
      <c r="D21" s="204"/>
      <c r="E21" s="204"/>
      <c r="F21" s="204"/>
      <c r="G21" s="387">
        <v>188.84</v>
      </c>
      <c r="H21" s="39"/>
      <c r="I21" s="238"/>
      <c r="J21" s="204"/>
      <c r="K21" s="204"/>
      <c r="L21" s="204"/>
      <c r="M21" s="387">
        <v>172.501</v>
      </c>
      <c r="N21" s="39"/>
      <c r="O21" s="238"/>
      <c r="P21" s="204"/>
      <c r="Q21" s="204"/>
      <c r="R21" s="204"/>
      <c r="S21" s="387">
        <v>20.452999999999999</v>
      </c>
      <c r="T21" s="39"/>
      <c r="U21" s="238"/>
      <c r="V21" s="204"/>
      <c r="W21" s="204"/>
      <c r="X21" s="204"/>
      <c r="Y21" s="387">
        <v>0</v>
      </c>
      <c r="Z21" s="39"/>
      <c r="AA21" s="238"/>
      <c r="AB21" s="204"/>
      <c r="AC21" s="204"/>
      <c r="AD21" s="204"/>
      <c r="AE21" s="387">
        <v>0</v>
      </c>
      <c r="AF21" s="39"/>
      <c r="AG21" s="238"/>
      <c r="AH21" s="204"/>
      <c r="AI21" s="204"/>
      <c r="AJ21" s="204"/>
      <c r="AK21" s="387">
        <v>0</v>
      </c>
      <c r="AL21" s="39"/>
      <c r="AM21" s="238"/>
      <c r="AN21" s="204"/>
      <c r="AO21" s="204"/>
      <c r="AP21" s="204"/>
      <c r="AQ21" s="387">
        <v>0</v>
      </c>
      <c r="AR21" s="39"/>
      <c r="AS21" s="238">
        <v>0</v>
      </c>
      <c r="AT21" s="204">
        <v>0</v>
      </c>
      <c r="AU21" s="204">
        <v>0</v>
      </c>
      <c r="AV21" s="204">
        <v>0</v>
      </c>
      <c r="AW21" s="387">
        <f t="shared" si="11"/>
        <v>0</v>
      </c>
      <c r="AX21" s="39"/>
      <c r="AY21" s="238">
        <v>0</v>
      </c>
      <c r="AZ21" s="204">
        <v>0</v>
      </c>
      <c r="BA21" s="204">
        <v>0</v>
      </c>
      <c r="BB21" s="204">
        <v>0</v>
      </c>
      <c r="BC21" s="387">
        <f t="shared" si="12"/>
        <v>0</v>
      </c>
      <c r="BD21" s="39"/>
      <c r="BE21" s="238">
        <v>0</v>
      </c>
      <c r="BF21" s="204">
        <v>0</v>
      </c>
      <c r="BG21" s="204">
        <v>0</v>
      </c>
      <c r="BH21" s="204">
        <v>0</v>
      </c>
      <c r="BI21" s="388">
        <f t="shared" si="13"/>
        <v>0</v>
      </c>
      <c r="BJ21" s="39"/>
      <c r="BK21" s="238">
        <v>0</v>
      </c>
      <c r="BL21" s="204">
        <v>0</v>
      </c>
      <c r="BM21" s="204">
        <v>0</v>
      </c>
      <c r="BN21" s="204">
        <v>0</v>
      </c>
      <c r="BO21" s="388">
        <f t="shared" si="14"/>
        <v>0</v>
      </c>
      <c r="BP21" s="39"/>
      <c r="BQ21" s="237">
        <f t="shared" si="15"/>
        <v>0</v>
      </c>
      <c r="BR21" s="39">
        <f t="shared" si="16"/>
        <v>0</v>
      </c>
      <c r="BS21" s="39">
        <f t="shared" si="16"/>
        <v>0</v>
      </c>
      <c r="BT21" s="39">
        <f t="shared" si="16"/>
        <v>0</v>
      </c>
      <c r="BU21" s="388">
        <f t="shared" si="17"/>
        <v>0</v>
      </c>
      <c r="BV21" s="39"/>
      <c r="BW21" s="237">
        <f t="shared" si="18"/>
        <v>0</v>
      </c>
      <c r="BX21" s="39">
        <f t="shared" si="19"/>
        <v>0</v>
      </c>
      <c r="BY21" s="39">
        <f t="shared" si="19"/>
        <v>0</v>
      </c>
      <c r="BZ21" s="39">
        <f t="shared" si="19"/>
        <v>0</v>
      </c>
      <c r="CA21" s="388">
        <f t="shared" si="20"/>
        <v>0</v>
      </c>
      <c r="CB21" s="39"/>
      <c r="CC21" s="237">
        <f t="shared" si="21"/>
        <v>0</v>
      </c>
      <c r="CD21" s="39">
        <f t="shared" si="22"/>
        <v>0</v>
      </c>
      <c r="CE21" s="39">
        <f t="shared" si="22"/>
        <v>0</v>
      </c>
      <c r="CF21" s="39">
        <f t="shared" si="22"/>
        <v>0</v>
      </c>
      <c r="CG21" s="388">
        <f t="shared" si="23"/>
        <v>0</v>
      </c>
    </row>
    <row r="22" spans="2:85" s="7" customFormat="1" ht="11.25" customHeight="1" x14ac:dyDescent="0.2">
      <c r="B22" s="429" t="s">
        <v>338</v>
      </c>
      <c r="C22" s="238"/>
      <c r="D22" s="204"/>
      <c r="E22" s="204"/>
      <c r="F22" s="204"/>
      <c r="G22" s="387">
        <v>240</v>
      </c>
      <c r="H22" s="39"/>
      <c r="I22" s="238"/>
      <c r="J22" s="204"/>
      <c r="K22" s="204"/>
      <c r="L22" s="204"/>
      <c r="M22" s="387">
        <v>230.00200000000001</v>
      </c>
      <c r="N22" s="39"/>
      <c r="O22" s="238"/>
      <c r="P22" s="204"/>
      <c r="Q22" s="204"/>
      <c r="R22" s="204"/>
      <c r="S22" s="387">
        <v>235.99299999999999</v>
      </c>
      <c r="T22" s="39"/>
      <c r="U22" s="238"/>
      <c r="V22" s="204"/>
      <c r="W22" s="204"/>
      <c r="X22" s="204"/>
      <c r="Y22" s="387">
        <v>0</v>
      </c>
      <c r="Z22" s="39"/>
      <c r="AA22" s="238"/>
      <c r="AB22" s="204"/>
      <c r="AC22" s="204"/>
      <c r="AD22" s="204"/>
      <c r="AE22" s="387">
        <v>0</v>
      </c>
      <c r="AF22" s="39"/>
      <c r="AG22" s="238"/>
      <c r="AH22" s="204"/>
      <c r="AI22" s="204"/>
      <c r="AJ22" s="204"/>
      <c r="AK22" s="387">
        <v>0</v>
      </c>
      <c r="AL22" s="39"/>
      <c r="AM22" s="238"/>
      <c r="AN22" s="204"/>
      <c r="AO22" s="204"/>
      <c r="AP22" s="204"/>
      <c r="AQ22" s="387">
        <v>0</v>
      </c>
      <c r="AR22" s="39"/>
      <c r="AS22" s="238">
        <v>0</v>
      </c>
      <c r="AT22" s="204">
        <v>0</v>
      </c>
      <c r="AU22" s="204">
        <v>0</v>
      </c>
      <c r="AV22" s="204">
        <v>0</v>
      </c>
      <c r="AW22" s="387">
        <f t="shared" si="11"/>
        <v>0</v>
      </c>
      <c r="AX22" s="39"/>
      <c r="AY22" s="238">
        <v>0</v>
      </c>
      <c r="AZ22" s="204">
        <v>0</v>
      </c>
      <c r="BA22" s="204">
        <v>0</v>
      </c>
      <c r="BB22" s="204">
        <v>0</v>
      </c>
      <c r="BC22" s="387">
        <f t="shared" si="12"/>
        <v>0</v>
      </c>
      <c r="BD22" s="39"/>
      <c r="BE22" s="238">
        <v>0</v>
      </c>
      <c r="BF22" s="204">
        <v>0</v>
      </c>
      <c r="BG22" s="204">
        <v>0</v>
      </c>
      <c r="BH22" s="204">
        <v>0</v>
      </c>
      <c r="BI22" s="388">
        <f t="shared" si="13"/>
        <v>0</v>
      </c>
      <c r="BJ22" s="39"/>
      <c r="BK22" s="238">
        <v>0</v>
      </c>
      <c r="BL22" s="204">
        <v>0</v>
      </c>
      <c r="BM22" s="204">
        <v>0</v>
      </c>
      <c r="BN22" s="204">
        <v>0</v>
      </c>
      <c r="BO22" s="388">
        <f t="shared" si="14"/>
        <v>0</v>
      </c>
      <c r="BP22" s="39"/>
      <c r="BQ22" s="237">
        <f t="shared" si="15"/>
        <v>0</v>
      </c>
      <c r="BR22" s="39">
        <f t="shared" si="16"/>
        <v>0</v>
      </c>
      <c r="BS22" s="39">
        <f t="shared" si="16"/>
        <v>0</v>
      </c>
      <c r="BT22" s="39">
        <f t="shared" si="16"/>
        <v>0</v>
      </c>
      <c r="BU22" s="388">
        <f t="shared" si="17"/>
        <v>0</v>
      </c>
      <c r="BV22" s="39"/>
      <c r="BW22" s="237">
        <f t="shared" si="18"/>
        <v>0</v>
      </c>
      <c r="BX22" s="39">
        <f t="shared" si="19"/>
        <v>0</v>
      </c>
      <c r="BY22" s="39">
        <f t="shared" si="19"/>
        <v>0</v>
      </c>
      <c r="BZ22" s="39">
        <f t="shared" si="19"/>
        <v>0</v>
      </c>
      <c r="CA22" s="388">
        <f t="shared" si="20"/>
        <v>0</v>
      </c>
      <c r="CB22" s="39"/>
      <c r="CC22" s="237">
        <f t="shared" si="21"/>
        <v>0</v>
      </c>
      <c r="CD22" s="39">
        <f t="shared" si="22"/>
        <v>0</v>
      </c>
      <c r="CE22" s="39">
        <f t="shared" si="22"/>
        <v>0</v>
      </c>
      <c r="CF22" s="39">
        <f t="shared" si="22"/>
        <v>0</v>
      </c>
      <c r="CG22" s="388">
        <f t="shared" si="23"/>
        <v>0</v>
      </c>
    </row>
    <row r="23" spans="2:85" s="7" customFormat="1" ht="11.25" customHeight="1" x14ac:dyDescent="0.2">
      <c r="B23" s="429" t="s">
        <v>458</v>
      </c>
      <c r="C23" s="238"/>
      <c r="D23" s="204"/>
      <c r="E23" s="204"/>
      <c r="F23" s="204"/>
      <c r="G23" s="387">
        <v>1.28</v>
      </c>
      <c r="H23" s="38"/>
      <c r="I23" s="238"/>
      <c r="J23" s="204"/>
      <c r="K23" s="204"/>
      <c r="L23" s="204"/>
      <c r="M23" s="387">
        <v>0.623</v>
      </c>
      <c r="N23" s="38"/>
      <c r="O23" s="238"/>
      <c r="P23" s="204"/>
      <c r="Q23" s="204"/>
      <c r="R23" s="204"/>
      <c r="S23" s="387">
        <v>1.9E-2</v>
      </c>
      <c r="T23" s="38"/>
      <c r="U23" s="238"/>
      <c r="V23" s="204"/>
      <c r="W23" s="204"/>
      <c r="X23" s="204"/>
      <c r="Y23" s="387">
        <v>279.05500000000001</v>
      </c>
      <c r="Z23" s="38"/>
      <c r="AA23" s="238"/>
      <c r="AB23" s="204"/>
      <c r="AC23" s="204"/>
      <c r="AD23" s="204"/>
      <c r="AE23" s="387">
        <v>11.163</v>
      </c>
      <c r="AF23" s="38"/>
      <c r="AG23" s="238"/>
      <c r="AH23" s="204"/>
      <c r="AI23" s="204"/>
      <c r="AJ23" s="204"/>
      <c r="AK23" s="387">
        <v>11.352</v>
      </c>
      <c r="AL23" s="38"/>
      <c r="AM23" s="238"/>
      <c r="AN23" s="204"/>
      <c r="AO23" s="204"/>
      <c r="AP23" s="204"/>
      <c r="AQ23" s="387">
        <v>7.2999999999999995E-2</v>
      </c>
      <c r="AR23" s="38"/>
      <c r="AS23" s="238">
        <v>0</v>
      </c>
      <c r="AT23" s="204">
        <v>0</v>
      </c>
      <c r="AU23" s="204">
        <v>4.1000000000000002E-2</v>
      </c>
      <c r="AV23" s="204">
        <v>0.03</v>
      </c>
      <c r="AW23" s="387">
        <f t="shared" si="11"/>
        <v>0.03</v>
      </c>
      <c r="AX23" s="38"/>
      <c r="AY23" s="238">
        <v>1.9E-2</v>
      </c>
      <c r="AZ23" s="204">
        <v>1.4E-2</v>
      </c>
      <c r="BA23" s="204">
        <v>0.01</v>
      </c>
      <c r="BB23" s="204">
        <v>5.0000000000000001E-3</v>
      </c>
      <c r="BC23" s="387">
        <f t="shared" si="12"/>
        <v>5.0000000000000001E-3</v>
      </c>
      <c r="BD23" s="38"/>
      <c r="BE23" s="238">
        <v>0</v>
      </c>
      <c r="BF23" s="204">
        <v>0</v>
      </c>
      <c r="BG23" s="204">
        <v>3.3000000000000002E-2</v>
      </c>
      <c r="BH23" s="204">
        <v>47.957000000000001</v>
      </c>
      <c r="BI23" s="388">
        <f t="shared" si="13"/>
        <v>47.957000000000001</v>
      </c>
      <c r="BJ23" s="38"/>
      <c r="BK23" s="238">
        <v>0</v>
      </c>
      <c r="BL23" s="204">
        <v>0</v>
      </c>
      <c r="BM23" s="204">
        <v>0</v>
      </c>
      <c r="BN23" s="204">
        <v>0</v>
      </c>
      <c r="BO23" s="388">
        <f t="shared" si="14"/>
        <v>0</v>
      </c>
      <c r="BP23" s="38"/>
      <c r="BQ23" s="237">
        <f t="shared" si="15"/>
        <v>0</v>
      </c>
      <c r="BR23" s="39">
        <f t="shared" si="16"/>
        <v>0</v>
      </c>
      <c r="BS23" s="39">
        <f t="shared" si="16"/>
        <v>0</v>
      </c>
      <c r="BT23" s="39">
        <f t="shared" si="16"/>
        <v>0</v>
      </c>
      <c r="BU23" s="388">
        <f t="shared" si="17"/>
        <v>0</v>
      </c>
      <c r="BV23" s="38"/>
      <c r="BW23" s="237">
        <f t="shared" si="18"/>
        <v>0</v>
      </c>
      <c r="BX23" s="39">
        <f t="shared" si="19"/>
        <v>0</v>
      </c>
      <c r="BY23" s="39">
        <f t="shared" si="19"/>
        <v>0</v>
      </c>
      <c r="BZ23" s="39">
        <f t="shared" si="19"/>
        <v>0</v>
      </c>
      <c r="CA23" s="388">
        <f t="shared" si="20"/>
        <v>0</v>
      </c>
      <c r="CB23" s="38"/>
      <c r="CC23" s="237">
        <f t="shared" si="21"/>
        <v>0</v>
      </c>
      <c r="CD23" s="39">
        <f t="shared" si="22"/>
        <v>0</v>
      </c>
      <c r="CE23" s="39">
        <f t="shared" si="22"/>
        <v>0</v>
      </c>
      <c r="CF23" s="39">
        <f t="shared" si="22"/>
        <v>0</v>
      </c>
      <c r="CG23" s="388">
        <f t="shared" si="23"/>
        <v>0</v>
      </c>
    </row>
    <row r="24" spans="2:85" s="7" customFormat="1" ht="11.25" customHeight="1" x14ac:dyDescent="0.2">
      <c r="B24" s="429" t="s">
        <v>339</v>
      </c>
      <c r="C24" s="238"/>
      <c r="D24" s="204"/>
      <c r="E24" s="204"/>
      <c r="F24" s="204"/>
      <c r="G24" s="387">
        <v>0</v>
      </c>
      <c r="H24" s="38"/>
      <c r="I24" s="238"/>
      <c r="J24" s="204"/>
      <c r="K24" s="204"/>
      <c r="L24" s="204"/>
      <c r="M24" s="387">
        <v>0</v>
      </c>
      <c r="N24" s="38"/>
      <c r="O24" s="238"/>
      <c r="P24" s="204"/>
      <c r="Q24" s="204"/>
      <c r="R24" s="204"/>
      <c r="S24" s="387">
        <v>0</v>
      </c>
      <c r="T24" s="38"/>
      <c r="U24" s="238"/>
      <c r="V24" s="204"/>
      <c r="W24" s="204"/>
      <c r="X24" s="204"/>
      <c r="Y24" s="387">
        <v>0</v>
      </c>
      <c r="Z24" s="38"/>
      <c r="AA24" s="238"/>
      <c r="AB24" s="204"/>
      <c r="AC24" s="204"/>
      <c r="AD24" s="204"/>
      <c r="AE24" s="387">
        <v>251.66200000000001</v>
      </c>
      <c r="AF24" s="38"/>
      <c r="AG24" s="238"/>
      <c r="AH24" s="204"/>
      <c r="AI24" s="204"/>
      <c r="AJ24" s="204"/>
      <c r="AK24" s="387">
        <v>220.43899999999999</v>
      </c>
      <c r="AL24" s="38"/>
      <c r="AM24" s="238"/>
      <c r="AN24" s="204"/>
      <c r="AO24" s="204"/>
      <c r="AP24" s="204"/>
      <c r="AQ24" s="387">
        <v>0</v>
      </c>
      <c r="AR24" s="38"/>
      <c r="AS24" s="238">
        <v>0</v>
      </c>
      <c r="AT24" s="204">
        <v>0</v>
      </c>
      <c r="AU24" s="204">
        <v>0</v>
      </c>
      <c r="AV24" s="204">
        <v>0</v>
      </c>
      <c r="AW24" s="387">
        <f t="shared" si="11"/>
        <v>0</v>
      </c>
      <c r="AX24" s="38"/>
      <c r="AY24" s="238">
        <v>0</v>
      </c>
      <c r="AZ24" s="204">
        <v>0</v>
      </c>
      <c r="BA24" s="204">
        <v>0</v>
      </c>
      <c r="BB24" s="204">
        <v>0</v>
      </c>
      <c r="BC24" s="387">
        <f t="shared" si="12"/>
        <v>0</v>
      </c>
      <c r="BD24" s="38"/>
      <c r="BE24" s="238">
        <v>0</v>
      </c>
      <c r="BF24" s="204">
        <v>0</v>
      </c>
      <c r="BG24" s="204">
        <v>0</v>
      </c>
      <c r="BH24" s="204">
        <v>0</v>
      </c>
      <c r="BI24" s="388">
        <f t="shared" si="13"/>
        <v>0</v>
      </c>
      <c r="BJ24" s="38"/>
      <c r="BK24" s="238">
        <v>0</v>
      </c>
      <c r="BL24" s="204">
        <v>0</v>
      </c>
      <c r="BM24" s="204">
        <v>0</v>
      </c>
      <c r="BN24" s="204">
        <v>0</v>
      </c>
      <c r="BO24" s="388">
        <f t="shared" si="14"/>
        <v>0</v>
      </c>
      <c r="BP24" s="38"/>
      <c r="BQ24" s="237">
        <f t="shared" si="15"/>
        <v>0</v>
      </c>
      <c r="BR24" s="39">
        <f t="shared" si="16"/>
        <v>0</v>
      </c>
      <c r="BS24" s="39">
        <f t="shared" si="16"/>
        <v>0</v>
      </c>
      <c r="BT24" s="39">
        <f t="shared" si="16"/>
        <v>0</v>
      </c>
      <c r="BU24" s="388">
        <f t="shared" si="17"/>
        <v>0</v>
      </c>
      <c r="BV24" s="38"/>
      <c r="BW24" s="237">
        <f t="shared" si="18"/>
        <v>0</v>
      </c>
      <c r="BX24" s="39">
        <f t="shared" si="19"/>
        <v>0</v>
      </c>
      <c r="BY24" s="39">
        <f t="shared" si="19"/>
        <v>0</v>
      </c>
      <c r="BZ24" s="39">
        <f t="shared" si="19"/>
        <v>0</v>
      </c>
      <c r="CA24" s="388">
        <f t="shared" si="20"/>
        <v>0</v>
      </c>
      <c r="CB24" s="38"/>
      <c r="CC24" s="237">
        <f t="shared" si="21"/>
        <v>0</v>
      </c>
      <c r="CD24" s="39">
        <f t="shared" si="22"/>
        <v>0</v>
      </c>
      <c r="CE24" s="39">
        <f t="shared" si="22"/>
        <v>0</v>
      </c>
      <c r="CF24" s="39">
        <f t="shared" si="22"/>
        <v>0</v>
      </c>
      <c r="CG24" s="388">
        <f t="shared" si="23"/>
        <v>0</v>
      </c>
    </row>
    <row r="25" spans="2:85" s="7" customFormat="1" ht="11.25" customHeight="1" x14ac:dyDescent="0.2">
      <c r="B25" s="429" t="s">
        <v>322</v>
      </c>
      <c r="C25" s="238"/>
      <c r="D25" s="204"/>
      <c r="E25" s="204"/>
      <c r="F25" s="204"/>
      <c r="G25" s="387">
        <v>9.5050000000000008</v>
      </c>
      <c r="H25" s="39"/>
      <c r="I25" s="238"/>
      <c r="J25" s="204"/>
      <c r="K25" s="204"/>
      <c r="L25" s="204"/>
      <c r="M25" s="387">
        <v>2.677</v>
      </c>
      <c r="N25" s="39"/>
      <c r="O25" s="238"/>
      <c r="P25" s="204"/>
      <c r="Q25" s="204"/>
      <c r="R25" s="204"/>
      <c r="S25" s="387">
        <v>4.8360000000000003</v>
      </c>
      <c r="T25" s="39"/>
      <c r="U25" s="238"/>
      <c r="V25" s="204"/>
      <c r="W25" s="204"/>
      <c r="X25" s="204"/>
      <c r="Y25" s="387">
        <v>16.521999999999998</v>
      </c>
      <c r="Z25" s="39"/>
      <c r="AA25" s="238"/>
      <c r="AB25" s="204"/>
      <c r="AC25" s="204"/>
      <c r="AD25" s="204"/>
      <c r="AE25" s="387">
        <v>18.626999999999999</v>
      </c>
      <c r="AF25" s="39"/>
      <c r="AG25" s="238"/>
      <c r="AH25" s="204"/>
      <c r="AI25" s="204"/>
      <c r="AJ25" s="204"/>
      <c r="AK25" s="387">
        <v>21.178000000000001</v>
      </c>
      <c r="AL25" s="39"/>
      <c r="AM25" s="238"/>
      <c r="AN25" s="204"/>
      <c r="AO25" s="204"/>
      <c r="AP25" s="204"/>
      <c r="AQ25" s="387">
        <v>44.091000000000001</v>
      </c>
      <c r="AR25" s="39"/>
      <c r="AS25" s="238">
        <v>39.6</v>
      </c>
      <c r="AT25" s="204">
        <v>39.6</v>
      </c>
      <c r="AU25" s="204">
        <v>43.701000000000001</v>
      </c>
      <c r="AV25" s="204">
        <v>41.259</v>
      </c>
      <c r="AW25" s="387">
        <f t="shared" si="11"/>
        <v>41.259</v>
      </c>
      <c r="AX25" s="39"/>
      <c r="AY25" s="238">
        <v>40.831000000000003</v>
      </c>
      <c r="AZ25" s="204">
        <v>41.037999999999997</v>
      </c>
      <c r="BA25" s="204">
        <v>39.625999999999998</v>
      </c>
      <c r="BB25" s="204">
        <v>38.215000000000003</v>
      </c>
      <c r="BC25" s="387">
        <f t="shared" si="12"/>
        <v>38.215000000000003</v>
      </c>
      <c r="BD25" s="39"/>
      <c r="BE25" s="238">
        <v>38.216999999999999</v>
      </c>
      <c r="BF25" s="204">
        <v>37.887999999999998</v>
      </c>
      <c r="BG25" s="204">
        <v>37.146000000000001</v>
      </c>
      <c r="BH25" s="204">
        <v>35.15</v>
      </c>
      <c r="BI25" s="388">
        <f t="shared" si="13"/>
        <v>35.15</v>
      </c>
      <c r="BJ25" s="39"/>
      <c r="BK25" s="238">
        <v>35.81</v>
      </c>
      <c r="BL25" s="204">
        <v>34.076000000000001</v>
      </c>
      <c r="BM25" s="204">
        <v>33.994</v>
      </c>
      <c r="BN25" s="204">
        <v>34.027000000000001</v>
      </c>
      <c r="BO25" s="388">
        <f t="shared" si="14"/>
        <v>34.027000000000001</v>
      </c>
      <c r="BP25" s="39"/>
      <c r="BQ25" s="237">
        <f t="shared" si="15"/>
        <v>34.027000000000001</v>
      </c>
      <c r="BR25" s="39">
        <f t="shared" si="16"/>
        <v>34.027000000000001</v>
      </c>
      <c r="BS25" s="39">
        <f t="shared" si="16"/>
        <v>34.027000000000001</v>
      </c>
      <c r="BT25" s="39">
        <f t="shared" si="16"/>
        <v>34.027000000000001</v>
      </c>
      <c r="BU25" s="388">
        <f t="shared" si="17"/>
        <v>34.027000000000001</v>
      </c>
      <c r="BV25" s="39"/>
      <c r="BW25" s="237">
        <f t="shared" si="18"/>
        <v>34.027000000000001</v>
      </c>
      <c r="BX25" s="39">
        <f t="shared" si="19"/>
        <v>34.027000000000001</v>
      </c>
      <c r="BY25" s="39">
        <f t="shared" si="19"/>
        <v>34.027000000000001</v>
      </c>
      <c r="BZ25" s="39">
        <f t="shared" si="19"/>
        <v>34.027000000000001</v>
      </c>
      <c r="CA25" s="388">
        <f t="shared" si="20"/>
        <v>34.027000000000001</v>
      </c>
      <c r="CB25" s="39"/>
      <c r="CC25" s="237">
        <f t="shared" si="21"/>
        <v>34.027000000000001</v>
      </c>
      <c r="CD25" s="39">
        <f t="shared" si="22"/>
        <v>34.027000000000001</v>
      </c>
      <c r="CE25" s="39">
        <f t="shared" si="22"/>
        <v>34.027000000000001</v>
      </c>
      <c r="CF25" s="39">
        <f t="shared" si="22"/>
        <v>34.027000000000001</v>
      </c>
      <c r="CG25" s="388">
        <f t="shared" si="23"/>
        <v>34.027000000000001</v>
      </c>
    </row>
    <row r="26" spans="2:85" s="7" customFormat="1" ht="11.25" customHeight="1" x14ac:dyDescent="0.2">
      <c r="B26" s="429" t="s">
        <v>323</v>
      </c>
      <c r="C26" s="238"/>
      <c r="D26" s="204"/>
      <c r="E26" s="204"/>
      <c r="F26" s="204"/>
      <c r="G26" s="387">
        <v>7.968</v>
      </c>
      <c r="H26" s="38"/>
      <c r="I26" s="238"/>
      <c r="J26" s="204"/>
      <c r="K26" s="204"/>
      <c r="L26" s="204"/>
      <c r="M26" s="387">
        <v>7.25</v>
      </c>
      <c r="N26" s="38"/>
      <c r="O26" s="238"/>
      <c r="P26" s="204"/>
      <c r="Q26" s="204"/>
      <c r="R26" s="204"/>
      <c r="S26" s="387">
        <v>5.6319999999999997</v>
      </c>
      <c r="T26" s="38"/>
      <c r="U26" s="238"/>
      <c r="V26" s="204"/>
      <c r="W26" s="204"/>
      <c r="X26" s="204"/>
      <c r="Y26" s="387">
        <v>4.2190000000000003</v>
      </c>
      <c r="Z26" s="38"/>
      <c r="AA26" s="238"/>
      <c r="AB26" s="204"/>
      <c r="AC26" s="204"/>
      <c r="AD26" s="204"/>
      <c r="AE26" s="387">
        <v>4.891</v>
      </c>
      <c r="AF26" s="38"/>
      <c r="AG26" s="238"/>
      <c r="AH26" s="204"/>
      <c r="AI26" s="204"/>
      <c r="AJ26" s="204"/>
      <c r="AK26" s="387">
        <v>3.1440000000000001</v>
      </c>
      <c r="AL26" s="38"/>
      <c r="AM26" s="238"/>
      <c r="AN26" s="204"/>
      <c r="AO26" s="204"/>
      <c r="AP26" s="204"/>
      <c r="AQ26" s="387">
        <v>1.51</v>
      </c>
      <c r="AR26" s="38"/>
      <c r="AS26" s="238">
        <f>541.687+105.984-AS11-SUM(AS20:AS25)</f>
        <v>108.07100000000003</v>
      </c>
      <c r="AT26" s="204">
        <f>665.909+6.302-AT11-SUM(AT20:AT25)</f>
        <v>8.2110000000000127</v>
      </c>
      <c r="AU26" s="204">
        <v>2.8460000000000001</v>
      </c>
      <c r="AV26" s="204">
        <v>7.3019999999999996</v>
      </c>
      <c r="AW26" s="387">
        <f t="shared" si="11"/>
        <v>7.3019999999999996</v>
      </c>
      <c r="AX26" s="38"/>
      <c r="AY26" s="238">
        <v>2.4540000000000002</v>
      </c>
      <c r="AZ26" s="204">
        <v>2.1869999999999998</v>
      </c>
      <c r="BA26" s="204">
        <v>1.9259999999999999</v>
      </c>
      <c r="BB26" s="204">
        <v>2.863</v>
      </c>
      <c r="BC26" s="387">
        <f t="shared" si="12"/>
        <v>2.863</v>
      </c>
      <c r="BD26" s="38"/>
      <c r="BE26" s="238">
        <v>2.5419999999999998</v>
      </c>
      <c r="BF26" s="204">
        <v>2.496</v>
      </c>
      <c r="BG26" s="204">
        <v>5.4480000000000004</v>
      </c>
      <c r="BH26" s="204">
        <v>5.4160000000000004</v>
      </c>
      <c r="BI26" s="388">
        <f t="shared" si="13"/>
        <v>5.4160000000000004</v>
      </c>
      <c r="BJ26" s="38"/>
      <c r="BK26" s="238">
        <v>5.5019999999999998</v>
      </c>
      <c r="BL26" s="204">
        <v>5.516</v>
      </c>
      <c r="BM26" s="204">
        <v>5.3810000000000002</v>
      </c>
      <c r="BN26" s="204">
        <v>5.093</v>
      </c>
      <c r="BO26" s="388">
        <f t="shared" si="14"/>
        <v>5.093</v>
      </c>
      <c r="BP26" s="38"/>
      <c r="BQ26" s="237">
        <f t="shared" si="15"/>
        <v>5.093</v>
      </c>
      <c r="BR26" s="39">
        <f t="shared" si="16"/>
        <v>5.093</v>
      </c>
      <c r="BS26" s="39">
        <f t="shared" si="16"/>
        <v>5.093</v>
      </c>
      <c r="BT26" s="39">
        <f t="shared" si="16"/>
        <v>5.093</v>
      </c>
      <c r="BU26" s="388">
        <f t="shared" si="17"/>
        <v>5.093</v>
      </c>
      <c r="BV26" s="38"/>
      <c r="BW26" s="237">
        <f t="shared" si="18"/>
        <v>5.093</v>
      </c>
      <c r="BX26" s="39">
        <f t="shared" si="19"/>
        <v>5.093</v>
      </c>
      <c r="BY26" s="39">
        <f t="shared" si="19"/>
        <v>5.093</v>
      </c>
      <c r="BZ26" s="39">
        <f t="shared" si="19"/>
        <v>5.093</v>
      </c>
      <c r="CA26" s="388">
        <f t="shared" si="20"/>
        <v>5.093</v>
      </c>
      <c r="CB26" s="38"/>
      <c r="CC26" s="237">
        <f t="shared" si="21"/>
        <v>5.093</v>
      </c>
      <c r="CD26" s="39">
        <f t="shared" si="22"/>
        <v>5.093</v>
      </c>
      <c r="CE26" s="39">
        <f t="shared" si="22"/>
        <v>5.093</v>
      </c>
      <c r="CF26" s="39">
        <f t="shared" si="22"/>
        <v>5.093</v>
      </c>
      <c r="CG26" s="388">
        <f t="shared" si="23"/>
        <v>5.093</v>
      </c>
    </row>
    <row r="27" spans="2:85" s="7" customFormat="1" ht="11.25" customHeight="1" x14ac:dyDescent="0.2">
      <c r="B27" s="495" t="s">
        <v>324</v>
      </c>
      <c r="C27" s="526"/>
      <c r="D27" s="40"/>
      <c r="E27" s="40"/>
      <c r="F27" s="40"/>
      <c r="G27" s="502">
        <f>+SUM(G11,G20:G26)</f>
        <v>447.59300000000002</v>
      </c>
      <c r="H27" s="41"/>
      <c r="I27" s="526"/>
      <c r="J27" s="40"/>
      <c r="K27" s="40"/>
      <c r="L27" s="40"/>
      <c r="M27" s="502">
        <f>+SUM(M11,M20:M26)</f>
        <v>413.05300000000005</v>
      </c>
      <c r="N27" s="41"/>
      <c r="O27" s="526"/>
      <c r="P27" s="40"/>
      <c r="Q27" s="40"/>
      <c r="R27" s="40"/>
      <c r="S27" s="502">
        <f>+SUM(S11,S20:S26)</f>
        <v>266.93299999999999</v>
      </c>
      <c r="T27" s="41"/>
      <c r="U27" s="526"/>
      <c r="V27" s="40"/>
      <c r="W27" s="40"/>
      <c r="X27" s="40"/>
      <c r="Y27" s="502">
        <f>+SUM(Y11,Y20:Y26)</f>
        <v>399.79599999999999</v>
      </c>
      <c r="Z27" s="41"/>
      <c r="AA27" s="526"/>
      <c r="AB27" s="40"/>
      <c r="AC27" s="40"/>
      <c r="AD27" s="40"/>
      <c r="AE27" s="502">
        <f>+SUM(AE11,AE20:AE26)</f>
        <v>386.34300000000002</v>
      </c>
      <c r="AF27" s="41"/>
      <c r="AG27" s="526"/>
      <c r="AH27" s="40"/>
      <c r="AI27" s="40"/>
      <c r="AJ27" s="40"/>
      <c r="AK27" s="502">
        <f>+SUM(AK11,AK20:AK26)</f>
        <v>506.11299999999994</v>
      </c>
      <c r="AL27" s="41"/>
      <c r="AM27" s="526"/>
      <c r="AN27" s="40"/>
      <c r="AO27" s="40"/>
      <c r="AP27" s="40"/>
      <c r="AQ27" s="502">
        <f>+SUM(AQ11,AQ20:AQ26)</f>
        <v>455.67399999999998</v>
      </c>
      <c r="AR27" s="41"/>
      <c r="AS27" s="526">
        <f>+SUM(AS11,AS20:AS26)</f>
        <v>647.67100000000005</v>
      </c>
      <c r="AT27" s="40">
        <f>+SUM(AT11,AT20:AT26)</f>
        <v>672.21100000000001</v>
      </c>
      <c r="AU27" s="40">
        <f>+SUM(AU11,AU20:AU26)</f>
        <v>636.58800000000008</v>
      </c>
      <c r="AV27" s="40">
        <f>+SUM(AV11,AV20:AV26)</f>
        <v>548.59100000000001</v>
      </c>
      <c r="AW27" s="502">
        <f>+SUM(AW11,AW20:AW26)</f>
        <v>548.59100000000001</v>
      </c>
      <c r="AX27" s="41"/>
      <c r="AY27" s="526">
        <f>+SUM(AY11,AY20:AY26)</f>
        <v>668.30399999999997</v>
      </c>
      <c r="AZ27" s="40">
        <f>+SUM(AZ11,AZ20:AZ26)</f>
        <v>603.23900000000003</v>
      </c>
      <c r="BA27" s="40">
        <f>+SUM(BA11,BA20:BA26)</f>
        <v>611.56200000000001</v>
      </c>
      <c r="BB27" s="40">
        <f>+SUM(BB11,BB20:BB26)</f>
        <v>481.08300000000003</v>
      </c>
      <c r="BC27" s="502">
        <f>+SUM(BC11,BC20:BC26)</f>
        <v>481.08300000000003</v>
      </c>
      <c r="BD27" s="41"/>
      <c r="BE27" s="526">
        <f>+SUM(BE11,BE20:BE26)</f>
        <v>683.61599999999999</v>
      </c>
      <c r="BF27" s="40">
        <f>+SUM(BF11,BF20:BF26)</f>
        <v>717.24099999999999</v>
      </c>
      <c r="BG27" s="40">
        <f>+SUM(BG11,BG20:BG26)</f>
        <v>735.48399999999992</v>
      </c>
      <c r="BH27" s="40">
        <f>+SUM(BH11,BH20:BH26)</f>
        <v>781.38</v>
      </c>
      <c r="BI27" s="502">
        <f>+SUM(BI11,BI20:BI26)</f>
        <v>781.38</v>
      </c>
      <c r="BJ27" s="41"/>
      <c r="BK27" s="526">
        <f>+SUM(BK11,BK20:BK26)</f>
        <v>727.02599999999984</v>
      </c>
      <c r="BL27" s="40">
        <f>+SUM(BL11,BL20:BL26)</f>
        <v>824.86599999999999</v>
      </c>
      <c r="BM27" s="40">
        <f>+SUM(BM11,BM20:BM26)</f>
        <v>924.83899999999994</v>
      </c>
      <c r="BN27" s="40">
        <f>+SUM(BN11,BN20:BN26)</f>
        <v>924.41499999999996</v>
      </c>
      <c r="BO27" s="502">
        <f>+SUM(BO11,BO20:BO26)</f>
        <v>924.41499999999996</v>
      </c>
      <c r="BP27" s="41"/>
      <c r="BQ27" s="526">
        <f>+SUM(BQ11,BQ20:BQ26)</f>
        <v>924.41499999999996</v>
      </c>
      <c r="BR27" s="40">
        <f>+SUM(BR11,BR20:BR26)</f>
        <v>924.41499999999996</v>
      </c>
      <c r="BS27" s="40">
        <f>+SUM(BS11,BS20:BS26)</f>
        <v>924.41499999999996</v>
      </c>
      <c r="BT27" s="40">
        <f>+SUM(BT11,BT20:BT26)</f>
        <v>924.41499999999996</v>
      </c>
      <c r="BU27" s="502">
        <f>+SUM(BU11,BU20:BU26)</f>
        <v>924.41499999999996</v>
      </c>
      <c r="BV27" s="41"/>
      <c r="BW27" s="526">
        <f>+SUM(BW11,BW20:BW26)</f>
        <v>924.41499999999996</v>
      </c>
      <c r="BX27" s="40">
        <f>+SUM(BX11,BX20:BX26)</f>
        <v>924.41499999999996</v>
      </c>
      <c r="BY27" s="40">
        <f>+SUM(BY11,BY20:BY26)</f>
        <v>924.41499999999996</v>
      </c>
      <c r="BZ27" s="40">
        <f>+SUM(BZ11,BZ20:BZ26)</f>
        <v>924.41499999999996</v>
      </c>
      <c r="CA27" s="502">
        <f>+SUM(CA11,CA20:CA26)</f>
        <v>924.41499999999996</v>
      </c>
      <c r="CB27" s="41"/>
      <c r="CC27" s="526">
        <f>+SUM(CC11,CC20:CC26)</f>
        <v>924.41499999999996</v>
      </c>
      <c r="CD27" s="40">
        <f>+SUM(CD11,CD20:CD26)</f>
        <v>924.41499999999996</v>
      </c>
      <c r="CE27" s="40">
        <f>+SUM(CE11,CE20:CE26)</f>
        <v>824.41500000000008</v>
      </c>
      <c r="CF27" s="40">
        <f>+SUM(CF11,CF20:CF26)</f>
        <v>824.41500000000008</v>
      </c>
      <c r="CG27" s="502">
        <f>+SUM(CG11,CG20:CG26)</f>
        <v>824.41500000000008</v>
      </c>
    </row>
    <row r="28" spans="2:85" s="7" customFormat="1" ht="11.25" customHeight="1" x14ac:dyDescent="0.2">
      <c r="B28" s="491" t="s">
        <v>325</v>
      </c>
      <c r="C28" s="238"/>
      <c r="D28" s="204"/>
      <c r="E28" s="204"/>
      <c r="F28" s="204"/>
      <c r="G28" s="387">
        <v>-24.318999999999999</v>
      </c>
      <c r="H28" s="38"/>
      <c r="I28" s="238"/>
      <c r="J28" s="204"/>
      <c r="K28" s="204"/>
      <c r="L28" s="204"/>
      <c r="M28" s="387">
        <v>-156.405</v>
      </c>
      <c r="N28" s="38"/>
      <c r="O28" s="238"/>
      <c r="P28" s="204"/>
      <c r="Q28" s="204"/>
      <c r="R28" s="204"/>
      <c r="S28" s="387">
        <v>-23.56</v>
      </c>
      <c r="T28" s="38"/>
      <c r="U28" s="238"/>
      <c r="V28" s="204"/>
      <c r="W28" s="204"/>
      <c r="X28" s="204"/>
      <c r="Y28" s="387">
        <v>-4.4870000000000001</v>
      </c>
      <c r="Z28" s="38"/>
      <c r="AA28" s="238"/>
      <c r="AB28" s="204"/>
      <c r="AC28" s="204"/>
      <c r="AD28" s="204"/>
      <c r="AE28" s="387">
        <v>-22.818999999999999</v>
      </c>
      <c r="AF28" s="38"/>
      <c r="AG28" s="238"/>
      <c r="AH28" s="204"/>
      <c r="AI28" s="204"/>
      <c r="AJ28" s="204"/>
      <c r="AK28" s="387">
        <v>-17.992000000000001</v>
      </c>
      <c r="AL28" s="38"/>
      <c r="AM28" s="238"/>
      <c r="AN28" s="204"/>
      <c r="AO28" s="204"/>
      <c r="AP28" s="204"/>
      <c r="AQ28" s="387">
        <v>-5.4409999999999998</v>
      </c>
      <c r="AR28" s="38"/>
      <c r="AS28" s="238">
        <v>-105.98399999999999</v>
      </c>
      <c r="AT28" s="204">
        <v>-6.3019999999999996</v>
      </c>
      <c r="AU28" s="204">
        <v>-5.782</v>
      </c>
      <c r="AV28" s="204">
        <v>-5.8150000000000004</v>
      </c>
      <c r="AW28" s="387">
        <f>+AV28</f>
        <v>-5.8150000000000004</v>
      </c>
      <c r="AX28" s="38"/>
      <c r="AY28" s="238">
        <v>-14.586</v>
      </c>
      <c r="AZ28" s="204">
        <v>-14.715999999999999</v>
      </c>
      <c r="BA28" s="204">
        <v>-14.456</v>
      </c>
      <c r="BB28" s="204">
        <v>-17.331</v>
      </c>
      <c r="BC28" s="387">
        <f>+BB28</f>
        <v>-17.331</v>
      </c>
      <c r="BD28" s="38"/>
      <c r="BE28" s="238">
        <v>-17.332999999999998</v>
      </c>
      <c r="BF28" s="204">
        <v>-17.189</v>
      </c>
      <c r="BG28" s="204">
        <v>-17.46</v>
      </c>
      <c r="BH28" s="204">
        <v>-65.923000000000002</v>
      </c>
      <c r="BI28" s="388">
        <f t="shared" si="13"/>
        <v>-65.923000000000002</v>
      </c>
      <c r="BJ28" s="38"/>
      <c r="BK28" s="238">
        <v>-18.603999999999999</v>
      </c>
      <c r="BL28" s="204">
        <v>-17.241</v>
      </c>
      <c r="BM28" s="204">
        <v>-17.247</v>
      </c>
      <c r="BN28" s="204">
        <f>-BN8</f>
        <v>-16.658999999999999</v>
      </c>
      <c r="BO28" s="388">
        <f t="shared" si="14"/>
        <v>-16.658999999999999</v>
      </c>
      <c r="BP28" s="38"/>
      <c r="BQ28" s="237">
        <f>-BQ8</f>
        <v>-16.658999999999999</v>
      </c>
      <c r="BR28" s="39">
        <f>-BR8</f>
        <v>-16.658999999999999</v>
      </c>
      <c r="BS28" s="39">
        <f>-BS8</f>
        <v>-16.658999999999999</v>
      </c>
      <c r="BT28" s="39">
        <f>-BT8</f>
        <v>-16.658999999999999</v>
      </c>
      <c r="BU28" s="388">
        <f t="shared" si="17"/>
        <v>-16.658999999999999</v>
      </c>
      <c r="BV28" s="38"/>
      <c r="BW28" s="237">
        <f>-BW8</f>
        <v>-16.658999999999999</v>
      </c>
      <c r="BX28" s="39">
        <f>-BX8</f>
        <v>-16.658999999999999</v>
      </c>
      <c r="BY28" s="39">
        <f>-BY8</f>
        <v>-16.658999999999999</v>
      </c>
      <c r="BZ28" s="39">
        <f>-BZ8</f>
        <v>-16.658999999999999</v>
      </c>
      <c r="CA28" s="388">
        <f t="shared" si="20"/>
        <v>-16.658999999999999</v>
      </c>
      <c r="CB28" s="38"/>
      <c r="CC28" s="237">
        <f>-CC8</f>
        <v>-16.658999999999999</v>
      </c>
      <c r="CD28" s="39">
        <f>-CD8</f>
        <v>-16.658999999999999</v>
      </c>
      <c r="CE28" s="39">
        <f>-CE8</f>
        <v>-16.658999999999999</v>
      </c>
      <c r="CF28" s="39">
        <f>-CF8</f>
        <v>-16.658999999999999</v>
      </c>
      <c r="CG28" s="388">
        <f t="shared" si="23"/>
        <v>-16.658999999999999</v>
      </c>
    </row>
    <row r="29" spans="2:85" s="7" customFormat="1" ht="11.25" customHeight="1" x14ac:dyDescent="0.2">
      <c r="B29" s="495" t="s">
        <v>319</v>
      </c>
      <c r="C29" s="526"/>
      <c r="D29" s="40"/>
      <c r="E29" s="40"/>
      <c r="F29" s="40"/>
      <c r="G29" s="502">
        <f>+G27+G28</f>
        <v>423.274</v>
      </c>
      <c r="H29" s="41"/>
      <c r="I29" s="526"/>
      <c r="J29" s="40"/>
      <c r="K29" s="40"/>
      <c r="L29" s="40"/>
      <c r="M29" s="502">
        <f>+M27+M28</f>
        <v>256.64800000000002</v>
      </c>
      <c r="N29" s="41"/>
      <c r="O29" s="526"/>
      <c r="P29" s="40"/>
      <c r="Q29" s="40"/>
      <c r="R29" s="40"/>
      <c r="S29" s="502">
        <f>+S27+S28</f>
        <v>243.37299999999999</v>
      </c>
      <c r="T29" s="41"/>
      <c r="U29" s="526"/>
      <c r="V29" s="40"/>
      <c r="W29" s="40"/>
      <c r="X29" s="40"/>
      <c r="Y29" s="502">
        <f>+Y27+Y28</f>
        <v>395.30899999999997</v>
      </c>
      <c r="Z29" s="41"/>
      <c r="AA29" s="526"/>
      <c r="AB29" s="40"/>
      <c r="AC29" s="40"/>
      <c r="AD29" s="40"/>
      <c r="AE29" s="502">
        <f>+AE27+AE28</f>
        <v>363.524</v>
      </c>
      <c r="AF29" s="41"/>
      <c r="AG29" s="526"/>
      <c r="AH29" s="40"/>
      <c r="AI29" s="40"/>
      <c r="AJ29" s="40"/>
      <c r="AK29" s="502">
        <f>+AK27+AK28</f>
        <v>488.12099999999992</v>
      </c>
      <c r="AL29" s="41"/>
      <c r="AM29" s="526"/>
      <c r="AN29" s="40"/>
      <c r="AO29" s="40"/>
      <c r="AP29" s="40"/>
      <c r="AQ29" s="502">
        <f>+AQ27+AQ28</f>
        <v>450.233</v>
      </c>
      <c r="AR29" s="41"/>
      <c r="AS29" s="526">
        <f>+AS27+AS28</f>
        <v>541.68700000000001</v>
      </c>
      <c r="AT29" s="40">
        <f>+AT27+AT28</f>
        <v>665.90899999999999</v>
      </c>
      <c r="AU29" s="40">
        <f>+AU27+AU28</f>
        <v>630.80600000000004</v>
      </c>
      <c r="AV29" s="40">
        <f>+AV27+AV28</f>
        <v>542.77599999999995</v>
      </c>
      <c r="AW29" s="502">
        <f>+AW27+AW28</f>
        <v>542.77599999999995</v>
      </c>
      <c r="AX29" s="41"/>
      <c r="AY29" s="526">
        <f>+AY27+AY28</f>
        <v>653.71799999999996</v>
      </c>
      <c r="AZ29" s="40">
        <f>+AZ27+AZ28</f>
        <v>588.52300000000002</v>
      </c>
      <c r="BA29" s="40">
        <f>+BA27+BA28</f>
        <v>597.10599999999999</v>
      </c>
      <c r="BB29" s="40">
        <f>+BB27+BB28</f>
        <v>463.75200000000001</v>
      </c>
      <c r="BC29" s="502">
        <f>+BC27+BC28</f>
        <v>463.75200000000001</v>
      </c>
      <c r="BD29" s="41"/>
      <c r="BE29" s="526">
        <f>+BE27+BE28</f>
        <v>666.28300000000002</v>
      </c>
      <c r="BF29" s="40">
        <f>+BF27+BF28</f>
        <v>700.05200000000002</v>
      </c>
      <c r="BG29" s="40">
        <f>+BG27+BG28</f>
        <v>718.02399999999989</v>
      </c>
      <c r="BH29" s="40">
        <f>+BH27+BH28</f>
        <v>715.45699999999999</v>
      </c>
      <c r="BI29" s="502">
        <f>+BI27+BI28</f>
        <v>715.45699999999999</v>
      </c>
      <c r="BJ29" s="41"/>
      <c r="BK29" s="526">
        <f>+BK27+BK28</f>
        <v>708.4219999999998</v>
      </c>
      <c r="BL29" s="40">
        <f>+BL27+BL28</f>
        <v>807.625</v>
      </c>
      <c r="BM29" s="40">
        <f>+BM27+BM28</f>
        <v>907.59199999999998</v>
      </c>
      <c r="BN29" s="40">
        <f>+BN27+BN28</f>
        <v>907.75599999999997</v>
      </c>
      <c r="BO29" s="502">
        <f>+BO27+BO28</f>
        <v>907.75599999999997</v>
      </c>
      <c r="BP29" s="41"/>
      <c r="BQ29" s="526">
        <f>+BQ27+BQ28</f>
        <v>907.75599999999997</v>
      </c>
      <c r="BR29" s="40">
        <f>+BR27+BR28</f>
        <v>907.75599999999997</v>
      </c>
      <c r="BS29" s="40">
        <f>+BS27+BS28</f>
        <v>907.75599999999997</v>
      </c>
      <c r="BT29" s="40">
        <f>+BT27+BT28</f>
        <v>907.75599999999997</v>
      </c>
      <c r="BU29" s="502">
        <f>+BU27+BU28</f>
        <v>907.75599999999997</v>
      </c>
      <c r="BV29" s="41"/>
      <c r="BW29" s="526">
        <f>+BW27+BW28</f>
        <v>907.75599999999997</v>
      </c>
      <c r="BX29" s="40">
        <f>+BX27+BX28</f>
        <v>907.75599999999997</v>
      </c>
      <c r="BY29" s="40">
        <f>+BY27+BY28</f>
        <v>907.75599999999997</v>
      </c>
      <c r="BZ29" s="40">
        <f>+BZ27+BZ28</f>
        <v>907.75599999999997</v>
      </c>
      <c r="CA29" s="502">
        <f>+CA27+CA28</f>
        <v>907.75599999999997</v>
      </c>
      <c r="CB29" s="41"/>
      <c r="CC29" s="526">
        <f>+CC27+CC28</f>
        <v>907.75599999999997</v>
      </c>
      <c r="CD29" s="40">
        <f>+CD27+CD28</f>
        <v>907.75599999999997</v>
      </c>
      <c r="CE29" s="40">
        <f>+CE27+CE28</f>
        <v>807.75600000000009</v>
      </c>
      <c r="CF29" s="40">
        <f>+CF27+CF28</f>
        <v>807.75600000000009</v>
      </c>
      <c r="CG29" s="502">
        <f>+CG27+CG28</f>
        <v>807.75600000000009</v>
      </c>
    </row>
    <row r="30" spans="2:85" s="7" customFormat="1" ht="11.25" customHeight="1" x14ac:dyDescent="0.2">
      <c r="B30" s="491"/>
      <c r="C30" s="237"/>
      <c r="D30" s="39"/>
      <c r="E30" s="39"/>
      <c r="F30" s="39"/>
      <c r="G30" s="388"/>
      <c r="H30" s="38"/>
      <c r="I30" s="237"/>
      <c r="J30" s="39"/>
      <c r="K30" s="39"/>
      <c r="L30" s="39"/>
      <c r="M30" s="388"/>
      <c r="N30" s="38"/>
      <c r="O30" s="237"/>
      <c r="P30" s="39"/>
      <c r="Q30" s="39"/>
      <c r="R30" s="39"/>
      <c r="S30" s="388"/>
      <c r="T30" s="38"/>
      <c r="U30" s="237"/>
      <c r="V30" s="39"/>
      <c r="W30" s="39"/>
      <c r="X30" s="39"/>
      <c r="Y30" s="388"/>
      <c r="Z30" s="38"/>
      <c r="AA30" s="237"/>
      <c r="AB30" s="39"/>
      <c r="AC30" s="39"/>
      <c r="AD30" s="39"/>
      <c r="AE30" s="388"/>
      <c r="AF30" s="38"/>
      <c r="AG30" s="237"/>
      <c r="AH30" s="39"/>
      <c r="AI30" s="39"/>
      <c r="AJ30" s="39"/>
      <c r="AK30" s="388"/>
      <c r="AL30" s="38"/>
      <c r="AM30" s="237"/>
      <c r="AN30" s="39"/>
      <c r="AO30" s="39"/>
      <c r="AP30" s="39"/>
      <c r="AQ30" s="388"/>
      <c r="AR30" s="38"/>
      <c r="AS30" s="237"/>
      <c r="AT30" s="39"/>
      <c r="AU30" s="39"/>
      <c r="AV30" s="39"/>
      <c r="AW30" s="388"/>
      <c r="AX30" s="38"/>
      <c r="AY30" s="237"/>
      <c r="AZ30" s="39"/>
      <c r="BA30" s="39"/>
      <c r="BB30" s="39"/>
      <c r="BC30" s="388"/>
      <c r="BD30" s="38"/>
      <c r="BE30" s="237"/>
      <c r="BF30" s="39"/>
      <c r="BG30" s="39"/>
      <c r="BH30" s="39"/>
      <c r="BI30" s="388"/>
      <c r="BJ30" s="38"/>
      <c r="BK30" s="237"/>
      <c r="BL30" s="39"/>
      <c r="BM30" s="39"/>
      <c r="BN30" s="39"/>
      <c r="BO30" s="388"/>
      <c r="BP30" s="38"/>
      <c r="BQ30" s="237"/>
      <c r="BR30" s="39"/>
      <c r="BS30" s="39"/>
      <c r="BT30" s="39"/>
      <c r="BU30" s="388"/>
      <c r="BV30" s="38"/>
      <c r="BW30" s="237"/>
      <c r="BX30" s="39"/>
      <c r="BY30" s="39"/>
      <c r="BZ30" s="39"/>
      <c r="CA30" s="388"/>
      <c r="CB30" s="38"/>
      <c r="CC30" s="237"/>
      <c r="CD30" s="39"/>
      <c r="CE30" s="39"/>
      <c r="CF30" s="39"/>
      <c r="CG30" s="388"/>
    </row>
    <row r="31" spans="2:85" s="7" customFormat="1" ht="11.25" customHeight="1" thickBot="1" x14ac:dyDescent="0.25">
      <c r="B31" s="721" t="s">
        <v>46</v>
      </c>
      <c r="C31" s="725"/>
      <c r="D31" s="207"/>
      <c r="E31" s="207"/>
      <c r="F31" s="207"/>
      <c r="G31" s="730">
        <f>G6+G8+G29</f>
        <v>456.57</v>
      </c>
      <c r="H31" s="40"/>
      <c r="I31" s="725"/>
      <c r="J31" s="207"/>
      <c r="K31" s="207"/>
      <c r="L31" s="207"/>
      <c r="M31" s="730">
        <f>M6+M8+M29</f>
        <v>417.98900000000003</v>
      </c>
      <c r="N31" s="40"/>
      <c r="O31" s="725"/>
      <c r="P31" s="207"/>
      <c r="Q31" s="207"/>
      <c r="R31" s="207"/>
      <c r="S31" s="730">
        <f>S6+S8+S29</f>
        <v>267.86500000000001</v>
      </c>
      <c r="T31" s="40"/>
      <c r="U31" s="725"/>
      <c r="V31" s="207"/>
      <c r="W31" s="207"/>
      <c r="X31" s="207"/>
      <c r="Y31" s="730">
        <f>Y6+Y8+Y29</f>
        <v>441.30399999999997</v>
      </c>
      <c r="Z31" s="40"/>
      <c r="AA31" s="725"/>
      <c r="AB31" s="207"/>
      <c r="AC31" s="207"/>
      <c r="AD31" s="207"/>
      <c r="AE31" s="730">
        <f>AE6+AE8+AE29</f>
        <v>441.35699999999997</v>
      </c>
      <c r="AF31" s="40"/>
      <c r="AG31" s="725"/>
      <c r="AH31" s="207"/>
      <c r="AI31" s="207"/>
      <c r="AJ31" s="207"/>
      <c r="AK31" s="730">
        <f>AK6+AK8+AK29</f>
        <v>533.27899999999988</v>
      </c>
      <c r="AL31" s="40"/>
      <c r="AM31" s="725"/>
      <c r="AN31" s="207"/>
      <c r="AO31" s="207"/>
      <c r="AP31" s="207"/>
      <c r="AQ31" s="730">
        <f>AQ6+AQ8+AQ29</f>
        <v>485.18200000000002</v>
      </c>
      <c r="AR31" s="40"/>
      <c r="AS31" s="725">
        <f>AS6+AS8+AS29</f>
        <v>791.71299999999997</v>
      </c>
      <c r="AT31" s="207">
        <f>AT6+AT8+AT29</f>
        <v>755.88200000000006</v>
      </c>
      <c r="AU31" s="207">
        <f>AU6+AU8+AU29</f>
        <v>825.40300000000002</v>
      </c>
      <c r="AV31" s="207">
        <f>AV6+AV8+AV29</f>
        <v>731.49</v>
      </c>
      <c r="AW31" s="730">
        <f>AW6+AW8+AW29</f>
        <v>731.49</v>
      </c>
      <c r="AX31" s="40"/>
      <c r="AY31" s="725">
        <f>AY6+AY8+AY29</f>
        <v>831.37099999999998</v>
      </c>
      <c r="AZ31" s="207">
        <f>AZ6+AZ8+AZ29</f>
        <v>735.66700000000003</v>
      </c>
      <c r="BA31" s="207">
        <f>BA6+BA8+BA29</f>
        <v>798.44799999999998</v>
      </c>
      <c r="BB31" s="207">
        <f>BB6+BB8+BB29</f>
        <v>809.71399999999994</v>
      </c>
      <c r="BC31" s="730">
        <f>BC6+BC8+BC29</f>
        <v>809.71399999999994</v>
      </c>
      <c r="BD31" s="40"/>
      <c r="BE31" s="725">
        <f>BE6+BE8+BE29</f>
        <v>1107.646</v>
      </c>
      <c r="BF31" s="207">
        <f>BF6+BF8+BF29</f>
        <v>955.05</v>
      </c>
      <c r="BG31" s="207">
        <f>BG6+BG8+BG29</f>
        <v>1068.607</v>
      </c>
      <c r="BH31" s="207">
        <f>BH6+BH8+BH29</f>
        <v>1218.856</v>
      </c>
      <c r="BI31" s="730">
        <f>BI6+BI8+BI29</f>
        <v>1218.856</v>
      </c>
      <c r="BJ31" s="40"/>
      <c r="BK31" s="725">
        <f>BK6+BK8+BK29</f>
        <v>1398.75</v>
      </c>
      <c r="BL31" s="207">
        <f>BL6+BL8+BL29</f>
        <v>1402.3429999999998</v>
      </c>
      <c r="BM31" s="207">
        <f>BM6+BM8+BM29</f>
        <v>1556.704</v>
      </c>
      <c r="BN31" s="207">
        <f>BN6+BN8+BN29</f>
        <v>1666.068</v>
      </c>
      <c r="BO31" s="730">
        <f>BO6+BO8+BO29</f>
        <v>1666.068</v>
      </c>
      <c r="BP31" s="40"/>
      <c r="BQ31" s="725">
        <f>BQ6+BQ8+BQ29</f>
        <v>1666.068</v>
      </c>
      <c r="BR31" s="207">
        <f>BR6+BR8+BR29</f>
        <v>1666.068</v>
      </c>
      <c r="BS31" s="207">
        <f>BS6+BS8+BS29</f>
        <v>1666.068</v>
      </c>
      <c r="BT31" s="207">
        <f>BT6+BT8+BT29</f>
        <v>1666.068</v>
      </c>
      <c r="BU31" s="730">
        <f>BU6+BU8+BU29</f>
        <v>1666.068</v>
      </c>
      <c r="BV31" s="40"/>
      <c r="BW31" s="725">
        <f>BW6+BW8+BW29</f>
        <v>1666.068</v>
      </c>
      <c r="BX31" s="207">
        <f>BX6+BX8+BX29</f>
        <v>1666.068</v>
      </c>
      <c r="BY31" s="207">
        <f>BY6+BY8+BY29</f>
        <v>1666.068</v>
      </c>
      <c r="BZ31" s="207">
        <f>BZ6+BZ8+BZ29</f>
        <v>1666.068</v>
      </c>
      <c r="CA31" s="730">
        <f>CA6+CA8+CA29</f>
        <v>1666.068</v>
      </c>
      <c r="CB31" s="40"/>
      <c r="CC31" s="725">
        <f>CC6+CC8+CC29</f>
        <v>1666.068</v>
      </c>
      <c r="CD31" s="207">
        <f>CD6+CD8+CD29</f>
        <v>1666.068</v>
      </c>
      <c r="CE31" s="207">
        <f>CE6+CE8+CE29</f>
        <v>1566.0680000000002</v>
      </c>
      <c r="CF31" s="207">
        <f>CF6+CF8+CF29</f>
        <v>1566.0680000000002</v>
      </c>
      <c r="CG31" s="730">
        <f>CG6+CG8+CG29</f>
        <v>1566.0680000000002</v>
      </c>
    </row>
    <row r="32" spans="2:85" s="7" customFormat="1" ht="11.25" customHeight="1" thickTop="1" x14ac:dyDescent="0.2">
      <c r="B32" s="739"/>
      <c r="C32" s="609"/>
      <c r="D32" s="610"/>
      <c r="E32" s="610"/>
      <c r="F32" s="610"/>
      <c r="G32" s="615"/>
      <c r="H32" s="142"/>
      <c r="I32" s="609"/>
      <c r="J32" s="610"/>
      <c r="K32" s="610"/>
      <c r="L32" s="610"/>
      <c r="M32" s="615"/>
      <c r="N32" s="142"/>
      <c r="O32" s="609"/>
      <c r="P32" s="610"/>
      <c r="Q32" s="610"/>
      <c r="R32" s="610"/>
      <c r="S32" s="615"/>
      <c r="T32" s="142"/>
      <c r="U32" s="609"/>
      <c r="V32" s="610"/>
      <c r="W32" s="610"/>
      <c r="X32" s="610"/>
      <c r="Y32" s="615"/>
      <c r="Z32" s="142"/>
      <c r="AA32" s="609"/>
      <c r="AB32" s="610"/>
      <c r="AC32" s="610"/>
      <c r="AD32" s="610"/>
      <c r="AE32" s="615"/>
      <c r="AF32" s="142"/>
      <c r="AG32" s="609"/>
      <c r="AH32" s="610"/>
      <c r="AI32" s="610"/>
      <c r="AJ32" s="610"/>
      <c r="AK32" s="615"/>
      <c r="AL32" s="142"/>
      <c r="AM32" s="609"/>
      <c r="AN32" s="610"/>
      <c r="AO32" s="610"/>
      <c r="AP32" s="610"/>
      <c r="AQ32" s="615"/>
      <c r="AR32" s="142"/>
      <c r="AS32" s="609"/>
      <c r="AT32" s="610"/>
      <c r="AU32" s="610"/>
      <c r="AV32" s="610"/>
      <c r="AW32" s="615"/>
      <c r="AX32" s="142"/>
      <c r="AY32" s="609"/>
      <c r="AZ32" s="610"/>
      <c r="BA32" s="610"/>
      <c r="BB32" s="610"/>
      <c r="BC32" s="615"/>
      <c r="BD32" s="142"/>
      <c r="BE32" s="609"/>
      <c r="BF32" s="610"/>
      <c r="BG32" s="610"/>
      <c r="BH32" s="610"/>
      <c r="BI32" s="615"/>
      <c r="BJ32" s="142"/>
      <c r="BK32" s="609"/>
      <c r="BL32" s="610"/>
      <c r="BM32" s="610"/>
      <c r="BN32" s="610"/>
      <c r="BO32" s="615"/>
      <c r="BP32" s="142"/>
      <c r="BQ32" s="609"/>
      <c r="BR32" s="610"/>
      <c r="BS32" s="610"/>
      <c r="BT32" s="610"/>
      <c r="BU32" s="615"/>
      <c r="BV32" s="142"/>
      <c r="BW32" s="609"/>
      <c r="BX32" s="610"/>
      <c r="BY32" s="610"/>
      <c r="BZ32" s="610"/>
      <c r="CA32" s="615"/>
      <c r="CB32" s="142"/>
      <c r="CC32" s="609"/>
      <c r="CD32" s="610"/>
      <c r="CE32" s="610"/>
      <c r="CF32" s="610"/>
      <c r="CG32" s="615"/>
    </row>
    <row r="33" spans="2:85" s="7" customFormat="1" ht="11.25" customHeight="1" x14ac:dyDescent="0.2">
      <c r="B33" s="426" t="s">
        <v>204</v>
      </c>
      <c r="C33" s="530"/>
      <c r="D33" s="13"/>
      <c r="E33" s="13"/>
      <c r="F33" s="13"/>
      <c r="G33" s="460">
        <f>G8+G6</f>
        <v>33.295999999999999</v>
      </c>
      <c r="H33" s="16"/>
      <c r="I33" s="530"/>
      <c r="J33" s="13"/>
      <c r="K33" s="13"/>
      <c r="L33" s="13"/>
      <c r="M33" s="460">
        <f>M8+M6</f>
        <v>161.34100000000001</v>
      </c>
      <c r="N33" s="16"/>
      <c r="O33" s="530"/>
      <c r="P33" s="13"/>
      <c r="Q33" s="13"/>
      <c r="R33" s="13"/>
      <c r="S33" s="460">
        <f>S8+S6</f>
        <v>24.491999999999997</v>
      </c>
      <c r="T33" s="16"/>
      <c r="U33" s="530"/>
      <c r="V33" s="13"/>
      <c r="W33" s="13"/>
      <c r="X33" s="13"/>
      <c r="Y33" s="460">
        <f>Y8+Y6</f>
        <v>45.995000000000005</v>
      </c>
      <c r="Z33" s="16"/>
      <c r="AA33" s="530"/>
      <c r="AB33" s="13"/>
      <c r="AC33" s="13"/>
      <c r="AD33" s="13"/>
      <c r="AE33" s="460">
        <f>AE8+AE6</f>
        <v>77.832999999999998</v>
      </c>
      <c r="AF33" s="16"/>
      <c r="AG33" s="530"/>
      <c r="AH33" s="13"/>
      <c r="AI33" s="13"/>
      <c r="AJ33" s="13"/>
      <c r="AK33" s="460">
        <f>AK8+AK6</f>
        <v>45.158000000000001</v>
      </c>
      <c r="AL33" s="16"/>
      <c r="AM33" s="530"/>
      <c r="AN33" s="13"/>
      <c r="AO33" s="13"/>
      <c r="AP33" s="13"/>
      <c r="AQ33" s="460">
        <f>AQ8+AQ6</f>
        <v>34.948999999999998</v>
      </c>
      <c r="AR33" s="16"/>
      <c r="AS33" s="530">
        <f>AS8+AS6</f>
        <v>250.02600000000001</v>
      </c>
      <c r="AT33" s="13">
        <f>AT8+AT6</f>
        <v>89.973000000000013</v>
      </c>
      <c r="AU33" s="13">
        <f>AU8+AU6</f>
        <v>194.59700000000001</v>
      </c>
      <c r="AV33" s="13">
        <f>AV8+AV6</f>
        <v>188.714</v>
      </c>
      <c r="AW33" s="460">
        <f>AW8+AW6</f>
        <v>188.714</v>
      </c>
      <c r="AX33" s="16"/>
      <c r="AY33" s="530">
        <f>AY8+AY6</f>
        <v>177.65300000000002</v>
      </c>
      <c r="AZ33" s="13">
        <f>AZ8+AZ6</f>
        <v>147.14400000000001</v>
      </c>
      <c r="BA33" s="13">
        <f>BA8+BA6</f>
        <v>201.34199999999998</v>
      </c>
      <c r="BB33" s="13">
        <f>BB8+BB6</f>
        <v>345.96199999999999</v>
      </c>
      <c r="BC33" s="460">
        <f>BC8+BC6</f>
        <v>345.96199999999999</v>
      </c>
      <c r="BD33" s="16"/>
      <c r="BE33" s="530">
        <f>BE8+BE6</f>
        <v>441.36299999999994</v>
      </c>
      <c r="BF33" s="13">
        <f>BF8+BF6</f>
        <v>254.99799999999999</v>
      </c>
      <c r="BG33" s="13">
        <f>BG8+BG6</f>
        <v>350.58299999999997</v>
      </c>
      <c r="BH33" s="13">
        <f>BH8+BH6</f>
        <v>503.399</v>
      </c>
      <c r="BI33" s="460">
        <f>BI8+BI6</f>
        <v>503.399</v>
      </c>
      <c r="BJ33" s="16"/>
      <c r="BK33" s="530">
        <f>BK8+BK6</f>
        <v>690.32800000000009</v>
      </c>
      <c r="BL33" s="13">
        <f>BL8+BL6</f>
        <v>594.71799999999996</v>
      </c>
      <c r="BM33" s="13">
        <f>BM8+BM6</f>
        <v>649.11199999999997</v>
      </c>
      <c r="BN33" s="13">
        <f>BN8+BN6</f>
        <v>758.31200000000001</v>
      </c>
      <c r="BO33" s="460">
        <f>BO8+BO6</f>
        <v>758.31200000000001</v>
      </c>
      <c r="BP33" s="16"/>
      <c r="BQ33" s="530">
        <f>BQ8+BQ6</f>
        <v>758.31200000000001</v>
      </c>
      <c r="BR33" s="13">
        <f>BR8+BR6</f>
        <v>758.31200000000001</v>
      </c>
      <c r="BS33" s="13">
        <f>BS8+BS6</f>
        <v>758.31200000000001</v>
      </c>
      <c r="BT33" s="13">
        <f>BT8+BT6</f>
        <v>758.31200000000001</v>
      </c>
      <c r="BU33" s="460">
        <f>BU8+BU6</f>
        <v>758.31200000000001</v>
      </c>
      <c r="BV33" s="16"/>
      <c r="BW33" s="530">
        <f>BW8+BW6</f>
        <v>758.31200000000001</v>
      </c>
      <c r="BX33" s="13">
        <f>BX8+BX6</f>
        <v>758.31200000000001</v>
      </c>
      <c r="BY33" s="13">
        <f>BY8+BY6</f>
        <v>758.31200000000001</v>
      </c>
      <c r="BZ33" s="13">
        <f>BZ8+BZ6</f>
        <v>758.31200000000001</v>
      </c>
      <c r="CA33" s="460">
        <f>CA8+CA6</f>
        <v>758.31200000000001</v>
      </c>
      <c r="CB33" s="16"/>
      <c r="CC33" s="530">
        <f>CC8+CC6</f>
        <v>758.31200000000001</v>
      </c>
      <c r="CD33" s="13">
        <f>CD8+CD6</f>
        <v>758.31200000000001</v>
      </c>
      <c r="CE33" s="13">
        <f>CE8+CE6</f>
        <v>758.31200000000001</v>
      </c>
      <c r="CF33" s="13">
        <f>CF8+CF6</f>
        <v>758.31200000000001</v>
      </c>
      <c r="CG33" s="460">
        <f>CG8+CG6</f>
        <v>758.31200000000001</v>
      </c>
    </row>
    <row r="34" spans="2:85" s="7" customFormat="1" ht="11.25" customHeight="1" x14ac:dyDescent="0.2">
      <c r="B34" s="427" t="s">
        <v>205</v>
      </c>
      <c r="C34" s="561"/>
      <c r="D34" s="80"/>
      <c r="E34" s="80"/>
      <c r="F34" s="80"/>
      <c r="G34" s="562">
        <f>G31-G33</f>
        <v>423.274</v>
      </c>
      <c r="H34" s="16"/>
      <c r="I34" s="561"/>
      <c r="J34" s="80"/>
      <c r="K34" s="80"/>
      <c r="L34" s="80"/>
      <c r="M34" s="562">
        <f>M31-M33</f>
        <v>256.64800000000002</v>
      </c>
      <c r="N34" s="16"/>
      <c r="O34" s="561"/>
      <c r="P34" s="80"/>
      <c r="Q34" s="80"/>
      <c r="R34" s="80"/>
      <c r="S34" s="562">
        <f>S31-S33</f>
        <v>243.37300000000002</v>
      </c>
      <c r="T34" s="16"/>
      <c r="U34" s="561"/>
      <c r="V34" s="80"/>
      <c r="W34" s="80"/>
      <c r="X34" s="80"/>
      <c r="Y34" s="562">
        <f>Y31-Y33</f>
        <v>395.30899999999997</v>
      </c>
      <c r="Z34" s="16"/>
      <c r="AA34" s="561"/>
      <c r="AB34" s="80"/>
      <c r="AC34" s="80"/>
      <c r="AD34" s="80"/>
      <c r="AE34" s="562">
        <f>AE31-AE33</f>
        <v>363.524</v>
      </c>
      <c r="AF34" s="16"/>
      <c r="AG34" s="561"/>
      <c r="AH34" s="80"/>
      <c r="AI34" s="80"/>
      <c r="AJ34" s="80"/>
      <c r="AK34" s="562">
        <f>AK31-AK33</f>
        <v>488.12099999999987</v>
      </c>
      <c r="AL34" s="16"/>
      <c r="AM34" s="561"/>
      <c r="AN34" s="80"/>
      <c r="AO34" s="80"/>
      <c r="AP34" s="80"/>
      <c r="AQ34" s="562">
        <f>AQ31-AQ33</f>
        <v>450.233</v>
      </c>
      <c r="AR34" s="16"/>
      <c r="AS34" s="561">
        <f>AS31-AS33</f>
        <v>541.6869999999999</v>
      </c>
      <c r="AT34" s="80">
        <f>AT31-AT33</f>
        <v>665.90900000000011</v>
      </c>
      <c r="AU34" s="80">
        <f>AU31-AU33</f>
        <v>630.80600000000004</v>
      </c>
      <c r="AV34" s="80">
        <f>AV31-AV33</f>
        <v>542.77600000000007</v>
      </c>
      <c r="AW34" s="562">
        <f>AW31-AW33</f>
        <v>542.77600000000007</v>
      </c>
      <c r="AX34" s="16"/>
      <c r="AY34" s="561">
        <f>AY31-AY33</f>
        <v>653.71799999999996</v>
      </c>
      <c r="AZ34" s="80">
        <f>AZ31-AZ33</f>
        <v>588.52300000000002</v>
      </c>
      <c r="BA34" s="80">
        <f>BA31-BA33</f>
        <v>597.10599999999999</v>
      </c>
      <c r="BB34" s="80">
        <f>BB31-BB33</f>
        <v>463.75199999999995</v>
      </c>
      <c r="BC34" s="562">
        <f>BC31-BC33</f>
        <v>463.75199999999995</v>
      </c>
      <c r="BD34" s="16"/>
      <c r="BE34" s="561">
        <f>BE31-BE33</f>
        <v>666.28300000000002</v>
      </c>
      <c r="BF34" s="80">
        <f>BF31-BF33</f>
        <v>700.05199999999991</v>
      </c>
      <c r="BG34" s="80">
        <f>BG31-BG33</f>
        <v>718.024</v>
      </c>
      <c r="BH34" s="80">
        <f>BH31-BH33</f>
        <v>715.45699999999999</v>
      </c>
      <c r="BI34" s="562">
        <f>BI31-BI33</f>
        <v>715.45699999999999</v>
      </c>
      <c r="BJ34" s="16"/>
      <c r="BK34" s="561">
        <f>BK31-BK33</f>
        <v>708.42199999999991</v>
      </c>
      <c r="BL34" s="80">
        <f>BL31-BL33</f>
        <v>807.62499999999989</v>
      </c>
      <c r="BM34" s="80">
        <f>BM31-BM33</f>
        <v>907.59199999999998</v>
      </c>
      <c r="BN34" s="80">
        <f>BN31-BN33</f>
        <v>907.75599999999997</v>
      </c>
      <c r="BO34" s="562">
        <f>BO31-BO33</f>
        <v>907.75599999999997</v>
      </c>
      <c r="BP34" s="16"/>
      <c r="BQ34" s="561">
        <f>BQ31-BQ33</f>
        <v>907.75599999999997</v>
      </c>
      <c r="BR34" s="80">
        <f>BR31-BR33</f>
        <v>907.75599999999997</v>
      </c>
      <c r="BS34" s="80">
        <f>BS31-BS33</f>
        <v>907.75599999999997</v>
      </c>
      <c r="BT34" s="80">
        <f>BT31-BT33</f>
        <v>907.75599999999997</v>
      </c>
      <c r="BU34" s="562">
        <f>BU31-BU33</f>
        <v>907.75599999999997</v>
      </c>
      <c r="BV34" s="16"/>
      <c r="BW34" s="561">
        <f>BW31-BW33</f>
        <v>907.75599999999997</v>
      </c>
      <c r="BX34" s="80">
        <f>BX31-BX33</f>
        <v>907.75599999999997</v>
      </c>
      <c r="BY34" s="80">
        <f>BY31-BY33</f>
        <v>907.75599999999997</v>
      </c>
      <c r="BZ34" s="80">
        <f>BZ31-BZ33</f>
        <v>907.75599999999997</v>
      </c>
      <c r="CA34" s="562">
        <f>CA31-CA33</f>
        <v>907.75599999999997</v>
      </c>
      <c r="CB34" s="16"/>
      <c r="CC34" s="561">
        <f>CC31-CC33</f>
        <v>907.75599999999997</v>
      </c>
      <c r="CD34" s="80">
        <f>CD31-CD33</f>
        <v>907.75599999999997</v>
      </c>
      <c r="CE34" s="80">
        <f>CE31-CE33</f>
        <v>807.7560000000002</v>
      </c>
      <c r="CF34" s="80">
        <f>CF31-CF33</f>
        <v>807.7560000000002</v>
      </c>
      <c r="CG34" s="562">
        <f>CG31-CG33</f>
        <v>807.7560000000002</v>
      </c>
    </row>
    <row r="35" spans="2:85" s="7" customFormat="1" ht="11.25" customHeight="1" outlineLevel="1" x14ac:dyDescent="0.2">
      <c r="B35" s="208" t="s">
        <v>44</v>
      </c>
      <c r="C35" s="209"/>
      <c r="D35" s="209"/>
      <c r="E35" s="209"/>
      <c r="F35" s="209"/>
      <c r="G35" s="209">
        <f>+'BalSht '!G24+'BalSht '!G25+'BalSht '!G29-Debt!G31</f>
        <v>0</v>
      </c>
      <c r="H35" s="209"/>
      <c r="I35" s="209"/>
      <c r="J35" s="209"/>
      <c r="K35" s="209"/>
      <c r="L35" s="209"/>
      <c r="M35" s="209">
        <f>+'BalSht '!M24+'BalSht '!M25+'BalSht '!M29-Debt!M31</f>
        <v>0</v>
      </c>
      <c r="N35" s="209"/>
      <c r="O35" s="209"/>
      <c r="P35" s="209"/>
      <c r="Q35" s="209"/>
      <c r="R35" s="209"/>
      <c r="S35" s="209">
        <f>+'BalSht '!S24+'BalSht '!S25+'BalSht '!S29-Debt!S31</f>
        <v>0</v>
      </c>
      <c r="T35" s="209"/>
      <c r="U35" s="209"/>
      <c r="V35" s="209"/>
      <c r="W35" s="209"/>
      <c r="X35" s="209"/>
      <c r="Y35" s="209">
        <f>+'BalSht '!Y24+'BalSht '!Y25+'BalSht '!Y29-Debt!Y31</f>
        <v>0</v>
      </c>
      <c r="Z35" s="209"/>
      <c r="AA35" s="209"/>
      <c r="AB35" s="209"/>
      <c r="AC35" s="209"/>
      <c r="AD35" s="209"/>
      <c r="AE35" s="209">
        <f>+'BalSht '!AE24+'BalSht '!AE25+'BalSht '!AE29-Debt!AE31</f>
        <v>0</v>
      </c>
      <c r="AF35" s="209"/>
      <c r="AG35" s="209"/>
      <c r="AH35" s="209"/>
      <c r="AI35" s="209"/>
      <c r="AJ35" s="209"/>
      <c r="AK35" s="209">
        <f>+'BalSht '!AK24+'BalSht '!AK25+'BalSht '!AK29-Debt!AK31</f>
        <v>0</v>
      </c>
      <c r="AL35" s="209"/>
      <c r="AM35" s="209"/>
      <c r="AN35" s="209"/>
      <c r="AO35" s="209"/>
      <c r="AP35" s="209"/>
      <c r="AQ35" s="209">
        <f>+'BalSht '!AQ24+'BalSht '!AQ25+'BalSht '!AQ29-Debt!AQ31</f>
        <v>0</v>
      </c>
      <c r="AR35" s="209"/>
      <c r="AS35" s="209">
        <f>+'BalSht '!AS24+'BalSht '!AS25+'BalSht '!AS29-Debt!AS31</f>
        <v>0</v>
      </c>
      <c r="AT35" s="209">
        <f>+'BalSht '!AT24+'BalSht '!AT25+'BalSht '!AT29-Debt!AT31</f>
        <v>0</v>
      </c>
      <c r="AU35" s="209">
        <f>+'BalSht '!AU24+'BalSht '!AU25+'BalSht '!AU29-Debt!AU31</f>
        <v>0</v>
      </c>
      <c r="AV35" s="209">
        <f>+'BalSht '!AV24+'BalSht '!AV25+'BalSht '!AV29-Debt!AV31</f>
        <v>0</v>
      </c>
      <c r="AW35" s="209">
        <f>+'BalSht '!AW24+'BalSht '!AW25+'BalSht '!AW29-Debt!AW31</f>
        <v>0</v>
      </c>
      <c r="AX35" s="209"/>
      <c r="AY35" s="209">
        <f>+'BalSht '!AY24+'BalSht '!AY25+'BalSht '!AY29-Debt!AY31</f>
        <v>0</v>
      </c>
      <c r="AZ35" s="209">
        <f>+'BalSht '!AZ24+'BalSht '!AZ25+'BalSht '!AZ29-Debt!AZ31</f>
        <v>0</v>
      </c>
      <c r="BA35" s="209">
        <f>+'BalSht '!BA24+'BalSht '!BA25+'BalSht '!BA29-Debt!BA31</f>
        <v>0</v>
      </c>
      <c r="BB35" s="209">
        <f>+'BalSht '!BB24+'BalSht '!BB25+'BalSht '!BB29-Debt!BB31</f>
        <v>0</v>
      </c>
      <c r="BC35" s="209">
        <f>+'BalSht '!BC24+'BalSht '!BC25+'BalSht '!BC29-Debt!BC31</f>
        <v>0</v>
      </c>
      <c r="BD35" s="209"/>
      <c r="BE35" s="209">
        <f>+'BalSht '!BE24+'BalSht '!BE25+'BalSht '!BE29-Debt!BE31</f>
        <v>0</v>
      </c>
      <c r="BF35" s="209">
        <f>+'BalSht '!BF24+'BalSht '!BF25+'BalSht '!BF29-Debt!BF31</f>
        <v>0</v>
      </c>
      <c r="BG35" s="209">
        <f>+'BalSht '!BG24+'BalSht '!BG25+'BalSht '!BG29-Debt!BG31</f>
        <v>0</v>
      </c>
      <c r="BH35" s="209">
        <f>+'BalSht '!BH24+'BalSht '!BH25+'BalSht '!BH29-Debt!BH31</f>
        <v>0</v>
      </c>
      <c r="BI35" s="209">
        <f>+'BalSht '!BI24+'BalSht '!BI25+'BalSht '!BI29-Debt!BI31</f>
        <v>0</v>
      </c>
      <c r="BJ35" s="209"/>
      <c r="BK35" s="209">
        <f>+'BalSht '!BK24+'BalSht '!BK25+'BalSht '!BK29-Debt!BK31</f>
        <v>0</v>
      </c>
      <c r="BL35" s="209">
        <f>+'BalSht '!BL24+'BalSht '!BL25+'BalSht '!BL29-Debt!BL31</f>
        <v>0</v>
      </c>
      <c r="BM35" s="209">
        <f>+'BalSht '!BM24+'BalSht '!BM25+'BalSht '!BM29-Debt!BM31</f>
        <v>0</v>
      </c>
      <c r="BN35" s="209">
        <f>+'BalSht '!BN24+'BalSht '!BN25+'BalSht '!BN29-Debt!BN31</f>
        <v>0</v>
      </c>
      <c r="BO35" s="209">
        <f>+'BalSht '!BO24+'BalSht '!BO25+'BalSht '!BO29-Debt!BO31</f>
        <v>0</v>
      </c>
      <c r="BP35" s="209"/>
      <c r="BQ35" s="209">
        <f>+'BalSht '!BQ24+'BalSht '!BQ25+'BalSht '!BQ29-Debt!BQ31</f>
        <v>0</v>
      </c>
      <c r="BR35" s="209">
        <f>+'BalSht '!BR24+'BalSht '!BR25+'BalSht '!BR29-Debt!BR31</f>
        <v>0</v>
      </c>
      <c r="BS35" s="209">
        <f>+'BalSht '!BS24+'BalSht '!BS25+'BalSht '!BS29-Debt!BS31</f>
        <v>0</v>
      </c>
      <c r="BT35" s="209">
        <f>+'BalSht '!BT24+'BalSht '!BT25+'BalSht '!BT29-Debt!BT31</f>
        <v>0</v>
      </c>
      <c r="BU35" s="209">
        <f>+'BalSht '!BU24+'BalSht '!BU25+'BalSht '!BU29-Debt!BU31</f>
        <v>0</v>
      </c>
      <c r="BV35" s="209"/>
      <c r="BW35" s="209">
        <f>+'BalSht '!BW24+'BalSht '!BW25+'BalSht '!BW29-Debt!BW31</f>
        <v>0</v>
      </c>
      <c r="BX35" s="209">
        <f>+'BalSht '!BX24+'BalSht '!BX25+'BalSht '!BX29-Debt!BX31</f>
        <v>0</v>
      </c>
      <c r="BY35" s="209">
        <f>+'BalSht '!BY24+'BalSht '!BY25+'BalSht '!BY29-Debt!BY31</f>
        <v>0</v>
      </c>
      <c r="BZ35" s="209">
        <f>+'BalSht '!BZ24+'BalSht '!BZ25+'BalSht '!BZ29-Debt!BZ31</f>
        <v>0</v>
      </c>
      <c r="CA35" s="209">
        <f>+'BalSht '!CA24+'BalSht '!CA25+'BalSht '!CA29-Debt!CA31</f>
        <v>0</v>
      </c>
      <c r="CB35" s="209"/>
      <c r="CC35" s="209">
        <f>+'BalSht '!CC24+'BalSht '!CC25+'BalSht '!CC29-Debt!CC31</f>
        <v>0</v>
      </c>
      <c r="CD35" s="209">
        <f>+'BalSht '!CD24+'BalSht '!CD25+'BalSht '!CD29-Debt!CD31</f>
        <v>0</v>
      </c>
      <c r="CE35" s="209">
        <f>+'BalSht '!CE24+'BalSht '!CE25+'BalSht '!CE29-Debt!CE31</f>
        <v>0</v>
      </c>
      <c r="CF35" s="209">
        <f>+'BalSht '!CF24+'BalSht '!CF25+'BalSht '!CF29-Debt!CF31</f>
        <v>0</v>
      </c>
      <c r="CG35" s="209">
        <f>+'BalSht '!CG24+'BalSht '!CG25+'BalSht '!CG29-Debt!CG31</f>
        <v>0</v>
      </c>
    </row>
    <row r="36" spans="2:85" s="7" customFormat="1" ht="11.25" customHeight="1" outlineLevel="1" x14ac:dyDescent="0.2">
      <c r="B36" s="208" t="s">
        <v>44</v>
      </c>
      <c r="C36" s="209"/>
      <c r="D36" s="209"/>
      <c r="E36" s="209"/>
      <c r="F36" s="209"/>
      <c r="G36" s="209">
        <f>+'BalSht '!G24-Debt!G6</f>
        <v>0</v>
      </c>
      <c r="H36" s="209"/>
      <c r="I36" s="209"/>
      <c r="J36" s="209"/>
      <c r="K36" s="209"/>
      <c r="L36" s="209"/>
      <c r="M36" s="209">
        <f>+'BalSht '!M24-Debt!M6</f>
        <v>0</v>
      </c>
      <c r="N36" s="209"/>
      <c r="O36" s="209"/>
      <c r="P36" s="209"/>
      <c r="Q36" s="209"/>
      <c r="R36" s="209"/>
      <c r="S36" s="209">
        <f>+'BalSht '!S24-Debt!S6</f>
        <v>0</v>
      </c>
      <c r="T36" s="209"/>
      <c r="U36" s="209"/>
      <c r="V36" s="209"/>
      <c r="W36" s="209"/>
      <c r="X36" s="209"/>
      <c r="Y36" s="209">
        <f>+'BalSht '!Y24-Debt!Y6</f>
        <v>0</v>
      </c>
      <c r="Z36" s="209"/>
      <c r="AA36" s="209"/>
      <c r="AB36" s="209"/>
      <c r="AC36" s="209"/>
      <c r="AD36" s="209"/>
      <c r="AE36" s="209">
        <f>+'BalSht '!AE24-Debt!AE6</f>
        <v>0</v>
      </c>
      <c r="AF36" s="209"/>
      <c r="AG36" s="209"/>
      <c r="AH36" s="209"/>
      <c r="AI36" s="209"/>
      <c r="AJ36" s="209"/>
      <c r="AK36" s="209">
        <f>+'BalSht '!AK24-Debt!AK6</f>
        <v>0</v>
      </c>
      <c r="AL36" s="209"/>
      <c r="AM36" s="209"/>
      <c r="AN36" s="209"/>
      <c r="AO36" s="209"/>
      <c r="AP36" s="209"/>
      <c r="AQ36" s="209">
        <f>+'BalSht '!AQ24-Debt!AQ6</f>
        <v>0</v>
      </c>
      <c r="AR36" s="209"/>
      <c r="AS36" s="209">
        <f>+'BalSht '!AS24-Debt!AS6</f>
        <v>0</v>
      </c>
      <c r="AT36" s="209">
        <f>+'BalSht '!AT24-Debt!AT6</f>
        <v>0</v>
      </c>
      <c r="AU36" s="209">
        <f>+'BalSht '!AU24-Debt!AU6</f>
        <v>0</v>
      </c>
      <c r="AV36" s="209">
        <f>+'BalSht '!AV24-Debt!AV6</f>
        <v>0</v>
      </c>
      <c r="AW36" s="209">
        <f>+'BalSht '!AW24-Debt!AW6</f>
        <v>0</v>
      </c>
      <c r="AX36" s="209"/>
      <c r="AY36" s="209">
        <f>+'BalSht '!AY24-Debt!AY6</f>
        <v>0</v>
      </c>
      <c r="AZ36" s="209">
        <f>+'BalSht '!AZ24-Debt!AZ6</f>
        <v>0</v>
      </c>
      <c r="BA36" s="209">
        <f>+'BalSht '!BA24-Debt!BA6</f>
        <v>0</v>
      </c>
      <c r="BB36" s="209">
        <f>+'BalSht '!BB24-Debt!BB6</f>
        <v>0</v>
      </c>
      <c r="BC36" s="209">
        <f>+'BalSht '!BC24-Debt!BC6</f>
        <v>0</v>
      </c>
      <c r="BD36" s="209"/>
      <c r="BE36" s="209">
        <f>+'BalSht '!BE24-Debt!BE6</f>
        <v>0</v>
      </c>
      <c r="BF36" s="209">
        <f>+'BalSht '!BF24-Debt!BF6</f>
        <v>0</v>
      </c>
      <c r="BG36" s="209">
        <f>+'BalSht '!BG24-Debt!BG6</f>
        <v>0</v>
      </c>
      <c r="BH36" s="209">
        <f>+'BalSht '!BH24-Debt!BH6</f>
        <v>0</v>
      </c>
      <c r="BI36" s="209">
        <f>+'BalSht '!BI24-Debt!BI6</f>
        <v>0</v>
      </c>
      <c r="BJ36" s="209"/>
      <c r="BK36" s="209">
        <f>+'BalSht '!BK24-Debt!BK6</f>
        <v>0</v>
      </c>
      <c r="BL36" s="209">
        <f>+'BalSht '!BL24-Debt!BL6</f>
        <v>0</v>
      </c>
      <c r="BM36" s="209">
        <f>+'BalSht '!BM24-Debt!BM6</f>
        <v>0</v>
      </c>
      <c r="BN36" s="209">
        <f>+'BalSht '!BN24-Debt!BN6</f>
        <v>0</v>
      </c>
      <c r="BO36" s="209">
        <f>+'BalSht '!BO24-Debt!BO6</f>
        <v>0</v>
      </c>
      <c r="BP36" s="209"/>
      <c r="BQ36" s="209">
        <f>+'BalSht '!BQ24-Debt!BQ6</f>
        <v>0</v>
      </c>
      <c r="BR36" s="209">
        <f>+'BalSht '!BR24-Debt!BR6</f>
        <v>0</v>
      </c>
      <c r="BS36" s="209">
        <f>+'BalSht '!BS24-Debt!BS6</f>
        <v>0</v>
      </c>
      <c r="BT36" s="209">
        <f>+'BalSht '!BT24-Debt!BT6</f>
        <v>0</v>
      </c>
      <c r="BU36" s="209">
        <f>+'BalSht '!BU24-Debt!BU6</f>
        <v>0</v>
      </c>
      <c r="BV36" s="209"/>
      <c r="BW36" s="209">
        <f>+'BalSht '!BW24-Debt!BW6</f>
        <v>0</v>
      </c>
      <c r="BX36" s="209">
        <f>+'BalSht '!BX24-Debt!BX6</f>
        <v>0</v>
      </c>
      <c r="BY36" s="209">
        <f>+'BalSht '!BY24-Debt!BY6</f>
        <v>0</v>
      </c>
      <c r="BZ36" s="209">
        <f>+'BalSht '!BZ24-Debt!BZ6</f>
        <v>0</v>
      </c>
      <c r="CA36" s="209">
        <f>+'BalSht '!CA24-Debt!CA6</f>
        <v>0</v>
      </c>
      <c r="CB36" s="209"/>
      <c r="CC36" s="209">
        <f>+'BalSht '!CC24-Debt!CC6</f>
        <v>0</v>
      </c>
      <c r="CD36" s="209">
        <f>+'BalSht '!CD24-Debt!CD6</f>
        <v>0</v>
      </c>
      <c r="CE36" s="209">
        <f>+'BalSht '!CE24-Debt!CE6</f>
        <v>0</v>
      </c>
      <c r="CF36" s="209">
        <f>+'BalSht '!CF24-Debt!CF6</f>
        <v>0</v>
      </c>
      <c r="CG36" s="209">
        <f>+'BalSht '!CG24-Debt!CG6</f>
        <v>0</v>
      </c>
    </row>
    <row r="37" spans="2:85" s="7" customFormat="1" ht="11.25" customHeight="1" outlineLevel="1" x14ac:dyDescent="0.2">
      <c r="B37" s="208" t="s">
        <v>44</v>
      </c>
      <c r="C37" s="209"/>
      <c r="D37" s="209"/>
      <c r="E37" s="209"/>
      <c r="F37" s="209"/>
      <c r="G37" s="209">
        <f>+'BalSht '!G25-Debt!G8</f>
        <v>0</v>
      </c>
      <c r="H37" s="209"/>
      <c r="I37" s="209"/>
      <c r="J37" s="209"/>
      <c r="K37" s="209"/>
      <c r="L37" s="209"/>
      <c r="M37" s="209">
        <f>+'BalSht '!M25-Debt!M8</f>
        <v>0</v>
      </c>
      <c r="N37" s="209"/>
      <c r="O37" s="209"/>
      <c r="P37" s="209"/>
      <c r="Q37" s="209"/>
      <c r="R37" s="209"/>
      <c r="S37" s="209">
        <f>+'BalSht '!S25-Debt!S8</f>
        <v>0</v>
      </c>
      <c r="T37" s="209"/>
      <c r="U37" s="209"/>
      <c r="V37" s="209"/>
      <c r="W37" s="209"/>
      <c r="X37" s="209"/>
      <c r="Y37" s="209">
        <f>+'BalSht '!Y25-Debt!Y8</f>
        <v>0</v>
      </c>
      <c r="Z37" s="209"/>
      <c r="AA37" s="209"/>
      <c r="AB37" s="209"/>
      <c r="AC37" s="209"/>
      <c r="AD37" s="209"/>
      <c r="AE37" s="209">
        <f>+'BalSht '!AE25-Debt!AE8</f>
        <v>0</v>
      </c>
      <c r="AF37" s="209"/>
      <c r="AG37" s="209"/>
      <c r="AH37" s="209"/>
      <c r="AI37" s="209"/>
      <c r="AJ37" s="209"/>
      <c r="AK37" s="209">
        <f>+'BalSht '!AK25-Debt!AK8</f>
        <v>0</v>
      </c>
      <c r="AL37" s="209"/>
      <c r="AM37" s="209"/>
      <c r="AN37" s="209"/>
      <c r="AO37" s="209"/>
      <c r="AP37" s="209"/>
      <c r="AQ37" s="209">
        <f>+'BalSht '!AQ25-Debt!AQ8</f>
        <v>0</v>
      </c>
      <c r="AR37" s="209"/>
      <c r="AS37" s="209">
        <f>+'BalSht '!AS25-Debt!AS8</f>
        <v>0</v>
      </c>
      <c r="AT37" s="209">
        <f>+'BalSht '!AT25-Debt!AT8</f>
        <v>0</v>
      </c>
      <c r="AU37" s="209">
        <f>+'BalSht '!AU25-Debt!AU8</f>
        <v>0</v>
      </c>
      <c r="AV37" s="209">
        <f>+'BalSht '!AV25-Debt!AV8</f>
        <v>0</v>
      </c>
      <c r="AW37" s="209">
        <f>+'BalSht '!AW25-Debt!AW8</f>
        <v>0</v>
      </c>
      <c r="AX37" s="209"/>
      <c r="AY37" s="209">
        <f>+'BalSht '!AY25-Debt!AY8</f>
        <v>0</v>
      </c>
      <c r="AZ37" s="209">
        <f>+'BalSht '!AZ25-Debt!AZ8</f>
        <v>0</v>
      </c>
      <c r="BA37" s="209">
        <f>+'BalSht '!BA25-Debt!BA8</f>
        <v>0</v>
      </c>
      <c r="BB37" s="209">
        <f>+'BalSht '!BB25-Debt!BB8</f>
        <v>0</v>
      </c>
      <c r="BC37" s="209">
        <f>+'BalSht '!BC25-Debt!BC8</f>
        <v>0</v>
      </c>
      <c r="BD37" s="209"/>
      <c r="BE37" s="209">
        <f>+'BalSht '!BE25-Debt!BE8</f>
        <v>0</v>
      </c>
      <c r="BF37" s="209">
        <f>+'BalSht '!BF25-Debt!BF8</f>
        <v>0</v>
      </c>
      <c r="BG37" s="209">
        <f>+'BalSht '!BG25-Debt!BG8</f>
        <v>0</v>
      </c>
      <c r="BH37" s="209">
        <f>+'BalSht '!BH25-Debt!BH8</f>
        <v>0</v>
      </c>
      <c r="BI37" s="209">
        <f>+'BalSht '!BI25-Debt!BI8</f>
        <v>0</v>
      </c>
      <c r="BJ37" s="209"/>
      <c r="BK37" s="209">
        <f>+'BalSht '!BK25-Debt!BK8</f>
        <v>0</v>
      </c>
      <c r="BL37" s="209">
        <f>+'BalSht '!BL25-Debt!BL8</f>
        <v>0</v>
      </c>
      <c r="BM37" s="209">
        <f>+'BalSht '!BM25-Debt!BM8</f>
        <v>0</v>
      </c>
      <c r="BN37" s="209">
        <f>+'BalSht '!BN25-Debt!BN8</f>
        <v>0</v>
      </c>
      <c r="BO37" s="209">
        <f>+'BalSht '!BO25-Debt!BO8</f>
        <v>0</v>
      </c>
      <c r="BP37" s="209"/>
      <c r="BQ37" s="209">
        <f>+'BalSht '!BQ25-Debt!BQ8</f>
        <v>0</v>
      </c>
      <c r="BR37" s="209">
        <f>+'BalSht '!BR25-Debt!BR8</f>
        <v>0</v>
      </c>
      <c r="BS37" s="209">
        <f>+'BalSht '!BS25-Debt!BS8</f>
        <v>0</v>
      </c>
      <c r="BT37" s="209">
        <f>+'BalSht '!BT25-Debt!BT8</f>
        <v>0</v>
      </c>
      <c r="BU37" s="209">
        <f>+'BalSht '!BU25-Debt!BU8</f>
        <v>0</v>
      </c>
      <c r="BV37" s="209"/>
      <c r="BW37" s="209">
        <f>+'BalSht '!BW25-Debt!BW8</f>
        <v>0</v>
      </c>
      <c r="BX37" s="209">
        <f>+'BalSht '!BX25-Debt!BX8</f>
        <v>0</v>
      </c>
      <c r="BY37" s="209">
        <f>+'BalSht '!BY25-Debt!BY8</f>
        <v>0</v>
      </c>
      <c r="BZ37" s="209">
        <f>+'BalSht '!BZ25-Debt!BZ8</f>
        <v>0</v>
      </c>
      <c r="CA37" s="209">
        <f>+'BalSht '!CA25-Debt!CA8</f>
        <v>0</v>
      </c>
      <c r="CB37" s="209"/>
      <c r="CC37" s="209">
        <f>+'BalSht '!CC25-Debt!CC8</f>
        <v>0</v>
      </c>
      <c r="CD37" s="209">
        <f>+'BalSht '!CD25-Debt!CD8</f>
        <v>0</v>
      </c>
      <c r="CE37" s="209">
        <f>+'BalSht '!CE25-Debt!CE8</f>
        <v>0</v>
      </c>
      <c r="CF37" s="209">
        <f>+'BalSht '!CF25-Debt!CF8</f>
        <v>0</v>
      </c>
      <c r="CG37" s="209">
        <f>+'BalSht '!CG25-Debt!CG8</f>
        <v>0</v>
      </c>
    </row>
    <row r="38" spans="2:85" s="7" customFormat="1" ht="11.25" customHeight="1" x14ac:dyDescent="0.2">
      <c r="C38" s="16"/>
      <c r="D38" s="16"/>
      <c r="E38" s="16"/>
      <c r="F38" s="16"/>
      <c r="G38" s="16"/>
      <c r="H38" s="38"/>
      <c r="I38" s="16"/>
      <c r="J38" s="16"/>
      <c r="K38" s="16"/>
      <c r="L38" s="16"/>
      <c r="M38" s="16"/>
      <c r="N38" s="38"/>
      <c r="O38" s="16"/>
      <c r="P38" s="16"/>
      <c r="Q38" s="16"/>
      <c r="R38" s="16"/>
      <c r="S38" s="16"/>
      <c r="T38" s="38"/>
      <c r="U38" s="16"/>
      <c r="V38" s="16"/>
      <c r="W38" s="16"/>
      <c r="X38" s="16"/>
      <c r="Y38" s="142"/>
      <c r="Z38" s="38"/>
      <c r="AA38" s="142"/>
      <c r="AB38" s="142"/>
      <c r="AC38" s="142"/>
      <c r="AD38" s="142"/>
      <c r="AE38" s="137"/>
      <c r="AF38" s="38"/>
      <c r="AG38" s="142"/>
      <c r="AH38" s="137"/>
      <c r="AI38" s="137"/>
      <c r="AJ38" s="137"/>
      <c r="AK38" s="137"/>
      <c r="AL38" s="38"/>
      <c r="AM38" s="137"/>
      <c r="AN38" s="137"/>
      <c r="AO38" s="137"/>
      <c r="AP38" s="137"/>
      <c r="AQ38" s="137"/>
      <c r="AR38" s="38"/>
      <c r="AS38" s="137"/>
      <c r="AT38" s="137"/>
      <c r="AU38" s="137"/>
      <c r="AV38" s="137"/>
      <c r="AW38" s="137"/>
      <c r="AX38" s="38"/>
      <c r="AY38" s="137"/>
      <c r="AZ38" s="137"/>
      <c r="BA38" s="137"/>
      <c r="BB38" s="137"/>
      <c r="BC38" s="137"/>
      <c r="BD38" s="38"/>
      <c r="BE38" s="137"/>
      <c r="BF38" s="137"/>
      <c r="BG38" s="137"/>
      <c r="BH38" s="137"/>
      <c r="BI38" s="137"/>
      <c r="BJ38" s="38"/>
      <c r="BK38" s="137"/>
      <c r="BL38" s="137"/>
      <c r="BM38" s="137"/>
      <c r="BN38" s="137"/>
      <c r="BO38" s="137"/>
      <c r="BP38" s="38"/>
      <c r="BQ38" s="137"/>
      <c r="BR38" s="137"/>
      <c r="BS38" s="137"/>
      <c r="BT38" s="137"/>
      <c r="BU38" s="137"/>
      <c r="BV38" s="38"/>
      <c r="BW38" s="137"/>
      <c r="BX38" s="137"/>
      <c r="BY38" s="137"/>
      <c r="BZ38" s="137"/>
      <c r="CA38" s="137"/>
      <c r="CB38" s="38"/>
      <c r="CC38" s="137"/>
      <c r="CD38" s="137"/>
      <c r="CE38" s="137"/>
      <c r="CF38" s="137"/>
      <c r="CG38" s="137"/>
    </row>
    <row r="39" spans="2:85" s="7" customFormat="1" ht="11.25" customHeight="1" x14ac:dyDescent="0.2">
      <c r="B39" s="815" t="s">
        <v>206</v>
      </c>
      <c r="C39" s="816"/>
      <c r="D39" s="816"/>
      <c r="E39" s="816"/>
      <c r="F39" s="816"/>
      <c r="G39" s="816"/>
      <c r="H39" s="816"/>
      <c r="I39" s="816"/>
      <c r="J39" s="816"/>
      <c r="K39" s="816"/>
      <c r="L39" s="816"/>
      <c r="M39" s="816"/>
      <c r="N39" s="816"/>
      <c r="O39" s="816"/>
      <c r="P39" s="816"/>
      <c r="Q39" s="816"/>
      <c r="R39" s="816"/>
      <c r="S39" s="816"/>
      <c r="T39" s="816"/>
      <c r="U39" s="816"/>
      <c r="V39" s="816"/>
      <c r="W39" s="816"/>
      <c r="X39" s="816"/>
      <c r="Y39" s="816"/>
      <c r="Z39" s="816"/>
      <c r="AA39" s="816"/>
      <c r="AB39" s="816"/>
      <c r="AC39" s="816"/>
      <c r="AD39" s="816"/>
      <c r="AE39" s="816"/>
      <c r="AF39" s="816"/>
      <c r="AG39" s="816"/>
      <c r="AH39" s="816"/>
      <c r="AI39" s="816"/>
      <c r="AJ39" s="816"/>
      <c r="AK39" s="816"/>
      <c r="AL39" s="816"/>
      <c r="AM39" s="816"/>
      <c r="AN39" s="816"/>
      <c r="AO39" s="816"/>
      <c r="AP39" s="816"/>
      <c r="AQ39" s="816"/>
      <c r="AR39" s="816"/>
      <c r="AS39" s="816"/>
      <c r="AT39" s="816"/>
      <c r="AU39" s="816"/>
      <c r="AV39" s="816"/>
      <c r="AW39" s="816"/>
      <c r="AX39" s="816"/>
      <c r="AY39" s="816"/>
      <c r="AZ39" s="816"/>
      <c r="BA39" s="816"/>
      <c r="BB39" s="816"/>
      <c r="BC39" s="816"/>
      <c r="BD39" s="816"/>
      <c r="BE39" s="816"/>
      <c r="BF39" s="816"/>
      <c r="BG39" s="816"/>
      <c r="BH39" s="816"/>
      <c r="BI39" s="816"/>
      <c r="BJ39" s="816"/>
      <c r="BK39" s="816"/>
      <c r="BL39" s="816"/>
      <c r="BM39" s="816"/>
      <c r="BN39" s="816"/>
      <c r="BO39" s="816"/>
      <c r="BP39" s="816"/>
      <c r="BQ39" s="816"/>
      <c r="BR39" s="816"/>
      <c r="BS39" s="816"/>
      <c r="BT39" s="816"/>
      <c r="BU39" s="816"/>
      <c r="BV39" s="816"/>
      <c r="BW39" s="816"/>
      <c r="BX39" s="816"/>
      <c r="BY39" s="816"/>
      <c r="BZ39" s="816"/>
      <c r="CA39" s="816"/>
      <c r="CB39" s="816"/>
      <c r="CC39" s="816"/>
      <c r="CD39" s="816"/>
      <c r="CE39" s="816"/>
      <c r="CF39" s="816"/>
      <c r="CG39" s="816"/>
    </row>
    <row r="40" spans="2:85" s="7" customFormat="1" ht="11.25" customHeight="1" x14ac:dyDescent="0.2">
      <c r="B40" s="426" t="s">
        <v>269</v>
      </c>
      <c r="C40" s="237"/>
      <c r="D40" s="39"/>
      <c r="E40" s="39"/>
      <c r="F40" s="39"/>
      <c r="G40" s="722"/>
      <c r="H40" s="38"/>
      <c r="I40" s="237"/>
      <c r="J40" s="39"/>
      <c r="K40" s="39"/>
      <c r="L40" s="39"/>
      <c r="M40" s="388">
        <f>+M6-G6</f>
        <v>-4.0410000000000004</v>
      </c>
      <c r="N40" s="38"/>
      <c r="O40" s="237"/>
      <c r="P40" s="39"/>
      <c r="Q40" s="39"/>
      <c r="R40" s="39"/>
      <c r="S40" s="388">
        <f>+S6-M6</f>
        <v>-4.0039999999999996</v>
      </c>
      <c r="T40" s="38"/>
      <c r="U40" s="237"/>
      <c r="V40" s="39"/>
      <c r="W40" s="39"/>
      <c r="X40" s="39"/>
      <c r="Y40" s="388">
        <f>+Y6-S6</f>
        <v>40.576000000000001</v>
      </c>
      <c r="Z40" s="38"/>
      <c r="AA40" s="237"/>
      <c r="AB40" s="39"/>
      <c r="AC40" s="39"/>
      <c r="AD40" s="39"/>
      <c r="AE40" s="388">
        <f>+AE6-Y6</f>
        <v>13.506</v>
      </c>
      <c r="AF40" s="38"/>
      <c r="AG40" s="237"/>
      <c r="AH40" s="39"/>
      <c r="AI40" s="39"/>
      <c r="AJ40" s="39"/>
      <c r="AK40" s="388">
        <f>+AK6-AE6</f>
        <v>-27.848000000000003</v>
      </c>
      <c r="AL40" s="38"/>
      <c r="AM40" s="237"/>
      <c r="AN40" s="39"/>
      <c r="AO40" s="39"/>
      <c r="AP40" s="39"/>
      <c r="AQ40" s="388">
        <f>+AQ6-AK6</f>
        <v>2.3419999999999987</v>
      </c>
      <c r="AR40" s="38"/>
      <c r="AS40" s="237">
        <f>+AS6-AQ6</f>
        <v>114.53400000000001</v>
      </c>
      <c r="AT40" s="39">
        <f>+AT6-AS6</f>
        <v>-60.370999999999995</v>
      </c>
      <c r="AU40" s="39">
        <f>+AU6-AT6</f>
        <v>105.14399999999999</v>
      </c>
      <c r="AV40" s="39">
        <f>+AV6-AU6</f>
        <v>-5.9159999999999968</v>
      </c>
      <c r="AW40" s="388">
        <f>+AW6-AQ6</f>
        <v>153.39099999999999</v>
      </c>
      <c r="AX40" s="38"/>
      <c r="AY40" s="237">
        <f>+AY6-AW6</f>
        <v>-19.831999999999994</v>
      </c>
      <c r="AZ40" s="39">
        <f>+AZ6-AY6</f>
        <v>-30.63900000000001</v>
      </c>
      <c r="BA40" s="39">
        <f>+BA6-AZ6</f>
        <v>54.457999999999998</v>
      </c>
      <c r="BB40" s="39">
        <f>+BB6-BA6</f>
        <v>141.74499999999998</v>
      </c>
      <c r="BC40" s="388">
        <f>+SUM(AY40:BB40)</f>
        <v>145.73199999999997</v>
      </c>
      <c r="BD40" s="38"/>
      <c r="BE40" s="237">
        <f>+BE6-BC6</f>
        <v>95.399000000000001</v>
      </c>
      <c r="BF40" s="39">
        <f>+BF6-BE6</f>
        <v>-186.22099999999998</v>
      </c>
      <c r="BG40" s="39">
        <f>+BG6-BF6</f>
        <v>95.313999999999993</v>
      </c>
      <c r="BH40" s="39">
        <f>+BH6-BG6</f>
        <v>104.35300000000001</v>
      </c>
      <c r="BI40" s="388">
        <f>+SUM(BE40:BH40)</f>
        <v>108.84500000000003</v>
      </c>
      <c r="BJ40" s="38"/>
      <c r="BK40" s="237">
        <f>+BK6-BI6</f>
        <v>234.24800000000005</v>
      </c>
      <c r="BL40" s="39">
        <f>+BL6-BK6</f>
        <v>-94.247000000000071</v>
      </c>
      <c r="BM40" s="39">
        <f t="shared" ref="BM40:BN40" si="24">+BM6-BL6</f>
        <v>54.388000000000034</v>
      </c>
      <c r="BN40" s="39">
        <f t="shared" si="24"/>
        <v>109.78800000000001</v>
      </c>
      <c r="BO40" s="388">
        <f>+SUM(BK40:BN40)</f>
        <v>304.17700000000002</v>
      </c>
      <c r="BP40" s="38"/>
      <c r="BQ40" s="537">
        <v>0</v>
      </c>
      <c r="BR40" s="206">
        <v>0</v>
      </c>
      <c r="BS40" s="206">
        <v>0</v>
      </c>
      <c r="BT40" s="206">
        <v>0</v>
      </c>
      <c r="BU40" s="388">
        <f>+SUM(BQ40:BT40)</f>
        <v>0</v>
      </c>
      <c r="BV40" s="38"/>
      <c r="BW40" s="537">
        <v>0</v>
      </c>
      <c r="BX40" s="206">
        <v>0</v>
      </c>
      <c r="BY40" s="206">
        <v>0</v>
      </c>
      <c r="BZ40" s="206">
        <v>0</v>
      </c>
      <c r="CA40" s="388">
        <f>+SUM(BW40:BZ40)</f>
        <v>0</v>
      </c>
      <c r="CB40" s="38"/>
      <c r="CC40" s="537">
        <v>0</v>
      </c>
      <c r="CD40" s="206">
        <v>0</v>
      </c>
      <c r="CE40" s="206">
        <v>0</v>
      </c>
      <c r="CF40" s="206">
        <v>0</v>
      </c>
      <c r="CG40" s="388">
        <f>+SUM(CC40:CF40)</f>
        <v>0</v>
      </c>
    </row>
    <row r="41" spans="2:85" s="7" customFormat="1" ht="11.25" customHeight="1" x14ac:dyDescent="0.2">
      <c r="B41" s="491"/>
      <c r="C41" s="237"/>
      <c r="D41" s="39"/>
      <c r="E41" s="39"/>
      <c r="F41" s="39"/>
      <c r="G41" s="722"/>
      <c r="H41" s="38"/>
      <c r="I41" s="237"/>
      <c r="J41" s="39"/>
      <c r="K41" s="39"/>
      <c r="L41" s="39"/>
      <c r="M41" s="388"/>
      <c r="N41" s="38"/>
      <c r="O41" s="237"/>
      <c r="P41" s="39"/>
      <c r="Q41" s="39"/>
      <c r="R41" s="39"/>
      <c r="S41" s="388"/>
      <c r="T41" s="38"/>
      <c r="U41" s="237"/>
      <c r="V41" s="39"/>
      <c r="W41" s="39"/>
      <c r="X41" s="39"/>
      <c r="Y41" s="388"/>
      <c r="Z41" s="38"/>
      <c r="AA41" s="237"/>
      <c r="AB41" s="39"/>
      <c r="AC41" s="39"/>
      <c r="AD41" s="39"/>
      <c r="AE41" s="388"/>
      <c r="AF41" s="38"/>
      <c r="AG41" s="237"/>
      <c r="AH41" s="39"/>
      <c r="AI41" s="39"/>
      <c r="AJ41" s="39"/>
      <c r="AK41" s="388"/>
      <c r="AL41" s="38"/>
      <c r="AM41" s="237"/>
      <c r="AN41" s="39"/>
      <c r="AO41" s="39"/>
      <c r="AP41" s="39"/>
      <c r="AQ41" s="388"/>
      <c r="AR41" s="38"/>
      <c r="AS41" s="237"/>
      <c r="AT41" s="39"/>
      <c r="AU41" s="39"/>
      <c r="AV41" s="39"/>
      <c r="AW41" s="388"/>
      <c r="AX41" s="38"/>
      <c r="AY41" s="237"/>
      <c r="AZ41" s="39"/>
      <c r="BA41" s="39"/>
      <c r="BB41" s="39"/>
      <c r="BC41" s="388"/>
      <c r="BD41" s="38"/>
      <c r="BE41" s="237"/>
      <c r="BF41" s="39"/>
      <c r="BG41" s="39"/>
      <c r="BH41" s="39"/>
      <c r="BI41" s="388"/>
      <c r="BJ41" s="38"/>
      <c r="BK41" s="237"/>
      <c r="BL41" s="39"/>
      <c r="BM41" s="39"/>
      <c r="BN41" s="39"/>
      <c r="BO41" s="388"/>
      <c r="BP41" s="38"/>
      <c r="BQ41" s="237"/>
      <c r="BR41" s="39"/>
      <c r="BS41" s="39"/>
      <c r="BT41" s="39"/>
      <c r="BU41" s="388"/>
      <c r="BV41" s="38"/>
      <c r="BW41" s="237"/>
      <c r="BX41" s="39"/>
      <c r="BY41" s="39"/>
      <c r="BZ41" s="39"/>
      <c r="CA41" s="388"/>
      <c r="CB41" s="38"/>
      <c r="CC41" s="237"/>
      <c r="CD41" s="39"/>
      <c r="CE41" s="39"/>
      <c r="CF41" s="39"/>
      <c r="CG41" s="388"/>
    </row>
    <row r="42" spans="2:85" s="7" customFormat="1" ht="11.25" customHeight="1" x14ac:dyDescent="0.2">
      <c r="B42" s="426" t="s">
        <v>210</v>
      </c>
      <c r="C42" s="237"/>
      <c r="D42" s="39"/>
      <c r="E42" s="39"/>
      <c r="F42" s="39"/>
      <c r="G42" s="722"/>
      <c r="H42" s="38"/>
      <c r="I42" s="237"/>
      <c r="J42" s="39"/>
      <c r="K42" s="39"/>
      <c r="L42" s="39"/>
      <c r="M42" s="388">
        <f>+M8-G8</f>
        <v>132.08600000000001</v>
      </c>
      <c r="N42" s="38"/>
      <c r="O42" s="237"/>
      <c r="P42" s="39"/>
      <c r="Q42" s="39"/>
      <c r="R42" s="39"/>
      <c r="S42" s="388">
        <f>+S8-M8</f>
        <v>-132.845</v>
      </c>
      <c r="T42" s="38"/>
      <c r="U42" s="237"/>
      <c r="V42" s="39"/>
      <c r="W42" s="39"/>
      <c r="X42" s="39"/>
      <c r="Y42" s="388">
        <f>+Y8-S8</f>
        <v>-19.073</v>
      </c>
      <c r="Z42" s="38"/>
      <c r="AA42" s="237"/>
      <c r="AB42" s="39"/>
      <c r="AC42" s="39"/>
      <c r="AD42" s="39"/>
      <c r="AE42" s="388">
        <f>+AE8-Y8</f>
        <v>18.332000000000001</v>
      </c>
      <c r="AF42" s="38"/>
      <c r="AG42" s="237"/>
      <c r="AH42" s="39"/>
      <c r="AI42" s="39"/>
      <c r="AJ42" s="39"/>
      <c r="AK42" s="388">
        <f>+AK8-AE8</f>
        <v>-4.8269999999999982</v>
      </c>
      <c r="AL42" s="38"/>
      <c r="AM42" s="237"/>
      <c r="AN42" s="39"/>
      <c r="AO42" s="39"/>
      <c r="AP42" s="39"/>
      <c r="AQ42" s="388">
        <f>+AQ8-AK8</f>
        <v>-12.551000000000002</v>
      </c>
      <c r="AR42" s="38"/>
      <c r="AS42" s="237">
        <f>+AS8-AQ8</f>
        <v>100.54299999999999</v>
      </c>
      <c r="AT42" s="39">
        <f>+AT8-AS8</f>
        <v>-99.681999999999988</v>
      </c>
      <c r="AU42" s="39">
        <f>+AU8-AT8</f>
        <v>-0.51999999999999957</v>
      </c>
      <c r="AV42" s="39">
        <f>+AV8-AU8</f>
        <v>3.3000000000000362E-2</v>
      </c>
      <c r="AW42" s="388">
        <f>+AW8-AQ8</f>
        <v>0.37400000000000055</v>
      </c>
      <c r="AX42" s="38"/>
      <c r="AY42" s="237">
        <f>+AY8-AW8</f>
        <v>8.7710000000000008</v>
      </c>
      <c r="AZ42" s="39">
        <f>+AZ8-AY8</f>
        <v>0.12999999999999901</v>
      </c>
      <c r="BA42" s="39">
        <f>+BA8-AZ8</f>
        <v>-0.25999999999999979</v>
      </c>
      <c r="BB42" s="39">
        <f>+BB8-BA8</f>
        <v>2.875</v>
      </c>
      <c r="BC42" s="388">
        <f>+SUM(AY42:BB42)</f>
        <v>11.516</v>
      </c>
      <c r="BD42" s="38"/>
      <c r="BE42" s="237">
        <f>+BE8-BC8</f>
        <v>1.9999999999988916E-3</v>
      </c>
      <c r="BF42" s="39">
        <f>+BF8-BE8</f>
        <v>-0.14399999999999835</v>
      </c>
      <c r="BG42" s="39">
        <f>+BG8-BF8</f>
        <v>0.2710000000000008</v>
      </c>
      <c r="BH42" s="39">
        <f>+BH8-BG8</f>
        <v>48.463000000000001</v>
      </c>
      <c r="BI42" s="388">
        <f>+SUM(BE42:BH42)</f>
        <v>48.591999999999999</v>
      </c>
      <c r="BJ42" s="38"/>
      <c r="BK42" s="237">
        <f>+BK8-BI8</f>
        <v>-47.319000000000003</v>
      </c>
      <c r="BL42" s="39">
        <f>+BL8-BK8</f>
        <v>-1.3629999999999995</v>
      </c>
      <c r="BM42" s="39">
        <f t="shared" ref="BM42:BN42" si="25">+BM8-BL8</f>
        <v>6.0000000000002274E-3</v>
      </c>
      <c r="BN42" s="39">
        <f t="shared" si="25"/>
        <v>-0.58800000000000097</v>
      </c>
      <c r="BO42" s="388">
        <f>+SUM(BK42:BN42)</f>
        <v>-49.264000000000003</v>
      </c>
      <c r="BP42" s="38"/>
      <c r="BQ42" s="537">
        <v>0</v>
      </c>
      <c r="BR42" s="206">
        <v>0</v>
      </c>
      <c r="BS42" s="206">
        <v>0</v>
      </c>
      <c r="BT42" s="206">
        <v>0</v>
      </c>
      <c r="BU42" s="388">
        <f>+SUM(BQ42:BT42)</f>
        <v>0</v>
      </c>
      <c r="BV42" s="38"/>
      <c r="BW42" s="537">
        <v>0</v>
      </c>
      <c r="BX42" s="206">
        <v>0</v>
      </c>
      <c r="BY42" s="206">
        <v>0</v>
      </c>
      <c r="BZ42" s="206">
        <v>0</v>
      </c>
      <c r="CA42" s="388">
        <f>+SUM(BW42:BZ42)</f>
        <v>0</v>
      </c>
      <c r="CB42" s="38"/>
      <c r="CC42" s="537">
        <v>0</v>
      </c>
      <c r="CD42" s="206">
        <v>0</v>
      </c>
      <c r="CE42" s="206">
        <v>0</v>
      </c>
      <c r="CF42" s="206">
        <v>0</v>
      </c>
      <c r="CG42" s="388">
        <f>+SUM(CC42:CF42)</f>
        <v>0</v>
      </c>
    </row>
    <row r="43" spans="2:85" s="7" customFormat="1" ht="11.25" customHeight="1" x14ac:dyDescent="0.2">
      <c r="B43" s="429"/>
      <c r="C43" s="237"/>
      <c r="D43" s="39"/>
      <c r="E43" s="39"/>
      <c r="F43" s="39"/>
      <c r="G43" s="722"/>
      <c r="H43" s="38"/>
      <c r="I43" s="237"/>
      <c r="J43" s="39"/>
      <c r="K43" s="39"/>
      <c r="L43" s="39"/>
      <c r="M43" s="388"/>
      <c r="N43" s="38"/>
      <c r="O43" s="237"/>
      <c r="P43" s="39"/>
      <c r="Q43" s="39"/>
      <c r="R43" s="39"/>
      <c r="S43" s="388"/>
      <c r="T43" s="38"/>
      <c r="U43" s="237"/>
      <c r="V43" s="39"/>
      <c r="W43" s="39"/>
      <c r="X43" s="39"/>
      <c r="Y43" s="388"/>
      <c r="Z43" s="38"/>
      <c r="AA43" s="237"/>
      <c r="AB43" s="39"/>
      <c r="AC43" s="39"/>
      <c r="AD43" s="39"/>
      <c r="AE43" s="388"/>
      <c r="AF43" s="38"/>
      <c r="AG43" s="237"/>
      <c r="AH43" s="39"/>
      <c r="AI43" s="39"/>
      <c r="AJ43" s="39"/>
      <c r="AK43" s="388"/>
      <c r="AL43" s="38"/>
      <c r="AM43" s="237"/>
      <c r="AN43" s="39"/>
      <c r="AO43" s="39"/>
      <c r="AP43" s="39"/>
      <c r="AQ43" s="388"/>
      <c r="AR43" s="38"/>
      <c r="AS43" s="237"/>
      <c r="AT43" s="39"/>
      <c r="AU43" s="39"/>
      <c r="AV43" s="39"/>
      <c r="AW43" s="388"/>
      <c r="AX43" s="38"/>
      <c r="AY43" s="237"/>
      <c r="AZ43" s="39"/>
      <c r="BA43" s="39"/>
      <c r="BB43" s="39"/>
      <c r="BC43" s="388"/>
      <c r="BD43" s="38"/>
      <c r="BE43" s="237"/>
      <c r="BF43" s="39"/>
      <c r="BG43" s="39"/>
      <c r="BH43" s="39"/>
      <c r="BI43" s="388"/>
      <c r="BJ43" s="38"/>
      <c r="BK43" s="237"/>
      <c r="BL43" s="39"/>
      <c r="BM43" s="39"/>
      <c r="BN43" s="39"/>
      <c r="BO43" s="388"/>
      <c r="BP43" s="38"/>
      <c r="BQ43" s="237"/>
      <c r="BR43" s="39"/>
      <c r="BS43" s="39"/>
      <c r="BT43" s="39"/>
      <c r="BU43" s="388"/>
      <c r="BV43" s="38"/>
      <c r="BW43" s="237"/>
      <c r="BX43" s="39"/>
      <c r="BY43" s="39"/>
      <c r="BZ43" s="39"/>
      <c r="CA43" s="388"/>
      <c r="CB43" s="38"/>
      <c r="CC43" s="237"/>
      <c r="CD43" s="39"/>
      <c r="CE43" s="39"/>
      <c r="CF43" s="39"/>
      <c r="CG43" s="388"/>
    </row>
    <row r="44" spans="2:85" s="7" customFormat="1" ht="11.25" customHeight="1" x14ac:dyDescent="0.2">
      <c r="B44" s="130" t="s">
        <v>139</v>
      </c>
      <c r="C44" s="237"/>
      <c r="D44" s="39"/>
      <c r="E44" s="39"/>
      <c r="F44" s="39"/>
      <c r="G44" s="722"/>
      <c r="H44" s="38"/>
      <c r="I44" s="237"/>
      <c r="J44" s="39"/>
      <c r="K44" s="39"/>
      <c r="L44" s="39"/>
      <c r="M44" s="388"/>
      <c r="N44" s="38"/>
      <c r="O44" s="237"/>
      <c r="P44" s="39"/>
      <c r="Q44" s="39"/>
      <c r="R44" s="39"/>
      <c r="S44" s="388"/>
      <c r="T44" s="38"/>
      <c r="U44" s="237"/>
      <c r="V44" s="39"/>
      <c r="W44" s="39"/>
      <c r="X44" s="39"/>
      <c r="Y44" s="388"/>
      <c r="Z44" s="38"/>
      <c r="AA44" s="237"/>
      <c r="AB44" s="39"/>
      <c r="AC44" s="39"/>
      <c r="AD44" s="39"/>
      <c r="AE44" s="388"/>
      <c r="AF44" s="38"/>
      <c r="AG44" s="237"/>
      <c r="AH44" s="39"/>
      <c r="AI44" s="39"/>
      <c r="AJ44" s="39"/>
      <c r="AK44" s="388"/>
      <c r="AL44" s="38"/>
      <c r="AM44" s="237"/>
      <c r="AN44" s="39"/>
      <c r="AO44" s="39"/>
      <c r="AP44" s="39"/>
      <c r="AQ44" s="388"/>
      <c r="AR44" s="38"/>
      <c r="AS44" s="237"/>
      <c r="AT44" s="39"/>
      <c r="AU44" s="39"/>
      <c r="AV44" s="39"/>
      <c r="AW44" s="388"/>
      <c r="AX44" s="38"/>
      <c r="AY44" s="237"/>
      <c r="AZ44" s="39"/>
      <c r="BA44" s="39"/>
      <c r="BB44" s="39"/>
      <c r="BC44" s="388"/>
      <c r="BD44" s="38"/>
      <c r="BE44" s="237"/>
      <c r="BF44" s="39"/>
      <c r="BG44" s="39"/>
      <c r="BH44" s="39"/>
      <c r="BI44" s="388"/>
      <c r="BJ44" s="38"/>
      <c r="BK44" s="237"/>
      <c r="BL44" s="39"/>
      <c r="BM44" s="39"/>
      <c r="BN44" s="39"/>
      <c r="BO44" s="388"/>
      <c r="BP44" s="38"/>
      <c r="BQ44" s="237"/>
      <c r="BR44" s="39"/>
      <c r="BS44" s="39"/>
      <c r="BT44" s="39"/>
      <c r="BU44" s="388"/>
      <c r="BV44" s="38"/>
      <c r="BW44" s="237"/>
      <c r="BX44" s="39"/>
      <c r="BY44" s="39"/>
      <c r="BZ44" s="39"/>
      <c r="CA44" s="388"/>
      <c r="CB44" s="38"/>
      <c r="CC44" s="237"/>
      <c r="CD44" s="39"/>
      <c r="CE44" s="39"/>
      <c r="CF44" s="39"/>
      <c r="CG44" s="388"/>
    </row>
    <row r="45" spans="2:85" s="7" customFormat="1" ht="11.25" customHeight="1" x14ac:dyDescent="0.2">
      <c r="B45" s="429" t="s">
        <v>320</v>
      </c>
      <c r="C45" s="237"/>
      <c r="D45" s="39"/>
      <c r="E45" s="39"/>
      <c r="F45" s="39"/>
      <c r="G45" s="722"/>
      <c r="H45" s="39"/>
      <c r="I45" s="237"/>
      <c r="J45" s="39"/>
      <c r="K45" s="39"/>
      <c r="L45" s="39"/>
      <c r="M45" s="388">
        <f>+SUM(M46:M50)</f>
        <v>0</v>
      </c>
      <c r="N45" s="39"/>
      <c r="O45" s="237"/>
      <c r="P45" s="39"/>
      <c r="Q45" s="39"/>
      <c r="R45" s="39"/>
      <c r="S45" s="388">
        <f>+SUM(S46:S50)</f>
        <v>0</v>
      </c>
      <c r="T45" s="39"/>
      <c r="U45" s="237"/>
      <c r="V45" s="39"/>
      <c r="W45" s="39"/>
      <c r="X45" s="39"/>
      <c r="Y45" s="388">
        <f>+SUM(Y46:Y50)</f>
        <v>100</v>
      </c>
      <c r="Z45" s="39"/>
      <c r="AA45" s="237"/>
      <c r="AB45" s="39"/>
      <c r="AC45" s="39"/>
      <c r="AD45" s="39"/>
      <c r="AE45" s="388">
        <f>+SUM(AE46:AE50)</f>
        <v>0</v>
      </c>
      <c r="AF45" s="39"/>
      <c r="AG45" s="237"/>
      <c r="AH45" s="39"/>
      <c r="AI45" s="39"/>
      <c r="AJ45" s="39"/>
      <c r="AK45" s="388">
        <f>+SUM(AK46:AK50)</f>
        <v>150</v>
      </c>
      <c r="AL45" s="39"/>
      <c r="AM45" s="237"/>
      <c r="AN45" s="39"/>
      <c r="AO45" s="39"/>
      <c r="AP45" s="39"/>
      <c r="AQ45" s="388">
        <f>+SUM(AQ46:AQ50)</f>
        <v>0</v>
      </c>
      <c r="AR45" s="39"/>
      <c r="AS45" s="237">
        <f>+SUM(AS46:AS50)</f>
        <v>0</v>
      </c>
      <c r="AT45" s="39">
        <f>+SUM(AT46:AT50)</f>
        <v>100</v>
      </c>
      <c r="AU45" s="39">
        <f>+SUM(AU46:AU50)</f>
        <v>0</v>
      </c>
      <c r="AV45" s="39">
        <f>+SUM(AV46:AV50)</f>
        <v>0</v>
      </c>
      <c r="AW45" s="388">
        <f>+SUM(AW46:AW50)</f>
        <v>100</v>
      </c>
      <c r="AX45" s="39"/>
      <c r="AY45" s="237">
        <f>+SUM(AY46:AY50)</f>
        <v>0</v>
      </c>
      <c r="AZ45" s="39">
        <f>+SUM(AZ46:AZ50)</f>
        <v>0</v>
      </c>
      <c r="BA45" s="39">
        <f>+SUM(BA46:BA50)</f>
        <v>0</v>
      </c>
      <c r="BB45" s="39">
        <f>+SUM(BB46:BB50)</f>
        <v>0</v>
      </c>
      <c r="BC45" s="388">
        <f>+SUM(BC46:BC50)</f>
        <v>0</v>
      </c>
      <c r="BD45" s="39"/>
      <c r="BE45" s="237">
        <f>+SUM(BE46:BE50)</f>
        <v>-7.1430000000000007</v>
      </c>
      <c r="BF45" s="39">
        <f>+SUM(BF46:BF50)</f>
        <v>0</v>
      </c>
      <c r="BG45" s="39">
        <f>+SUM(BG46:BG50)</f>
        <v>0</v>
      </c>
      <c r="BH45" s="39">
        <f>+SUM(BH46:BH50)</f>
        <v>0</v>
      </c>
      <c r="BI45" s="388">
        <f>+SUM(BI46:BI50)</f>
        <v>-7.1430000000000007</v>
      </c>
      <c r="BJ45" s="39"/>
      <c r="BK45" s="237">
        <f>+SUM(BK46:BK52)</f>
        <v>-7.1430000000000007</v>
      </c>
      <c r="BL45" s="39">
        <f>+SUM(BL46:BL52)</f>
        <v>200</v>
      </c>
      <c r="BM45" s="39">
        <f t="shared" ref="BM45:BN45" si="26">+SUM(BM46:BM52)</f>
        <v>-0.25</v>
      </c>
      <c r="BN45" s="39">
        <f t="shared" si="26"/>
        <v>-0.16899999999999693</v>
      </c>
      <c r="BO45" s="388">
        <f>+SUM(BO46:BO52)</f>
        <v>192.43799999999999</v>
      </c>
      <c r="BP45" s="39"/>
      <c r="BQ45" s="237">
        <f>+SUM(BQ46:BQ52)</f>
        <v>0</v>
      </c>
      <c r="BR45" s="39">
        <f>+SUM(BR46:BR52)</f>
        <v>0</v>
      </c>
      <c r="BS45" s="39">
        <f>+SUM(BS46:BS52)</f>
        <v>0</v>
      </c>
      <c r="BT45" s="39">
        <f>+SUM(BT46:BT52)</f>
        <v>0</v>
      </c>
      <c r="BU45" s="388">
        <f>+SUM(BU46:BU52)</f>
        <v>0</v>
      </c>
      <c r="BV45" s="39"/>
      <c r="BW45" s="237">
        <f>+SUM(BW46:BW52)</f>
        <v>0</v>
      </c>
      <c r="BX45" s="39">
        <f>+SUM(BX46:BX52)</f>
        <v>0</v>
      </c>
      <c r="BY45" s="39">
        <f>+SUM(BY46:BY52)</f>
        <v>0</v>
      </c>
      <c r="BZ45" s="39">
        <f>+SUM(BZ46:BZ52)</f>
        <v>0</v>
      </c>
      <c r="CA45" s="388">
        <f>+SUM(CA46:CA52)</f>
        <v>0</v>
      </c>
      <c r="CB45" s="39"/>
      <c r="CC45" s="237">
        <f>+SUM(CC46:CC52)</f>
        <v>0</v>
      </c>
      <c r="CD45" s="39">
        <f>+SUM(CD46:CD52)</f>
        <v>0</v>
      </c>
      <c r="CE45" s="39">
        <f>+SUM(CE46:CE52)</f>
        <v>-100</v>
      </c>
      <c r="CF45" s="39">
        <f>+SUM(CF46:CF52)</f>
        <v>0</v>
      </c>
      <c r="CG45" s="388">
        <f>+SUM(CG46:CG52)</f>
        <v>-100</v>
      </c>
    </row>
    <row r="46" spans="2:85" s="7" customFormat="1" ht="11.25" customHeight="1" x14ac:dyDescent="0.2">
      <c r="B46" s="491" t="s">
        <v>326</v>
      </c>
      <c r="C46" s="237"/>
      <c r="D46" s="39"/>
      <c r="E46" s="39"/>
      <c r="F46" s="39"/>
      <c r="G46" s="722"/>
      <c r="H46" s="38"/>
      <c r="I46" s="237"/>
      <c r="J46" s="39"/>
      <c r="K46" s="39"/>
      <c r="L46" s="39"/>
      <c r="M46" s="388">
        <f>+M12-G12</f>
        <v>0</v>
      </c>
      <c r="N46" s="38"/>
      <c r="O46" s="237"/>
      <c r="P46" s="39"/>
      <c r="Q46" s="39"/>
      <c r="R46" s="39"/>
      <c r="S46" s="388">
        <f>+S12-M12</f>
        <v>0</v>
      </c>
      <c r="T46" s="38"/>
      <c r="U46" s="237"/>
      <c r="V46" s="39"/>
      <c r="W46" s="39"/>
      <c r="X46" s="39"/>
      <c r="Y46" s="388">
        <f>+Y12-S12</f>
        <v>100</v>
      </c>
      <c r="Z46" s="38"/>
      <c r="AA46" s="237"/>
      <c r="AB46" s="39"/>
      <c r="AC46" s="39"/>
      <c r="AD46" s="39"/>
      <c r="AE46" s="388">
        <f>+AE12-Y12</f>
        <v>0</v>
      </c>
      <c r="AF46" s="38"/>
      <c r="AG46" s="237"/>
      <c r="AH46" s="39"/>
      <c r="AI46" s="39"/>
      <c r="AJ46" s="39"/>
      <c r="AK46" s="388">
        <f>+AK12-AE12</f>
        <v>0</v>
      </c>
      <c r="AL46" s="38"/>
      <c r="AM46" s="237"/>
      <c r="AN46" s="39"/>
      <c r="AO46" s="39"/>
      <c r="AP46" s="39"/>
      <c r="AQ46" s="388">
        <f>+AQ12-AK12</f>
        <v>0</v>
      </c>
      <c r="AR46" s="38"/>
      <c r="AS46" s="237">
        <f t="shared" ref="AS46:AS52" si="27">+AS12-AQ12</f>
        <v>0</v>
      </c>
      <c r="AT46" s="39">
        <f t="shared" ref="AT46:AV52" si="28">+AT12-AS12</f>
        <v>0</v>
      </c>
      <c r="AU46" s="39">
        <f t="shared" si="28"/>
        <v>0</v>
      </c>
      <c r="AV46" s="39">
        <f t="shared" si="28"/>
        <v>0</v>
      </c>
      <c r="AW46" s="388">
        <f t="shared" ref="AW46:AW52" si="29">+AW12-AQ12</f>
        <v>0</v>
      </c>
      <c r="AX46" s="38"/>
      <c r="AY46" s="237">
        <f t="shared" ref="AY46:AY52" si="30">+AY12-AW12</f>
        <v>0</v>
      </c>
      <c r="AZ46" s="39">
        <f t="shared" ref="AZ46:BB52" si="31">+AZ12-AY12</f>
        <v>0</v>
      </c>
      <c r="BA46" s="39">
        <f t="shared" si="31"/>
        <v>0</v>
      </c>
      <c r="BB46" s="39">
        <f t="shared" si="31"/>
        <v>0</v>
      </c>
      <c r="BC46" s="388">
        <f t="shared" ref="BC46:BC52" si="32">+SUM(AY46:BB46)</f>
        <v>0</v>
      </c>
      <c r="BD46" s="38"/>
      <c r="BE46" s="237">
        <f t="shared" ref="BE46:BE52" si="33">+BE12-BC12</f>
        <v>0</v>
      </c>
      <c r="BF46" s="39">
        <f t="shared" ref="BF46:BH52" si="34">+BF12-BE12</f>
        <v>0</v>
      </c>
      <c r="BG46" s="39">
        <f t="shared" si="34"/>
        <v>0</v>
      </c>
      <c r="BH46" s="39">
        <f t="shared" si="34"/>
        <v>0</v>
      </c>
      <c r="BI46" s="388">
        <f t="shared" ref="BI46:BI52" si="35">+SUM(BE46:BH46)</f>
        <v>0</v>
      </c>
      <c r="BJ46" s="38"/>
      <c r="BK46" s="237">
        <f t="shared" ref="BK46:BK52" si="36">+BK12-BI12</f>
        <v>0</v>
      </c>
      <c r="BL46" s="39">
        <f t="shared" ref="BL46:BL52" si="37">+BL12-BK12</f>
        <v>0</v>
      </c>
      <c r="BM46" s="39">
        <f t="shared" ref="BM46:BM52" si="38">+BM12-BL12</f>
        <v>0</v>
      </c>
      <c r="BN46" s="39">
        <f t="shared" ref="BN46:BN52" si="39">+BN12-BM12</f>
        <v>0</v>
      </c>
      <c r="BO46" s="388">
        <f t="shared" ref="BO46:BO52" si="40">+SUM(BK46:BN46)</f>
        <v>0</v>
      </c>
      <c r="BP46" s="38"/>
      <c r="BQ46" s="537">
        <v>0</v>
      </c>
      <c r="BR46" s="206">
        <v>0</v>
      </c>
      <c r="BS46" s="206">
        <v>0</v>
      </c>
      <c r="BT46" s="206">
        <v>0</v>
      </c>
      <c r="BU46" s="388">
        <f t="shared" ref="BU46:BU52" si="41">+SUM(BQ46:BT46)</f>
        <v>0</v>
      </c>
      <c r="BV46" s="38"/>
      <c r="BW46" s="537">
        <v>0</v>
      </c>
      <c r="BX46" s="206">
        <v>0</v>
      </c>
      <c r="BY46" s="206">
        <v>0</v>
      </c>
      <c r="BZ46" s="206">
        <v>0</v>
      </c>
      <c r="CA46" s="388">
        <f t="shared" ref="CA46:CA52" si="42">+SUM(BW46:BZ46)</f>
        <v>0</v>
      </c>
      <c r="CB46" s="38"/>
      <c r="CC46" s="537">
        <v>0</v>
      </c>
      <c r="CD46" s="206">
        <v>0</v>
      </c>
      <c r="CE46" s="206">
        <v>-100</v>
      </c>
      <c r="CF46" s="206">
        <v>0</v>
      </c>
      <c r="CG46" s="388">
        <f t="shared" ref="CG46:CG52" si="43">+SUM(CC46:CF46)</f>
        <v>-100</v>
      </c>
    </row>
    <row r="47" spans="2:85" s="7" customFormat="1" ht="11.25" customHeight="1" x14ac:dyDescent="0.2">
      <c r="B47" s="491" t="s">
        <v>327</v>
      </c>
      <c r="C47" s="237"/>
      <c r="D47" s="39"/>
      <c r="E47" s="39"/>
      <c r="F47" s="39"/>
      <c r="G47" s="722"/>
      <c r="H47" s="38"/>
      <c r="I47" s="237"/>
      <c r="J47" s="39"/>
      <c r="K47" s="39"/>
      <c r="L47" s="39"/>
      <c r="M47" s="388">
        <f>+M13-G13</f>
        <v>0</v>
      </c>
      <c r="N47" s="38"/>
      <c r="O47" s="237"/>
      <c r="P47" s="39"/>
      <c r="Q47" s="39"/>
      <c r="R47" s="39"/>
      <c r="S47" s="388">
        <f>+S13-M13</f>
        <v>0</v>
      </c>
      <c r="T47" s="38"/>
      <c r="U47" s="237"/>
      <c r="V47" s="39"/>
      <c r="W47" s="39"/>
      <c r="X47" s="39"/>
      <c r="Y47" s="388">
        <f>+Y13-S13</f>
        <v>0</v>
      </c>
      <c r="Z47" s="38"/>
      <c r="AA47" s="237"/>
      <c r="AB47" s="39"/>
      <c r="AC47" s="39"/>
      <c r="AD47" s="39"/>
      <c r="AE47" s="388">
        <f>+AE13-Y13</f>
        <v>0</v>
      </c>
      <c r="AF47" s="38"/>
      <c r="AG47" s="237"/>
      <c r="AH47" s="39"/>
      <c r="AI47" s="39"/>
      <c r="AJ47" s="39"/>
      <c r="AK47" s="388">
        <f>+AK13-AE13</f>
        <v>50</v>
      </c>
      <c r="AL47" s="38"/>
      <c r="AM47" s="237"/>
      <c r="AN47" s="39"/>
      <c r="AO47" s="39"/>
      <c r="AP47" s="39"/>
      <c r="AQ47" s="388">
        <f>+AQ13-AK13</f>
        <v>0</v>
      </c>
      <c r="AR47" s="38"/>
      <c r="AS47" s="237">
        <f t="shared" si="27"/>
        <v>0</v>
      </c>
      <c r="AT47" s="39">
        <f t="shared" si="28"/>
        <v>0</v>
      </c>
      <c r="AU47" s="39">
        <f t="shared" si="28"/>
        <v>0</v>
      </c>
      <c r="AV47" s="39">
        <f t="shared" si="28"/>
        <v>0</v>
      </c>
      <c r="AW47" s="388">
        <f t="shared" si="29"/>
        <v>0</v>
      </c>
      <c r="AX47" s="38"/>
      <c r="AY47" s="237">
        <f t="shared" si="30"/>
        <v>0</v>
      </c>
      <c r="AZ47" s="39">
        <f t="shared" si="31"/>
        <v>0</v>
      </c>
      <c r="BA47" s="39">
        <f t="shared" si="31"/>
        <v>0</v>
      </c>
      <c r="BB47" s="39">
        <f t="shared" si="31"/>
        <v>0</v>
      </c>
      <c r="BC47" s="388">
        <f t="shared" si="32"/>
        <v>0</v>
      </c>
      <c r="BD47" s="38"/>
      <c r="BE47" s="237">
        <f t="shared" si="33"/>
        <v>0</v>
      </c>
      <c r="BF47" s="39">
        <f t="shared" si="34"/>
        <v>0</v>
      </c>
      <c r="BG47" s="39">
        <f t="shared" si="34"/>
        <v>0</v>
      </c>
      <c r="BH47" s="39">
        <f t="shared" si="34"/>
        <v>0</v>
      </c>
      <c r="BI47" s="388">
        <f t="shared" si="35"/>
        <v>0</v>
      </c>
      <c r="BJ47" s="38"/>
      <c r="BK47" s="237">
        <f t="shared" si="36"/>
        <v>0</v>
      </c>
      <c r="BL47" s="39">
        <f t="shared" si="37"/>
        <v>0</v>
      </c>
      <c r="BM47" s="39">
        <f t="shared" si="38"/>
        <v>0</v>
      </c>
      <c r="BN47" s="39">
        <f t="shared" si="39"/>
        <v>0</v>
      </c>
      <c r="BO47" s="388">
        <f t="shared" si="40"/>
        <v>0</v>
      </c>
      <c r="BP47" s="38"/>
      <c r="BQ47" s="537">
        <v>0</v>
      </c>
      <c r="BR47" s="206">
        <v>0</v>
      </c>
      <c r="BS47" s="206">
        <v>0</v>
      </c>
      <c r="BT47" s="206">
        <v>0</v>
      </c>
      <c r="BU47" s="388">
        <f t="shared" si="41"/>
        <v>0</v>
      </c>
      <c r="BV47" s="38"/>
      <c r="BW47" s="537">
        <v>0</v>
      </c>
      <c r="BX47" s="206">
        <v>0</v>
      </c>
      <c r="BY47" s="206">
        <v>0</v>
      </c>
      <c r="BZ47" s="206">
        <v>0</v>
      </c>
      <c r="CA47" s="388">
        <f t="shared" si="42"/>
        <v>0</v>
      </c>
      <c r="CB47" s="38"/>
      <c r="CC47" s="537">
        <v>0</v>
      </c>
      <c r="CD47" s="206">
        <v>0</v>
      </c>
      <c r="CE47" s="206">
        <v>0</v>
      </c>
      <c r="CF47" s="206">
        <v>0</v>
      </c>
      <c r="CG47" s="388">
        <f t="shared" si="43"/>
        <v>0</v>
      </c>
    </row>
    <row r="48" spans="2:85" s="7" customFormat="1" ht="11.25" customHeight="1" x14ac:dyDescent="0.2">
      <c r="B48" s="491" t="s">
        <v>328</v>
      </c>
      <c r="C48" s="237"/>
      <c r="D48" s="39"/>
      <c r="E48" s="39"/>
      <c r="F48" s="39"/>
      <c r="G48" s="722"/>
      <c r="H48" s="38"/>
      <c r="I48" s="237"/>
      <c r="J48" s="39"/>
      <c r="K48" s="39"/>
      <c r="L48" s="39"/>
      <c r="M48" s="388">
        <f>+M14-G14</f>
        <v>0</v>
      </c>
      <c r="N48" s="38"/>
      <c r="O48" s="237"/>
      <c r="P48" s="39"/>
      <c r="Q48" s="39"/>
      <c r="R48" s="39"/>
      <c r="S48" s="388">
        <f>+S14-M14</f>
        <v>0</v>
      </c>
      <c r="T48" s="38"/>
      <c r="U48" s="237"/>
      <c r="V48" s="39"/>
      <c r="W48" s="39"/>
      <c r="X48" s="39"/>
      <c r="Y48" s="388">
        <f>+Y14-S14</f>
        <v>0</v>
      </c>
      <c r="Z48" s="38"/>
      <c r="AA48" s="237"/>
      <c r="AB48" s="39"/>
      <c r="AC48" s="39"/>
      <c r="AD48" s="39"/>
      <c r="AE48" s="388">
        <f>+AE14-Y14</f>
        <v>0</v>
      </c>
      <c r="AF48" s="38"/>
      <c r="AG48" s="237"/>
      <c r="AH48" s="39"/>
      <c r="AI48" s="39"/>
      <c r="AJ48" s="39"/>
      <c r="AK48" s="388">
        <f>+AK14-AE14</f>
        <v>50</v>
      </c>
      <c r="AL48" s="38"/>
      <c r="AM48" s="237"/>
      <c r="AN48" s="39"/>
      <c r="AO48" s="39"/>
      <c r="AP48" s="39"/>
      <c r="AQ48" s="388">
        <f>+AQ14-AK14</f>
        <v>0</v>
      </c>
      <c r="AR48" s="38"/>
      <c r="AS48" s="237">
        <f t="shared" si="27"/>
        <v>0</v>
      </c>
      <c r="AT48" s="39">
        <f t="shared" si="28"/>
        <v>0</v>
      </c>
      <c r="AU48" s="39">
        <f t="shared" si="28"/>
        <v>0</v>
      </c>
      <c r="AV48" s="39">
        <f t="shared" si="28"/>
        <v>0</v>
      </c>
      <c r="AW48" s="388">
        <f t="shared" si="29"/>
        <v>0</v>
      </c>
      <c r="AX48" s="38"/>
      <c r="AY48" s="237">
        <f t="shared" si="30"/>
        <v>0</v>
      </c>
      <c r="AZ48" s="39">
        <f t="shared" si="31"/>
        <v>0</v>
      </c>
      <c r="BA48" s="39">
        <f t="shared" si="31"/>
        <v>0</v>
      </c>
      <c r="BB48" s="39">
        <f t="shared" si="31"/>
        <v>0</v>
      </c>
      <c r="BC48" s="388">
        <f t="shared" si="32"/>
        <v>0</v>
      </c>
      <c r="BD48" s="38"/>
      <c r="BE48" s="237">
        <f t="shared" si="33"/>
        <v>-7.1430000000000007</v>
      </c>
      <c r="BF48" s="39">
        <f t="shared" si="34"/>
        <v>0</v>
      </c>
      <c r="BG48" s="39">
        <f t="shared" si="34"/>
        <v>0</v>
      </c>
      <c r="BH48" s="39">
        <f t="shared" si="34"/>
        <v>0</v>
      </c>
      <c r="BI48" s="388">
        <f t="shared" si="35"/>
        <v>-7.1430000000000007</v>
      </c>
      <c r="BJ48" s="38"/>
      <c r="BK48" s="237">
        <f t="shared" si="36"/>
        <v>-7.1430000000000007</v>
      </c>
      <c r="BL48" s="39">
        <f t="shared" si="37"/>
        <v>0</v>
      </c>
      <c r="BM48" s="39">
        <f t="shared" si="38"/>
        <v>0</v>
      </c>
      <c r="BN48" s="39">
        <f t="shared" si="39"/>
        <v>0</v>
      </c>
      <c r="BO48" s="388">
        <f t="shared" si="40"/>
        <v>-7.1430000000000007</v>
      </c>
      <c r="BP48" s="38"/>
      <c r="BQ48" s="537">
        <v>0</v>
      </c>
      <c r="BR48" s="206">
        <v>0</v>
      </c>
      <c r="BS48" s="206">
        <v>0</v>
      </c>
      <c r="BT48" s="206">
        <v>0</v>
      </c>
      <c r="BU48" s="388">
        <f t="shared" si="41"/>
        <v>0</v>
      </c>
      <c r="BV48" s="38"/>
      <c r="BW48" s="537">
        <v>0</v>
      </c>
      <c r="BX48" s="206">
        <v>0</v>
      </c>
      <c r="BY48" s="206">
        <v>0</v>
      </c>
      <c r="BZ48" s="206">
        <v>0</v>
      </c>
      <c r="CA48" s="388">
        <f t="shared" si="42"/>
        <v>0</v>
      </c>
      <c r="CB48" s="38"/>
      <c r="CC48" s="537">
        <v>0</v>
      </c>
      <c r="CD48" s="206">
        <v>0</v>
      </c>
      <c r="CE48" s="206">
        <v>0</v>
      </c>
      <c r="CF48" s="206">
        <v>0</v>
      </c>
      <c r="CG48" s="388">
        <f t="shared" si="43"/>
        <v>0</v>
      </c>
    </row>
    <row r="49" spans="2:85" s="7" customFormat="1" ht="11.25" customHeight="1" x14ac:dyDescent="0.2">
      <c r="B49" s="491" t="s">
        <v>329</v>
      </c>
      <c r="C49" s="237"/>
      <c r="D49" s="39"/>
      <c r="E49" s="39"/>
      <c r="F49" s="39"/>
      <c r="G49" s="722"/>
      <c r="H49" s="38"/>
      <c r="I49" s="237"/>
      <c r="J49" s="39"/>
      <c r="K49" s="39"/>
      <c r="L49" s="39"/>
      <c r="M49" s="388">
        <f>+M15-G15</f>
        <v>0</v>
      </c>
      <c r="N49" s="38"/>
      <c r="O49" s="237"/>
      <c r="P49" s="39"/>
      <c r="Q49" s="39"/>
      <c r="R49" s="39"/>
      <c r="S49" s="388">
        <f>+S15-M15</f>
        <v>0</v>
      </c>
      <c r="T49" s="38"/>
      <c r="U49" s="237"/>
      <c r="V49" s="39"/>
      <c r="W49" s="39"/>
      <c r="X49" s="39"/>
      <c r="Y49" s="388">
        <f>+Y15-S15</f>
        <v>0</v>
      </c>
      <c r="Z49" s="38"/>
      <c r="AA49" s="237"/>
      <c r="AB49" s="39"/>
      <c r="AC49" s="39"/>
      <c r="AD49" s="39"/>
      <c r="AE49" s="388">
        <f>+AE15-Y15</f>
        <v>0</v>
      </c>
      <c r="AF49" s="38"/>
      <c r="AG49" s="237"/>
      <c r="AH49" s="39"/>
      <c r="AI49" s="39"/>
      <c r="AJ49" s="39"/>
      <c r="AK49" s="388">
        <f>+AK15-AE15</f>
        <v>50</v>
      </c>
      <c r="AL49" s="38"/>
      <c r="AM49" s="237"/>
      <c r="AN49" s="39"/>
      <c r="AO49" s="39"/>
      <c r="AP49" s="39"/>
      <c r="AQ49" s="388">
        <f>+AQ15-AK15</f>
        <v>0</v>
      </c>
      <c r="AR49" s="38"/>
      <c r="AS49" s="237">
        <f t="shared" si="27"/>
        <v>0</v>
      </c>
      <c r="AT49" s="39">
        <f t="shared" si="28"/>
        <v>0</v>
      </c>
      <c r="AU49" s="39">
        <f t="shared" si="28"/>
        <v>0</v>
      </c>
      <c r="AV49" s="39">
        <f t="shared" si="28"/>
        <v>0</v>
      </c>
      <c r="AW49" s="388">
        <f t="shared" si="29"/>
        <v>0</v>
      </c>
      <c r="AX49" s="38"/>
      <c r="AY49" s="237">
        <f t="shared" si="30"/>
        <v>0</v>
      </c>
      <c r="AZ49" s="39">
        <f t="shared" si="31"/>
        <v>0</v>
      </c>
      <c r="BA49" s="39">
        <f t="shared" si="31"/>
        <v>0</v>
      </c>
      <c r="BB49" s="39">
        <f t="shared" si="31"/>
        <v>0</v>
      </c>
      <c r="BC49" s="388">
        <f t="shared" si="32"/>
        <v>0</v>
      </c>
      <c r="BD49" s="38"/>
      <c r="BE49" s="237">
        <f t="shared" si="33"/>
        <v>0</v>
      </c>
      <c r="BF49" s="39">
        <f t="shared" si="34"/>
        <v>0</v>
      </c>
      <c r="BG49" s="39">
        <f t="shared" si="34"/>
        <v>0</v>
      </c>
      <c r="BH49" s="39">
        <f t="shared" si="34"/>
        <v>0</v>
      </c>
      <c r="BI49" s="388">
        <f t="shared" si="35"/>
        <v>0</v>
      </c>
      <c r="BJ49" s="38"/>
      <c r="BK49" s="237">
        <f t="shared" si="36"/>
        <v>0</v>
      </c>
      <c r="BL49" s="39">
        <f t="shared" si="37"/>
        <v>0</v>
      </c>
      <c r="BM49" s="39">
        <f t="shared" si="38"/>
        <v>0</v>
      </c>
      <c r="BN49" s="39">
        <f t="shared" si="39"/>
        <v>0</v>
      </c>
      <c r="BO49" s="388">
        <f t="shared" si="40"/>
        <v>0</v>
      </c>
      <c r="BP49" s="38"/>
      <c r="BQ49" s="537">
        <v>0</v>
      </c>
      <c r="BR49" s="206">
        <v>0</v>
      </c>
      <c r="BS49" s="206">
        <v>0</v>
      </c>
      <c r="BT49" s="206">
        <v>0</v>
      </c>
      <c r="BU49" s="388">
        <f t="shared" si="41"/>
        <v>0</v>
      </c>
      <c r="BV49" s="38"/>
      <c r="BW49" s="537">
        <v>0</v>
      </c>
      <c r="BX49" s="206">
        <v>0</v>
      </c>
      <c r="BY49" s="206">
        <v>0</v>
      </c>
      <c r="BZ49" s="206">
        <v>0</v>
      </c>
      <c r="CA49" s="388">
        <f t="shared" si="42"/>
        <v>0</v>
      </c>
      <c r="CB49" s="38"/>
      <c r="CC49" s="537">
        <v>0</v>
      </c>
      <c r="CD49" s="206">
        <v>0</v>
      </c>
      <c r="CE49" s="206">
        <v>0</v>
      </c>
      <c r="CF49" s="206">
        <v>0</v>
      </c>
      <c r="CG49" s="388">
        <f t="shared" si="43"/>
        <v>0</v>
      </c>
    </row>
    <row r="50" spans="2:85" s="7" customFormat="1" ht="11.25" customHeight="1" x14ac:dyDescent="0.2">
      <c r="B50" s="491" t="s">
        <v>330</v>
      </c>
      <c r="C50" s="237"/>
      <c r="D50" s="39"/>
      <c r="E50" s="39"/>
      <c r="F50" s="39"/>
      <c r="G50" s="722"/>
      <c r="H50" s="38"/>
      <c r="I50" s="237"/>
      <c r="J50" s="39"/>
      <c r="K50" s="39"/>
      <c r="L50" s="39"/>
      <c r="M50" s="388">
        <f>+M16-G16</f>
        <v>0</v>
      </c>
      <c r="N50" s="38"/>
      <c r="O50" s="237"/>
      <c r="P50" s="39"/>
      <c r="Q50" s="39"/>
      <c r="R50" s="39"/>
      <c r="S50" s="388">
        <f>+S16-M16</f>
        <v>0</v>
      </c>
      <c r="T50" s="38"/>
      <c r="U50" s="237"/>
      <c r="V50" s="39"/>
      <c r="W50" s="39"/>
      <c r="X50" s="39"/>
      <c r="Y50" s="388">
        <f>+Y16-S16</f>
        <v>0</v>
      </c>
      <c r="Z50" s="38"/>
      <c r="AA50" s="237"/>
      <c r="AB50" s="39"/>
      <c r="AC50" s="39"/>
      <c r="AD50" s="39"/>
      <c r="AE50" s="388">
        <f>+AE16-Y16</f>
        <v>0</v>
      </c>
      <c r="AF50" s="38"/>
      <c r="AG50" s="237"/>
      <c r="AH50" s="39"/>
      <c r="AI50" s="39"/>
      <c r="AJ50" s="39"/>
      <c r="AK50" s="388">
        <f>+AK16-AE16</f>
        <v>0</v>
      </c>
      <c r="AL50" s="38"/>
      <c r="AM50" s="237"/>
      <c r="AN50" s="39"/>
      <c r="AO50" s="39"/>
      <c r="AP50" s="39"/>
      <c r="AQ50" s="388">
        <f>+AQ16-AK16</f>
        <v>0</v>
      </c>
      <c r="AR50" s="38"/>
      <c r="AS50" s="237">
        <f t="shared" si="27"/>
        <v>0</v>
      </c>
      <c r="AT50" s="39">
        <f t="shared" si="28"/>
        <v>100</v>
      </c>
      <c r="AU50" s="39">
        <f t="shared" si="28"/>
        <v>0</v>
      </c>
      <c r="AV50" s="39">
        <f t="shared" si="28"/>
        <v>0</v>
      </c>
      <c r="AW50" s="388">
        <f t="shared" si="29"/>
        <v>100</v>
      </c>
      <c r="AX50" s="38"/>
      <c r="AY50" s="237">
        <f t="shared" si="30"/>
        <v>0</v>
      </c>
      <c r="AZ50" s="39">
        <f t="shared" si="31"/>
        <v>0</v>
      </c>
      <c r="BA50" s="39">
        <f t="shared" si="31"/>
        <v>0</v>
      </c>
      <c r="BB50" s="39">
        <f t="shared" si="31"/>
        <v>0</v>
      </c>
      <c r="BC50" s="388">
        <f t="shared" si="32"/>
        <v>0</v>
      </c>
      <c r="BD50" s="38"/>
      <c r="BE50" s="237">
        <f t="shared" si="33"/>
        <v>0</v>
      </c>
      <c r="BF50" s="39">
        <f t="shared" si="34"/>
        <v>0</v>
      </c>
      <c r="BG50" s="39">
        <f t="shared" si="34"/>
        <v>0</v>
      </c>
      <c r="BH50" s="39">
        <f t="shared" si="34"/>
        <v>0</v>
      </c>
      <c r="BI50" s="388">
        <f t="shared" si="35"/>
        <v>0</v>
      </c>
      <c r="BJ50" s="38"/>
      <c r="BK50" s="237">
        <f t="shared" si="36"/>
        <v>0</v>
      </c>
      <c r="BL50" s="39">
        <f t="shared" si="37"/>
        <v>0</v>
      </c>
      <c r="BM50" s="39">
        <f t="shared" si="38"/>
        <v>0</v>
      </c>
      <c r="BN50" s="39">
        <f t="shared" si="39"/>
        <v>0</v>
      </c>
      <c r="BO50" s="388">
        <f t="shared" si="40"/>
        <v>0</v>
      </c>
      <c r="BP50" s="38"/>
      <c r="BQ50" s="537">
        <v>0</v>
      </c>
      <c r="BR50" s="206">
        <v>0</v>
      </c>
      <c r="BS50" s="206">
        <v>0</v>
      </c>
      <c r="BT50" s="206">
        <v>0</v>
      </c>
      <c r="BU50" s="388">
        <f t="shared" si="41"/>
        <v>0</v>
      </c>
      <c r="BV50" s="38"/>
      <c r="BW50" s="537">
        <v>0</v>
      </c>
      <c r="BX50" s="206">
        <v>0</v>
      </c>
      <c r="BY50" s="206">
        <v>0</v>
      </c>
      <c r="BZ50" s="206">
        <v>0</v>
      </c>
      <c r="CA50" s="388">
        <f t="shared" si="42"/>
        <v>0</v>
      </c>
      <c r="CB50" s="38"/>
      <c r="CC50" s="537">
        <v>0</v>
      </c>
      <c r="CD50" s="206">
        <v>0</v>
      </c>
      <c r="CE50" s="206">
        <v>0</v>
      </c>
      <c r="CF50" s="206">
        <v>0</v>
      </c>
      <c r="CG50" s="388">
        <f t="shared" si="43"/>
        <v>0</v>
      </c>
    </row>
    <row r="51" spans="2:85" s="7" customFormat="1" ht="11.25" customHeight="1" x14ac:dyDescent="0.2">
      <c r="B51" s="1149" t="s">
        <v>596</v>
      </c>
      <c r="C51" s="627"/>
      <c r="D51" s="39"/>
      <c r="E51" s="39"/>
      <c r="F51" s="39"/>
      <c r="G51" s="722"/>
      <c r="H51" s="38"/>
      <c r="I51" s="627"/>
      <c r="J51" s="39"/>
      <c r="K51" s="39"/>
      <c r="L51" s="39"/>
      <c r="M51" s="388"/>
      <c r="N51" s="38"/>
      <c r="O51" s="627"/>
      <c r="P51" s="39"/>
      <c r="Q51" s="39"/>
      <c r="R51" s="39"/>
      <c r="S51" s="388"/>
      <c r="T51" s="38"/>
      <c r="U51" s="627"/>
      <c r="V51" s="39"/>
      <c r="W51" s="39"/>
      <c r="X51" s="39"/>
      <c r="Y51" s="388"/>
      <c r="Z51" s="38"/>
      <c r="AA51" s="627"/>
      <c r="AB51" s="39"/>
      <c r="AC51" s="39"/>
      <c r="AD51" s="39"/>
      <c r="AE51" s="388"/>
      <c r="AF51" s="38"/>
      <c r="AG51" s="627"/>
      <c r="AH51" s="39"/>
      <c r="AI51" s="39"/>
      <c r="AJ51" s="39"/>
      <c r="AK51" s="388"/>
      <c r="AL51" s="38"/>
      <c r="AM51" s="627"/>
      <c r="AN51" s="39"/>
      <c r="AO51" s="39"/>
      <c r="AP51" s="39"/>
      <c r="AQ51" s="388"/>
      <c r="AR51" s="38"/>
      <c r="AS51" s="237">
        <f t="shared" si="27"/>
        <v>0</v>
      </c>
      <c r="AT51" s="39">
        <f t="shared" si="28"/>
        <v>0</v>
      </c>
      <c r="AU51" s="39">
        <f t="shared" si="28"/>
        <v>0</v>
      </c>
      <c r="AV51" s="39">
        <f t="shared" si="28"/>
        <v>0</v>
      </c>
      <c r="AW51" s="388">
        <f t="shared" si="29"/>
        <v>0</v>
      </c>
      <c r="AX51" s="38"/>
      <c r="AY51" s="237">
        <f t="shared" si="30"/>
        <v>0</v>
      </c>
      <c r="AZ51" s="39">
        <f t="shared" si="31"/>
        <v>0</v>
      </c>
      <c r="BA51" s="39">
        <f t="shared" si="31"/>
        <v>0</v>
      </c>
      <c r="BB51" s="39">
        <f t="shared" si="31"/>
        <v>0</v>
      </c>
      <c r="BC51" s="388">
        <f t="shared" si="32"/>
        <v>0</v>
      </c>
      <c r="BD51" s="38"/>
      <c r="BE51" s="237">
        <f t="shared" si="33"/>
        <v>0</v>
      </c>
      <c r="BF51" s="39">
        <f t="shared" si="34"/>
        <v>0</v>
      </c>
      <c r="BG51" s="39">
        <f t="shared" si="34"/>
        <v>0</v>
      </c>
      <c r="BH51" s="39">
        <f t="shared" si="34"/>
        <v>0</v>
      </c>
      <c r="BI51" s="388">
        <f t="shared" si="35"/>
        <v>0</v>
      </c>
      <c r="BJ51" s="38"/>
      <c r="BK51" s="237">
        <f t="shared" si="36"/>
        <v>0</v>
      </c>
      <c r="BL51" s="39">
        <f t="shared" si="37"/>
        <v>100</v>
      </c>
      <c r="BM51" s="39">
        <f t="shared" si="38"/>
        <v>0</v>
      </c>
      <c r="BN51" s="39">
        <f t="shared" si="39"/>
        <v>0</v>
      </c>
      <c r="BO51" s="388">
        <f t="shared" si="40"/>
        <v>100</v>
      </c>
      <c r="BP51" s="38"/>
      <c r="BQ51" s="537">
        <v>0</v>
      </c>
      <c r="BR51" s="206">
        <v>0</v>
      </c>
      <c r="BS51" s="206">
        <v>0</v>
      </c>
      <c r="BT51" s="206">
        <v>0</v>
      </c>
      <c r="BU51" s="388">
        <f t="shared" si="41"/>
        <v>0</v>
      </c>
      <c r="BV51" s="38"/>
      <c r="BW51" s="537">
        <v>0</v>
      </c>
      <c r="BX51" s="206">
        <v>0</v>
      </c>
      <c r="BY51" s="206">
        <v>0</v>
      </c>
      <c r="BZ51" s="206">
        <v>0</v>
      </c>
      <c r="CA51" s="388">
        <f t="shared" si="42"/>
        <v>0</v>
      </c>
      <c r="CB51" s="38"/>
      <c r="CC51" s="537">
        <v>0</v>
      </c>
      <c r="CD51" s="206">
        <v>0</v>
      </c>
      <c r="CE51" s="206">
        <v>0</v>
      </c>
      <c r="CF51" s="206">
        <v>0</v>
      </c>
      <c r="CG51" s="388">
        <f t="shared" si="43"/>
        <v>0</v>
      </c>
    </row>
    <row r="52" spans="2:85" s="7" customFormat="1" ht="11.25" customHeight="1" x14ac:dyDescent="0.2">
      <c r="B52" s="1149" t="s">
        <v>625</v>
      </c>
      <c r="C52" s="627"/>
      <c r="D52" s="39"/>
      <c r="E52" s="39"/>
      <c r="F52" s="39"/>
      <c r="G52" s="722"/>
      <c r="H52" s="38"/>
      <c r="I52" s="627"/>
      <c r="J52" s="39"/>
      <c r="K52" s="39"/>
      <c r="L52" s="39"/>
      <c r="M52" s="388"/>
      <c r="N52" s="38"/>
      <c r="O52" s="627"/>
      <c r="P52" s="39"/>
      <c r="Q52" s="39"/>
      <c r="R52" s="39"/>
      <c r="S52" s="388"/>
      <c r="T52" s="38"/>
      <c r="U52" s="627"/>
      <c r="V52" s="39"/>
      <c r="W52" s="39"/>
      <c r="X52" s="39"/>
      <c r="Y52" s="388"/>
      <c r="Z52" s="38"/>
      <c r="AA52" s="627"/>
      <c r="AB52" s="39"/>
      <c r="AC52" s="39"/>
      <c r="AD52" s="39"/>
      <c r="AE52" s="388"/>
      <c r="AF52" s="38"/>
      <c r="AG52" s="627"/>
      <c r="AH52" s="39"/>
      <c r="AI52" s="39"/>
      <c r="AJ52" s="39"/>
      <c r="AK52" s="388"/>
      <c r="AL52" s="38"/>
      <c r="AM52" s="627"/>
      <c r="AN52" s="39"/>
      <c r="AO52" s="39"/>
      <c r="AP52" s="39"/>
      <c r="AQ52" s="388"/>
      <c r="AR52" s="38"/>
      <c r="AS52" s="237">
        <f t="shared" si="27"/>
        <v>0</v>
      </c>
      <c r="AT52" s="39">
        <f t="shared" si="28"/>
        <v>0</v>
      </c>
      <c r="AU52" s="39">
        <f t="shared" si="28"/>
        <v>0</v>
      </c>
      <c r="AV52" s="39">
        <f t="shared" si="28"/>
        <v>0</v>
      </c>
      <c r="AW52" s="388">
        <f t="shared" si="29"/>
        <v>0</v>
      </c>
      <c r="AX52" s="38"/>
      <c r="AY52" s="237">
        <f t="shared" si="30"/>
        <v>0</v>
      </c>
      <c r="AZ52" s="39">
        <f t="shared" si="31"/>
        <v>0</v>
      </c>
      <c r="BA52" s="39">
        <f t="shared" si="31"/>
        <v>0</v>
      </c>
      <c r="BB52" s="39">
        <f t="shared" si="31"/>
        <v>0</v>
      </c>
      <c r="BC52" s="388">
        <f t="shared" si="32"/>
        <v>0</v>
      </c>
      <c r="BD52" s="38"/>
      <c r="BE52" s="237">
        <f t="shared" si="33"/>
        <v>0</v>
      </c>
      <c r="BF52" s="39">
        <f t="shared" si="34"/>
        <v>0</v>
      </c>
      <c r="BG52" s="39">
        <f t="shared" si="34"/>
        <v>0</v>
      </c>
      <c r="BH52" s="39">
        <f t="shared" si="34"/>
        <v>0</v>
      </c>
      <c r="BI52" s="388">
        <f t="shared" si="35"/>
        <v>0</v>
      </c>
      <c r="BJ52" s="38"/>
      <c r="BK52" s="237">
        <f t="shared" si="36"/>
        <v>0</v>
      </c>
      <c r="BL52" s="39">
        <f t="shared" si="37"/>
        <v>100</v>
      </c>
      <c r="BM52" s="39">
        <f t="shared" si="38"/>
        <v>-0.25</v>
      </c>
      <c r="BN52" s="39">
        <f t="shared" si="39"/>
        <v>-0.16899999999999693</v>
      </c>
      <c r="BO52" s="388">
        <f t="shared" si="40"/>
        <v>99.581000000000003</v>
      </c>
      <c r="BP52" s="38"/>
      <c r="BQ52" s="537">
        <v>0</v>
      </c>
      <c r="BR52" s="206">
        <v>0</v>
      </c>
      <c r="BS52" s="206">
        <v>0</v>
      </c>
      <c r="BT52" s="206">
        <v>0</v>
      </c>
      <c r="BU52" s="388">
        <f t="shared" si="41"/>
        <v>0</v>
      </c>
      <c r="BV52" s="38"/>
      <c r="BW52" s="537">
        <v>0</v>
      </c>
      <c r="BX52" s="206">
        <v>0</v>
      </c>
      <c r="BY52" s="206">
        <v>0</v>
      </c>
      <c r="BZ52" s="206">
        <v>0</v>
      </c>
      <c r="CA52" s="388">
        <f t="shared" si="42"/>
        <v>0</v>
      </c>
      <c r="CB52" s="38"/>
      <c r="CC52" s="537">
        <v>0</v>
      </c>
      <c r="CD52" s="206">
        <v>0</v>
      </c>
      <c r="CE52" s="206">
        <v>0</v>
      </c>
      <c r="CF52" s="206">
        <v>0</v>
      </c>
      <c r="CG52" s="388">
        <f t="shared" si="43"/>
        <v>0</v>
      </c>
    </row>
    <row r="53" spans="2:85" s="7" customFormat="1" ht="11.25" customHeight="1" x14ac:dyDescent="0.2">
      <c r="B53" s="429"/>
      <c r="C53" s="237"/>
      <c r="D53" s="39"/>
      <c r="E53" s="39"/>
      <c r="F53" s="39"/>
      <c r="G53" s="722"/>
      <c r="H53" s="39"/>
      <c r="I53" s="237"/>
      <c r="J53" s="39"/>
      <c r="K53" s="39"/>
      <c r="L53" s="39"/>
      <c r="M53" s="388"/>
      <c r="N53" s="39"/>
      <c r="O53" s="237"/>
      <c r="P53" s="39"/>
      <c r="Q53" s="39"/>
      <c r="R53" s="39"/>
      <c r="S53" s="388"/>
      <c r="T53" s="39"/>
      <c r="U53" s="237"/>
      <c r="V53" s="39"/>
      <c r="W53" s="39"/>
      <c r="X53" s="39"/>
      <c r="Y53" s="388"/>
      <c r="Z53" s="39"/>
      <c r="AA53" s="237"/>
      <c r="AB53" s="39"/>
      <c r="AC53" s="39"/>
      <c r="AD53" s="39"/>
      <c r="AE53" s="388"/>
      <c r="AF53" s="39"/>
      <c r="AG53" s="237"/>
      <c r="AH53" s="39"/>
      <c r="AI53" s="39"/>
      <c r="AJ53" s="39"/>
      <c r="AK53" s="388"/>
      <c r="AL53" s="39"/>
      <c r="AM53" s="237"/>
      <c r="AN53" s="39"/>
      <c r="AO53" s="39"/>
      <c r="AP53" s="39"/>
      <c r="AQ53" s="388"/>
      <c r="AR53" s="39"/>
      <c r="AS53" s="237"/>
      <c r="AT53" s="39"/>
      <c r="AU53" s="39"/>
      <c r="AV53" s="39"/>
      <c r="AW53" s="388"/>
      <c r="AX53" s="39"/>
      <c r="AY53" s="237"/>
      <c r="AZ53" s="39"/>
      <c r="BA53" s="39"/>
      <c r="BB53" s="39"/>
      <c r="BC53" s="388"/>
      <c r="BD53" s="39"/>
      <c r="BE53" s="237"/>
      <c r="BF53" s="39"/>
      <c r="BG53" s="39"/>
      <c r="BH53" s="39"/>
      <c r="BI53" s="388"/>
      <c r="BJ53" s="39"/>
      <c r="BK53" s="237"/>
      <c r="BL53" s="39"/>
      <c r="BM53" s="39"/>
      <c r="BN53" s="39"/>
      <c r="BO53" s="388"/>
      <c r="BP53" s="39"/>
      <c r="BQ53" s="237"/>
      <c r="BR53" s="39"/>
      <c r="BS53" s="39"/>
      <c r="BT53" s="39"/>
      <c r="BU53" s="388"/>
      <c r="BV53" s="39"/>
      <c r="BW53" s="237"/>
      <c r="BX53" s="39"/>
      <c r="BY53" s="39"/>
      <c r="BZ53" s="39"/>
      <c r="CA53" s="388"/>
      <c r="CB53" s="39"/>
      <c r="CC53" s="237"/>
      <c r="CD53" s="39"/>
      <c r="CE53" s="39"/>
      <c r="CF53" s="39"/>
      <c r="CG53" s="388"/>
    </row>
    <row r="54" spans="2:85" s="7" customFormat="1" ht="11.25" customHeight="1" x14ac:dyDescent="0.2">
      <c r="B54" s="429" t="s">
        <v>321</v>
      </c>
      <c r="C54" s="237" t="s">
        <v>448</v>
      </c>
      <c r="D54" s="39"/>
      <c r="E54" s="39"/>
      <c r="F54" s="39"/>
      <c r="G54" s="722"/>
      <c r="H54" s="38"/>
      <c r="I54" s="237"/>
      <c r="J54" s="39"/>
      <c r="K54" s="39"/>
      <c r="L54" s="39"/>
      <c r="M54" s="388">
        <f t="shared" ref="M54:M60" si="44">+M20-G20</f>
        <v>0</v>
      </c>
      <c r="N54" s="38"/>
      <c r="O54" s="237"/>
      <c r="P54" s="39"/>
      <c r="Q54" s="39"/>
      <c r="R54" s="39"/>
      <c r="S54" s="388">
        <f t="shared" ref="S54:S60" si="45">+S20-M20</f>
        <v>0</v>
      </c>
      <c r="T54" s="38"/>
      <c r="U54" s="237"/>
      <c r="V54" s="39"/>
      <c r="W54" s="39"/>
      <c r="X54" s="39"/>
      <c r="Y54" s="388">
        <f t="shared" ref="Y54:Y60" si="46">+Y20-S20</f>
        <v>0</v>
      </c>
      <c r="Z54" s="38"/>
      <c r="AA54" s="237"/>
      <c r="AB54" s="39"/>
      <c r="AC54" s="39"/>
      <c r="AD54" s="39"/>
      <c r="AE54" s="388">
        <f t="shared" ref="AE54:AE60" si="47">+AE20-Y20</f>
        <v>0</v>
      </c>
      <c r="AF54" s="38"/>
      <c r="AG54" s="237"/>
      <c r="AH54" s="39"/>
      <c r="AI54" s="39"/>
      <c r="AJ54" s="39"/>
      <c r="AK54" s="388">
        <f t="shared" ref="AK54:AK60" si="48">+AK20-AE20</f>
        <v>0</v>
      </c>
      <c r="AL54" s="38"/>
      <c r="AM54" s="237"/>
      <c r="AN54" s="39"/>
      <c r="AO54" s="39"/>
      <c r="AP54" s="39"/>
      <c r="AQ54" s="388">
        <f t="shared" ref="AQ54:AQ60" si="49">+AQ20-AK20</f>
        <v>160</v>
      </c>
      <c r="AR54" s="38"/>
      <c r="AS54" s="237">
        <f t="shared" ref="AS54:AS60" si="50">+AS20-AQ20</f>
        <v>90</v>
      </c>
      <c r="AT54" s="39">
        <f t="shared" ref="AT54:AV60" si="51">+AT20-AS20</f>
        <v>24.399999999999977</v>
      </c>
      <c r="AU54" s="39">
        <f t="shared" si="51"/>
        <v>-34.399999999999977</v>
      </c>
      <c r="AV54" s="39">
        <f t="shared" si="51"/>
        <v>-90</v>
      </c>
      <c r="AW54" s="388">
        <f t="shared" ref="AW54:AW60" si="52">+AW20-AQ20</f>
        <v>-10</v>
      </c>
      <c r="AX54" s="38"/>
      <c r="AY54" s="237">
        <f t="shared" ref="AY54:AY60" si="53">+AY20-AW20</f>
        <v>125</v>
      </c>
      <c r="AZ54" s="39">
        <f t="shared" ref="AZ54:BB60" si="54">+AZ20-AY20</f>
        <v>-65</v>
      </c>
      <c r="BA54" s="39">
        <f t="shared" si="54"/>
        <v>10</v>
      </c>
      <c r="BB54" s="39">
        <f t="shared" si="54"/>
        <v>-130</v>
      </c>
      <c r="BC54" s="388">
        <f t="shared" ref="BC54:BC60" si="55">+SUM(AY54:BB54)</f>
        <v>-60</v>
      </c>
      <c r="BD54" s="38"/>
      <c r="BE54" s="237">
        <f t="shared" ref="BE54:BE60" si="56">+BE20-BC20</f>
        <v>210</v>
      </c>
      <c r="BF54" s="39">
        <f t="shared" ref="BF54:BH60" si="57">+BF20-BE20</f>
        <v>34</v>
      </c>
      <c r="BG54" s="39">
        <f t="shared" si="57"/>
        <v>16</v>
      </c>
      <c r="BH54" s="39">
        <f t="shared" si="57"/>
        <v>0</v>
      </c>
      <c r="BI54" s="388">
        <f t="shared" ref="BI54:BI60" si="58">+SUM(BE54:BH54)</f>
        <v>260</v>
      </c>
      <c r="BJ54" s="38"/>
      <c r="BK54" s="237">
        <f t="shared" ref="BK54:BK60" si="59">+BK20-BI20</f>
        <v>0</v>
      </c>
      <c r="BL54" s="39">
        <f t="shared" ref="BL54:BL60" si="60">+BL20-BK20</f>
        <v>-0.43999999999999773</v>
      </c>
      <c r="BM54" s="39">
        <f t="shared" ref="BM54:BM60" si="61">+BM20-BL20</f>
        <v>0.43999999999999773</v>
      </c>
      <c r="BN54" s="39">
        <f t="shared" ref="BN54:BN60" si="62">+BN20-BM20</f>
        <v>0</v>
      </c>
      <c r="BO54" s="388">
        <f t="shared" ref="BO54:BO60" si="63">+SUM(BK54:BN54)</f>
        <v>0</v>
      </c>
      <c r="BP54" s="38"/>
      <c r="BQ54" s="537">
        <v>0</v>
      </c>
      <c r="BR54" s="206">
        <v>0</v>
      </c>
      <c r="BS54" s="206">
        <v>0</v>
      </c>
      <c r="BT54" s="206">
        <v>0</v>
      </c>
      <c r="BU54" s="388">
        <f t="shared" ref="BU54:BU60" si="64">+SUM(BQ54:BT54)</f>
        <v>0</v>
      </c>
      <c r="BV54" s="38"/>
      <c r="BW54" s="537">
        <v>0</v>
      </c>
      <c r="BX54" s="206">
        <v>0</v>
      </c>
      <c r="BY54" s="206">
        <v>0</v>
      </c>
      <c r="BZ54" s="206">
        <v>0</v>
      </c>
      <c r="CA54" s="388">
        <f t="shared" ref="CA54:CA60" si="65">+SUM(BW54:BZ54)</f>
        <v>0</v>
      </c>
      <c r="CB54" s="38"/>
      <c r="CC54" s="537">
        <v>0</v>
      </c>
      <c r="CD54" s="206">
        <v>0</v>
      </c>
      <c r="CE54" s="206">
        <v>0</v>
      </c>
      <c r="CF54" s="206">
        <v>0</v>
      </c>
      <c r="CG54" s="388">
        <f t="shared" ref="CG54:CG60" si="66">+SUM(CC54:CF54)</f>
        <v>0</v>
      </c>
    </row>
    <row r="55" spans="2:85" s="7" customFormat="1" ht="11.25" customHeight="1" x14ac:dyDescent="0.2">
      <c r="B55" s="429" t="s">
        <v>337</v>
      </c>
      <c r="C55" s="237" t="s">
        <v>448</v>
      </c>
      <c r="D55" s="39"/>
      <c r="E55" s="39"/>
      <c r="F55" s="39"/>
      <c r="G55" s="722"/>
      <c r="H55" s="38"/>
      <c r="I55" s="237"/>
      <c r="J55" s="39"/>
      <c r="K55" s="39"/>
      <c r="L55" s="39"/>
      <c r="M55" s="388">
        <f t="shared" si="44"/>
        <v>-16.338999999999999</v>
      </c>
      <c r="N55" s="38"/>
      <c r="O55" s="237"/>
      <c r="P55" s="39"/>
      <c r="Q55" s="39"/>
      <c r="R55" s="39"/>
      <c r="S55" s="388">
        <f t="shared" si="45"/>
        <v>-152.048</v>
      </c>
      <c r="T55" s="38"/>
      <c r="U55" s="237"/>
      <c r="V55" s="39"/>
      <c r="W55" s="39"/>
      <c r="X55" s="39"/>
      <c r="Y55" s="388">
        <f t="shared" si="46"/>
        <v>-20.452999999999999</v>
      </c>
      <c r="Z55" s="38"/>
      <c r="AA55" s="237"/>
      <c r="AB55" s="39"/>
      <c r="AC55" s="39"/>
      <c r="AD55" s="39"/>
      <c r="AE55" s="388">
        <f t="shared" si="47"/>
        <v>0</v>
      </c>
      <c r="AF55" s="38"/>
      <c r="AG55" s="237"/>
      <c r="AH55" s="39"/>
      <c r="AI55" s="39"/>
      <c r="AJ55" s="39"/>
      <c r="AK55" s="388">
        <f t="shared" si="48"/>
        <v>0</v>
      </c>
      <c r="AL55" s="38"/>
      <c r="AM55" s="237"/>
      <c r="AN55" s="39"/>
      <c r="AO55" s="39"/>
      <c r="AP55" s="39"/>
      <c r="AQ55" s="388">
        <f t="shared" si="49"/>
        <v>0</v>
      </c>
      <c r="AR55" s="38"/>
      <c r="AS55" s="237">
        <f t="shared" si="50"/>
        <v>0</v>
      </c>
      <c r="AT55" s="39">
        <f t="shared" si="51"/>
        <v>0</v>
      </c>
      <c r="AU55" s="39">
        <f t="shared" si="51"/>
        <v>0</v>
      </c>
      <c r="AV55" s="39">
        <f t="shared" si="51"/>
        <v>0</v>
      </c>
      <c r="AW55" s="388">
        <f t="shared" si="52"/>
        <v>0</v>
      </c>
      <c r="AX55" s="38"/>
      <c r="AY55" s="237">
        <f t="shared" si="53"/>
        <v>0</v>
      </c>
      <c r="AZ55" s="39">
        <f t="shared" si="54"/>
        <v>0</v>
      </c>
      <c r="BA55" s="39">
        <f t="shared" si="54"/>
        <v>0</v>
      </c>
      <c r="BB55" s="39">
        <f t="shared" si="54"/>
        <v>0</v>
      </c>
      <c r="BC55" s="388">
        <f t="shared" si="55"/>
        <v>0</v>
      </c>
      <c r="BD55" s="38"/>
      <c r="BE55" s="237">
        <f t="shared" si="56"/>
        <v>0</v>
      </c>
      <c r="BF55" s="39">
        <f t="shared" si="57"/>
        <v>0</v>
      </c>
      <c r="BG55" s="39">
        <f t="shared" si="57"/>
        <v>0</v>
      </c>
      <c r="BH55" s="39">
        <f t="shared" si="57"/>
        <v>0</v>
      </c>
      <c r="BI55" s="388">
        <f t="shared" si="58"/>
        <v>0</v>
      </c>
      <c r="BJ55" s="38"/>
      <c r="BK55" s="237">
        <f t="shared" si="59"/>
        <v>0</v>
      </c>
      <c r="BL55" s="39">
        <f t="shared" si="60"/>
        <v>0</v>
      </c>
      <c r="BM55" s="39">
        <f t="shared" si="61"/>
        <v>0</v>
      </c>
      <c r="BN55" s="39">
        <f t="shared" si="62"/>
        <v>0</v>
      </c>
      <c r="BO55" s="388">
        <f t="shared" si="63"/>
        <v>0</v>
      </c>
      <c r="BP55" s="38"/>
      <c r="BQ55" s="537">
        <v>0</v>
      </c>
      <c r="BR55" s="206">
        <v>0</v>
      </c>
      <c r="BS55" s="206">
        <v>0</v>
      </c>
      <c r="BT55" s="206">
        <v>0</v>
      </c>
      <c r="BU55" s="388">
        <f t="shared" si="64"/>
        <v>0</v>
      </c>
      <c r="BV55" s="38"/>
      <c r="BW55" s="537">
        <v>0</v>
      </c>
      <c r="BX55" s="206">
        <v>0</v>
      </c>
      <c r="BY55" s="206">
        <v>0</v>
      </c>
      <c r="BZ55" s="206">
        <v>0</v>
      </c>
      <c r="CA55" s="388">
        <f t="shared" si="65"/>
        <v>0</v>
      </c>
      <c r="CB55" s="38"/>
      <c r="CC55" s="537">
        <v>0</v>
      </c>
      <c r="CD55" s="206">
        <v>0</v>
      </c>
      <c r="CE55" s="206">
        <v>0</v>
      </c>
      <c r="CF55" s="206">
        <v>0</v>
      </c>
      <c r="CG55" s="388">
        <f t="shared" si="66"/>
        <v>0</v>
      </c>
    </row>
    <row r="56" spans="2:85" s="7" customFormat="1" ht="11.25" customHeight="1" x14ac:dyDescent="0.2">
      <c r="B56" s="429" t="s">
        <v>338</v>
      </c>
      <c r="C56" s="237" t="s">
        <v>450</v>
      </c>
      <c r="D56" s="39"/>
      <c r="E56" s="39"/>
      <c r="F56" s="39"/>
      <c r="G56" s="722"/>
      <c r="H56" s="38"/>
      <c r="I56" s="237"/>
      <c r="J56" s="39"/>
      <c r="K56" s="39"/>
      <c r="L56" s="39"/>
      <c r="M56" s="388">
        <f t="shared" si="44"/>
        <v>-9.9979999999999905</v>
      </c>
      <c r="N56" s="38"/>
      <c r="O56" s="237"/>
      <c r="P56" s="39"/>
      <c r="Q56" s="39"/>
      <c r="R56" s="39"/>
      <c r="S56" s="388">
        <f t="shared" si="45"/>
        <v>5.9909999999999854</v>
      </c>
      <c r="T56" s="38"/>
      <c r="U56" s="237"/>
      <c r="V56" s="39"/>
      <c r="W56" s="39"/>
      <c r="X56" s="39"/>
      <c r="Y56" s="388">
        <f t="shared" si="46"/>
        <v>-235.99299999999999</v>
      </c>
      <c r="Z56" s="38"/>
      <c r="AA56" s="237"/>
      <c r="AB56" s="39"/>
      <c r="AC56" s="39"/>
      <c r="AD56" s="39"/>
      <c r="AE56" s="388">
        <f t="shared" si="47"/>
        <v>0</v>
      </c>
      <c r="AF56" s="38"/>
      <c r="AG56" s="237"/>
      <c r="AH56" s="39"/>
      <c r="AI56" s="39"/>
      <c r="AJ56" s="39"/>
      <c r="AK56" s="388">
        <f t="shared" si="48"/>
        <v>0</v>
      </c>
      <c r="AL56" s="38"/>
      <c r="AM56" s="237"/>
      <c r="AN56" s="39"/>
      <c r="AO56" s="39"/>
      <c r="AP56" s="39"/>
      <c r="AQ56" s="388">
        <f t="shared" si="49"/>
        <v>0</v>
      </c>
      <c r="AR56" s="38"/>
      <c r="AS56" s="237">
        <f t="shared" si="50"/>
        <v>0</v>
      </c>
      <c r="AT56" s="39">
        <f t="shared" si="51"/>
        <v>0</v>
      </c>
      <c r="AU56" s="39">
        <f t="shared" si="51"/>
        <v>0</v>
      </c>
      <c r="AV56" s="39">
        <f t="shared" si="51"/>
        <v>0</v>
      </c>
      <c r="AW56" s="388">
        <f t="shared" si="52"/>
        <v>0</v>
      </c>
      <c r="AX56" s="38"/>
      <c r="AY56" s="237">
        <f t="shared" si="53"/>
        <v>0</v>
      </c>
      <c r="AZ56" s="39">
        <f t="shared" si="54"/>
        <v>0</v>
      </c>
      <c r="BA56" s="39">
        <f t="shared" si="54"/>
        <v>0</v>
      </c>
      <c r="BB56" s="39">
        <f t="shared" si="54"/>
        <v>0</v>
      </c>
      <c r="BC56" s="388">
        <f t="shared" si="55"/>
        <v>0</v>
      </c>
      <c r="BD56" s="38"/>
      <c r="BE56" s="237">
        <f t="shared" si="56"/>
        <v>0</v>
      </c>
      <c r="BF56" s="39">
        <f t="shared" si="57"/>
        <v>0</v>
      </c>
      <c r="BG56" s="39">
        <f t="shared" si="57"/>
        <v>0</v>
      </c>
      <c r="BH56" s="39">
        <f t="shared" si="57"/>
        <v>0</v>
      </c>
      <c r="BI56" s="388">
        <f t="shared" si="58"/>
        <v>0</v>
      </c>
      <c r="BJ56" s="38"/>
      <c r="BK56" s="237">
        <f t="shared" si="59"/>
        <v>0</v>
      </c>
      <c r="BL56" s="39">
        <f t="shared" si="60"/>
        <v>0</v>
      </c>
      <c r="BM56" s="39">
        <f t="shared" si="61"/>
        <v>0</v>
      </c>
      <c r="BN56" s="39">
        <f t="shared" si="62"/>
        <v>0</v>
      </c>
      <c r="BO56" s="388">
        <f t="shared" si="63"/>
        <v>0</v>
      </c>
      <c r="BP56" s="38"/>
      <c r="BQ56" s="537">
        <v>0</v>
      </c>
      <c r="BR56" s="206">
        <v>0</v>
      </c>
      <c r="BS56" s="206">
        <v>0</v>
      </c>
      <c r="BT56" s="206">
        <v>0</v>
      </c>
      <c r="BU56" s="388">
        <f t="shared" si="64"/>
        <v>0</v>
      </c>
      <c r="BV56" s="38"/>
      <c r="BW56" s="537">
        <v>0</v>
      </c>
      <c r="BX56" s="206">
        <v>0</v>
      </c>
      <c r="BY56" s="206">
        <v>0</v>
      </c>
      <c r="BZ56" s="206">
        <v>0</v>
      </c>
      <c r="CA56" s="388">
        <f t="shared" si="65"/>
        <v>0</v>
      </c>
      <c r="CB56" s="38"/>
      <c r="CC56" s="537">
        <v>0</v>
      </c>
      <c r="CD56" s="206">
        <v>0</v>
      </c>
      <c r="CE56" s="206">
        <v>0</v>
      </c>
      <c r="CF56" s="206">
        <v>0</v>
      </c>
      <c r="CG56" s="388">
        <f t="shared" si="66"/>
        <v>0</v>
      </c>
    </row>
    <row r="57" spans="2:85" s="7" customFormat="1" ht="11.25" customHeight="1" x14ac:dyDescent="0.2">
      <c r="B57" s="429" t="s">
        <v>318</v>
      </c>
      <c r="C57" s="237" t="s">
        <v>448</v>
      </c>
      <c r="D57" s="39"/>
      <c r="E57" s="39"/>
      <c r="F57" s="39"/>
      <c r="G57" s="722"/>
      <c r="H57" s="38"/>
      <c r="I57" s="237"/>
      <c r="J57" s="39"/>
      <c r="K57" s="39"/>
      <c r="L57" s="39"/>
      <c r="M57" s="388">
        <f t="shared" si="44"/>
        <v>-0.65700000000000003</v>
      </c>
      <c r="N57" s="38"/>
      <c r="O57" s="237"/>
      <c r="P57" s="39"/>
      <c r="Q57" s="39"/>
      <c r="R57" s="39"/>
      <c r="S57" s="388">
        <f t="shared" si="45"/>
        <v>-0.60399999999999998</v>
      </c>
      <c r="T57" s="38"/>
      <c r="U57" s="237"/>
      <c r="V57" s="39"/>
      <c r="W57" s="39"/>
      <c r="X57" s="39"/>
      <c r="Y57" s="388">
        <f t="shared" si="46"/>
        <v>279.036</v>
      </c>
      <c r="Z57" s="38"/>
      <c r="AA57" s="237"/>
      <c r="AB57" s="39"/>
      <c r="AC57" s="39"/>
      <c r="AD57" s="39"/>
      <c r="AE57" s="388">
        <f t="shared" si="47"/>
        <v>-267.892</v>
      </c>
      <c r="AF57" s="38"/>
      <c r="AG57" s="237"/>
      <c r="AH57" s="39"/>
      <c r="AI57" s="39"/>
      <c r="AJ57" s="39"/>
      <c r="AK57" s="388">
        <f t="shared" si="48"/>
        <v>0.18900000000000006</v>
      </c>
      <c r="AL57" s="38"/>
      <c r="AM57" s="237"/>
      <c r="AN57" s="39"/>
      <c r="AO57" s="39"/>
      <c r="AP57" s="39"/>
      <c r="AQ57" s="388">
        <f t="shared" si="49"/>
        <v>-11.279</v>
      </c>
      <c r="AR57" s="38"/>
      <c r="AS57" s="237">
        <f t="shared" si="50"/>
        <v>-7.2999999999999995E-2</v>
      </c>
      <c r="AT57" s="39">
        <f t="shared" si="51"/>
        <v>0</v>
      </c>
      <c r="AU57" s="39">
        <f t="shared" si="51"/>
        <v>4.1000000000000002E-2</v>
      </c>
      <c r="AV57" s="39">
        <f t="shared" si="51"/>
        <v>-1.1000000000000003E-2</v>
      </c>
      <c r="AW57" s="388">
        <f t="shared" si="52"/>
        <v>-4.2999999999999997E-2</v>
      </c>
      <c r="AX57" s="38"/>
      <c r="AY57" s="237">
        <f t="shared" si="53"/>
        <v>-1.0999999999999999E-2</v>
      </c>
      <c r="AZ57" s="39">
        <f t="shared" si="54"/>
        <v>-4.9999999999999992E-3</v>
      </c>
      <c r="BA57" s="39">
        <f t="shared" si="54"/>
        <v>-4.0000000000000001E-3</v>
      </c>
      <c r="BB57" s="39">
        <f t="shared" si="54"/>
        <v>-5.0000000000000001E-3</v>
      </c>
      <c r="BC57" s="388">
        <f t="shared" si="55"/>
        <v>-2.5000000000000001E-2</v>
      </c>
      <c r="BD57" s="38"/>
      <c r="BE57" s="237">
        <f t="shared" si="56"/>
        <v>-5.0000000000000001E-3</v>
      </c>
      <c r="BF57" s="39">
        <f t="shared" si="57"/>
        <v>0</v>
      </c>
      <c r="BG57" s="39">
        <f t="shared" si="57"/>
        <v>3.3000000000000002E-2</v>
      </c>
      <c r="BH57" s="39">
        <f t="shared" si="57"/>
        <v>47.923999999999999</v>
      </c>
      <c r="BI57" s="388">
        <f t="shared" si="58"/>
        <v>47.951999999999998</v>
      </c>
      <c r="BJ57" s="38"/>
      <c r="BK57" s="237">
        <f t="shared" si="59"/>
        <v>-47.957000000000001</v>
      </c>
      <c r="BL57" s="39">
        <f t="shared" si="60"/>
        <v>0</v>
      </c>
      <c r="BM57" s="39">
        <f t="shared" si="61"/>
        <v>0</v>
      </c>
      <c r="BN57" s="39">
        <f t="shared" si="62"/>
        <v>0</v>
      </c>
      <c r="BO57" s="388">
        <f t="shared" si="63"/>
        <v>-47.957000000000001</v>
      </c>
      <c r="BP57" s="38"/>
      <c r="BQ57" s="537">
        <v>0</v>
      </c>
      <c r="BR57" s="206">
        <v>0</v>
      </c>
      <c r="BS57" s="206">
        <v>0</v>
      </c>
      <c r="BT57" s="206">
        <v>0</v>
      </c>
      <c r="BU57" s="388">
        <f t="shared" si="64"/>
        <v>0</v>
      </c>
      <c r="BV57" s="38"/>
      <c r="BW57" s="537">
        <v>0</v>
      </c>
      <c r="BX57" s="206">
        <v>0</v>
      </c>
      <c r="BY57" s="206">
        <v>0</v>
      </c>
      <c r="BZ57" s="206">
        <v>0</v>
      </c>
      <c r="CA57" s="388">
        <f t="shared" si="65"/>
        <v>0</v>
      </c>
      <c r="CB57" s="38"/>
      <c r="CC57" s="537">
        <v>0</v>
      </c>
      <c r="CD57" s="206">
        <v>0</v>
      </c>
      <c r="CE57" s="206">
        <v>0</v>
      </c>
      <c r="CF57" s="206">
        <v>0</v>
      </c>
      <c r="CG57" s="388">
        <f t="shared" si="66"/>
        <v>0</v>
      </c>
    </row>
    <row r="58" spans="2:85" s="7" customFormat="1" ht="11.25" customHeight="1" x14ac:dyDescent="0.2">
      <c r="B58" s="429" t="s">
        <v>339</v>
      </c>
      <c r="C58" s="237" t="s">
        <v>448</v>
      </c>
      <c r="D58" s="39"/>
      <c r="E58" s="39"/>
      <c r="F58" s="39"/>
      <c r="G58" s="722"/>
      <c r="H58" s="38"/>
      <c r="I58" s="237"/>
      <c r="J58" s="39"/>
      <c r="K58" s="39"/>
      <c r="L58" s="39"/>
      <c r="M58" s="388">
        <f t="shared" si="44"/>
        <v>0</v>
      </c>
      <c r="N58" s="38"/>
      <c r="O58" s="237"/>
      <c r="P58" s="39"/>
      <c r="Q58" s="39"/>
      <c r="R58" s="39"/>
      <c r="S58" s="388">
        <f t="shared" si="45"/>
        <v>0</v>
      </c>
      <c r="T58" s="38"/>
      <c r="U58" s="237"/>
      <c r="V58" s="39"/>
      <c r="W58" s="39"/>
      <c r="X58" s="39"/>
      <c r="Y58" s="388">
        <f t="shared" si="46"/>
        <v>0</v>
      </c>
      <c r="Z58" s="38"/>
      <c r="AA58" s="237"/>
      <c r="AB58" s="39"/>
      <c r="AC58" s="39"/>
      <c r="AD58" s="39"/>
      <c r="AE58" s="388">
        <f t="shared" si="47"/>
        <v>251.66200000000001</v>
      </c>
      <c r="AF58" s="38"/>
      <c r="AG58" s="237"/>
      <c r="AH58" s="39"/>
      <c r="AI58" s="39"/>
      <c r="AJ58" s="39"/>
      <c r="AK58" s="388">
        <f t="shared" si="48"/>
        <v>-31.223000000000013</v>
      </c>
      <c r="AL58" s="38"/>
      <c r="AM58" s="237"/>
      <c r="AN58" s="39"/>
      <c r="AO58" s="39"/>
      <c r="AP58" s="39"/>
      <c r="AQ58" s="388">
        <f t="shared" si="49"/>
        <v>-220.43899999999999</v>
      </c>
      <c r="AR58" s="38"/>
      <c r="AS58" s="237">
        <f t="shared" si="50"/>
        <v>0</v>
      </c>
      <c r="AT58" s="39">
        <f t="shared" si="51"/>
        <v>0</v>
      </c>
      <c r="AU58" s="39">
        <f t="shared" si="51"/>
        <v>0</v>
      </c>
      <c r="AV58" s="39">
        <f t="shared" si="51"/>
        <v>0</v>
      </c>
      <c r="AW58" s="388">
        <f t="shared" si="52"/>
        <v>0</v>
      </c>
      <c r="AX58" s="38"/>
      <c r="AY58" s="237">
        <f t="shared" si="53"/>
        <v>0</v>
      </c>
      <c r="AZ58" s="39">
        <f t="shared" si="54"/>
        <v>0</v>
      </c>
      <c r="BA58" s="39">
        <f t="shared" si="54"/>
        <v>0</v>
      </c>
      <c r="BB58" s="39">
        <f t="shared" si="54"/>
        <v>0</v>
      </c>
      <c r="BC58" s="388">
        <f t="shared" si="55"/>
        <v>0</v>
      </c>
      <c r="BD58" s="38"/>
      <c r="BE58" s="237">
        <f t="shared" si="56"/>
        <v>0</v>
      </c>
      <c r="BF58" s="39">
        <f t="shared" si="57"/>
        <v>0</v>
      </c>
      <c r="BG58" s="39">
        <f t="shared" si="57"/>
        <v>0</v>
      </c>
      <c r="BH58" s="39">
        <f t="shared" si="57"/>
        <v>0</v>
      </c>
      <c r="BI58" s="388">
        <f t="shared" si="58"/>
        <v>0</v>
      </c>
      <c r="BJ58" s="38"/>
      <c r="BK58" s="237">
        <f t="shared" si="59"/>
        <v>0</v>
      </c>
      <c r="BL58" s="39">
        <f t="shared" si="60"/>
        <v>0</v>
      </c>
      <c r="BM58" s="39">
        <f t="shared" si="61"/>
        <v>0</v>
      </c>
      <c r="BN58" s="39">
        <f t="shared" si="62"/>
        <v>0</v>
      </c>
      <c r="BO58" s="388">
        <f t="shared" si="63"/>
        <v>0</v>
      </c>
      <c r="BP58" s="38"/>
      <c r="BQ58" s="537">
        <v>0</v>
      </c>
      <c r="BR58" s="206">
        <v>0</v>
      </c>
      <c r="BS58" s="206">
        <v>0</v>
      </c>
      <c r="BT58" s="206">
        <v>0</v>
      </c>
      <c r="BU58" s="388">
        <f t="shared" si="64"/>
        <v>0</v>
      </c>
      <c r="BV58" s="38"/>
      <c r="BW58" s="537">
        <v>0</v>
      </c>
      <c r="BX58" s="206">
        <v>0</v>
      </c>
      <c r="BY58" s="206">
        <v>0</v>
      </c>
      <c r="BZ58" s="206">
        <v>0</v>
      </c>
      <c r="CA58" s="388">
        <f t="shared" si="65"/>
        <v>0</v>
      </c>
      <c r="CB58" s="38"/>
      <c r="CC58" s="537">
        <v>0</v>
      </c>
      <c r="CD58" s="206">
        <v>0</v>
      </c>
      <c r="CE58" s="206">
        <v>0</v>
      </c>
      <c r="CF58" s="206">
        <v>0</v>
      </c>
      <c r="CG58" s="388">
        <f t="shared" si="66"/>
        <v>0</v>
      </c>
    </row>
    <row r="59" spans="2:85" s="7" customFormat="1" ht="11.25" customHeight="1" x14ac:dyDescent="0.2">
      <c r="B59" s="429" t="s">
        <v>322</v>
      </c>
      <c r="C59" s="237" t="s">
        <v>448</v>
      </c>
      <c r="D59" s="39"/>
      <c r="E59" s="39"/>
      <c r="F59" s="39"/>
      <c r="G59" s="722"/>
      <c r="H59" s="38"/>
      <c r="I59" s="237"/>
      <c r="J59" s="39"/>
      <c r="K59" s="39"/>
      <c r="L59" s="39"/>
      <c r="M59" s="388">
        <f t="shared" si="44"/>
        <v>-6.8280000000000012</v>
      </c>
      <c r="N59" s="38"/>
      <c r="O59" s="237"/>
      <c r="P59" s="39"/>
      <c r="Q59" s="39"/>
      <c r="R59" s="39"/>
      <c r="S59" s="388">
        <f t="shared" si="45"/>
        <v>2.1590000000000003</v>
      </c>
      <c r="T59" s="38"/>
      <c r="U59" s="237"/>
      <c r="V59" s="39"/>
      <c r="W59" s="39"/>
      <c r="X59" s="39"/>
      <c r="Y59" s="388">
        <f t="shared" si="46"/>
        <v>11.685999999999998</v>
      </c>
      <c r="Z59" s="38"/>
      <c r="AA59" s="237"/>
      <c r="AB59" s="39"/>
      <c r="AC59" s="39"/>
      <c r="AD59" s="39"/>
      <c r="AE59" s="388">
        <f t="shared" si="47"/>
        <v>2.1050000000000004</v>
      </c>
      <c r="AF59" s="38"/>
      <c r="AG59" s="237"/>
      <c r="AH59" s="39"/>
      <c r="AI59" s="39"/>
      <c r="AJ59" s="39"/>
      <c r="AK59" s="388">
        <f t="shared" si="48"/>
        <v>2.5510000000000019</v>
      </c>
      <c r="AL59" s="38"/>
      <c r="AM59" s="237"/>
      <c r="AN59" s="39"/>
      <c r="AO59" s="39"/>
      <c r="AP59" s="39"/>
      <c r="AQ59" s="388">
        <f t="shared" si="49"/>
        <v>22.913</v>
      </c>
      <c r="AR59" s="38"/>
      <c r="AS59" s="237">
        <f t="shared" si="50"/>
        <v>-4.4909999999999997</v>
      </c>
      <c r="AT59" s="39">
        <f t="shared" si="51"/>
        <v>0</v>
      </c>
      <c r="AU59" s="39">
        <f t="shared" si="51"/>
        <v>4.1009999999999991</v>
      </c>
      <c r="AV59" s="39">
        <f t="shared" si="51"/>
        <v>-2.4420000000000002</v>
      </c>
      <c r="AW59" s="388">
        <f t="shared" si="52"/>
        <v>-2.8320000000000007</v>
      </c>
      <c r="AX59" s="38"/>
      <c r="AY59" s="237">
        <f t="shared" si="53"/>
        <v>-0.42799999999999727</v>
      </c>
      <c r="AZ59" s="39">
        <f t="shared" si="54"/>
        <v>0.20699999999999363</v>
      </c>
      <c r="BA59" s="39">
        <f t="shared" si="54"/>
        <v>-1.411999999999999</v>
      </c>
      <c r="BB59" s="39">
        <f t="shared" si="54"/>
        <v>-1.4109999999999943</v>
      </c>
      <c r="BC59" s="388">
        <f t="shared" si="55"/>
        <v>-3.0439999999999969</v>
      </c>
      <c r="BD59" s="38"/>
      <c r="BE59" s="237">
        <f t="shared" si="56"/>
        <v>1.9999999999953388E-3</v>
      </c>
      <c r="BF59" s="39">
        <f t="shared" si="57"/>
        <v>-0.32900000000000063</v>
      </c>
      <c r="BG59" s="39">
        <f t="shared" si="57"/>
        <v>-0.74199999999999733</v>
      </c>
      <c r="BH59" s="39">
        <f t="shared" si="57"/>
        <v>-1.9960000000000022</v>
      </c>
      <c r="BI59" s="388">
        <f t="shared" si="58"/>
        <v>-3.0650000000000048</v>
      </c>
      <c r="BJ59" s="38"/>
      <c r="BK59" s="237">
        <f t="shared" si="59"/>
        <v>0.66000000000000369</v>
      </c>
      <c r="BL59" s="39">
        <f t="shared" si="60"/>
        <v>-1.7340000000000018</v>
      </c>
      <c r="BM59" s="39">
        <f t="shared" si="61"/>
        <v>-8.2000000000000739E-2</v>
      </c>
      <c r="BN59" s="39">
        <f t="shared" si="62"/>
        <v>3.3000000000001251E-2</v>
      </c>
      <c r="BO59" s="388">
        <f t="shared" si="63"/>
        <v>-1.1229999999999976</v>
      </c>
      <c r="BP59" s="38"/>
      <c r="BQ59" s="537">
        <v>0</v>
      </c>
      <c r="BR59" s="206">
        <v>0</v>
      </c>
      <c r="BS59" s="206">
        <v>0</v>
      </c>
      <c r="BT59" s="206">
        <v>0</v>
      </c>
      <c r="BU59" s="388">
        <f t="shared" si="64"/>
        <v>0</v>
      </c>
      <c r="BV59" s="38"/>
      <c r="BW59" s="537">
        <v>0</v>
      </c>
      <c r="BX59" s="206">
        <v>0</v>
      </c>
      <c r="BY59" s="206">
        <v>0</v>
      </c>
      <c r="BZ59" s="206">
        <v>0</v>
      </c>
      <c r="CA59" s="388">
        <f t="shared" si="65"/>
        <v>0</v>
      </c>
      <c r="CB59" s="38"/>
      <c r="CC59" s="537">
        <v>0</v>
      </c>
      <c r="CD59" s="206">
        <v>0</v>
      </c>
      <c r="CE59" s="206">
        <v>0</v>
      </c>
      <c r="CF59" s="206">
        <v>0</v>
      </c>
      <c r="CG59" s="388">
        <f t="shared" si="66"/>
        <v>0</v>
      </c>
    </row>
    <row r="60" spans="2:85" s="7" customFormat="1" ht="11.25" customHeight="1" x14ac:dyDescent="0.2">
      <c r="B60" s="429" t="s">
        <v>323</v>
      </c>
      <c r="C60" s="237" t="s">
        <v>448</v>
      </c>
      <c r="D60" s="39"/>
      <c r="E60" s="39"/>
      <c r="F60" s="39"/>
      <c r="G60" s="722"/>
      <c r="H60" s="38"/>
      <c r="I60" s="237"/>
      <c r="J60" s="39"/>
      <c r="K60" s="39"/>
      <c r="L60" s="39"/>
      <c r="M60" s="388">
        <f t="shared" si="44"/>
        <v>-0.71799999999999997</v>
      </c>
      <c r="N60" s="38"/>
      <c r="O60" s="237"/>
      <c r="P60" s="39"/>
      <c r="Q60" s="39"/>
      <c r="R60" s="39"/>
      <c r="S60" s="388">
        <f t="shared" si="45"/>
        <v>-1.6180000000000003</v>
      </c>
      <c r="T60" s="38"/>
      <c r="U60" s="237"/>
      <c r="V60" s="39"/>
      <c r="W60" s="39"/>
      <c r="X60" s="39"/>
      <c r="Y60" s="388">
        <f t="shared" si="46"/>
        <v>-1.4129999999999994</v>
      </c>
      <c r="Z60" s="38"/>
      <c r="AA60" s="237"/>
      <c r="AB60" s="39"/>
      <c r="AC60" s="39"/>
      <c r="AD60" s="39"/>
      <c r="AE60" s="388">
        <f t="shared" si="47"/>
        <v>0.67199999999999971</v>
      </c>
      <c r="AF60" s="38"/>
      <c r="AG60" s="237"/>
      <c r="AH60" s="39"/>
      <c r="AI60" s="39"/>
      <c r="AJ60" s="39"/>
      <c r="AK60" s="388">
        <f t="shared" si="48"/>
        <v>-1.7469999999999999</v>
      </c>
      <c r="AL60" s="38"/>
      <c r="AM60" s="237"/>
      <c r="AN60" s="39"/>
      <c r="AO60" s="39"/>
      <c r="AP60" s="39"/>
      <c r="AQ60" s="388">
        <f t="shared" si="49"/>
        <v>-1.6340000000000001</v>
      </c>
      <c r="AR60" s="38"/>
      <c r="AS60" s="237">
        <f t="shared" si="50"/>
        <v>106.56100000000002</v>
      </c>
      <c r="AT60" s="39">
        <f t="shared" si="51"/>
        <v>-99.860000000000014</v>
      </c>
      <c r="AU60" s="39">
        <f t="shared" si="51"/>
        <v>-5.3650000000000126</v>
      </c>
      <c r="AV60" s="39">
        <f t="shared" si="51"/>
        <v>4.4559999999999995</v>
      </c>
      <c r="AW60" s="388">
        <f t="shared" si="52"/>
        <v>5.7919999999999998</v>
      </c>
      <c r="AX60" s="38"/>
      <c r="AY60" s="237">
        <f t="shared" si="53"/>
        <v>-4.847999999999999</v>
      </c>
      <c r="AZ60" s="39">
        <f t="shared" si="54"/>
        <v>-0.26700000000000035</v>
      </c>
      <c r="BA60" s="39">
        <f t="shared" si="54"/>
        <v>-0.2609999999999999</v>
      </c>
      <c r="BB60" s="39">
        <f t="shared" si="54"/>
        <v>0.93700000000000006</v>
      </c>
      <c r="BC60" s="388">
        <f t="shared" si="55"/>
        <v>-4.4389999999999992</v>
      </c>
      <c r="BD60" s="38"/>
      <c r="BE60" s="237">
        <f t="shared" si="56"/>
        <v>-0.32100000000000017</v>
      </c>
      <c r="BF60" s="39">
        <f t="shared" si="57"/>
        <v>-4.5999999999999819E-2</v>
      </c>
      <c r="BG60" s="39">
        <f t="shared" si="57"/>
        <v>2.9520000000000004</v>
      </c>
      <c r="BH60" s="39">
        <f t="shared" si="57"/>
        <v>-3.2000000000000028E-2</v>
      </c>
      <c r="BI60" s="388">
        <f t="shared" si="58"/>
        <v>2.5530000000000004</v>
      </c>
      <c r="BJ60" s="38"/>
      <c r="BK60" s="237">
        <f t="shared" si="59"/>
        <v>8.599999999999941E-2</v>
      </c>
      <c r="BL60" s="39">
        <f t="shared" si="60"/>
        <v>1.4000000000000234E-2</v>
      </c>
      <c r="BM60" s="39">
        <f t="shared" si="61"/>
        <v>-0.13499999999999979</v>
      </c>
      <c r="BN60" s="39">
        <f t="shared" si="62"/>
        <v>-0.28800000000000026</v>
      </c>
      <c r="BO60" s="388">
        <f t="shared" si="63"/>
        <v>-0.3230000000000004</v>
      </c>
      <c r="BP60" s="38"/>
      <c r="BQ60" s="537">
        <v>0</v>
      </c>
      <c r="BR60" s="206">
        <v>0</v>
      </c>
      <c r="BS60" s="206">
        <v>0</v>
      </c>
      <c r="BT60" s="206">
        <v>0</v>
      </c>
      <c r="BU60" s="388">
        <f t="shared" si="64"/>
        <v>0</v>
      </c>
      <c r="BV60" s="38"/>
      <c r="BW60" s="537">
        <v>0</v>
      </c>
      <c r="BX60" s="206">
        <v>0</v>
      </c>
      <c r="BY60" s="206">
        <v>0</v>
      </c>
      <c r="BZ60" s="206">
        <v>0</v>
      </c>
      <c r="CA60" s="388">
        <f t="shared" si="65"/>
        <v>0</v>
      </c>
      <c r="CB60" s="38"/>
      <c r="CC60" s="537">
        <v>0</v>
      </c>
      <c r="CD60" s="206">
        <v>0</v>
      </c>
      <c r="CE60" s="206">
        <v>0</v>
      </c>
      <c r="CF60" s="206">
        <v>0</v>
      </c>
      <c r="CG60" s="388">
        <f t="shared" si="66"/>
        <v>0</v>
      </c>
    </row>
    <row r="61" spans="2:85" s="7" customFormat="1" ht="11.25" customHeight="1" x14ac:dyDescent="0.2">
      <c r="B61" s="495" t="s">
        <v>324</v>
      </c>
      <c r="C61" s="526"/>
      <c r="D61" s="40"/>
      <c r="E61" s="40"/>
      <c r="F61" s="40"/>
      <c r="G61" s="732"/>
      <c r="H61" s="41"/>
      <c r="I61" s="526"/>
      <c r="J61" s="40"/>
      <c r="K61" s="40"/>
      <c r="L61" s="40"/>
      <c r="M61" s="502">
        <f>+SUM(M45,M54:M60)</f>
        <v>-34.539999999999992</v>
      </c>
      <c r="N61" s="41"/>
      <c r="O61" s="526"/>
      <c r="P61" s="40"/>
      <c r="Q61" s="40"/>
      <c r="R61" s="40"/>
      <c r="S61" s="502">
        <f>+SUM(S45,S54:S60)</f>
        <v>-146.12000000000003</v>
      </c>
      <c r="T61" s="41"/>
      <c r="U61" s="526"/>
      <c r="V61" s="40"/>
      <c r="W61" s="40"/>
      <c r="X61" s="40"/>
      <c r="Y61" s="502">
        <f>+SUM(Y45,Y54:Y60)</f>
        <v>132.863</v>
      </c>
      <c r="Z61" s="41"/>
      <c r="AA61" s="526"/>
      <c r="AB61" s="40"/>
      <c r="AC61" s="40"/>
      <c r="AD61" s="40"/>
      <c r="AE61" s="502">
        <f>+SUM(AE45,AE54:AE60)</f>
        <v>-13.452999999999989</v>
      </c>
      <c r="AF61" s="41"/>
      <c r="AG61" s="526"/>
      <c r="AH61" s="40"/>
      <c r="AI61" s="40"/>
      <c r="AJ61" s="40"/>
      <c r="AK61" s="502">
        <f>+SUM(AK45,AK54:AK60)</f>
        <v>119.76999999999998</v>
      </c>
      <c r="AL61" s="41"/>
      <c r="AM61" s="526"/>
      <c r="AN61" s="40"/>
      <c r="AO61" s="40"/>
      <c r="AP61" s="40"/>
      <c r="AQ61" s="502">
        <f>+SUM(AQ45,AQ54:AQ60)</f>
        <v>-50.438999999999993</v>
      </c>
      <c r="AR61" s="41"/>
      <c r="AS61" s="526">
        <f>+SUM(AS45,AS54:AS60)</f>
        <v>191.99700000000001</v>
      </c>
      <c r="AT61" s="40">
        <f>+SUM(AT45,AT54:AT60)</f>
        <v>24.539999999999964</v>
      </c>
      <c r="AU61" s="40">
        <f>+SUM(AU45,AU54:AU60)</f>
        <v>-35.62299999999999</v>
      </c>
      <c r="AV61" s="40">
        <f>+SUM(AV45,AV54:AV60)</f>
        <v>-87.997</v>
      </c>
      <c r="AW61" s="502">
        <f>+SUM(AW45,AW54:AW60)</f>
        <v>92.917000000000002</v>
      </c>
      <c r="AX61" s="41"/>
      <c r="AY61" s="526">
        <f>+SUM(AY45,AY54:AY60)</f>
        <v>119.71300000000001</v>
      </c>
      <c r="AZ61" s="40">
        <f>+SUM(AZ45,AZ54:AZ60)</f>
        <v>-65.064999999999998</v>
      </c>
      <c r="BA61" s="40">
        <f>+SUM(BA45,BA54:BA60)</f>
        <v>8.3230000000000022</v>
      </c>
      <c r="BB61" s="40">
        <f>+SUM(BB45,BB54:BB60)</f>
        <v>-130.47899999999998</v>
      </c>
      <c r="BC61" s="502">
        <f>+SUM(BC45,BC54:BC60)</f>
        <v>-67.507999999999996</v>
      </c>
      <c r="BD61" s="41"/>
      <c r="BE61" s="526">
        <f>+SUM(BE45,BE54:BE60)</f>
        <v>202.53299999999999</v>
      </c>
      <c r="BF61" s="40">
        <f>+SUM(BF45,BF54:BF60)</f>
        <v>33.625</v>
      </c>
      <c r="BG61" s="40">
        <f>+SUM(BG45,BG54:BG60)</f>
        <v>18.243000000000006</v>
      </c>
      <c r="BH61" s="40">
        <f>+SUM(BH45,BH54:BH60)</f>
        <v>45.896000000000001</v>
      </c>
      <c r="BI61" s="502">
        <f>+SUM(BI45,BI54:BI60)</f>
        <v>300.29699999999997</v>
      </c>
      <c r="BJ61" s="41"/>
      <c r="BK61" s="526">
        <f>+SUM(BK45,BK54:BK60)</f>
        <v>-54.353999999999999</v>
      </c>
      <c r="BL61" s="40">
        <f>+SUM(BL45,BL54:BL60)</f>
        <v>197.84</v>
      </c>
      <c r="BM61" s="40">
        <f t="shared" ref="BM61:BN61" si="67">+SUM(BM45,BM54:BM60)</f>
        <v>-2.70000000000028E-2</v>
      </c>
      <c r="BN61" s="40">
        <f t="shared" si="67"/>
        <v>-0.42399999999999594</v>
      </c>
      <c r="BO61" s="502">
        <f>+SUM(BO45,BO54:BO60)</f>
        <v>143.035</v>
      </c>
      <c r="BP61" s="41"/>
      <c r="BQ61" s="526">
        <f>+SUM(BQ45,BQ54:BQ60)</f>
        <v>0</v>
      </c>
      <c r="BR61" s="40">
        <f>+SUM(BR45,BR54:BR60)</f>
        <v>0</v>
      </c>
      <c r="BS61" s="40">
        <f>+SUM(BS45,BS54:BS60)</f>
        <v>0</v>
      </c>
      <c r="BT61" s="40">
        <f>+SUM(BT45,BT54:BT60)</f>
        <v>0</v>
      </c>
      <c r="BU61" s="502">
        <f>+SUM(BU45,BU54:BU60)</f>
        <v>0</v>
      </c>
      <c r="BV61" s="41"/>
      <c r="BW61" s="526">
        <f>+SUM(BW45,BW54:BW60)</f>
        <v>0</v>
      </c>
      <c r="BX61" s="40">
        <f>+SUM(BX45,BX54:BX60)</f>
        <v>0</v>
      </c>
      <c r="BY61" s="40">
        <f>+SUM(BY45,BY54:BY60)</f>
        <v>0</v>
      </c>
      <c r="BZ61" s="40">
        <f>+SUM(BZ45,BZ54:BZ60)</f>
        <v>0</v>
      </c>
      <c r="CA61" s="502">
        <f>+SUM(CA45,CA54:CA60)</f>
        <v>0</v>
      </c>
      <c r="CB61" s="41"/>
      <c r="CC61" s="526">
        <f>+SUM(CC45,CC54:CC60)</f>
        <v>0</v>
      </c>
      <c r="CD61" s="40">
        <f>+SUM(CD45,CD54:CD60)</f>
        <v>0</v>
      </c>
      <c r="CE61" s="40">
        <f>+SUM(CE45,CE54:CE60)</f>
        <v>-100</v>
      </c>
      <c r="CF61" s="40">
        <f>+SUM(CF45,CF54:CF60)</f>
        <v>0</v>
      </c>
      <c r="CG61" s="502">
        <f>+SUM(CG45,CG54:CG60)</f>
        <v>-100</v>
      </c>
    </row>
    <row r="62" spans="2:85" s="7" customFormat="1" ht="11.25" customHeight="1" x14ac:dyDescent="0.2">
      <c r="B62" s="491" t="s">
        <v>325</v>
      </c>
      <c r="C62" s="237"/>
      <c r="D62" s="39"/>
      <c r="E62" s="39"/>
      <c r="F62" s="39"/>
      <c r="G62" s="722"/>
      <c r="H62" s="38"/>
      <c r="I62" s="237"/>
      <c r="J62" s="39"/>
      <c r="K62" s="39"/>
      <c r="L62" s="39"/>
      <c r="M62" s="388">
        <f>+M28-G28</f>
        <v>-132.08600000000001</v>
      </c>
      <c r="N62" s="38"/>
      <c r="O62" s="237"/>
      <c r="P62" s="39"/>
      <c r="Q62" s="39"/>
      <c r="R62" s="39"/>
      <c r="S62" s="388">
        <f>+S28-M28</f>
        <v>132.845</v>
      </c>
      <c r="T62" s="38"/>
      <c r="U62" s="237"/>
      <c r="V62" s="39"/>
      <c r="W62" s="39"/>
      <c r="X62" s="39"/>
      <c r="Y62" s="388">
        <f>+Y28-S28</f>
        <v>19.073</v>
      </c>
      <c r="Z62" s="38"/>
      <c r="AA62" s="237"/>
      <c r="AB62" s="39"/>
      <c r="AC62" s="39"/>
      <c r="AD62" s="39"/>
      <c r="AE62" s="388">
        <f>+AE28-Y28</f>
        <v>-18.332000000000001</v>
      </c>
      <c r="AF62" s="38"/>
      <c r="AG62" s="237"/>
      <c r="AH62" s="39"/>
      <c r="AI62" s="39"/>
      <c r="AJ62" s="39"/>
      <c r="AK62" s="388">
        <f>+AK28-AE28</f>
        <v>4.8269999999999982</v>
      </c>
      <c r="AL62" s="38"/>
      <c r="AM62" s="237"/>
      <c r="AN62" s="39"/>
      <c r="AO62" s="39"/>
      <c r="AP62" s="39"/>
      <c r="AQ62" s="388">
        <f>+AQ28-AK28</f>
        <v>12.551000000000002</v>
      </c>
      <c r="AR62" s="38"/>
      <c r="AS62" s="237">
        <f>+AS28-AQ28</f>
        <v>-100.54299999999999</v>
      </c>
      <c r="AT62" s="39">
        <f>+AT28-AS28</f>
        <v>99.681999999999988</v>
      </c>
      <c r="AU62" s="39">
        <f>+AU28-AT28</f>
        <v>0.51999999999999957</v>
      </c>
      <c r="AV62" s="39">
        <f>+AV28-AU28</f>
        <v>-3.3000000000000362E-2</v>
      </c>
      <c r="AW62" s="388">
        <f>+AW28-AQ28</f>
        <v>-0.37400000000000055</v>
      </c>
      <c r="AX62" s="38"/>
      <c r="AY62" s="237">
        <f>+AY28-AW28</f>
        <v>-8.7710000000000008</v>
      </c>
      <c r="AZ62" s="39">
        <f>+AZ28-AY28</f>
        <v>-0.12999999999999901</v>
      </c>
      <c r="BA62" s="39">
        <f>+BA28-AZ28</f>
        <v>0.25999999999999979</v>
      </c>
      <c r="BB62" s="39">
        <f>+BB28-BA28</f>
        <v>-2.875</v>
      </c>
      <c r="BC62" s="388">
        <f>+SUM(AY62:BB62)</f>
        <v>-11.516</v>
      </c>
      <c r="BD62" s="38"/>
      <c r="BE62" s="237">
        <f>+BE28-BC28</f>
        <v>-1.9999999999988916E-3</v>
      </c>
      <c r="BF62" s="39">
        <f>+BF28-BE28</f>
        <v>0.14399999999999835</v>
      </c>
      <c r="BG62" s="39">
        <f>+BG28-BF28</f>
        <v>-0.2710000000000008</v>
      </c>
      <c r="BH62" s="39">
        <f>+BH28-BG28</f>
        <v>-48.463000000000001</v>
      </c>
      <c r="BI62" s="388">
        <f>+SUM(BE62:BH62)</f>
        <v>-48.591999999999999</v>
      </c>
      <c r="BJ62" s="38"/>
      <c r="BK62" s="237">
        <f>+BK28-BI28</f>
        <v>47.319000000000003</v>
      </c>
      <c r="BL62" s="39">
        <f>+BL28-BK28</f>
        <v>1.3629999999999995</v>
      </c>
      <c r="BM62" s="39">
        <f t="shared" ref="BM62:BN62" si="68">+BM28-BL28</f>
        <v>-6.0000000000002274E-3</v>
      </c>
      <c r="BN62" s="39">
        <f t="shared" si="68"/>
        <v>0.58800000000000097</v>
      </c>
      <c r="BO62" s="388">
        <f>+SUM(BK62:BN62)</f>
        <v>49.264000000000003</v>
      </c>
      <c r="BP62" s="38"/>
      <c r="BQ62" s="237">
        <f>-BQ42</f>
        <v>0</v>
      </c>
      <c r="BR62" s="39">
        <f>-BR42</f>
        <v>0</v>
      </c>
      <c r="BS62" s="39">
        <f>-BS42</f>
        <v>0</v>
      </c>
      <c r="BT62" s="39">
        <f>-BT42</f>
        <v>0</v>
      </c>
      <c r="BU62" s="388">
        <f>+SUM(BQ62:BT62)</f>
        <v>0</v>
      </c>
      <c r="BV62" s="38"/>
      <c r="BW62" s="237">
        <f>-BW42</f>
        <v>0</v>
      </c>
      <c r="BX62" s="39">
        <f>-BX42</f>
        <v>0</v>
      </c>
      <c r="BY62" s="39">
        <f>-BY42</f>
        <v>0</v>
      </c>
      <c r="BZ62" s="39">
        <f>-BZ42</f>
        <v>0</v>
      </c>
      <c r="CA62" s="388">
        <f>+SUM(BW62:BZ62)</f>
        <v>0</v>
      </c>
      <c r="CB62" s="38"/>
      <c r="CC62" s="237">
        <f>-CC42</f>
        <v>0</v>
      </c>
      <c r="CD62" s="39">
        <f>-CD42</f>
        <v>0</v>
      </c>
      <c r="CE62" s="39">
        <f>-CE42</f>
        <v>0</v>
      </c>
      <c r="CF62" s="39">
        <f>-CF42</f>
        <v>0</v>
      </c>
      <c r="CG62" s="388">
        <f>+SUM(CC62:CF62)</f>
        <v>0</v>
      </c>
    </row>
    <row r="63" spans="2:85" s="7" customFormat="1" ht="11.25" customHeight="1" x14ac:dyDescent="0.2">
      <c r="B63" s="495" t="s">
        <v>319</v>
      </c>
      <c r="C63" s="526"/>
      <c r="D63" s="40"/>
      <c r="E63" s="40"/>
      <c r="F63" s="40"/>
      <c r="G63" s="732"/>
      <c r="H63" s="41"/>
      <c r="I63" s="526"/>
      <c r="J63" s="40"/>
      <c r="K63" s="40"/>
      <c r="L63" s="40"/>
      <c r="M63" s="502">
        <f>+M61+M62</f>
        <v>-166.626</v>
      </c>
      <c r="N63" s="41"/>
      <c r="O63" s="526"/>
      <c r="P63" s="40"/>
      <c r="Q63" s="40"/>
      <c r="R63" s="40"/>
      <c r="S63" s="502">
        <f>+S61+S62</f>
        <v>-13.275000000000034</v>
      </c>
      <c r="T63" s="41"/>
      <c r="U63" s="526"/>
      <c r="V63" s="40"/>
      <c r="W63" s="40"/>
      <c r="X63" s="40"/>
      <c r="Y63" s="502">
        <f>+Y61+Y62</f>
        <v>151.93600000000001</v>
      </c>
      <c r="Z63" s="41"/>
      <c r="AA63" s="526"/>
      <c r="AB63" s="40"/>
      <c r="AC63" s="40"/>
      <c r="AD63" s="40"/>
      <c r="AE63" s="502">
        <f>+AE61+AE62</f>
        <v>-31.784999999999989</v>
      </c>
      <c r="AF63" s="41"/>
      <c r="AG63" s="526"/>
      <c r="AH63" s="40"/>
      <c r="AI63" s="40"/>
      <c r="AJ63" s="40"/>
      <c r="AK63" s="502">
        <f>+AK61+AK62</f>
        <v>124.59699999999998</v>
      </c>
      <c r="AL63" s="41"/>
      <c r="AM63" s="526"/>
      <c r="AN63" s="40"/>
      <c r="AO63" s="40"/>
      <c r="AP63" s="40"/>
      <c r="AQ63" s="502">
        <f>+AQ61+AQ62</f>
        <v>-37.887999999999991</v>
      </c>
      <c r="AR63" s="41"/>
      <c r="AS63" s="526">
        <f>+AS61+AS62</f>
        <v>91.454000000000022</v>
      </c>
      <c r="AT63" s="40">
        <f>+AT61+AT62</f>
        <v>124.22199999999995</v>
      </c>
      <c r="AU63" s="40">
        <f>+AU61+AU62</f>
        <v>-35.102999999999994</v>
      </c>
      <c r="AV63" s="40">
        <f>+AV61+AV62</f>
        <v>-88.03</v>
      </c>
      <c r="AW63" s="502">
        <f t="shared" ref="AW63:BC63" si="69">+AW61+AW62</f>
        <v>92.543000000000006</v>
      </c>
      <c r="AX63" s="41"/>
      <c r="AY63" s="526">
        <f t="shared" si="69"/>
        <v>110.94200000000001</v>
      </c>
      <c r="AZ63" s="40">
        <f t="shared" si="69"/>
        <v>-65.194999999999993</v>
      </c>
      <c r="BA63" s="40">
        <f t="shared" si="69"/>
        <v>8.583000000000002</v>
      </c>
      <c r="BB63" s="40">
        <f t="shared" si="69"/>
        <v>-133.35399999999998</v>
      </c>
      <c r="BC63" s="502">
        <f t="shared" si="69"/>
        <v>-79.024000000000001</v>
      </c>
      <c r="BD63" s="41"/>
      <c r="BE63" s="526">
        <f>+BE61+BE62</f>
        <v>202.53099999999998</v>
      </c>
      <c r="BF63" s="40">
        <f>+BF61+BF62</f>
        <v>33.768999999999998</v>
      </c>
      <c r="BG63" s="40">
        <f>+BG61+BG62</f>
        <v>17.972000000000005</v>
      </c>
      <c r="BH63" s="40">
        <f>+BH61+BH62</f>
        <v>-2.5670000000000002</v>
      </c>
      <c r="BI63" s="502">
        <f>+BI61+BI62</f>
        <v>251.70499999999998</v>
      </c>
      <c r="BJ63" s="41"/>
      <c r="BK63" s="526">
        <f>+BK61+BK62</f>
        <v>-7.0349999999999966</v>
      </c>
      <c r="BL63" s="40">
        <f>+BL61+BL62</f>
        <v>199.203</v>
      </c>
      <c r="BM63" s="40">
        <f t="shared" ref="BM63:BN63" si="70">+BM61+BM62</f>
        <v>-3.3000000000003027E-2</v>
      </c>
      <c r="BN63" s="40">
        <f t="shared" si="70"/>
        <v>0.16400000000000503</v>
      </c>
      <c r="BO63" s="502">
        <f>+BO61+BO62</f>
        <v>192.29900000000001</v>
      </c>
      <c r="BP63" s="41"/>
      <c r="BQ63" s="526">
        <f>+BQ61+BQ62</f>
        <v>0</v>
      </c>
      <c r="BR63" s="40">
        <f>+BR61+BR62</f>
        <v>0</v>
      </c>
      <c r="BS63" s="40">
        <f>+BS61+BS62</f>
        <v>0</v>
      </c>
      <c r="BT63" s="40">
        <f>+BT61+BT62</f>
        <v>0</v>
      </c>
      <c r="BU63" s="502">
        <f>+BU61+BU62</f>
        <v>0</v>
      </c>
      <c r="BV63" s="41"/>
      <c r="BW63" s="526">
        <f>+BW61+BW62</f>
        <v>0</v>
      </c>
      <c r="BX63" s="40">
        <f>+BX61+BX62</f>
        <v>0</v>
      </c>
      <c r="BY63" s="40">
        <f>+BY61+BY62</f>
        <v>0</v>
      </c>
      <c r="BZ63" s="40">
        <f>+BZ61+BZ62</f>
        <v>0</v>
      </c>
      <c r="CA63" s="502">
        <f>+CA61+CA62</f>
        <v>0</v>
      </c>
      <c r="CB63" s="41"/>
      <c r="CC63" s="526">
        <f>+CC61+CC62</f>
        <v>0</v>
      </c>
      <c r="CD63" s="40">
        <f>+CD61+CD62</f>
        <v>0</v>
      </c>
      <c r="CE63" s="40">
        <f>+CE61+CE62</f>
        <v>-100</v>
      </c>
      <c r="CF63" s="40">
        <f>+CF61+CF62</f>
        <v>0</v>
      </c>
      <c r="CG63" s="502">
        <f>+CG61+CG62</f>
        <v>-100</v>
      </c>
    </row>
    <row r="64" spans="2:85" s="7" customFormat="1" ht="11.25" customHeight="1" x14ac:dyDescent="0.2">
      <c r="B64" s="491"/>
      <c r="C64" s="237"/>
      <c r="D64" s="39"/>
      <c r="E64" s="39"/>
      <c r="F64" s="39"/>
      <c r="G64" s="722"/>
      <c r="H64" s="39"/>
      <c r="I64" s="237"/>
      <c r="J64" s="39"/>
      <c r="K64" s="39"/>
      <c r="L64" s="39"/>
      <c r="M64" s="388"/>
      <c r="N64" s="39"/>
      <c r="O64" s="237"/>
      <c r="P64" s="39"/>
      <c r="Q64" s="39"/>
      <c r="R64" s="39"/>
      <c r="S64" s="388"/>
      <c r="T64" s="39"/>
      <c r="U64" s="237"/>
      <c r="V64" s="39"/>
      <c r="W64" s="39"/>
      <c r="X64" s="39"/>
      <c r="Y64" s="388"/>
      <c r="Z64" s="39"/>
      <c r="AA64" s="237"/>
      <c r="AB64" s="39"/>
      <c r="AC64" s="39"/>
      <c r="AD64" s="39"/>
      <c r="AE64" s="388"/>
      <c r="AF64" s="39"/>
      <c r="AG64" s="237"/>
      <c r="AH64" s="39"/>
      <c r="AI64" s="39"/>
      <c r="AJ64" s="39"/>
      <c r="AK64" s="388"/>
      <c r="AL64" s="39"/>
      <c r="AM64" s="237"/>
      <c r="AN64" s="39"/>
      <c r="AO64" s="39"/>
      <c r="AP64" s="39"/>
      <c r="AQ64" s="388"/>
      <c r="AR64" s="39"/>
      <c r="AS64" s="237"/>
      <c r="AT64" s="39"/>
      <c r="AU64" s="39"/>
      <c r="AV64" s="39"/>
      <c r="AW64" s="388"/>
      <c r="AX64" s="39"/>
      <c r="AY64" s="237"/>
      <c r="AZ64" s="39"/>
      <c r="BA64" s="39"/>
      <c r="BB64" s="39"/>
      <c r="BC64" s="388"/>
      <c r="BD64" s="39"/>
      <c r="BE64" s="237"/>
      <c r="BF64" s="39"/>
      <c r="BG64" s="39"/>
      <c r="BH64" s="39"/>
      <c r="BI64" s="388"/>
      <c r="BJ64" s="39"/>
      <c r="BK64" s="237"/>
      <c r="BL64" s="39"/>
      <c r="BM64" s="39"/>
      <c r="BN64" s="39"/>
      <c r="BO64" s="388"/>
      <c r="BP64" s="39"/>
      <c r="BQ64" s="237"/>
      <c r="BR64" s="39"/>
      <c r="BS64" s="39"/>
      <c r="BT64" s="39"/>
      <c r="BU64" s="388"/>
      <c r="BV64" s="39"/>
      <c r="BW64" s="237"/>
      <c r="BX64" s="39"/>
      <c r="BY64" s="39"/>
      <c r="BZ64" s="39"/>
      <c r="CA64" s="388"/>
      <c r="CB64" s="39"/>
      <c r="CC64" s="237"/>
      <c r="CD64" s="39"/>
      <c r="CE64" s="39"/>
      <c r="CF64" s="39"/>
      <c r="CG64" s="388"/>
    </row>
    <row r="65" spans="2:85" s="7" customFormat="1" ht="11.25" customHeight="1" thickBot="1" x14ac:dyDescent="0.25">
      <c r="B65" s="721" t="s">
        <v>46</v>
      </c>
      <c r="C65" s="725">
        <f>C40+C42+C63</f>
        <v>0</v>
      </c>
      <c r="D65" s="207">
        <f>D40+D42+D63</f>
        <v>0</v>
      </c>
      <c r="E65" s="207">
        <f>E40+E42+E63</f>
        <v>0</v>
      </c>
      <c r="F65" s="207">
        <f>F40+F42+F63</f>
        <v>0</v>
      </c>
      <c r="G65" s="724">
        <f>G40+G42+G63</f>
        <v>0</v>
      </c>
      <c r="H65" s="40"/>
      <c r="I65" s="725">
        <f>I40+I42+I63</f>
        <v>0</v>
      </c>
      <c r="J65" s="207">
        <f>J40+J42+J63</f>
        <v>0</v>
      </c>
      <c r="K65" s="207">
        <f>K40+K42+K63</f>
        <v>0</v>
      </c>
      <c r="L65" s="207">
        <f>L40+L42+L63</f>
        <v>0</v>
      </c>
      <c r="M65" s="730">
        <f>M40+M42+M63</f>
        <v>-38.580999999999989</v>
      </c>
      <c r="N65" s="40"/>
      <c r="O65" s="725">
        <f>O40+O42+O63</f>
        <v>0</v>
      </c>
      <c r="P65" s="207">
        <f>P40+P42+P63</f>
        <v>0</v>
      </c>
      <c r="Q65" s="207">
        <f>Q40+Q42+Q63</f>
        <v>0</v>
      </c>
      <c r="R65" s="207">
        <f>R40+R42+R63</f>
        <v>0</v>
      </c>
      <c r="S65" s="730">
        <f>S40+S42+S63</f>
        <v>-150.12400000000002</v>
      </c>
      <c r="T65" s="40"/>
      <c r="U65" s="725">
        <f>U40+U42+U63</f>
        <v>0</v>
      </c>
      <c r="V65" s="207">
        <f>V40+V42+V63</f>
        <v>0</v>
      </c>
      <c r="W65" s="207">
        <f>W40+W42+W63</f>
        <v>0</v>
      </c>
      <c r="X65" s="207">
        <f>X40+X42+X63</f>
        <v>0</v>
      </c>
      <c r="Y65" s="730">
        <f>Y40+Y42+Y63</f>
        <v>173.43900000000002</v>
      </c>
      <c r="Z65" s="40"/>
      <c r="AA65" s="725">
        <f>AA40+AA42+AA63</f>
        <v>0</v>
      </c>
      <c r="AB65" s="207">
        <f>AB40+AB42+AB63</f>
        <v>0</v>
      </c>
      <c r="AC65" s="207">
        <f>AC40+AC42+AC63</f>
        <v>0</v>
      </c>
      <c r="AD65" s="207">
        <f>AD40+AD42+AD63</f>
        <v>0</v>
      </c>
      <c r="AE65" s="730">
        <f>AE40+AE42+AE63</f>
        <v>5.3000000000011482E-2</v>
      </c>
      <c r="AF65" s="40"/>
      <c r="AG65" s="725">
        <f>AG40+AG42+AG63</f>
        <v>0</v>
      </c>
      <c r="AH65" s="207">
        <f>AH40+AH42+AH63</f>
        <v>0</v>
      </c>
      <c r="AI65" s="207">
        <f>AI40+AI42+AI63</f>
        <v>0</v>
      </c>
      <c r="AJ65" s="207">
        <f>AJ40+AJ42+AJ63</f>
        <v>0</v>
      </c>
      <c r="AK65" s="730">
        <f>AK40+AK42+AK63</f>
        <v>91.921999999999983</v>
      </c>
      <c r="AL65" s="40"/>
      <c r="AM65" s="725">
        <f>AM40+AM42+AM63</f>
        <v>0</v>
      </c>
      <c r="AN65" s="207">
        <f>AN40+AN42+AN63</f>
        <v>0</v>
      </c>
      <c r="AO65" s="207">
        <f>AO40+AO42+AO63</f>
        <v>0</v>
      </c>
      <c r="AP65" s="207">
        <f>AP40+AP42+AP63</f>
        <v>0</v>
      </c>
      <c r="AQ65" s="730">
        <f>AQ40+AQ42+AQ63</f>
        <v>-48.096999999999994</v>
      </c>
      <c r="AR65" s="40"/>
      <c r="AS65" s="725">
        <f>AS40+AS42+AS63</f>
        <v>306.53100000000001</v>
      </c>
      <c r="AT65" s="207">
        <f>AT40+AT42+AT63</f>
        <v>-35.831000000000046</v>
      </c>
      <c r="AU65" s="207">
        <f>AU40+AU42+AU63</f>
        <v>69.521000000000001</v>
      </c>
      <c r="AV65" s="207">
        <f>AV40+AV42+AV63</f>
        <v>-93.912999999999997</v>
      </c>
      <c r="AW65" s="730">
        <f>AW40+AW42+AW63</f>
        <v>246.30799999999999</v>
      </c>
      <c r="AX65" s="40"/>
      <c r="AY65" s="725">
        <f>AY40+AY42+AY63</f>
        <v>99.881000000000014</v>
      </c>
      <c r="AZ65" s="207">
        <f>AZ40+AZ42+AZ63</f>
        <v>-95.704000000000008</v>
      </c>
      <c r="BA65" s="207">
        <f>BA40+BA42+BA63</f>
        <v>62.781000000000006</v>
      </c>
      <c r="BB65" s="207">
        <f>BB40+BB42+BB63</f>
        <v>11.265999999999991</v>
      </c>
      <c r="BC65" s="730">
        <f>BC40+BC42+BC63</f>
        <v>78.223999999999961</v>
      </c>
      <c r="BD65" s="40"/>
      <c r="BE65" s="725">
        <f>BE40+BE42+BE63</f>
        <v>297.93199999999996</v>
      </c>
      <c r="BF65" s="207">
        <f>BF40+BF42+BF63</f>
        <v>-152.59599999999998</v>
      </c>
      <c r="BG65" s="207">
        <f>BG40+BG42+BG63</f>
        <v>113.557</v>
      </c>
      <c r="BH65" s="207">
        <f>BH40+BH42+BH63</f>
        <v>150.249</v>
      </c>
      <c r="BI65" s="730">
        <f>BI40+BI42+BI63</f>
        <v>409.142</v>
      </c>
      <c r="BJ65" s="40"/>
      <c r="BK65" s="725">
        <f>BK40+BK42+BK63</f>
        <v>179.89400000000003</v>
      </c>
      <c r="BL65" s="207">
        <f>BL40+BL42+BL63</f>
        <v>103.59299999999993</v>
      </c>
      <c r="BM65" s="207">
        <f t="shared" ref="BM65:BN65" si="71">BM40+BM42+BM63</f>
        <v>54.361000000000033</v>
      </c>
      <c r="BN65" s="207">
        <f t="shared" si="71"/>
        <v>109.36400000000002</v>
      </c>
      <c r="BO65" s="730">
        <f>BO40+BO42+BO63</f>
        <v>447.21199999999999</v>
      </c>
      <c r="BP65" s="40"/>
      <c r="BQ65" s="725">
        <f>BQ40+BQ42+BQ63</f>
        <v>0</v>
      </c>
      <c r="BR65" s="207">
        <f>BR40+BR42+BR63</f>
        <v>0</v>
      </c>
      <c r="BS65" s="207">
        <f>BS40+BS42+BS63</f>
        <v>0</v>
      </c>
      <c r="BT65" s="207">
        <f>BT40+BT42+BT63</f>
        <v>0</v>
      </c>
      <c r="BU65" s="730">
        <f>BU40+BU42+BU63</f>
        <v>0</v>
      </c>
      <c r="BV65" s="40"/>
      <c r="BW65" s="725">
        <f>BW40+BW42+BW63</f>
        <v>0</v>
      </c>
      <c r="BX65" s="207">
        <f>BX40+BX42+BX63</f>
        <v>0</v>
      </c>
      <c r="BY65" s="207">
        <f>BY40+BY42+BY63</f>
        <v>0</v>
      </c>
      <c r="BZ65" s="207">
        <f>BZ40+BZ42+BZ63</f>
        <v>0</v>
      </c>
      <c r="CA65" s="730">
        <f>CA40+CA42+CA63</f>
        <v>0</v>
      </c>
      <c r="CB65" s="40"/>
      <c r="CC65" s="725">
        <f>CC40+CC42+CC63</f>
        <v>0</v>
      </c>
      <c r="CD65" s="207">
        <f>CD40+CD42+CD63</f>
        <v>0</v>
      </c>
      <c r="CE65" s="207">
        <f>CE40+CE42+CE63</f>
        <v>-100</v>
      </c>
      <c r="CF65" s="207">
        <f>CF40+CF42+CF63</f>
        <v>0</v>
      </c>
      <c r="CG65" s="730">
        <f>CG40+CG42+CG63</f>
        <v>-100</v>
      </c>
    </row>
    <row r="66" spans="2:85" s="7" customFormat="1" ht="11.25" customHeight="1" thickTop="1" x14ac:dyDescent="0.2">
      <c r="B66" s="130"/>
      <c r="C66" s="237"/>
      <c r="D66" s="39"/>
      <c r="E66" s="39"/>
      <c r="F66" s="39"/>
      <c r="G66" s="722"/>
      <c r="H66" s="39"/>
      <c r="I66" s="237"/>
      <c r="J66" s="39"/>
      <c r="K66" s="39"/>
      <c r="L66" s="39"/>
      <c r="M66" s="388"/>
      <c r="N66" s="39"/>
      <c r="O66" s="237"/>
      <c r="P66" s="39"/>
      <c r="Q66" s="39"/>
      <c r="R66" s="39"/>
      <c r="S66" s="388"/>
      <c r="T66" s="39"/>
      <c r="U66" s="237"/>
      <c r="V66" s="39"/>
      <c r="W66" s="39"/>
      <c r="X66" s="39"/>
      <c r="Y66" s="388"/>
      <c r="Z66" s="39"/>
      <c r="AA66" s="237"/>
      <c r="AB66" s="39"/>
      <c r="AC66" s="39"/>
      <c r="AD66" s="39"/>
      <c r="AE66" s="388"/>
      <c r="AF66" s="39"/>
      <c r="AG66" s="237"/>
      <c r="AH66" s="39"/>
      <c r="AI66" s="39"/>
      <c r="AJ66" s="39"/>
      <c r="AK66" s="388"/>
      <c r="AL66" s="39"/>
      <c r="AM66" s="237"/>
      <c r="AN66" s="39"/>
      <c r="AO66" s="39"/>
      <c r="AP66" s="39"/>
      <c r="AQ66" s="388"/>
      <c r="AR66" s="39"/>
      <c r="AS66" s="237"/>
      <c r="AT66" s="39"/>
      <c r="AU66" s="39"/>
      <c r="AV66" s="39"/>
      <c r="AW66" s="388"/>
      <c r="AX66" s="39"/>
      <c r="AY66" s="237"/>
      <c r="AZ66" s="39"/>
      <c r="BA66" s="39"/>
      <c r="BB66" s="39"/>
      <c r="BC66" s="388"/>
      <c r="BD66" s="39"/>
      <c r="BE66" s="237"/>
      <c r="BF66" s="39"/>
      <c r="BG66" s="39"/>
      <c r="BH66" s="39"/>
      <c r="BI66" s="388"/>
      <c r="BJ66" s="39"/>
      <c r="BK66" s="237"/>
      <c r="BL66" s="39"/>
      <c r="BM66" s="39"/>
      <c r="BN66" s="39"/>
      <c r="BO66" s="388"/>
      <c r="BP66" s="39"/>
      <c r="BQ66" s="237"/>
      <c r="BR66" s="39"/>
      <c r="BS66" s="39"/>
      <c r="BT66" s="39"/>
      <c r="BU66" s="388"/>
      <c r="BV66" s="39"/>
      <c r="BW66" s="237"/>
      <c r="BX66" s="39"/>
      <c r="BY66" s="39"/>
      <c r="BZ66" s="39"/>
      <c r="CA66" s="388"/>
      <c r="CB66" s="39"/>
      <c r="CC66" s="237"/>
      <c r="CD66" s="39"/>
      <c r="CE66" s="39"/>
      <c r="CF66" s="39"/>
      <c r="CG66" s="388"/>
    </row>
    <row r="67" spans="2:85" s="7" customFormat="1" ht="11.25" customHeight="1" x14ac:dyDescent="0.2">
      <c r="B67" s="275" t="s">
        <v>204</v>
      </c>
      <c r="C67" s="237"/>
      <c r="D67" s="39"/>
      <c r="E67" s="39"/>
      <c r="F67" s="39"/>
      <c r="G67" s="722"/>
      <c r="H67" s="39"/>
      <c r="I67" s="237"/>
      <c r="J67" s="39"/>
      <c r="K67" s="39"/>
      <c r="L67" s="39"/>
      <c r="M67" s="388">
        <f>M42+M40</f>
        <v>128.04500000000002</v>
      </c>
      <c r="N67" s="39"/>
      <c r="O67" s="237"/>
      <c r="P67" s="39"/>
      <c r="Q67" s="39"/>
      <c r="R67" s="39"/>
      <c r="S67" s="388">
        <f>S42+S40</f>
        <v>-136.84899999999999</v>
      </c>
      <c r="T67" s="39"/>
      <c r="U67" s="237"/>
      <c r="V67" s="39"/>
      <c r="W67" s="39"/>
      <c r="X67" s="39"/>
      <c r="Y67" s="388">
        <f>Y42+Y40</f>
        <v>21.503</v>
      </c>
      <c r="Z67" s="39"/>
      <c r="AA67" s="237"/>
      <c r="AB67" s="39"/>
      <c r="AC67" s="39"/>
      <c r="AD67" s="39"/>
      <c r="AE67" s="388">
        <f>AE42+AE40</f>
        <v>31.838000000000001</v>
      </c>
      <c r="AF67" s="39"/>
      <c r="AG67" s="237"/>
      <c r="AH67" s="39"/>
      <c r="AI67" s="39"/>
      <c r="AJ67" s="39"/>
      <c r="AK67" s="388">
        <f>AK42+AK40</f>
        <v>-32.674999999999997</v>
      </c>
      <c r="AL67" s="39"/>
      <c r="AM67" s="237"/>
      <c r="AN67" s="39"/>
      <c r="AO67" s="39"/>
      <c r="AP67" s="39"/>
      <c r="AQ67" s="388">
        <f>AQ42+AQ40</f>
        <v>-10.209000000000003</v>
      </c>
      <c r="AR67" s="39"/>
      <c r="AS67" s="237">
        <f>AS42+AS40</f>
        <v>215.077</v>
      </c>
      <c r="AT67" s="39">
        <f>AT42+AT40</f>
        <v>-160.053</v>
      </c>
      <c r="AU67" s="39">
        <f>AU42+AU40</f>
        <v>104.624</v>
      </c>
      <c r="AV67" s="39">
        <f>AV42+AV40</f>
        <v>-5.8829999999999965</v>
      </c>
      <c r="AW67" s="388">
        <f>AW42+AW40</f>
        <v>153.76499999999999</v>
      </c>
      <c r="AX67" s="39"/>
      <c r="AY67" s="237">
        <f>AY42+AY40</f>
        <v>-11.060999999999993</v>
      </c>
      <c r="AZ67" s="39">
        <f>AZ42+AZ40</f>
        <v>-30.509000000000011</v>
      </c>
      <c r="BA67" s="39">
        <f>BA42+BA40</f>
        <v>54.198</v>
      </c>
      <c r="BB67" s="39">
        <f>BB42+BB40</f>
        <v>144.61999999999998</v>
      </c>
      <c r="BC67" s="388">
        <f>BC42+BC40</f>
        <v>157.24799999999996</v>
      </c>
      <c r="BD67" s="39"/>
      <c r="BE67" s="237">
        <f>BE42+BE40</f>
        <v>95.400999999999996</v>
      </c>
      <c r="BF67" s="39">
        <f>BF42+BF40</f>
        <v>-186.36499999999998</v>
      </c>
      <c r="BG67" s="39">
        <f>BG42+BG40</f>
        <v>95.584999999999994</v>
      </c>
      <c r="BH67" s="39">
        <f>BH42+BH40</f>
        <v>152.816</v>
      </c>
      <c r="BI67" s="388">
        <f>BI42+BI40</f>
        <v>157.43700000000001</v>
      </c>
      <c r="BJ67" s="39"/>
      <c r="BK67" s="237">
        <f>BK42+BK40</f>
        <v>186.92900000000003</v>
      </c>
      <c r="BL67" s="39">
        <f>BL42+BL40</f>
        <v>-95.61000000000007</v>
      </c>
      <c r="BM67" s="39">
        <f t="shared" ref="BM67:BN67" si="72">BM42+BM40</f>
        <v>54.394000000000034</v>
      </c>
      <c r="BN67" s="39">
        <f t="shared" si="72"/>
        <v>109.20000000000002</v>
      </c>
      <c r="BO67" s="388">
        <f>BO42+BO40</f>
        <v>254.91300000000001</v>
      </c>
      <c r="BP67" s="39"/>
      <c r="BQ67" s="237">
        <f>BQ42+BQ40</f>
        <v>0</v>
      </c>
      <c r="BR67" s="39">
        <f>BR42+BR40</f>
        <v>0</v>
      </c>
      <c r="BS67" s="39">
        <f>BS42+BS40</f>
        <v>0</v>
      </c>
      <c r="BT67" s="39">
        <f>BT42+BT40</f>
        <v>0</v>
      </c>
      <c r="BU67" s="388">
        <f>BU42+BU40</f>
        <v>0</v>
      </c>
      <c r="BV67" s="39"/>
      <c r="BW67" s="237">
        <f>BW42+BW40</f>
        <v>0</v>
      </c>
      <c r="BX67" s="39">
        <f>BX42+BX40</f>
        <v>0</v>
      </c>
      <c r="BY67" s="39">
        <f>BY42+BY40</f>
        <v>0</v>
      </c>
      <c r="BZ67" s="39">
        <f>BZ42+BZ40</f>
        <v>0</v>
      </c>
      <c r="CA67" s="388">
        <f>CA42+CA40</f>
        <v>0</v>
      </c>
      <c r="CB67" s="39"/>
      <c r="CC67" s="237">
        <f>CC42+CC40</f>
        <v>0</v>
      </c>
      <c r="CD67" s="39">
        <f>CD42+CD40</f>
        <v>0</v>
      </c>
      <c r="CE67" s="39">
        <f>CE42+CE40</f>
        <v>0</v>
      </c>
      <c r="CF67" s="39">
        <f>CF42+CF40</f>
        <v>0</v>
      </c>
      <c r="CG67" s="388">
        <f>CG42+CG40</f>
        <v>0</v>
      </c>
    </row>
    <row r="68" spans="2:85" s="7" customFormat="1" ht="11.25" customHeight="1" x14ac:dyDescent="0.2">
      <c r="B68" s="132" t="s">
        <v>205</v>
      </c>
      <c r="C68" s="674"/>
      <c r="D68" s="675"/>
      <c r="E68" s="675"/>
      <c r="F68" s="675"/>
      <c r="G68" s="723"/>
      <c r="H68" s="39"/>
      <c r="I68" s="674"/>
      <c r="J68" s="675"/>
      <c r="K68" s="675"/>
      <c r="L68" s="675"/>
      <c r="M68" s="676">
        <f>M65-M67</f>
        <v>-166.626</v>
      </c>
      <c r="N68" s="39"/>
      <c r="O68" s="674"/>
      <c r="P68" s="675"/>
      <c r="Q68" s="675"/>
      <c r="R68" s="675"/>
      <c r="S68" s="676">
        <f>S65-S67</f>
        <v>-13.275000000000034</v>
      </c>
      <c r="T68" s="39"/>
      <c r="U68" s="674"/>
      <c r="V68" s="675"/>
      <c r="W68" s="675"/>
      <c r="X68" s="675"/>
      <c r="Y68" s="676">
        <f>Y65-Y67</f>
        <v>151.93600000000004</v>
      </c>
      <c r="Z68" s="39"/>
      <c r="AA68" s="674"/>
      <c r="AB68" s="675"/>
      <c r="AC68" s="675"/>
      <c r="AD68" s="675"/>
      <c r="AE68" s="676">
        <f>AE65-AE67</f>
        <v>-31.784999999999989</v>
      </c>
      <c r="AF68" s="39"/>
      <c r="AG68" s="674"/>
      <c r="AH68" s="675"/>
      <c r="AI68" s="675"/>
      <c r="AJ68" s="675"/>
      <c r="AK68" s="676">
        <f>AK65-AK67</f>
        <v>124.59699999999998</v>
      </c>
      <c r="AL68" s="39"/>
      <c r="AM68" s="674"/>
      <c r="AN68" s="675"/>
      <c r="AO68" s="675"/>
      <c r="AP68" s="675"/>
      <c r="AQ68" s="676">
        <f>AQ65-AQ67</f>
        <v>-37.887999999999991</v>
      </c>
      <c r="AR68" s="39"/>
      <c r="AS68" s="674">
        <f>AS65-AS67</f>
        <v>91.454000000000008</v>
      </c>
      <c r="AT68" s="675">
        <f>AT65-AT67</f>
        <v>124.22199999999995</v>
      </c>
      <c r="AU68" s="675">
        <f>AU65-AU67</f>
        <v>-35.102999999999994</v>
      </c>
      <c r="AV68" s="675">
        <f>AV65-AV67</f>
        <v>-88.03</v>
      </c>
      <c r="AW68" s="676">
        <f>AW65-AW67</f>
        <v>92.543000000000006</v>
      </c>
      <c r="AX68" s="39"/>
      <c r="AY68" s="674">
        <f>AY65-AY67</f>
        <v>110.94200000000001</v>
      </c>
      <c r="AZ68" s="675">
        <f>AZ65-AZ67</f>
        <v>-65.194999999999993</v>
      </c>
      <c r="BA68" s="675">
        <f>BA65-BA67</f>
        <v>8.5830000000000055</v>
      </c>
      <c r="BB68" s="675">
        <f>BB65-BB67</f>
        <v>-133.35399999999998</v>
      </c>
      <c r="BC68" s="676">
        <f>BC65-BC67</f>
        <v>-79.024000000000001</v>
      </c>
      <c r="BD68" s="39"/>
      <c r="BE68" s="674">
        <f>BE65-BE67</f>
        <v>202.53099999999995</v>
      </c>
      <c r="BF68" s="675">
        <f>BF65-BF67</f>
        <v>33.769000000000005</v>
      </c>
      <c r="BG68" s="675">
        <f>BG65-BG67</f>
        <v>17.972000000000008</v>
      </c>
      <c r="BH68" s="675">
        <f>BH65-BH67</f>
        <v>-2.5670000000000073</v>
      </c>
      <c r="BI68" s="676">
        <f>BI65-BI67</f>
        <v>251.70499999999998</v>
      </c>
      <c r="BJ68" s="39"/>
      <c r="BK68" s="674">
        <f>BK65-BK67</f>
        <v>-7.0349999999999966</v>
      </c>
      <c r="BL68" s="675">
        <f>BL65-BL67</f>
        <v>199.203</v>
      </c>
      <c r="BM68" s="675">
        <f t="shared" ref="BM68:BN68" si="73">BM65-BM67</f>
        <v>-3.3000000000001251E-2</v>
      </c>
      <c r="BN68" s="675">
        <f t="shared" si="73"/>
        <v>0.16400000000000148</v>
      </c>
      <c r="BO68" s="676">
        <f>BO65-BO67</f>
        <v>192.29899999999998</v>
      </c>
      <c r="BP68" s="39"/>
      <c r="BQ68" s="674">
        <f>BQ65-BQ67</f>
        <v>0</v>
      </c>
      <c r="BR68" s="675">
        <f>BR65-BR67</f>
        <v>0</v>
      </c>
      <c r="BS68" s="675">
        <f>BS65-BS67</f>
        <v>0</v>
      </c>
      <c r="BT68" s="675">
        <f>BT65-BT67</f>
        <v>0</v>
      </c>
      <c r="BU68" s="676">
        <f>BU65-BU67</f>
        <v>0</v>
      </c>
      <c r="BV68" s="39"/>
      <c r="BW68" s="674">
        <f>BW65-BW67</f>
        <v>0</v>
      </c>
      <c r="BX68" s="675">
        <f>BX65-BX67</f>
        <v>0</v>
      </c>
      <c r="BY68" s="675">
        <f>BY65-BY67</f>
        <v>0</v>
      </c>
      <c r="BZ68" s="675">
        <f>BZ65-BZ67</f>
        <v>0</v>
      </c>
      <c r="CA68" s="676">
        <f>CA65-CA67</f>
        <v>0</v>
      </c>
      <c r="CB68" s="39"/>
      <c r="CC68" s="674">
        <f>CC65-CC67</f>
        <v>0</v>
      </c>
      <c r="CD68" s="675">
        <f>CD65-CD67</f>
        <v>0</v>
      </c>
      <c r="CE68" s="675">
        <f>CE65-CE67</f>
        <v>-100</v>
      </c>
      <c r="CF68" s="675">
        <f>CF65-CF67</f>
        <v>0</v>
      </c>
      <c r="CG68" s="676">
        <f>CG65-CG67</f>
        <v>-100</v>
      </c>
    </row>
    <row r="69" spans="2:85" s="7" customFormat="1" ht="11.25" customHeight="1" x14ac:dyDescent="0.2">
      <c r="B69" s="188"/>
      <c r="C69" s="189"/>
      <c r="D69" s="189"/>
      <c r="E69" s="189"/>
      <c r="F69" s="189"/>
      <c r="G69" s="189"/>
      <c r="H69" s="36"/>
      <c r="I69" s="189"/>
      <c r="J69" s="189"/>
      <c r="K69" s="189"/>
      <c r="L69" s="189"/>
      <c r="M69" s="189"/>
      <c r="N69" s="36"/>
      <c r="O69" s="189"/>
      <c r="P69" s="189"/>
      <c r="Q69" s="189"/>
      <c r="R69" s="189"/>
      <c r="S69" s="189"/>
      <c r="T69" s="36"/>
      <c r="U69" s="189"/>
      <c r="V69" s="189"/>
      <c r="W69" s="189"/>
      <c r="X69" s="189"/>
      <c r="Y69" s="189"/>
      <c r="Z69" s="36"/>
      <c r="AA69" s="189"/>
      <c r="AB69" s="189"/>
      <c r="AC69" s="189"/>
      <c r="AD69" s="189"/>
      <c r="AE69" s="189"/>
      <c r="AF69" s="36"/>
      <c r="AG69" s="189"/>
      <c r="AH69" s="189"/>
      <c r="AI69" s="189"/>
      <c r="AJ69" s="189"/>
      <c r="AK69" s="189"/>
      <c r="AL69" s="36"/>
      <c r="AM69" s="189"/>
      <c r="AN69" s="189"/>
      <c r="AO69" s="189"/>
      <c r="AP69" s="189"/>
      <c r="AQ69" s="189"/>
      <c r="AR69" s="36"/>
      <c r="AS69" s="189"/>
      <c r="AT69" s="189"/>
      <c r="AU69" s="189"/>
      <c r="AV69" s="189"/>
      <c r="AW69" s="189"/>
      <c r="AX69" s="36"/>
      <c r="AY69" s="189"/>
      <c r="AZ69" s="189"/>
      <c r="BA69" s="189"/>
      <c r="BB69" s="189"/>
      <c r="BC69" s="189"/>
      <c r="BD69" s="36"/>
      <c r="BE69" s="189"/>
      <c r="BF69" s="189"/>
      <c r="BG69" s="189"/>
      <c r="BH69" s="189"/>
      <c r="BI69" s="189"/>
      <c r="BJ69" s="36"/>
      <c r="BK69" s="189"/>
      <c r="BL69" s="189"/>
      <c r="BM69" s="189"/>
      <c r="BN69" s="189"/>
      <c r="BO69" s="189"/>
      <c r="BP69" s="36"/>
      <c r="BQ69" s="189"/>
      <c r="BR69" s="189"/>
      <c r="BS69" s="189"/>
      <c r="BT69" s="189"/>
      <c r="BU69" s="189"/>
      <c r="BV69" s="36"/>
      <c r="BW69" s="189"/>
      <c r="BX69" s="189"/>
      <c r="BY69" s="189"/>
      <c r="BZ69" s="189"/>
      <c r="CA69" s="189"/>
      <c r="CB69" s="36"/>
      <c r="CC69" s="189"/>
      <c r="CD69" s="189"/>
      <c r="CE69" s="189"/>
      <c r="CF69" s="189"/>
      <c r="CG69" s="189"/>
    </row>
    <row r="70" spans="2:85" s="7" customFormat="1" ht="11.25" customHeight="1" x14ac:dyDescent="0.2">
      <c r="B70" s="815" t="s">
        <v>207</v>
      </c>
      <c r="C70" s="816"/>
      <c r="D70" s="816"/>
      <c r="E70" s="816"/>
      <c r="F70" s="816"/>
      <c r="G70" s="816"/>
      <c r="H70" s="816"/>
      <c r="I70" s="816"/>
      <c r="J70" s="816"/>
      <c r="K70" s="816"/>
      <c r="L70" s="816"/>
      <c r="M70" s="816"/>
      <c r="N70" s="816"/>
      <c r="O70" s="816"/>
      <c r="P70" s="816"/>
      <c r="Q70" s="816"/>
      <c r="R70" s="816"/>
      <c r="S70" s="816"/>
      <c r="T70" s="816"/>
      <c r="U70" s="816"/>
      <c r="V70" s="816"/>
      <c r="W70" s="816"/>
      <c r="X70" s="816"/>
      <c r="Y70" s="816"/>
      <c r="Z70" s="816"/>
      <c r="AA70" s="816"/>
      <c r="AB70" s="816"/>
      <c r="AC70" s="816"/>
      <c r="AD70" s="816"/>
      <c r="AE70" s="816"/>
      <c r="AF70" s="816"/>
      <c r="AG70" s="816"/>
      <c r="AH70" s="816"/>
      <c r="AI70" s="816"/>
      <c r="AJ70" s="816"/>
      <c r="AK70" s="816"/>
      <c r="AL70" s="816"/>
      <c r="AM70" s="816"/>
      <c r="AN70" s="816"/>
      <c r="AO70" s="816"/>
      <c r="AP70" s="816"/>
      <c r="AQ70" s="816"/>
      <c r="AR70" s="816"/>
      <c r="AS70" s="816"/>
      <c r="AT70" s="816"/>
      <c r="AU70" s="816"/>
      <c r="AV70" s="816"/>
      <c r="AW70" s="816"/>
      <c r="AX70" s="816"/>
      <c r="AY70" s="816"/>
      <c r="AZ70" s="816"/>
      <c r="BA70" s="816"/>
      <c r="BB70" s="816"/>
      <c r="BC70" s="816"/>
      <c r="BD70" s="816"/>
      <c r="BE70" s="816"/>
      <c r="BF70" s="816"/>
      <c r="BG70" s="816"/>
      <c r="BH70" s="816"/>
      <c r="BI70" s="816"/>
      <c r="BJ70" s="816"/>
      <c r="BK70" s="816"/>
      <c r="BL70" s="816"/>
      <c r="BM70" s="816"/>
      <c r="BN70" s="816"/>
      <c r="BO70" s="816"/>
      <c r="BP70" s="816"/>
      <c r="BQ70" s="816"/>
      <c r="BR70" s="816"/>
      <c r="BS70" s="816"/>
      <c r="BT70" s="816"/>
      <c r="BU70" s="816"/>
      <c r="BV70" s="816"/>
      <c r="BW70" s="816"/>
      <c r="BX70" s="816"/>
      <c r="BY70" s="816"/>
      <c r="BZ70" s="816"/>
      <c r="CA70" s="816"/>
      <c r="CB70" s="816"/>
      <c r="CC70" s="816"/>
      <c r="CD70" s="816"/>
      <c r="CE70" s="816"/>
      <c r="CF70" s="816"/>
      <c r="CG70" s="816"/>
    </row>
    <row r="71" spans="2:85" s="7" customFormat="1" ht="11.25" customHeight="1" x14ac:dyDescent="0.2">
      <c r="B71" s="426" t="s">
        <v>331</v>
      </c>
      <c r="C71" s="620" t="s">
        <v>448</v>
      </c>
      <c r="D71" s="621"/>
      <c r="E71" s="621"/>
      <c r="F71" s="621"/>
      <c r="G71" s="440">
        <v>5.6000000000000001E-2</v>
      </c>
      <c r="H71" s="196"/>
      <c r="I71" s="620"/>
      <c r="J71" s="621"/>
      <c r="K71" s="621"/>
      <c r="L71" s="621"/>
      <c r="M71" s="440">
        <v>4.9000000000000002E-2</v>
      </c>
      <c r="N71" s="196"/>
      <c r="O71" s="620"/>
      <c r="P71" s="621"/>
      <c r="Q71" s="621"/>
      <c r="R71" s="621"/>
      <c r="S71" s="440">
        <v>3.7999999999999999E-2</v>
      </c>
      <c r="T71" s="196"/>
      <c r="U71" s="620"/>
      <c r="V71" s="621"/>
      <c r="W71" s="621"/>
      <c r="X71" s="621"/>
      <c r="Y71" s="440">
        <v>2.58E-2</v>
      </c>
      <c r="Z71" s="196"/>
      <c r="AA71" s="620"/>
      <c r="AB71" s="621"/>
      <c r="AC71" s="621"/>
      <c r="AD71" s="621"/>
      <c r="AE71" s="440">
        <v>1.29E-2</v>
      </c>
      <c r="AF71" s="196"/>
      <c r="AG71" s="620"/>
      <c r="AH71" s="621"/>
      <c r="AI71" s="621"/>
      <c r="AJ71" s="621"/>
      <c r="AK71" s="440">
        <v>2.2200000000000001E-2</v>
      </c>
      <c r="AL71" s="196"/>
      <c r="AM71" s="620"/>
      <c r="AN71" s="621"/>
      <c r="AO71" s="621"/>
      <c r="AP71" s="621"/>
      <c r="AQ71" s="440">
        <v>2.7300000000000001E-2</v>
      </c>
      <c r="AR71" s="196"/>
      <c r="AS71" s="620">
        <v>1.34E-2</v>
      </c>
      <c r="AT71" s="621">
        <v>1.4999999999999999E-2</v>
      </c>
      <c r="AU71" s="621">
        <v>1.21E-2</v>
      </c>
      <c r="AV71" s="621">
        <v>1.26E-2</v>
      </c>
      <c r="AW71" s="440"/>
      <c r="AX71" s="196"/>
      <c r="AY71" s="620">
        <v>1.3100000000000001E-2</v>
      </c>
      <c r="AZ71" s="621">
        <v>1.3599999999999999E-2</v>
      </c>
      <c r="BA71" s="621">
        <v>1.24E-2</v>
      </c>
      <c r="BB71" s="621">
        <v>1.21E-2</v>
      </c>
      <c r="BC71" s="440"/>
      <c r="BD71" s="196"/>
      <c r="BE71" s="620">
        <v>1.29E-2</v>
      </c>
      <c r="BF71" s="621">
        <v>1.3599999999999999E-2</v>
      </c>
      <c r="BG71" s="621">
        <v>1.41E-2</v>
      </c>
      <c r="BH71" s="621">
        <v>1.41E-2</v>
      </c>
      <c r="BI71" s="719"/>
      <c r="BJ71" s="196"/>
      <c r="BK71" s="620">
        <v>1.29E-2</v>
      </c>
      <c r="BL71" s="229">
        <f>+BK71</f>
        <v>1.29E-2</v>
      </c>
      <c r="BM71" s="229">
        <f>+BL71</f>
        <v>1.29E-2</v>
      </c>
      <c r="BN71" s="229">
        <f>+BM71</f>
        <v>1.29E-2</v>
      </c>
      <c r="BO71" s="719"/>
      <c r="BP71" s="196"/>
      <c r="BQ71" s="236">
        <f>+BN71</f>
        <v>1.29E-2</v>
      </c>
      <c r="BR71" s="229">
        <f>+BQ71</f>
        <v>1.29E-2</v>
      </c>
      <c r="BS71" s="229">
        <f>+BR71</f>
        <v>1.29E-2</v>
      </c>
      <c r="BT71" s="229">
        <f>+BS71</f>
        <v>1.29E-2</v>
      </c>
      <c r="BU71" s="719"/>
      <c r="BV71" s="196"/>
      <c r="BW71" s="236">
        <f>+BT71</f>
        <v>1.29E-2</v>
      </c>
      <c r="BX71" s="229">
        <f>+BW71</f>
        <v>1.29E-2</v>
      </c>
      <c r="BY71" s="229">
        <f>+BX71</f>
        <v>1.29E-2</v>
      </c>
      <c r="BZ71" s="229">
        <f>+BY71</f>
        <v>1.29E-2</v>
      </c>
      <c r="CA71" s="719"/>
      <c r="CB71" s="196"/>
      <c r="CC71" s="236">
        <f>+BZ71</f>
        <v>1.29E-2</v>
      </c>
      <c r="CD71" s="229">
        <f>+CC71</f>
        <v>1.29E-2</v>
      </c>
      <c r="CE71" s="229">
        <f>+CD71</f>
        <v>1.29E-2</v>
      </c>
      <c r="CF71" s="229">
        <f>+CE71</f>
        <v>1.29E-2</v>
      </c>
      <c r="CG71" s="719"/>
    </row>
    <row r="72" spans="2:85" s="7" customFormat="1" ht="11.25" customHeight="1" x14ac:dyDescent="0.2">
      <c r="B72" s="714"/>
      <c r="C72" s="235"/>
      <c r="D72" s="43"/>
      <c r="E72" s="43"/>
      <c r="F72" s="43"/>
      <c r="G72" s="386"/>
      <c r="H72" s="42"/>
      <c r="I72" s="235"/>
      <c r="J72" s="43"/>
      <c r="K72" s="43"/>
      <c r="L72" s="43"/>
      <c r="M72" s="386"/>
      <c r="N72" s="42"/>
      <c r="O72" s="235"/>
      <c r="P72" s="43"/>
      <c r="Q72" s="43"/>
      <c r="R72" s="43"/>
      <c r="S72" s="386"/>
      <c r="T72" s="42"/>
      <c r="U72" s="235"/>
      <c r="V72" s="43"/>
      <c r="W72" s="43"/>
      <c r="X72" s="43"/>
      <c r="Y72" s="386"/>
      <c r="Z72" s="42"/>
      <c r="AA72" s="235"/>
      <c r="AB72" s="43"/>
      <c r="AC72" s="43"/>
      <c r="AD72" s="43"/>
      <c r="AE72" s="386"/>
      <c r="AF72" s="42"/>
      <c r="AG72" s="235"/>
      <c r="AH72" s="43"/>
      <c r="AI72" s="43"/>
      <c r="AJ72" s="43"/>
      <c r="AK72" s="386"/>
      <c r="AL72" s="42"/>
      <c r="AM72" s="235"/>
      <c r="AN72" s="43"/>
      <c r="AO72" s="43"/>
      <c r="AP72" s="43"/>
      <c r="AQ72" s="386"/>
      <c r="AR72" s="42"/>
      <c r="AS72" s="235"/>
      <c r="AT72" s="43"/>
      <c r="AU72" s="43"/>
      <c r="AV72" s="43"/>
      <c r="AW72" s="386"/>
      <c r="AX72" s="42"/>
      <c r="AY72" s="235"/>
      <c r="AZ72" s="43"/>
      <c r="BA72" s="43"/>
      <c r="BB72" s="43"/>
      <c r="BC72" s="386"/>
      <c r="BD72" s="42"/>
      <c r="BE72" s="235"/>
      <c r="BF72" s="43"/>
      <c r="BG72" s="43"/>
      <c r="BH72" s="43"/>
      <c r="BI72" s="386"/>
      <c r="BJ72" s="42"/>
      <c r="BK72" s="235"/>
      <c r="BL72" s="43"/>
      <c r="BM72" s="43"/>
      <c r="BN72" s="43"/>
      <c r="BO72" s="386"/>
      <c r="BP72" s="42"/>
      <c r="BQ72" s="235"/>
      <c r="BR72" s="43"/>
      <c r="BS72" s="43"/>
      <c r="BT72" s="43"/>
      <c r="BU72" s="386"/>
      <c r="BV72" s="42"/>
      <c r="BW72" s="235"/>
      <c r="BX72" s="43"/>
      <c r="BY72" s="43"/>
      <c r="BZ72" s="43"/>
      <c r="CA72" s="386"/>
      <c r="CB72" s="42"/>
      <c r="CC72" s="235"/>
      <c r="CD72" s="43"/>
      <c r="CE72" s="43"/>
      <c r="CF72" s="43"/>
      <c r="CG72" s="386"/>
    </row>
    <row r="73" spans="2:85" s="7" customFormat="1" ht="11.25" customHeight="1" x14ac:dyDescent="0.2">
      <c r="B73" s="715" t="s">
        <v>332</v>
      </c>
      <c r="C73" s="235" t="s">
        <v>448</v>
      </c>
      <c r="D73" s="43"/>
      <c r="E73" s="43"/>
      <c r="F73" s="43"/>
      <c r="G73" s="386"/>
      <c r="H73" s="42"/>
      <c r="I73" s="235"/>
      <c r="J73" s="43"/>
      <c r="K73" s="43"/>
      <c r="L73" s="43"/>
      <c r="M73" s="386">
        <f>+M92</f>
        <v>7.9624215995891423E-2</v>
      </c>
      <c r="N73" s="42"/>
      <c r="O73" s="235"/>
      <c r="P73" s="43"/>
      <c r="Q73" s="43"/>
      <c r="R73" s="43"/>
      <c r="S73" s="386">
        <f>+S92</f>
        <v>6.8408784886747662E-2</v>
      </c>
      <c r="T73" s="42"/>
      <c r="U73" s="235"/>
      <c r="V73" s="43"/>
      <c r="W73" s="43"/>
      <c r="X73" s="43"/>
      <c r="Y73" s="386">
        <f>+Y92</f>
        <v>9.9271290134372414E-2</v>
      </c>
      <c r="Z73" s="42"/>
      <c r="AA73" s="235"/>
      <c r="AB73" s="43"/>
      <c r="AC73" s="43"/>
      <c r="AD73" s="43"/>
      <c r="AE73" s="386">
        <f>+AE92</f>
        <v>7.569763896715466E-2</v>
      </c>
      <c r="AF73" s="42"/>
      <c r="AG73" s="235"/>
      <c r="AH73" s="43"/>
      <c r="AI73" s="43"/>
      <c r="AJ73" s="43"/>
      <c r="AK73" s="386">
        <f>+AK92</f>
        <v>6.7207351398836476E-2</v>
      </c>
      <c r="AL73" s="42"/>
      <c r="AM73" s="235"/>
      <c r="AN73" s="43"/>
      <c r="AO73" s="43"/>
      <c r="AP73" s="43"/>
      <c r="AQ73" s="386">
        <f>+AQ92</f>
        <v>4.2762898438011752E-2</v>
      </c>
      <c r="AR73" s="42"/>
      <c r="AS73" s="235">
        <f>+AS92</f>
        <v>2.9493117956493346E-2</v>
      </c>
      <c r="AT73" s="43">
        <f>+AT92</f>
        <v>3.1778829471119388E-2</v>
      </c>
      <c r="AU73" s="43">
        <f>+AU92</f>
        <v>3.5867172422961814E-2</v>
      </c>
      <c r="AV73" s="43">
        <f>+AV92</f>
        <v>4.2279186182002861E-2</v>
      </c>
      <c r="AW73" s="386"/>
      <c r="AX73" s="42"/>
      <c r="AY73" s="235">
        <f>+AY92</f>
        <v>3.7449283134535029E-2</v>
      </c>
      <c r="AZ73" s="43">
        <f>+AZ92</f>
        <v>3.6413450429910739E-2</v>
      </c>
      <c r="BA73" s="43">
        <f>+BA92</f>
        <v>3.8209144049107635E-2</v>
      </c>
      <c r="BB73" s="43">
        <f>+BB92</f>
        <v>4.6699746303694223E-2</v>
      </c>
      <c r="BC73" s="386"/>
      <c r="BD73" s="42"/>
      <c r="BE73" s="235">
        <f>+BE92</f>
        <v>4.0617080550425469E-2</v>
      </c>
      <c r="BF73" s="43">
        <f>+BF92</f>
        <v>3.5646029252093543E-2</v>
      </c>
      <c r="BG73" s="43">
        <f>+BG92</f>
        <v>3.5694201449001019E-2</v>
      </c>
      <c r="BH73" s="43">
        <f>+BH92</f>
        <v>4.5107902949770039E-2</v>
      </c>
      <c r="BI73" s="386"/>
      <c r="BJ73" s="42"/>
      <c r="BK73" s="235">
        <f>+BK92</f>
        <v>5.1134323252493022E-2</v>
      </c>
      <c r="BL73" s="43">
        <f>+BL92</f>
        <v>5.2496763370131441E-2</v>
      </c>
      <c r="BM73" s="43">
        <f>+BM92</f>
        <v>5.2479411215033404E-2</v>
      </c>
      <c r="BN73" s="43">
        <f>+BN92</f>
        <v>6.2222722135520589E-2</v>
      </c>
      <c r="BO73" s="386"/>
      <c r="BP73" s="42"/>
      <c r="BQ73" s="235">
        <f>+BQ92</f>
        <v>5.373468220442118E-2</v>
      </c>
      <c r="BR73" s="43">
        <f>+BR92</f>
        <v>5.373468220442118E-2</v>
      </c>
      <c r="BS73" s="43">
        <f>+BS92</f>
        <v>5.373468220442118E-2</v>
      </c>
      <c r="BT73" s="43">
        <f>+BT92</f>
        <v>5.373468220442118E-2</v>
      </c>
      <c r="BU73" s="386"/>
      <c r="BV73" s="42"/>
      <c r="BW73" s="235">
        <f>+BW92</f>
        <v>5.373468220442118E-2</v>
      </c>
      <c r="BX73" s="43">
        <f>+BX92</f>
        <v>5.373468220442118E-2</v>
      </c>
      <c r="BY73" s="43">
        <f>+BY92</f>
        <v>5.373468220442118E-2</v>
      </c>
      <c r="BZ73" s="43">
        <f>+BZ92</f>
        <v>5.373468220442118E-2</v>
      </c>
      <c r="CA73" s="386"/>
      <c r="CB73" s="42"/>
      <c r="CC73" s="235">
        <f>+CC92</f>
        <v>5.373468220442118E-2</v>
      </c>
      <c r="CD73" s="43">
        <f>+CD92</f>
        <v>5.373468220442118E-2</v>
      </c>
      <c r="CE73" s="43">
        <f>+CE92</f>
        <v>5.4640126541745063E-2</v>
      </c>
      <c r="CF73" s="43">
        <f>+CF92</f>
        <v>5.5655399586373361E-2</v>
      </c>
      <c r="CG73" s="386"/>
    </row>
    <row r="74" spans="2:85" s="7" customFormat="1" ht="11.25" customHeight="1" x14ac:dyDescent="0.2">
      <c r="B74" s="716"/>
      <c r="C74" s="235"/>
      <c r="D74" s="43"/>
      <c r="E74" s="43"/>
      <c r="F74" s="43"/>
      <c r="G74" s="386"/>
      <c r="H74" s="42"/>
      <c r="I74" s="235"/>
      <c r="J74" s="43"/>
      <c r="K74" s="43"/>
      <c r="L74" s="43"/>
      <c r="M74" s="386"/>
      <c r="N74" s="42"/>
      <c r="O74" s="235"/>
      <c r="P74" s="43"/>
      <c r="Q74" s="43"/>
      <c r="R74" s="43"/>
      <c r="S74" s="386"/>
      <c r="T74" s="42"/>
      <c r="U74" s="235"/>
      <c r="V74" s="43"/>
      <c r="W74" s="43"/>
      <c r="X74" s="43"/>
      <c r="Y74" s="386"/>
      <c r="Z74" s="42"/>
      <c r="AA74" s="235"/>
      <c r="AB74" s="43"/>
      <c r="AC74" s="43"/>
      <c r="AD74" s="43"/>
      <c r="AE74" s="386"/>
      <c r="AF74" s="42"/>
      <c r="AG74" s="235"/>
      <c r="AH74" s="43"/>
      <c r="AI74" s="43"/>
      <c r="AJ74" s="43"/>
      <c r="AK74" s="386"/>
      <c r="AL74" s="42"/>
      <c r="AM74" s="235"/>
      <c r="AN74" s="43"/>
      <c r="AO74" s="43"/>
      <c r="AP74" s="43"/>
      <c r="AQ74" s="386"/>
      <c r="AR74" s="42"/>
      <c r="AS74" s="235"/>
      <c r="AT74" s="43"/>
      <c r="AU74" s="43"/>
      <c r="AV74" s="43"/>
      <c r="AW74" s="386"/>
      <c r="AX74" s="42"/>
      <c r="AY74" s="235"/>
      <c r="AZ74" s="43"/>
      <c r="BA74" s="43"/>
      <c r="BB74" s="43"/>
      <c r="BC74" s="386"/>
      <c r="BD74" s="42"/>
      <c r="BE74" s="235"/>
      <c r="BF74" s="43"/>
      <c r="BG74" s="43"/>
      <c r="BH74" s="43"/>
      <c r="BI74" s="386"/>
      <c r="BJ74" s="42"/>
      <c r="BK74" s="235"/>
      <c r="BL74" s="43"/>
      <c r="BM74" s="43"/>
      <c r="BN74" s="43"/>
      <c r="BO74" s="386"/>
      <c r="BP74" s="42"/>
      <c r="BQ74" s="235"/>
      <c r="BR74" s="43"/>
      <c r="BS74" s="43"/>
      <c r="BT74" s="43"/>
      <c r="BU74" s="386"/>
      <c r="BV74" s="42"/>
      <c r="BW74" s="235"/>
      <c r="BX74" s="43"/>
      <c r="BY74" s="43"/>
      <c r="BZ74" s="43"/>
      <c r="CA74" s="386"/>
      <c r="CB74" s="42"/>
      <c r="CC74" s="235"/>
      <c r="CD74" s="43"/>
      <c r="CE74" s="43"/>
      <c r="CF74" s="43"/>
      <c r="CG74" s="386"/>
    </row>
    <row r="75" spans="2:85" s="7" customFormat="1" ht="11.25" customHeight="1" x14ac:dyDescent="0.2">
      <c r="B75" s="130" t="s">
        <v>139</v>
      </c>
      <c r="C75" s="235"/>
      <c r="D75" s="43"/>
      <c r="E75" s="43"/>
      <c r="F75" s="43"/>
      <c r="G75" s="386"/>
      <c r="H75" s="42"/>
      <c r="I75" s="235"/>
      <c r="J75" s="43"/>
      <c r="K75" s="43"/>
      <c r="L75" s="43"/>
      <c r="M75" s="386"/>
      <c r="N75" s="42"/>
      <c r="O75" s="235"/>
      <c r="P75" s="43"/>
      <c r="Q75" s="43"/>
      <c r="R75" s="43"/>
      <c r="S75" s="386"/>
      <c r="T75" s="42"/>
      <c r="U75" s="235"/>
      <c r="V75" s="43"/>
      <c r="W75" s="43"/>
      <c r="X75" s="43"/>
      <c r="Y75" s="386"/>
      <c r="Z75" s="42"/>
      <c r="AA75" s="235"/>
      <c r="AB75" s="43"/>
      <c r="AC75" s="43"/>
      <c r="AD75" s="43"/>
      <c r="AE75" s="386"/>
      <c r="AF75" s="42"/>
      <c r="AG75" s="235"/>
      <c r="AH75" s="43"/>
      <c r="AI75" s="43"/>
      <c r="AJ75" s="43"/>
      <c r="AK75" s="386"/>
      <c r="AL75" s="42"/>
      <c r="AM75" s="235"/>
      <c r="AN75" s="43"/>
      <c r="AO75" s="43"/>
      <c r="AP75" s="43"/>
      <c r="AQ75" s="386"/>
      <c r="AR75" s="42"/>
      <c r="AS75" s="235"/>
      <c r="AT75" s="43"/>
      <c r="AU75" s="43"/>
      <c r="AV75" s="43"/>
      <c r="AW75" s="386"/>
      <c r="AX75" s="42"/>
      <c r="AY75" s="235"/>
      <c r="AZ75" s="43"/>
      <c r="BA75" s="43"/>
      <c r="BB75" s="43"/>
      <c r="BC75" s="386"/>
      <c r="BD75" s="42"/>
      <c r="BE75" s="235"/>
      <c r="BF75" s="43"/>
      <c r="BG75" s="43"/>
      <c r="BH75" s="43"/>
      <c r="BI75" s="386"/>
      <c r="BJ75" s="42"/>
      <c r="BK75" s="235"/>
      <c r="BL75" s="43"/>
      <c r="BM75" s="43"/>
      <c r="BN75" s="43"/>
      <c r="BO75" s="386"/>
      <c r="BP75" s="42"/>
      <c r="BQ75" s="235"/>
      <c r="BR75" s="43"/>
      <c r="BS75" s="43"/>
      <c r="BT75" s="43"/>
      <c r="BU75" s="386"/>
      <c r="BV75" s="42"/>
      <c r="BW75" s="235"/>
      <c r="BX75" s="43"/>
      <c r="BY75" s="43"/>
      <c r="BZ75" s="43"/>
      <c r="CA75" s="386"/>
      <c r="CB75" s="42"/>
      <c r="CC75" s="235"/>
      <c r="CD75" s="43"/>
      <c r="CE75" s="43"/>
      <c r="CF75" s="43"/>
      <c r="CG75" s="386"/>
    </row>
    <row r="76" spans="2:85" s="7" customFormat="1" ht="11.25" customHeight="1" x14ac:dyDescent="0.2">
      <c r="B76" s="429" t="s">
        <v>320</v>
      </c>
      <c r="C76" s="235"/>
      <c r="D76" s="43"/>
      <c r="E76" s="43"/>
      <c r="F76" s="43"/>
      <c r="G76" s="386"/>
      <c r="H76" s="42"/>
      <c r="I76" s="235"/>
      <c r="J76" s="43"/>
      <c r="K76" s="43"/>
      <c r="L76" s="43"/>
      <c r="M76" s="386"/>
      <c r="N76" s="42"/>
      <c r="O76" s="235"/>
      <c r="P76" s="43"/>
      <c r="Q76" s="43"/>
      <c r="R76" s="43"/>
      <c r="S76" s="386"/>
      <c r="T76" s="42"/>
      <c r="U76" s="235"/>
      <c r="V76" s="43"/>
      <c r="W76" s="43"/>
      <c r="X76" s="43"/>
      <c r="Y76" s="386">
        <f>+Y102/AVERAGE(S11,Y11)</f>
        <v>3.7900000000000003E-2</v>
      </c>
      <c r="Z76" s="42"/>
      <c r="AA76" s="235"/>
      <c r="AB76" s="43"/>
      <c r="AC76" s="43"/>
      <c r="AD76" s="43"/>
      <c r="AE76" s="386">
        <f>+AE102/AVERAGE(Y11,AE11)</f>
        <v>3.7900000000000003E-2</v>
      </c>
      <c r="AF76" s="42"/>
      <c r="AG76" s="235"/>
      <c r="AH76" s="43"/>
      <c r="AI76" s="43"/>
      <c r="AJ76" s="43"/>
      <c r="AK76" s="386">
        <f>+AK102/AVERAGE(AE11,AK11)</f>
        <v>3.5285714285714288E-2</v>
      </c>
      <c r="AL76" s="42"/>
      <c r="AM76" s="235"/>
      <c r="AN76" s="43"/>
      <c r="AO76" s="43"/>
      <c r="AP76" s="43"/>
      <c r="AQ76" s="386">
        <f>+AQ102/AVERAGE(AK11,AQ11)</f>
        <v>3.424E-2</v>
      </c>
      <c r="AR76" s="42"/>
      <c r="AS76" s="235">
        <f>+AS102/AVERAGE(AP11,AS11)*4</f>
        <v>3.424E-2</v>
      </c>
      <c r="AT76" s="43">
        <f>+AT102/AVERAGE(AS11,AT11)*4</f>
        <v>3.3850000000000005E-2</v>
      </c>
      <c r="AU76" s="43">
        <f>+AU102/AVERAGE(AT11,AU11)*4</f>
        <v>3.3571428571428572E-2</v>
      </c>
      <c r="AV76" s="43">
        <f>+AV102/AVERAGE(AU11,AV11)*4</f>
        <v>3.3571428571428572E-2</v>
      </c>
      <c r="AW76" s="386"/>
      <c r="AX76" s="42"/>
      <c r="AY76" s="235">
        <f>+AY102/AVERAGE(AV11,AY11)*4</f>
        <v>3.3571428571428572E-2</v>
      </c>
      <c r="AZ76" s="43">
        <f>+AZ102/AVERAGE(AY11,AZ11)*4</f>
        <v>3.3571428571428572E-2</v>
      </c>
      <c r="BA76" s="43">
        <f>+BA102/AVERAGE(AZ11,BA11)*4</f>
        <v>3.3571428571428572E-2</v>
      </c>
      <c r="BB76" s="43">
        <f>+BB102/AVERAGE(BA11,BB11)*4</f>
        <v>3.3571428571428572E-2</v>
      </c>
      <c r="BC76" s="386"/>
      <c r="BD76" s="42"/>
      <c r="BE76" s="235">
        <f>+BE102/AVERAGE(BB11,BE11)*4</f>
        <v>3.3598969628653531E-2</v>
      </c>
      <c r="BF76" s="43">
        <f>+BF102/AVERAGE(BE11,BF11)*4</f>
        <v>3.3627084469618526E-2</v>
      </c>
      <c r="BG76" s="43">
        <f>+BG102/AVERAGE(BF11,BG11)*4</f>
        <v>3.3627084469618526E-2</v>
      </c>
      <c r="BH76" s="43">
        <f>+BH102/AVERAGE(BG11,BH11)*4</f>
        <v>3.3627084469618526E-2</v>
      </c>
      <c r="BI76" s="386"/>
      <c r="BJ76" s="42"/>
      <c r="BK76" s="235">
        <f>+BK102/AVERAGE(BH11,BK11)*4</f>
        <v>3.3655791214183925E-2</v>
      </c>
      <c r="BL76" s="43">
        <f>+BL102/AVERAGE(BK11,BL11)*4</f>
        <v>3.3751853964336269E-2</v>
      </c>
      <c r="BM76" s="43">
        <f>+BM102/AVERAGE(BL11,BM11)*4</f>
        <v>3.7571202395441414E-2</v>
      </c>
      <c r="BN76" s="43">
        <f>+BN102/AVERAGE(BM11,BN11)*4</f>
        <v>3.4063291926567978E-2</v>
      </c>
      <c r="BO76" s="386"/>
      <c r="BP76" s="42"/>
      <c r="BQ76" s="235">
        <f>+BQ102/AVERAGE(BP11,BQ11)*4</f>
        <v>3.4063112489375019E-2</v>
      </c>
      <c r="BR76" s="43">
        <f>+BR102/AVERAGE(BQ11,BR11)*4</f>
        <v>3.4063112489375019E-2</v>
      </c>
      <c r="BS76" s="43">
        <f>+BS102/AVERAGE(BR11,BS11)*4</f>
        <v>3.4063112489375019E-2</v>
      </c>
      <c r="BT76" s="43">
        <f>+BT102/AVERAGE(BS11,BT11)*4</f>
        <v>3.4063112489375019E-2</v>
      </c>
      <c r="BU76" s="386"/>
      <c r="BV76" s="42"/>
      <c r="BW76" s="235">
        <f>+BW102/AVERAGE(BV11,BW11)*4</f>
        <v>3.4063112489375019E-2</v>
      </c>
      <c r="BX76" s="43">
        <f>+BX102/AVERAGE(BW11,BX11)*4</f>
        <v>3.4063112489375019E-2</v>
      </c>
      <c r="BY76" s="43">
        <f>+BY102/AVERAGE(BX11,BY11)*4</f>
        <v>3.4063112489375019E-2</v>
      </c>
      <c r="BZ76" s="43">
        <f>+BZ102/AVERAGE(BY11,BZ11)*4</f>
        <v>3.4063112489375019E-2</v>
      </c>
      <c r="CA76" s="386"/>
      <c r="CB76" s="42"/>
      <c r="CC76" s="235">
        <f>+CC102/AVERAGE(CB11,CC11)*4</f>
        <v>3.4063112489375019E-2</v>
      </c>
      <c r="CD76" s="43">
        <f>+CD102/AVERAGE(CC11,CD11)*4</f>
        <v>3.4063112489375019E-2</v>
      </c>
      <c r="CE76" s="43">
        <f>+CE102/AVERAGE(CD11,CE11)*4</f>
        <v>3.3667797525216626E-2</v>
      </c>
      <c r="CF76" s="43">
        <f>+CF102/AVERAGE(CE11,CF11)*4</f>
        <v>3.3181667145269295E-2</v>
      </c>
      <c r="CG76" s="386"/>
    </row>
    <row r="77" spans="2:85" s="7" customFormat="1" ht="11.25" customHeight="1" x14ac:dyDescent="0.2">
      <c r="B77" s="491" t="s">
        <v>326</v>
      </c>
      <c r="C77" s="620"/>
      <c r="D77" s="621"/>
      <c r="E77" s="621"/>
      <c r="F77" s="621"/>
      <c r="G77" s="440"/>
      <c r="H77" s="196"/>
      <c r="I77" s="620"/>
      <c r="J77" s="621"/>
      <c r="K77" s="621"/>
      <c r="L77" s="621"/>
      <c r="M77" s="440"/>
      <c r="N77" s="196"/>
      <c r="O77" s="620"/>
      <c r="P77" s="621"/>
      <c r="Q77" s="621"/>
      <c r="R77" s="621"/>
      <c r="S77" s="440"/>
      <c r="T77" s="196"/>
      <c r="U77" s="620"/>
      <c r="V77" s="621"/>
      <c r="W77" s="621"/>
      <c r="X77" s="621"/>
      <c r="Y77" s="440">
        <v>3.7900000000000003E-2</v>
      </c>
      <c r="Z77" s="196"/>
      <c r="AA77" s="620"/>
      <c r="AB77" s="621"/>
      <c r="AC77" s="621"/>
      <c r="AD77" s="621"/>
      <c r="AE77" s="440">
        <v>3.7900000000000003E-2</v>
      </c>
      <c r="AF77" s="196"/>
      <c r="AG77" s="620"/>
      <c r="AH77" s="621"/>
      <c r="AI77" s="621"/>
      <c r="AJ77" s="621"/>
      <c r="AK77" s="440">
        <v>3.7900000000000003E-2</v>
      </c>
      <c r="AL77" s="196"/>
      <c r="AM77" s="620"/>
      <c r="AN77" s="621"/>
      <c r="AO77" s="621"/>
      <c r="AP77" s="621"/>
      <c r="AQ77" s="440">
        <v>3.7900000000000003E-2</v>
      </c>
      <c r="AR77" s="196"/>
      <c r="AS77" s="620">
        <v>3.7900000000000003E-2</v>
      </c>
      <c r="AT77" s="621">
        <v>3.7900000000000003E-2</v>
      </c>
      <c r="AU77" s="621">
        <v>3.7900000000000003E-2</v>
      </c>
      <c r="AV77" s="621">
        <v>3.7900000000000003E-2</v>
      </c>
      <c r="AW77" s="440"/>
      <c r="AX77" s="196"/>
      <c r="AY77" s="620">
        <v>3.7900000000000003E-2</v>
      </c>
      <c r="AZ77" s="621">
        <v>3.7900000000000003E-2</v>
      </c>
      <c r="BA77" s="621">
        <v>3.7900000000000003E-2</v>
      </c>
      <c r="BB77" s="621">
        <v>3.7900000000000003E-2</v>
      </c>
      <c r="BC77" s="440"/>
      <c r="BD77" s="196"/>
      <c r="BE77" s="620">
        <v>3.7900000000000003E-2</v>
      </c>
      <c r="BF77" s="621">
        <v>3.7900000000000003E-2</v>
      </c>
      <c r="BG77" s="621">
        <v>3.7900000000000003E-2</v>
      </c>
      <c r="BH77" s="621">
        <v>3.7900000000000003E-2</v>
      </c>
      <c r="BI77" s="719"/>
      <c r="BJ77" s="196"/>
      <c r="BK77" s="620">
        <v>3.7900000000000003E-2</v>
      </c>
      <c r="BL77" s="229">
        <f t="shared" ref="BL77:BN81" si="74">+BK77</f>
        <v>3.7900000000000003E-2</v>
      </c>
      <c r="BM77" s="229">
        <f t="shared" si="74"/>
        <v>3.7900000000000003E-2</v>
      </c>
      <c r="BN77" s="229">
        <f t="shared" si="74"/>
        <v>3.7900000000000003E-2</v>
      </c>
      <c r="BO77" s="719"/>
      <c r="BP77" s="196"/>
      <c r="BQ77" s="236">
        <f t="shared" ref="BQ77:BQ83" si="75">+BN77</f>
        <v>3.7900000000000003E-2</v>
      </c>
      <c r="BR77" s="229">
        <f t="shared" ref="BR77:BT83" si="76">+BQ77</f>
        <v>3.7900000000000003E-2</v>
      </c>
      <c r="BS77" s="229">
        <f t="shared" si="76"/>
        <v>3.7900000000000003E-2</v>
      </c>
      <c r="BT77" s="229">
        <f t="shared" si="76"/>
        <v>3.7900000000000003E-2</v>
      </c>
      <c r="BU77" s="719"/>
      <c r="BV77" s="196"/>
      <c r="BW77" s="236">
        <f t="shared" ref="BW77:BW83" si="77">+BT77</f>
        <v>3.7900000000000003E-2</v>
      </c>
      <c r="BX77" s="229">
        <f t="shared" ref="BX77:BZ83" si="78">+BW77</f>
        <v>3.7900000000000003E-2</v>
      </c>
      <c r="BY77" s="229">
        <f t="shared" si="78"/>
        <v>3.7900000000000003E-2</v>
      </c>
      <c r="BZ77" s="229">
        <f t="shared" si="78"/>
        <v>3.7900000000000003E-2</v>
      </c>
      <c r="CA77" s="719"/>
      <c r="CB77" s="196"/>
      <c r="CC77" s="236">
        <f t="shared" ref="CC77:CC83" si="79">+BZ77</f>
        <v>3.7900000000000003E-2</v>
      </c>
      <c r="CD77" s="229">
        <f t="shared" ref="CD77:CF83" si="80">+CC77</f>
        <v>3.7900000000000003E-2</v>
      </c>
      <c r="CE77" s="229">
        <f t="shared" si="80"/>
        <v>3.7900000000000003E-2</v>
      </c>
      <c r="CF77" s="229">
        <f t="shared" si="80"/>
        <v>3.7900000000000003E-2</v>
      </c>
      <c r="CG77" s="719"/>
    </row>
    <row r="78" spans="2:85" s="7" customFormat="1" ht="11.25" customHeight="1" x14ac:dyDescent="0.2">
      <c r="B78" s="491" t="s">
        <v>327</v>
      </c>
      <c r="C78" s="620"/>
      <c r="D78" s="621"/>
      <c r="E78" s="621"/>
      <c r="F78" s="621"/>
      <c r="G78" s="440"/>
      <c r="H78" s="196"/>
      <c r="I78" s="620"/>
      <c r="J78" s="621"/>
      <c r="K78" s="621"/>
      <c r="L78" s="621"/>
      <c r="M78" s="440"/>
      <c r="N78" s="196"/>
      <c r="O78" s="620"/>
      <c r="P78" s="621"/>
      <c r="Q78" s="621"/>
      <c r="R78" s="621"/>
      <c r="S78" s="440"/>
      <c r="T78" s="196"/>
      <c r="U78" s="620"/>
      <c r="V78" s="621"/>
      <c r="W78" s="621"/>
      <c r="X78" s="621"/>
      <c r="Y78" s="440"/>
      <c r="Z78" s="196"/>
      <c r="AA78" s="620"/>
      <c r="AB78" s="621"/>
      <c r="AC78" s="621"/>
      <c r="AD78" s="621"/>
      <c r="AE78" s="440"/>
      <c r="AF78" s="196"/>
      <c r="AG78" s="620"/>
      <c r="AH78" s="621"/>
      <c r="AI78" s="621"/>
      <c r="AJ78" s="621"/>
      <c r="AK78" s="440">
        <v>3.4500000000000003E-2</v>
      </c>
      <c r="AL78" s="196"/>
      <c r="AM78" s="620"/>
      <c r="AN78" s="621"/>
      <c r="AO78" s="621"/>
      <c r="AP78" s="621"/>
      <c r="AQ78" s="440">
        <v>3.4500000000000003E-2</v>
      </c>
      <c r="AR78" s="196"/>
      <c r="AS78" s="620">
        <v>3.4500000000000003E-2</v>
      </c>
      <c r="AT78" s="621">
        <v>3.4500000000000003E-2</v>
      </c>
      <c r="AU78" s="621">
        <v>3.4500000000000003E-2</v>
      </c>
      <c r="AV78" s="621">
        <v>3.4500000000000003E-2</v>
      </c>
      <c r="AW78" s="440"/>
      <c r="AX78" s="196"/>
      <c r="AY78" s="620">
        <v>3.4500000000000003E-2</v>
      </c>
      <c r="AZ78" s="621">
        <v>3.4500000000000003E-2</v>
      </c>
      <c r="BA78" s="621">
        <v>3.4500000000000003E-2</v>
      </c>
      <c r="BB78" s="621">
        <v>3.4500000000000003E-2</v>
      </c>
      <c r="BC78" s="440"/>
      <c r="BD78" s="196"/>
      <c r="BE78" s="620">
        <v>3.4500000000000003E-2</v>
      </c>
      <c r="BF78" s="621">
        <v>3.4500000000000003E-2</v>
      </c>
      <c r="BG78" s="621">
        <v>3.4500000000000003E-2</v>
      </c>
      <c r="BH78" s="621">
        <v>3.4500000000000003E-2</v>
      </c>
      <c r="BI78" s="719"/>
      <c r="BJ78" s="196"/>
      <c r="BK78" s="620">
        <v>3.4500000000000003E-2</v>
      </c>
      <c r="BL78" s="229">
        <f t="shared" si="74"/>
        <v>3.4500000000000003E-2</v>
      </c>
      <c r="BM78" s="229">
        <f t="shared" si="74"/>
        <v>3.4500000000000003E-2</v>
      </c>
      <c r="BN78" s="229">
        <f t="shared" si="74"/>
        <v>3.4500000000000003E-2</v>
      </c>
      <c r="BO78" s="719"/>
      <c r="BP78" s="196"/>
      <c r="BQ78" s="236">
        <f t="shared" si="75"/>
        <v>3.4500000000000003E-2</v>
      </c>
      <c r="BR78" s="229">
        <f t="shared" si="76"/>
        <v>3.4500000000000003E-2</v>
      </c>
      <c r="BS78" s="229">
        <f t="shared" si="76"/>
        <v>3.4500000000000003E-2</v>
      </c>
      <c r="BT78" s="229">
        <f t="shared" si="76"/>
        <v>3.4500000000000003E-2</v>
      </c>
      <c r="BU78" s="719"/>
      <c r="BV78" s="196"/>
      <c r="BW78" s="236">
        <f t="shared" si="77"/>
        <v>3.4500000000000003E-2</v>
      </c>
      <c r="BX78" s="229">
        <f t="shared" si="78"/>
        <v>3.4500000000000003E-2</v>
      </c>
      <c r="BY78" s="229">
        <f t="shared" si="78"/>
        <v>3.4500000000000003E-2</v>
      </c>
      <c r="BZ78" s="229">
        <f t="shared" si="78"/>
        <v>3.4500000000000003E-2</v>
      </c>
      <c r="CA78" s="719"/>
      <c r="CB78" s="196"/>
      <c r="CC78" s="236">
        <f t="shared" si="79"/>
        <v>3.4500000000000003E-2</v>
      </c>
      <c r="CD78" s="229">
        <f t="shared" si="80"/>
        <v>3.4500000000000003E-2</v>
      </c>
      <c r="CE78" s="229">
        <f t="shared" si="80"/>
        <v>3.4500000000000003E-2</v>
      </c>
      <c r="CF78" s="229">
        <f t="shared" si="80"/>
        <v>3.4500000000000003E-2</v>
      </c>
      <c r="CG78" s="719"/>
    </row>
    <row r="79" spans="2:85" s="7" customFormat="1" ht="11.25" customHeight="1" x14ac:dyDescent="0.2">
      <c r="B79" s="491" t="s">
        <v>328</v>
      </c>
      <c r="C79" s="620"/>
      <c r="D79" s="621"/>
      <c r="E79" s="621"/>
      <c r="F79" s="621"/>
      <c r="G79" s="440"/>
      <c r="H79" s="196"/>
      <c r="I79" s="620"/>
      <c r="J79" s="621"/>
      <c r="K79" s="621"/>
      <c r="L79" s="621"/>
      <c r="M79" s="440"/>
      <c r="N79" s="196"/>
      <c r="O79" s="620"/>
      <c r="P79" s="621"/>
      <c r="Q79" s="621"/>
      <c r="R79" s="621"/>
      <c r="S79" s="440"/>
      <c r="T79" s="196"/>
      <c r="U79" s="620"/>
      <c r="V79" s="621"/>
      <c r="W79" s="621"/>
      <c r="X79" s="621"/>
      <c r="Y79" s="440"/>
      <c r="Z79" s="196"/>
      <c r="AA79" s="620"/>
      <c r="AB79" s="621"/>
      <c r="AC79" s="621"/>
      <c r="AD79" s="621"/>
      <c r="AE79" s="440"/>
      <c r="AF79" s="196"/>
      <c r="AG79" s="620"/>
      <c r="AH79" s="621"/>
      <c r="AI79" s="621"/>
      <c r="AJ79" s="621"/>
      <c r="AK79" s="440">
        <v>3.09E-2</v>
      </c>
      <c r="AL79" s="196"/>
      <c r="AM79" s="620"/>
      <c r="AN79" s="621"/>
      <c r="AO79" s="621"/>
      <c r="AP79" s="621"/>
      <c r="AQ79" s="440">
        <v>3.09E-2</v>
      </c>
      <c r="AR79" s="196"/>
      <c r="AS79" s="620">
        <v>3.09E-2</v>
      </c>
      <c r="AT79" s="621">
        <v>3.09E-2</v>
      </c>
      <c r="AU79" s="621">
        <v>3.09E-2</v>
      </c>
      <c r="AV79" s="621">
        <v>3.09E-2</v>
      </c>
      <c r="AW79" s="440"/>
      <c r="AX79" s="196"/>
      <c r="AY79" s="620">
        <v>3.09E-2</v>
      </c>
      <c r="AZ79" s="621">
        <v>3.09E-2</v>
      </c>
      <c r="BA79" s="621">
        <v>3.09E-2</v>
      </c>
      <c r="BB79" s="621">
        <v>3.09E-2</v>
      </c>
      <c r="BC79" s="440"/>
      <c r="BD79" s="196"/>
      <c r="BE79" s="620">
        <v>3.09E-2</v>
      </c>
      <c r="BF79" s="621">
        <v>3.09E-2</v>
      </c>
      <c r="BG79" s="621">
        <v>3.09E-2</v>
      </c>
      <c r="BH79" s="621">
        <v>3.09E-2</v>
      </c>
      <c r="BI79" s="719"/>
      <c r="BJ79" s="196"/>
      <c r="BK79" s="620">
        <v>3.09E-2</v>
      </c>
      <c r="BL79" s="229">
        <f t="shared" si="74"/>
        <v>3.09E-2</v>
      </c>
      <c r="BM79" s="229">
        <f t="shared" si="74"/>
        <v>3.09E-2</v>
      </c>
      <c r="BN79" s="229">
        <f t="shared" si="74"/>
        <v>3.09E-2</v>
      </c>
      <c r="BO79" s="719"/>
      <c r="BP79" s="196"/>
      <c r="BQ79" s="236">
        <f t="shared" si="75"/>
        <v>3.09E-2</v>
      </c>
      <c r="BR79" s="229">
        <f t="shared" si="76"/>
        <v>3.09E-2</v>
      </c>
      <c r="BS79" s="229">
        <f t="shared" si="76"/>
        <v>3.09E-2</v>
      </c>
      <c r="BT79" s="229">
        <f t="shared" si="76"/>
        <v>3.09E-2</v>
      </c>
      <c r="BU79" s="719"/>
      <c r="BV79" s="196"/>
      <c r="BW79" s="236">
        <f t="shared" si="77"/>
        <v>3.09E-2</v>
      </c>
      <c r="BX79" s="229">
        <f t="shared" si="78"/>
        <v>3.09E-2</v>
      </c>
      <c r="BY79" s="229">
        <f t="shared" si="78"/>
        <v>3.09E-2</v>
      </c>
      <c r="BZ79" s="229">
        <f t="shared" si="78"/>
        <v>3.09E-2</v>
      </c>
      <c r="CA79" s="719"/>
      <c r="CB79" s="196"/>
      <c r="CC79" s="236">
        <f t="shared" si="79"/>
        <v>3.09E-2</v>
      </c>
      <c r="CD79" s="229">
        <f t="shared" si="80"/>
        <v>3.09E-2</v>
      </c>
      <c r="CE79" s="229">
        <f t="shared" si="80"/>
        <v>3.09E-2</v>
      </c>
      <c r="CF79" s="229">
        <f t="shared" si="80"/>
        <v>3.09E-2</v>
      </c>
      <c r="CG79" s="719"/>
    </row>
    <row r="80" spans="2:85" s="7" customFormat="1" ht="11.25" customHeight="1" x14ac:dyDescent="0.2">
      <c r="B80" s="491" t="s">
        <v>329</v>
      </c>
      <c r="C80" s="620"/>
      <c r="D80" s="621"/>
      <c r="E80" s="621"/>
      <c r="F80" s="621"/>
      <c r="G80" s="440"/>
      <c r="H80" s="196"/>
      <c r="I80" s="620"/>
      <c r="J80" s="621"/>
      <c r="K80" s="621"/>
      <c r="L80" s="621"/>
      <c r="M80" s="440"/>
      <c r="N80" s="196"/>
      <c r="O80" s="620"/>
      <c r="P80" s="621"/>
      <c r="Q80" s="621"/>
      <c r="R80" s="621"/>
      <c r="S80" s="440"/>
      <c r="T80" s="196"/>
      <c r="U80" s="620"/>
      <c r="V80" s="621"/>
      <c r="W80" s="621"/>
      <c r="X80" s="621"/>
      <c r="Y80" s="440"/>
      <c r="Z80" s="196"/>
      <c r="AA80" s="620"/>
      <c r="AB80" s="621"/>
      <c r="AC80" s="621"/>
      <c r="AD80" s="621"/>
      <c r="AE80" s="440"/>
      <c r="AF80" s="196"/>
      <c r="AG80" s="620"/>
      <c r="AH80" s="621"/>
      <c r="AI80" s="621"/>
      <c r="AJ80" s="621"/>
      <c r="AK80" s="440">
        <v>0.03</v>
      </c>
      <c r="AL80" s="196"/>
      <c r="AM80" s="620"/>
      <c r="AN80" s="621"/>
      <c r="AO80" s="621"/>
      <c r="AP80" s="621"/>
      <c r="AQ80" s="440">
        <v>0.03</v>
      </c>
      <c r="AR80" s="196"/>
      <c r="AS80" s="620">
        <v>0.03</v>
      </c>
      <c r="AT80" s="621">
        <v>0.03</v>
      </c>
      <c r="AU80" s="621">
        <v>0.03</v>
      </c>
      <c r="AV80" s="621">
        <v>0.03</v>
      </c>
      <c r="AW80" s="440"/>
      <c r="AX80" s="196"/>
      <c r="AY80" s="620">
        <v>0.03</v>
      </c>
      <c r="AZ80" s="621">
        <v>0.03</v>
      </c>
      <c r="BA80" s="621">
        <v>0.03</v>
      </c>
      <c r="BB80" s="621">
        <v>0.03</v>
      </c>
      <c r="BC80" s="440"/>
      <c r="BD80" s="196"/>
      <c r="BE80" s="620">
        <v>0.03</v>
      </c>
      <c r="BF80" s="621">
        <v>0.03</v>
      </c>
      <c r="BG80" s="621">
        <v>0.03</v>
      </c>
      <c r="BH80" s="621">
        <v>0.03</v>
      </c>
      <c r="BI80" s="719"/>
      <c r="BJ80" s="196"/>
      <c r="BK80" s="620">
        <v>0.03</v>
      </c>
      <c r="BL80" s="229">
        <f t="shared" si="74"/>
        <v>0.03</v>
      </c>
      <c r="BM80" s="229">
        <f t="shared" si="74"/>
        <v>0.03</v>
      </c>
      <c r="BN80" s="229">
        <f t="shared" si="74"/>
        <v>0.03</v>
      </c>
      <c r="BO80" s="719"/>
      <c r="BP80" s="196"/>
      <c r="BQ80" s="236">
        <f t="shared" si="75"/>
        <v>0.03</v>
      </c>
      <c r="BR80" s="229">
        <f t="shared" si="76"/>
        <v>0.03</v>
      </c>
      <c r="BS80" s="229">
        <f t="shared" si="76"/>
        <v>0.03</v>
      </c>
      <c r="BT80" s="229">
        <f t="shared" si="76"/>
        <v>0.03</v>
      </c>
      <c r="BU80" s="719"/>
      <c r="BV80" s="196"/>
      <c r="BW80" s="236">
        <f t="shared" si="77"/>
        <v>0.03</v>
      </c>
      <c r="BX80" s="229">
        <f t="shared" si="78"/>
        <v>0.03</v>
      </c>
      <c r="BY80" s="229">
        <f t="shared" si="78"/>
        <v>0.03</v>
      </c>
      <c r="BZ80" s="229">
        <f t="shared" si="78"/>
        <v>0.03</v>
      </c>
      <c r="CA80" s="719"/>
      <c r="CB80" s="196"/>
      <c r="CC80" s="236">
        <f t="shared" si="79"/>
        <v>0.03</v>
      </c>
      <c r="CD80" s="229">
        <f t="shared" si="80"/>
        <v>0.03</v>
      </c>
      <c r="CE80" s="229">
        <f t="shared" si="80"/>
        <v>0.03</v>
      </c>
      <c r="CF80" s="229">
        <f t="shared" si="80"/>
        <v>0.03</v>
      </c>
      <c r="CG80" s="719"/>
    </row>
    <row r="81" spans="2:85" s="7" customFormat="1" ht="11.25" customHeight="1" x14ac:dyDescent="0.2">
      <c r="B81" s="491" t="s">
        <v>330</v>
      </c>
      <c r="C81" s="620"/>
      <c r="D81" s="621"/>
      <c r="E81" s="621"/>
      <c r="F81" s="621"/>
      <c r="G81" s="440"/>
      <c r="H81" s="196"/>
      <c r="I81" s="620"/>
      <c r="J81" s="621"/>
      <c r="K81" s="621"/>
      <c r="L81" s="621"/>
      <c r="M81" s="440"/>
      <c r="N81" s="196"/>
      <c r="O81" s="620"/>
      <c r="P81" s="621"/>
      <c r="Q81" s="621"/>
      <c r="R81" s="621"/>
      <c r="S81" s="440"/>
      <c r="T81" s="196"/>
      <c r="U81" s="620"/>
      <c r="V81" s="621"/>
      <c r="W81" s="621"/>
      <c r="X81" s="621"/>
      <c r="Y81" s="440"/>
      <c r="Z81" s="196"/>
      <c r="AA81" s="620"/>
      <c r="AB81" s="621"/>
      <c r="AC81" s="621"/>
      <c r="AD81" s="621"/>
      <c r="AE81" s="440"/>
      <c r="AF81" s="196"/>
      <c r="AG81" s="620"/>
      <c r="AH81" s="621"/>
      <c r="AI81" s="621"/>
      <c r="AJ81" s="621"/>
      <c r="AK81" s="440"/>
      <c r="AL81" s="196"/>
      <c r="AM81" s="620"/>
      <c r="AN81" s="621"/>
      <c r="AO81" s="621"/>
      <c r="AP81" s="621"/>
      <c r="AQ81" s="440"/>
      <c r="AR81" s="196"/>
      <c r="AS81" s="620">
        <v>0</v>
      </c>
      <c r="AT81" s="621">
        <v>3.1899999999999998E-2</v>
      </c>
      <c r="AU81" s="621">
        <v>3.1899999999999998E-2</v>
      </c>
      <c r="AV81" s="621">
        <v>3.1899999999999998E-2</v>
      </c>
      <c r="AW81" s="440"/>
      <c r="AX81" s="196"/>
      <c r="AY81" s="620">
        <v>3.1899999999999998E-2</v>
      </c>
      <c r="AZ81" s="621">
        <v>3.1899999999999998E-2</v>
      </c>
      <c r="BA81" s="621">
        <v>3.1899999999999998E-2</v>
      </c>
      <c r="BB81" s="621">
        <v>3.1899999999999998E-2</v>
      </c>
      <c r="BC81" s="440"/>
      <c r="BD81" s="196"/>
      <c r="BE81" s="620">
        <v>3.1899999999999998E-2</v>
      </c>
      <c r="BF81" s="621">
        <v>3.1899999999999998E-2</v>
      </c>
      <c r="BG81" s="621">
        <v>3.1899999999999998E-2</v>
      </c>
      <c r="BH81" s="621">
        <v>3.1899999999999998E-2</v>
      </c>
      <c r="BI81" s="719"/>
      <c r="BJ81" s="196"/>
      <c r="BK81" s="620">
        <v>3.1899999999999998E-2</v>
      </c>
      <c r="BL81" s="229">
        <f t="shared" si="74"/>
        <v>3.1899999999999998E-2</v>
      </c>
      <c r="BM81" s="229">
        <f t="shared" si="74"/>
        <v>3.1899999999999998E-2</v>
      </c>
      <c r="BN81" s="229">
        <f t="shared" si="74"/>
        <v>3.1899999999999998E-2</v>
      </c>
      <c r="BO81" s="719"/>
      <c r="BP81" s="196"/>
      <c r="BQ81" s="236">
        <f t="shared" si="75"/>
        <v>3.1899999999999998E-2</v>
      </c>
      <c r="BR81" s="229">
        <f t="shared" si="76"/>
        <v>3.1899999999999998E-2</v>
      </c>
      <c r="BS81" s="229">
        <f t="shared" si="76"/>
        <v>3.1899999999999998E-2</v>
      </c>
      <c r="BT81" s="229">
        <f t="shared" si="76"/>
        <v>3.1899999999999998E-2</v>
      </c>
      <c r="BU81" s="719"/>
      <c r="BV81" s="196"/>
      <c r="BW81" s="236">
        <f t="shared" si="77"/>
        <v>3.1899999999999998E-2</v>
      </c>
      <c r="BX81" s="229">
        <f t="shared" si="78"/>
        <v>3.1899999999999998E-2</v>
      </c>
      <c r="BY81" s="229">
        <f t="shared" si="78"/>
        <v>3.1899999999999998E-2</v>
      </c>
      <c r="BZ81" s="229">
        <f t="shared" si="78"/>
        <v>3.1899999999999998E-2</v>
      </c>
      <c r="CA81" s="719"/>
      <c r="CB81" s="196"/>
      <c r="CC81" s="236">
        <f t="shared" si="79"/>
        <v>3.1899999999999998E-2</v>
      </c>
      <c r="CD81" s="229">
        <f t="shared" si="80"/>
        <v>3.1899999999999998E-2</v>
      </c>
      <c r="CE81" s="229">
        <f t="shared" si="80"/>
        <v>3.1899999999999998E-2</v>
      </c>
      <c r="CF81" s="229">
        <f t="shared" si="80"/>
        <v>3.1899999999999998E-2</v>
      </c>
      <c r="CG81" s="719"/>
    </row>
    <row r="82" spans="2:85" s="7" customFormat="1" ht="11.25" customHeight="1" x14ac:dyDescent="0.2">
      <c r="B82" s="1149" t="s">
        <v>596</v>
      </c>
      <c r="C82" s="1236"/>
      <c r="D82" s="621"/>
      <c r="E82" s="621"/>
      <c r="F82" s="621"/>
      <c r="G82" s="440"/>
      <c r="H82" s="196"/>
      <c r="I82" s="1236"/>
      <c r="J82" s="621"/>
      <c r="K82" s="621"/>
      <c r="L82" s="621"/>
      <c r="M82" s="440"/>
      <c r="N82" s="196"/>
      <c r="O82" s="1236"/>
      <c r="P82" s="621"/>
      <c r="Q82" s="621"/>
      <c r="R82" s="621"/>
      <c r="S82" s="440"/>
      <c r="T82" s="196"/>
      <c r="U82" s="1236"/>
      <c r="V82" s="621"/>
      <c r="W82" s="621"/>
      <c r="X82" s="621"/>
      <c r="Y82" s="440"/>
      <c r="Z82" s="196"/>
      <c r="AA82" s="1236"/>
      <c r="AB82" s="621"/>
      <c r="AC82" s="621"/>
      <c r="AD82" s="621"/>
      <c r="AE82" s="440"/>
      <c r="AF82" s="196"/>
      <c r="AG82" s="1236"/>
      <c r="AH82" s="621"/>
      <c r="AI82" s="621"/>
      <c r="AJ82" s="621"/>
      <c r="AK82" s="440"/>
      <c r="AL82" s="196"/>
      <c r="AM82" s="1236"/>
      <c r="AN82" s="621"/>
      <c r="AO82" s="621"/>
      <c r="AP82" s="621"/>
      <c r="AQ82" s="440"/>
      <c r="AR82" s="196"/>
      <c r="AS82" s="1236"/>
      <c r="AT82" s="621"/>
      <c r="AU82" s="621"/>
      <c r="AV82" s="621"/>
      <c r="AW82" s="440"/>
      <c r="AX82" s="196"/>
      <c r="AY82" s="1236"/>
      <c r="AZ82" s="621"/>
      <c r="BA82" s="621"/>
      <c r="BB82" s="621"/>
      <c r="BC82" s="440"/>
      <c r="BD82" s="196"/>
      <c r="BE82" s="1236"/>
      <c r="BF82" s="621"/>
      <c r="BG82" s="621"/>
      <c r="BH82" s="621"/>
      <c r="BI82" s="719"/>
      <c r="BJ82" s="196"/>
      <c r="BK82" s="1236"/>
      <c r="BL82" s="1111">
        <v>3.4200000000000001E-2</v>
      </c>
      <c r="BM82" s="229">
        <f>+BL82</f>
        <v>3.4200000000000001E-2</v>
      </c>
      <c r="BN82" s="229">
        <f>+BM82</f>
        <v>3.4200000000000001E-2</v>
      </c>
      <c r="BO82" s="719"/>
      <c r="BP82" s="196"/>
      <c r="BQ82" s="236">
        <f t="shared" si="75"/>
        <v>3.4200000000000001E-2</v>
      </c>
      <c r="BR82" s="229">
        <f t="shared" si="76"/>
        <v>3.4200000000000001E-2</v>
      </c>
      <c r="BS82" s="229">
        <f t="shared" si="76"/>
        <v>3.4200000000000001E-2</v>
      </c>
      <c r="BT82" s="229">
        <f t="shared" si="76"/>
        <v>3.4200000000000001E-2</v>
      </c>
      <c r="BU82" s="719"/>
      <c r="BV82" s="196"/>
      <c r="BW82" s="236">
        <f t="shared" si="77"/>
        <v>3.4200000000000001E-2</v>
      </c>
      <c r="BX82" s="229">
        <f t="shared" si="78"/>
        <v>3.4200000000000001E-2</v>
      </c>
      <c r="BY82" s="229">
        <f t="shared" si="78"/>
        <v>3.4200000000000001E-2</v>
      </c>
      <c r="BZ82" s="229">
        <f t="shared" si="78"/>
        <v>3.4200000000000001E-2</v>
      </c>
      <c r="CA82" s="719"/>
      <c r="CB82" s="196"/>
      <c r="CC82" s="236">
        <f t="shared" si="79"/>
        <v>3.4200000000000001E-2</v>
      </c>
      <c r="CD82" s="229">
        <f t="shared" si="80"/>
        <v>3.4200000000000001E-2</v>
      </c>
      <c r="CE82" s="229">
        <f t="shared" si="80"/>
        <v>3.4200000000000001E-2</v>
      </c>
      <c r="CF82" s="229">
        <f t="shared" si="80"/>
        <v>3.4200000000000001E-2</v>
      </c>
      <c r="CG82" s="719"/>
    </row>
    <row r="83" spans="2:85" s="7" customFormat="1" ht="11.25" customHeight="1" x14ac:dyDescent="0.2">
      <c r="B83" s="1149" t="s">
        <v>625</v>
      </c>
      <c r="C83" s="1236"/>
      <c r="D83" s="621"/>
      <c r="E83" s="621"/>
      <c r="F83" s="621"/>
      <c r="G83" s="440"/>
      <c r="H83" s="196"/>
      <c r="I83" s="1236"/>
      <c r="J83" s="621"/>
      <c r="K83" s="621"/>
      <c r="L83" s="621"/>
      <c r="M83" s="440"/>
      <c r="N83" s="196"/>
      <c r="O83" s="1236"/>
      <c r="P83" s="621"/>
      <c r="Q83" s="621"/>
      <c r="R83" s="621"/>
      <c r="S83" s="440"/>
      <c r="T83" s="196"/>
      <c r="U83" s="1236"/>
      <c r="V83" s="621"/>
      <c r="W83" s="621"/>
      <c r="X83" s="621"/>
      <c r="Y83" s="440"/>
      <c r="Z83" s="196"/>
      <c r="AA83" s="1236"/>
      <c r="AB83" s="621"/>
      <c r="AC83" s="621"/>
      <c r="AD83" s="621"/>
      <c r="AE83" s="440"/>
      <c r="AF83" s="196"/>
      <c r="AG83" s="1236"/>
      <c r="AH83" s="621"/>
      <c r="AI83" s="621"/>
      <c r="AJ83" s="621"/>
      <c r="AK83" s="440"/>
      <c r="AL83" s="196"/>
      <c r="AM83" s="1236"/>
      <c r="AN83" s="621"/>
      <c r="AO83" s="621"/>
      <c r="AP83" s="621"/>
      <c r="AQ83" s="440"/>
      <c r="AR83" s="196"/>
      <c r="AS83" s="1236"/>
      <c r="AT83" s="621"/>
      <c r="AU83" s="621"/>
      <c r="AV83" s="621"/>
      <c r="AW83" s="440"/>
      <c r="AX83" s="196"/>
      <c r="AY83" s="1236"/>
      <c r="AZ83" s="621"/>
      <c r="BA83" s="621"/>
      <c r="BB83" s="621"/>
      <c r="BC83" s="440"/>
      <c r="BD83" s="196"/>
      <c r="BE83" s="1236"/>
      <c r="BF83" s="621"/>
      <c r="BG83" s="621"/>
      <c r="BH83" s="621"/>
      <c r="BI83" s="719"/>
      <c r="BJ83" s="196"/>
      <c r="BK83" s="1236"/>
      <c r="BL83" s="1111"/>
      <c r="BM83" s="1111">
        <v>3.5200000000000002E-2</v>
      </c>
      <c r="BN83" s="229">
        <f>+BM83</f>
        <v>3.5200000000000002E-2</v>
      </c>
      <c r="BO83" s="719"/>
      <c r="BP83" s="196"/>
      <c r="BQ83" s="236">
        <f t="shared" si="75"/>
        <v>3.5200000000000002E-2</v>
      </c>
      <c r="BR83" s="229">
        <f t="shared" si="76"/>
        <v>3.5200000000000002E-2</v>
      </c>
      <c r="BS83" s="229">
        <f t="shared" si="76"/>
        <v>3.5200000000000002E-2</v>
      </c>
      <c r="BT83" s="229">
        <f t="shared" si="76"/>
        <v>3.5200000000000002E-2</v>
      </c>
      <c r="BU83" s="719"/>
      <c r="BV83" s="196"/>
      <c r="BW83" s="236">
        <f t="shared" si="77"/>
        <v>3.5200000000000002E-2</v>
      </c>
      <c r="BX83" s="229">
        <f t="shared" si="78"/>
        <v>3.5200000000000002E-2</v>
      </c>
      <c r="BY83" s="229">
        <f t="shared" si="78"/>
        <v>3.5200000000000002E-2</v>
      </c>
      <c r="BZ83" s="229">
        <f t="shared" si="78"/>
        <v>3.5200000000000002E-2</v>
      </c>
      <c r="CA83" s="719"/>
      <c r="CB83" s="196"/>
      <c r="CC83" s="236">
        <f t="shared" si="79"/>
        <v>3.5200000000000002E-2</v>
      </c>
      <c r="CD83" s="229">
        <f t="shared" si="80"/>
        <v>3.5200000000000002E-2</v>
      </c>
      <c r="CE83" s="229">
        <f t="shared" si="80"/>
        <v>3.5200000000000002E-2</v>
      </c>
      <c r="CF83" s="229">
        <f t="shared" si="80"/>
        <v>3.5200000000000002E-2</v>
      </c>
      <c r="CG83" s="719"/>
    </row>
    <row r="84" spans="2:85" s="7" customFormat="1" ht="11.25" customHeight="1" x14ac:dyDescent="0.2">
      <c r="B84" s="429"/>
      <c r="C84" s="620"/>
      <c r="D84" s="621"/>
      <c r="E84" s="621"/>
      <c r="F84" s="621"/>
      <c r="G84" s="440"/>
      <c r="H84" s="42"/>
      <c r="I84" s="620"/>
      <c r="J84" s="621"/>
      <c r="K84" s="621"/>
      <c r="L84" s="621"/>
      <c r="M84" s="440"/>
      <c r="N84" s="42"/>
      <c r="O84" s="620"/>
      <c r="P84" s="621"/>
      <c r="Q84" s="621"/>
      <c r="R84" s="621"/>
      <c r="S84" s="440"/>
      <c r="T84" s="42"/>
      <c r="U84" s="620"/>
      <c r="V84" s="621"/>
      <c r="W84" s="621"/>
      <c r="X84" s="621"/>
      <c r="Y84" s="440"/>
      <c r="Z84" s="42"/>
      <c r="AA84" s="620"/>
      <c r="AB84" s="621"/>
      <c r="AC84" s="621"/>
      <c r="AD84" s="621"/>
      <c r="AE84" s="440"/>
      <c r="AF84" s="42"/>
      <c r="AG84" s="620"/>
      <c r="AH84" s="621"/>
      <c r="AI84" s="621"/>
      <c r="AJ84" s="621"/>
      <c r="AK84" s="440"/>
      <c r="AL84" s="42"/>
      <c r="AM84" s="620"/>
      <c r="AN84" s="621"/>
      <c r="AO84" s="621"/>
      <c r="AP84" s="621"/>
      <c r="AQ84" s="440"/>
      <c r="AR84" s="42"/>
      <c r="AS84" s="235"/>
      <c r="AT84" s="43"/>
      <c r="AU84" s="43"/>
      <c r="AV84" s="43"/>
      <c r="AW84" s="386"/>
      <c r="AX84" s="42"/>
      <c r="AY84" s="235"/>
      <c r="AZ84" s="43"/>
      <c r="BA84" s="43"/>
      <c r="BB84" s="43"/>
      <c r="BC84" s="386"/>
      <c r="BD84" s="42"/>
      <c r="BE84" s="235"/>
      <c r="BF84" s="43"/>
      <c r="BG84" s="43"/>
      <c r="BH84" s="43"/>
      <c r="BI84" s="386"/>
      <c r="BJ84" s="42"/>
      <c r="BK84" s="235"/>
      <c r="BL84" s="43"/>
      <c r="BM84" s="43"/>
      <c r="BN84" s="43"/>
      <c r="BO84" s="386"/>
      <c r="BP84" s="42"/>
      <c r="BQ84" s="235"/>
      <c r="BR84" s="43"/>
      <c r="BS84" s="43"/>
      <c r="BT84" s="43"/>
      <c r="BU84" s="386"/>
      <c r="BV84" s="42"/>
      <c r="BW84" s="235"/>
      <c r="BX84" s="43"/>
      <c r="BY84" s="43"/>
      <c r="BZ84" s="43"/>
      <c r="CA84" s="386"/>
      <c r="CB84" s="42"/>
      <c r="CC84" s="235"/>
      <c r="CD84" s="43"/>
      <c r="CE84" s="43"/>
      <c r="CF84" s="43"/>
      <c r="CG84" s="386"/>
    </row>
    <row r="85" spans="2:85" s="7" customFormat="1" ht="11.25" customHeight="1" x14ac:dyDescent="0.2">
      <c r="B85" s="429" t="s">
        <v>321</v>
      </c>
      <c r="C85" s="620" t="s">
        <v>448</v>
      </c>
      <c r="D85" s="621"/>
      <c r="E85" s="621"/>
      <c r="F85" s="621"/>
      <c r="G85" s="440"/>
      <c r="H85" s="196"/>
      <c r="I85" s="620"/>
      <c r="J85" s="621"/>
      <c r="K85" s="621"/>
      <c r="L85" s="621"/>
      <c r="M85" s="440"/>
      <c r="N85" s="196"/>
      <c r="O85" s="620"/>
      <c r="P85" s="621"/>
      <c r="Q85" s="621"/>
      <c r="R85" s="621"/>
      <c r="S85" s="440"/>
      <c r="T85" s="196"/>
      <c r="U85" s="620"/>
      <c r="V85" s="621"/>
      <c r="W85" s="621"/>
      <c r="X85" s="621"/>
      <c r="Y85" s="440"/>
      <c r="Z85" s="196"/>
      <c r="AA85" s="620"/>
      <c r="AB85" s="621"/>
      <c r="AC85" s="621"/>
      <c r="AD85" s="621"/>
      <c r="AE85" s="440"/>
      <c r="AF85" s="196"/>
      <c r="AG85" s="620"/>
      <c r="AH85" s="621"/>
      <c r="AI85" s="621"/>
      <c r="AJ85" s="621"/>
      <c r="AK85" s="440"/>
      <c r="AL85" s="196"/>
      <c r="AM85" s="620"/>
      <c r="AN85" s="621"/>
      <c r="AO85" s="621"/>
      <c r="AP85" s="621"/>
      <c r="AQ85" s="440">
        <v>9.5999999999999992E-3</v>
      </c>
      <c r="AR85" s="196"/>
      <c r="AS85" s="620">
        <v>9.4999999999999998E-3</v>
      </c>
      <c r="AT85" s="621">
        <v>9.4000000000000004E-3</v>
      </c>
      <c r="AU85" s="621">
        <v>9.4000000000000004E-3</v>
      </c>
      <c r="AV85" s="621">
        <v>9.4999999999999998E-3</v>
      </c>
      <c r="AW85" s="440"/>
      <c r="AX85" s="196"/>
      <c r="AY85" s="620">
        <v>9.4999999999999998E-3</v>
      </c>
      <c r="AZ85" s="621">
        <v>9.5999999999999992E-3</v>
      </c>
      <c r="BA85" s="621">
        <v>0.01</v>
      </c>
      <c r="BB85" s="621">
        <v>1.15E-2</v>
      </c>
      <c r="BC85" s="440"/>
      <c r="BD85" s="196"/>
      <c r="BE85" s="620">
        <v>1.2999999999999999E-2</v>
      </c>
      <c r="BF85" s="621">
        <v>1.2999999999999999E-2</v>
      </c>
      <c r="BG85" s="621">
        <v>1.5900000000000001E-2</v>
      </c>
      <c r="BH85" s="621">
        <v>1.7600000000000001E-2</v>
      </c>
      <c r="BI85" s="719"/>
      <c r="BJ85" s="196"/>
      <c r="BK85" s="620">
        <v>1.7999999999999999E-2</v>
      </c>
      <c r="BL85" s="229">
        <f>+BK85</f>
        <v>1.7999999999999999E-2</v>
      </c>
      <c r="BM85" s="229">
        <f>+BL85</f>
        <v>1.7999999999999999E-2</v>
      </c>
      <c r="BN85" s="229">
        <f>+BM85</f>
        <v>1.7999999999999999E-2</v>
      </c>
      <c r="BO85" s="719"/>
      <c r="BP85" s="196"/>
      <c r="BQ85" s="236">
        <f>+BN85</f>
        <v>1.7999999999999999E-2</v>
      </c>
      <c r="BR85" s="229">
        <f>+BQ85</f>
        <v>1.7999999999999999E-2</v>
      </c>
      <c r="BS85" s="229">
        <f>+BR85</f>
        <v>1.7999999999999999E-2</v>
      </c>
      <c r="BT85" s="229">
        <f>+BS85</f>
        <v>1.7999999999999999E-2</v>
      </c>
      <c r="BU85" s="719"/>
      <c r="BV85" s="196"/>
      <c r="BW85" s="236">
        <f>+BT85</f>
        <v>1.7999999999999999E-2</v>
      </c>
      <c r="BX85" s="229">
        <f>+BW85</f>
        <v>1.7999999999999999E-2</v>
      </c>
      <c r="BY85" s="229">
        <f>+BX85</f>
        <v>1.7999999999999999E-2</v>
      </c>
      <c r="BZ85" s="229">
        <f>+BY85</f>
        <v>1.7999999999999999E-2</v>
      </c>
      <c r="CA85" s="719"/>
      <c r="CB85" s="196"/>
      <c r="CC85" s="236">
        <f>+BZ85</f>
        <v>1.7999999999999999E-2</v>
      </c>
      <c r="CD85" s="229">
        <f>+CC85</f>
        <v>1.7999999999999999E-2</v>
      </c>
      <c r="CE85" s="229">
        <f>+CD85</f>
        <v>1.7999999999999999E-2</v>
      </c>
      <c r="CF85" s="229">
        <f>+CE85</f>
        <v>1.7999999999999999E-2</v>
      </c>
      <c r="CG85" s="719"/>
    </row>
    <row r="86" spans="2:85" s="7" customFormat="1" ht="11.25" customHeight="1" x14ac:dyDescent="0.2">
      <c r="B86" s="429" t="s">
        <v>337</v>
      </c>
      <c r="C86" s="620"/>
      <c r="D86" s="621"/>
      <c r="E86" s="621"/>
      <c r="F86" s="621"/>
      <c r="G86" s="440">
        <v>8.3799999999999999E-2</v>
      </c>
      <c r="H86" s="42"/>
      <c r="I86" s="620"/>
      <c r="J86" s="621"/>
      <c r="K86" s="621"/>
      <c r="L86" s="621"/>
      <c r="M86" s="440">
        <v>6.8400000000000002E-2</v>
      </c>
      <c r="N86" s="42"/>
      <c r="O86" s="620"/>
      <c r="P86" s="621"/>
      <c r="Q86" s="621"/>
      <c r="R86" s="621"/>
      <c r="S86" s="440">
        <v>6.7000000000000004E-2</v>
      </c>
      <c r="T86" s="42"/>
      <c r="U86" s="620"/>
      <c r="V86" s="621"/>
      <c r="W86" s="621"/>
      <c r="X86" s="621"/>
      <c r="Y86" s="440"/>
      <c r="Z86" s="42"/>
      <c r="AA86" s="620"/>
      <c r="AB86" s="621"/>
      <c r="AC86" s="621"/>
      <c r="AD86" s="621"/>
      <c r="AE86" s="440"/>
      <c r="AF86" s="42"/>
      <c r="AG86" s="620"/>
      <c r="AH86" s="621"/>
      <c r="AI86" s="621"/>
      <c r="AJ86" s="621"/>
      <c r="AK86" s="440"/>
      <c r="AL86" s="42"/>
      <c r="AM86" s="620"/>
      <c r="AN86" s="621"/>
      <c r="AO86" s="621"/>
      <c r="AP86" s="621"/>
      <c r="AQ86" s="440"/>
      <c r="AR86" s="42"/>
      <c r="AS86" s="235"/>
      <c r="AT86" s="43"/>
      <c r="AU86" s="43"/>
      <c r="AV86" s="43"/>
      <c r="AW86" s="386"/>
      <c r="AX86" s="42"/>
      <c r="AY86" s="235"/>
      <c r="AZ86" s="43"/>
      <c r="BA86" s="43"/>
      <c r="BB86" s="43"/>
      <c r="BC86" s="386"/>
      <c r="BD86" s="42"/>
      <c r="BE86" s="235"/>
      <c r="BF86" s="43"/>
      <c r="BG86" s="43"/>
      <c r="BH86" s="43"/>
      <c r="BI86" s="386"/>
      <c r="BJ86" s="42"/>
      <c r="BK86" s="235"/>
      <c r="BL86" s="43"/>
      <c r="BM86" s="43"/>
      <c r="BN86" s="43"/>
      <c r="BO86" s="386"/>
      <c r="BP86" s="42"/>
      <c r="BQ86" s="235"/>
      <c r="BR86" s="43"/>
      <c r="BS86" s="43"/>
      <c r="BT86" s="43"/>
      <c r="BU86" s="386"/>
      <c r="BV86" s="42"/>
      <c r="BW86" s="235"/>
      <c r="BX86" s="43"/>
      <c r="BY86" s="43"/>
      <c r="BZ86" s="43"/>
      <c r="CA86" s="386"/>
      <c r="CB86" s="42"/>
      <c r="CC86" s="235"/>
      <c r="CD86" s="43"/>
      <c r="CE86" s="43"/>
      <c r="CF86" s="43"/>
      <c r="CG86" s="386"/>
    </row>
    <row r="87" spans="2:85" s="7" customFormat="1" ht="11.25" customHeight="1" x14ac:dyDescent="0.2">
      <c r="B87" s="429" t="s">
        <v>338</v>
      </c>
      <c r="C87" s="620" t="s">
        <v>448</v>
      </c>
      <c r="D87" s="621"/>
      <c r="E87" s="621"/>
      <c r="F87" s="621"/>
      <c r="G87" s="440">
        <v>0.03</v>
      </c>
      <c r="H87" s="42"/>
      <c r="I87" s="620"/>
      <c r="J87" s="621"/>
      <c r="K87" s="621"/>
      <c r="L87" s="621"/>
      <c r="M87" s="440">
        <v>0.03</v>
      </c>
      <c r="N87" s="42"/>
      <c r="O87" s="620"/>
      <c r="P87" s="621"/>
      <c r="Q87" s="621"/>
      <c r="R87" s="621"/>
      <c r="S87" s="440">
        <v>0.03</v>
      </c>
      <c r="T87" s="42"/>
      <c r="U87" s="620"/>
      <c r="V87" s="621"/>
      <c r="W87" s="621"/>
      <c r="X87" s="621"/>
      <c r="Y87" s="440">
        <v>0.03</v>
      </c>
      <c r="Z87" s="42"/>
      <c r="AA87" s="620"/>
      <c r="AB87" s="621"/>
      <c r="AC87" s="621"/>
      <c r="AD87" s="621"/>
      <c r="AE87" s="440">
        <v>0.03</v>
      </c>
      <c r="AF87" s="42"/>
      <c r="AG87" s="620"/>
      <c r="AH87" s="621"/>
      <c r="AI87" s="621"/>
      <c r="AJ87" s="621"/>
      <c r="AK87" s="440"/>
      <c r="AL87" s="42"/>
      <c r="AM87" s="620"/>
      <c r="AN87" s="621"/>
      <c r="AO87" s="621"/>
      <c r="AP87" s="621"/>
      <c r="AQ87" s="440"/>
      <c r="AR87" s="42"/>
      <c r="AS87" s="235"/>
      <c r="AT87" s="43"/>
      <c r="AU87" s="43"/>
      <c r="AV87" s="43"/>
      <c r="AW87" s="386"/>
      <c r="AX87" s="42"/>
      <c r="AY87" s="235"/>
      <c r="AZ87" s="43"/>
      <c r="BA87" s="43"/>
      <c r="BB87" s="43"/>
      <c r="BC87" s="386"/>
      <c r="BD87" s="42"/>
      <c r="BE87" s="235"/>
      <c r="BF87" s="43"/>
      <c r="BG87" s="43"/>
      <c r="BH87" s="43"/>
      <c r="BI87" s="386"/>
      <c r="BJ87" s="42"/>
      <c r="BK87" s="235"/>
      <c r="BL87" s="43"/>
      <c r="BM87" s="43"/>
      <c r="BN87" s="43"/>
      <c r="BO87" s="386"/>
      <c r="BP87" s="42"/>
      <c r="BQ87" s="235"/>
      <c r="BR87" s="43"/>
      <c r="BS87" s="43"/>
      <c r="BT87" s="43"/>
      <c r="BU87" s="386"/>
      <c r="BV87" s="42"/>
      <c r="BW87" s="235"/>
      <c r="BX87" s="43"/>
      <c r="BY87" s="43"/>
      <c r="BZ87" s="43"/>
      <c r="CA87" s="386"/>
      <c r="CB87" s="42"/>
      <c r="CC87" s="235"/>
      <c r="CD87" s="43"/>
      <c r="CE87" s="43"/>
      <c r="CF87" s="43"/>
      <c r="CG87" s="386"/>
    </row>
    <row r="88" spans="2:85" s="7" customFormat="1" ht="11.25" customHeight="1" x14ac:dyDescent="0.2">
      <c r="B88" s="429" t="s">
        <v>318</v>
      </c>
      <c r="C88" s="620" t="s">
        <v>448</v>
      </c>
      <c r="D88" s="621"/>
      <c r="E88" s="621"/>
      <c r="F88" s="621"/>
      <c r="G88" s="440">
        <v>3.9E-2</v>
      </c>
      <c r="H88" s="196"/>
      <c r="I88" s="620"/>
      <c r="J88" s="621"/>
      <c r="K88" s="621"/>
      <c r="L88" s="621"/>
      <c r="M88" s="440">
        <v>0.04</v>
      </c>
      <c r="N88" s="196"/>
      <c r="O88" s="620"/>
      <c r="P88" s="621"/>
      <c r="Q88" s="621"/>
      <c r="R88" s="621"/>
      <c r="S88" s="440">
        <v>4.8000000000000001E-2</v>
      </c>
      <c r="T88" s="196"/>
      <c r="U88" s="620"/>
      <c r="V88" s="621"/>
      <c r="W88" s="621"/>
      <c r="X88" s="621"/>
      <c r="Y88" s="440">
        <v>5.5E-2</v>
      </c>
      <c r="Z88" s="196"/>
      <c r="AA88" s="620"/>
      <c r="AB88" s="621"/>
      <c r="AC88" s="621"/>
      <c r="AD88" s="621"/>
      <c r="AE88" s="440">
        <v>4.24E-2</v>
      </c>
      <c r="AF88" s="196"/>
      <c r="AG88" s="620"/>
      <c r="AH88" s="621"/>
      <c r="AI88" s="621"/>
      <c r="AJ88" s="621"/>
      <c r="AK88" s="440">
        <v>6.8199999999999997E-2</v>
      </c>
      <c r="AL88" s="196"/>
      <c r="AM88" s="620"/>
      <c r="AN88" s="621"/>
      <c r="AO88" s="621"/>
      <c r="AP88" s="621"/>
      <c r="AQ88" s="440">
        <v>8.2299999999999998E-2</v>
      </c>
      <c r="AR88" s="196"/>
      <c r="AS88" s="236">
        <f>+AT88</f>
        <v>8.3799999999999999E-2</v>
      </c>
      <c r="AT88" s="229">
        <f>+AU88</f>
        <v>8.3799999999999999E-2</v>
      </c>
      <c r="AU88" s="621">
        <v>8.3799999999999999E-2</v>
      </c>
      <c r="AV88" s="621">
        <v>8.5000000000000006E-2</v>
      </c>
      <c r="AW88" s="440"/>
      <c r="AX88" s="196"/>
      <c r="AY88" s="620">
        <v>8.7099999999999997E-2</v>
      </c>
      <c r="AZ88" s="621">
        <v>8.8300000000000003E-2</v>
      </c>
      <c r="BA88" s="621">
        <v>8.8300000000000003E-2</v>
      </c>
      <c r="BB88" s="621">
        <v>8.8300000000000003E-2</v>
      </c>
      <c r="BC88" s="440"/>
      <c r="BD88" s="196"/>
      <c r="BE88" s="620">
        <v>8.8300000000000003E-2</v>
      </c>
      <c r="BF88" s="621">
        <v>8.8300000000000003E-2</v>
      </c>
      <c r="BG88" s="621">
        <v>0.11</v>
      </c>
      <c r="BH88" s="621">
        <f>(21.37%+8.83%)/2</f>
        <v>0.151</v>
      </c>
      <c r="BI88" s="719"/>
      <c r="BJ88" s="196"/>
      <c r="BK88" s="620">
        <v>8.8300000000000003E-2</v>
      </c>
      <c r="BL88" s="229">
        <f>+BK88</f>
        <v>8.8300000000000003E-2</v>
      </c>
      <c r="BM88" s="229">
        <f>+BL88</f>
        <v>8.8300000000000003E-2</v>
      </c>
      <c r="BN88" s="229">
        <f>+BM88</f>
        <v>8.8300000000000003E-2</v>
      </c>
      <c r="BO88" s="719"/>
      <c r="BP88" s="196"/>
      <c r="BQ88" s="236">
        <f>+BN88</f>
        <v>8.8300000000000003E-2</v>
      </c>
      <c r="BR88" s="229">
        <f>+BQ88</f>
        <v>8.8300000000000003E-2</v>
      </c>
      <c r="BS88" s="229">
        <f>+BR88</f>
        <v>8.8300000000000003E-2</v>
      </c>
      <c r="BT88" s="229">
        <f>+BS88</f>
        <v>8.8300000000000003E-2</v>
      </c>
      <c r="BU88" s="719"/>
      <c r="BV88" s="196"/>
      <c r="BW88" s="236">
        <f>+BT88</f>
        <v>8.8300000000000003E-2</v>
      </c>
      <c r="BX88" s="229">
        <f>+BW88</f>
        <v>8.8300000000000003E-2</v>
      </c>
      <c r="BY88" s="229">
        <f>+BX88</f>
        <v>8.8300000000000003E-2</v>
      </c>
      <c r="BZ88" s="229">
        <f>+BY88</f>
        <v>8.8300000000000003E-2</v>
      </c>
      <c r="CA88" s="719"/>
      <c r="CB88" s="196"/>
      <c r="CC88" s="236">
        <f>+BZ88</f>
        <v>8.8300000000000003E-2</v>
      </c>
      <c r="CD88" s="229">
        <f>+CC88</f>
        <v>8.8300000000000003E-2</v>
      </c>
      <c r="CE88" s="229">
        <f>+CD88</f>
        <v>8.8300000000000003E-2</v>
      </c>
      <c r="CF88" s="229">
        <f>+CE88</f>
        <v>8.8300000000000003E-2</v>
      </c>
      <c r="CG88" s="719"/>
    </row>
    <row r="89" spans="2:85" s="7" customFormat="1" ht="11.25" customHeight="1" x14ac:dyDescent="0.2">
      <c r="B89" s="429" t="s">
        <v>339</v>
      </c>
      <c r="C89" s="620" t="s">
        <v>448</v>
      </c>
      <c r="D89" s="621"/>
      <c r="E89" s="621"/>
      <c r="F89" s="621"/>
      <c r="G89" s="440"/>
      <c r="H89" s="42"/>
      <c r="I89" s="620"/>
      <c r="J89" s="621"/>
      <c r="K89" s="621"/>
      <c r="L89" s="621"/>
      <c r="M89" s="440"/>
      <c r="N89" s="42"/>
      <c r="O89" s="620"/>
      <c r="P89" s="621"/>
      <c r="Q89" s="621"/>
      <c r="R89" s="621"/>
      <c r="S89" s="440"/>
      <c r="T89" s="42"/>
      <c r="U89" s="620"/>
      <c r="V89" s="621"/>
      <c r="W89" s="621"/>
      <c r="X89" s="621"/>
      <c r="Y89" s="440"/>
      <c r="Z89" s="42"/>
      <c r="AA89" s="620"/>
      <c r="AB89" s="621"/>
      <c r="AC89" s="621"/>
      <c r="AD89" s="621"/>
      <c r="AE89" s="440"/>
      <c r="AF89" s="42"/>
      <c r="AG89" s="620"/>
      <c r="AH89" s="621"/>
      <c r="AI89" s="621"/>
      <c r="AJ89" s="621"/>
      <c r="AK89" s="440">
        <v>3.8399999999999997E-2</v>
      </c>
      <c r="AL89" s="42"/>
      <c r="AM89" s="620"/>
      <c r="AN89" s="621"/>
      <c r="AO89" s="621"/>
      <c r="AP89" s="621"/>
      <c r="AQ89" s="440"/>
      <c r="AR89" s="42"/>
      <c r="AS89" s="235"/>
      <c r="AT89" s="43"/>
      <c r="AU89" s="43"/>
      <c r="AV89" s="43"/>
      <c r="AW89" s="386"/>
      <c r="AX89" s="42"/>
      <c r="AY89" s="235"/>
      <c r="AZ89" s="43"/>
      <c r="BA89" s="43"/>
      <c r="BB89" s="43"/>
      <c r="BC89" s="386"/>
      <c r="BD89" s="42"/>
      <c r="BE89" s="235"/>
      <c r="BF89" s="43"/>
      <c r="BG89" s="43"/>
      <c r="BH89" s="43"/>
      <c r="BI89" s="386"/>
      <c r="BJ89" s="42"/>
      <c r="BK89" s="235"/>
      <c r="BL89" s="43"/>
      <c r="BM89" s="43"/>
      <c r="BN89" s="43"/>
      <c r="BO89" s="386"/>
      <c r="BP89" s="42"/>
      <c r="BQ89" s="235"/>
      <c r="BR89" s="43"/>
      <c r="BS89" s="43"/>
      <c r="BT89" s="43"/>
      <c r="BU89" s="386"/>
      <c r="BV89" s="42"/>
      <c r="BW89" s="235"/>
      <c r="BX89" s="43"/>
      <c r="BY89" s="43"/>
      <c r="BZ89" s="43"/>
      <c r="CA89" s="386"/>
      <c r="CB89" s="42"/>
      <c r="CC89" s="235"/>
      <c r="CD89" s="43"/>
      <c r="CE89" s="43"/>
      <c r="CF89" s="43"/>
      <c r="CG89" s="386"/>
    </row>
    <row r="90" spans="2:85" s="7" customFormat="1" ht="11.25" customHeight="1" x14ac:dyDescent="0.2">
      <c r="B90" s="429" t="s">
        <v>322</v>
      </c>
      <c r="C90" s="620" t="s">
        <v>448</v>
      </c>
      <c r="D90" s="621"/>
      <c r="E90" s="621"/>
      <c r="F90" s="621"/>
      <c r="G90" s="440"/>
      <c r="H90" s="196"/>
      <c r="I90" s="620"/>
      <c r="J90" s="621"/>
      <c r="K90" s="621"/>
      <c r="L90" s="621"/>
      <c r="M90" s="440"/>
      <c r="N90" s="196"/>
      <c r="O90" s="620"/>
      <c r="P90" s="621"/>
      <c r="Q90" s="621"/>
      <c r="R90" s="621"/>
      <c r="S90" s="440"/>
      <c r="T90" s="196"/>
      <c r="U90" s="620"/>
      <c r="V90" s="621"/>
      <c r="W90" s="621"/>
      <c r="X90" s="621"/>
      <c r="Y90" s="440">
        <f>AVERAGE(3.3%,8.25%)</f>
        <v>5.7750000000000003E-2</v>
      </c>
      <c r="Z90" s="196"/>
      <c r="AA90" s="620"/>
      <c r="AB90" s="621"/>
      <c r="AC90" s="621"/>
      <c r="AD90" s="621"/>
      <c r="AE90" s="440">
        <f>AVERAGE(3.3%,6.25%)</f>
        <v>4.7750000000000001E-2</v>
      </c>
      <c r="AF90" s="196"/>
      <c r="AG90" s="620"/>
      <c r="AH90" s="621"/>
      <c r="AI90" s="621"/>
      <c r="AJ90" s="621"/>
      <c r="AK90" s="440">
        <f>AVERAGE(3.3%,6.25%)</f>
        <v>4.7750000000000001E-2</v>
      </c>
      <c r="AL90" s="196"/>
      <c r="AM90" s="620"/>
      <c r="AN90" s="621"/>
      <c r="AO90" s="621"/>
      <c r="AP90" s="621"/>
      <c r="AQ90" s="440">
        <f>AVERAGE(2.4%,5.41%)</f>
        <v>3.9050000000000001E-2</v>
      </c>
      <c r="AR90" s="196"/>
      <c r="AS90" s="620">
        <f>AVERAGE(2.4%,5.41%)</f>
        <v>3.9050000000000001E-2</v>
      </c>
      <c r="AT90" s="621">
        <f>AVERAGE(2.15%,5.41%)</f>
        <v>3.78E-2</v>
      </c>
      <c r="AU90" s="621">
        <f>AVERAGE(2.15%,5.41%)</f>
        <v>3.78E-2</v>
      </c>
      <c r="AV90" s="621">
        <f>AVERAGE(2.17%,5.41%)</f>
        <v>3.7900000000000003E-2</v>
      </c>
      <c r="AW90" s="440"/>
      <c r="AX90" s="196"/>
      <c r="AY90" s="620">
        <f>AVERAGE(1.92%,5.41%)</f>
        <v>3.6650000000000002E-2</v>
      </c>
      <c r="AZ90" s="621">
        <f>AVERAGE(1.92%,5.41%)</f>
        <v>3.6650000000000002E-2</v>
      </c>
      <c r="BA90" s="621">
        <f>AVERAGE(1.94%,5.41%)</f>
        <v>3.6750000000000005E-2</v>
      </c>
      <c r="BB90" s="621">
        <f>AVERAGE(2.17%,5.07%)</f>
        <v>3.6200000000000003E-2</v>
      </c>
      <c r="BC90" s="440"/>
      <c r="BD90" s="196"/>
      <c r="BE90" s="620">
        <f>AVERAGE(2.18%,5.07%)</f>
        <v>3.6250000000000004E-2</v>
      </c>
      <c r="BF90" s="621">
        <f>AVERAGE(2.2%,5.07%)</f>
        <v>3.635E-2</v>
      </c>
      <c r="BG90" s="621">
        <f>AVERAGE(2.27%,9.36%)</f>
        <v>5.8149999999999993E-2</v>
      </c>
      <c r="BH90" s="621">
        <f>AVERAGE(2.56%,12.9%)</f>
        <v>7.7300000000000008E-2</v>
      </c>
      <c r="BI90" s="719"/>
      <c r="BJ90" s="196"/>
      <c r="BK90" s="620">
        <f>AVERAGE(2.56%,12.9%)</f>
        <v>7.7300000000000008E-2</v>
      </c>
      <c r="BL90" s="229">
        <f t="shared" ref="BL90:BN91" si="81">+BK90</f>
        <v>7.7300000000000008E-2</v>
      </c>
      <c r="BM90" s="229">
        <f t="shared" si="81"/>
        <v>7.7300000000000008E-2</v>
      </c>
      <c r="BN90" s="229">
        <f t="shared" si="81"/>
        <v>7.7300000000000008E-2</v>
      </c>
      <c r="BO90" s="719"/>
      <c r="BP90" s="196"/>
      <c r="BQ90" s="236">
        <f>+BN90</f>
        <v>7.7300000000000008E-2</v>
      </c>
      <c r="BR90" s="229">
        <f t="shared" ref="BR90:BT91" si="82">+BQ90</f>
        <v>7.7300000000000008E-2</v>
      </c>
      <c r="BS90" s="229">
        <f t="shared" si="82"/>
        <v>7.7300000000000008E-2</v>
      </c>
      <c r="BT90" s="229">
        <f t="shared" si="82"/>
        <v>7.7300000000000008E-2</v>
      </c>
      <c r="BU90" s="719"/>
      <c r="BV90" s="196"/>
      <c r="BW90" s="236">
        <f>+BT90</f>
        <v>7.7300000000000008E-2</v>
      </c>
      <c r="BX90" s="229">
        <f t="shared" ref="BX90:BZ91" si="83">+BW90</f>
        <v>7.7300000000000008E-2</v>
      </c>
      <c r="BY90" s="229">
        <f t="shared" si="83"/>
        <v>7.7300000000000008E-2</v>
      </c>
      <c r="BZ90" s="229">
        <f t="shared" si="83"/>
        <v>7.7300000000000008E-2</v>
      </c>
      <c r="CA90" s="719"/>
      <c r="CB90" s="196"/>
      <c r="CC90" s="236">
        <f>+BZ90</f>
        <v>7.7300000000000008E-2</v>
      </c>
      <c r="CD90" s="229">
        <f t="shared" ref="CD90:CF91" si="84">+CC90</f>
        <v>7.7300000000000008E-2</v>
      </c>
      <c r="CE90" s="229">
        <f t="shared" si="84"/>
        <v>7.7300000000000008E-2</v>
      </c>
      <c r="CF90" s="229">
        <f t="shared" si="84"/>
        <v>7.7300000000000008E-2</v>
      </c>
      <c r="CG90" s="719"/>
    </row>
    <row r="91" spans="2:85" s="7" customFormat="1" ht="11.25" customHeight="1" x14ac:dyDescent="0.2">
      <c r="B91" s="429" t="s">
        <v>323</v>
      </c>
      <c r="C91" s="620" t="s">
        <v>448</v>
      </c>
      <c r="D91" s="621"/>
      <c r="E91" s="621"/>
      <c r="F91" s="621"/>
      <c r="G91" s="440">
        <f>AVERAGE(3.2%,18.99%)</f>
        <v>0.11094999999999999</v>
      </c>
      <c r="H91" s="196"/>
      <c r="I91" s="620"/>
      <c r="J91" s="621"/>
      <c r="K91" s="621"/>
      <c r="L91" s="621"/>
      <c r="M91" s="440">
        <f>AVERAGE(3.2%,10%)</f>
        <v>6.6000000000000003E-2</v>
      </c>
      <c r="N91" s="196"/>
      <c r="O91" s="620"/>
      <c r="P91" s="621"/>
      <c r="Q91" s="621"/>
      <c r="R91" s="621"/>
      <c r="S91" s="440">
        <f>AVERAGE(3.2%,12.27%)</f>
        <v>7.7350000000000002E-2</v>
      </c>
      <c r="T91" s="196"/>
      <c r="U91" s="620"/>
      <c r="V91" s="621"/>
      <c r="W91" s="621"/>
      <c r="X91" s="621"/>
      <c r="Y91" s="440">
        <f>AVERAGE(2.8%,10.71%)</f>
        <v>6.7549999999999999E-2</v>
      </c>
      <c r="Z91" s="196"/>
      <c r="AA91" s="620"/>
      <c r="AB91" s="621"/>
      <c r="AC91" s="621"/>
      <c r="AD91" s="621"/>
      <c r="AE91" s="440">
        <f>AVERAGE(0.5%,16.44%)</f>
        <v>8.4700000000000011E-2</v>
      </c>
      <c r="AF91" s="196"/>
      <c r="AG91" s="620"/>
      <c r="AH91" s="621"/>
      <c r="AI91" s="621"/>
      <c r="AJ91" s="621"/>
      <c r="AK91" s="440">
        <f>AVERAGE(2%,16.44%)</f>
        <v>9.2200000000000004E-2</v>
      </c>
      <c r="AL91" s="196"/>
      <c r="AM91" s="620"/>
      <c r="AN91" s="621"/>
      <c r="AO91" s="621"/>
      <c r="AP91" s="621"/>
      <c r="AQ91" s="440">
        <f>AVERAGE(2%,16.44%)</f>
        <v>9.2200000000000004E-2</v>
      </c>
      <c r="AR91" s="196"/>
      <c r="AS91" s="236">
        <f>+AT91</f>
        <v>7.4999999999999997E-2</v>
      </c>
      <c r="AT91" s="229">
        <f>+AU91</f>
        <v>7.4999999999999997E-2</v>
      </c>
      <c r="AU91" s="621">
        <f>AVERAGE(2%,13%)</f>
        <v>7.4999999999999997E-2</v>
      </c>
      <c r="AV91" s="621">
        <f>AVERAGE(2%,13%)</f>
        <v>7.4999999999999997E-2</v>
      </c>
      <c r="AW91" s="440"/>
      <c r="AX91" s="196"/>
      <c r="AY91" s="620">
        <f>AVERAGE(2%,11.49%)</f>
        <v>6.7449999999999996E-2</v>
      </c>
      <c r="AZ91" s="621">
        <f>AVERAGE(2%,11.49%)</f>
        <v>6.7449999999999996E-2</v>
      </c>
      <c r="BA91" s="621">
        <f>AVERAGE(2%,10.68%)</f>
        <v>6.3399999999999998E-2</v>
      </c>
      <c r="BB91" s="621">
        <f>AVERAGE(0.95%,10.68%)</f>
        <v>5.8149999999999993E-2</v>
      </c>
      <c r="BC91" s="440"/>
      <c r="BD91" s="196"/>
      <c r="BE91" s="620">
        <f>AVERAGE(0.95%,10.68%)</f>
        <v>5.8149999999999993E-2</v>
      </c>
      <c r="BF91" s="621">
        <f>AVERAGE(0.95%,16.9%)</f>
        <v>8.9249999999999996E-2</v>
      </c>
      <c r="BG91" s="621">
        <f>AVERAGE(1.38%,16.9%)</f>
        <v>9.1399999999999995E-2</v>
      </c>
      <c r="BH91" s="621">
        <f>AVERAGE(1.38%,19.15%)</f>
        <v>0.10264999999999999</v>
      </c>
      <c r="BI91" s="719"/>
      <c r="BJ91" s="196"/>
      <c r="BK91" s="620">
        <f>AVERAGE(0.84%,19.15%)</f>
        <v>9.9949999999999983E-2</v>
      </c>
      <c r="BL91" s="229">
        <f t="shared" si="81"/>
        <v>9.9949999999999983E-2</v>
      </c>
      <c r="BM91" s="229">
        <f t="shared" si="81"/>
        <v>9.9949999999999983E-2</v>
      </c>
      <c r="BN91" s="229">
        <f t="shared" si="81"/>
        <v>9.9949999999999983E-2</v>
      </c>
      <c r="BO91" s="719"/>
      <c r="BP91" s="196"/>
      <c r="BQ91" s="236">
        <f>+BN91</f>
        <v>9.9949999999999983E-2</v>
      </c>
      <c r="BR91" s="229">
        <f t="shared" si="82"/>
        <v>9.9949999999999983E-2</v>
      </c>
      <c r="BS91" s="229">
        <f t="shared" si="82"/>
        <v>9.9949999999999983E-2</v>
      </c>
      <c r="BT91" s="229">
        <f t="shared" si="82"/>
        <v>9.9949999999999983E-2</v>
      </c>
      <c r="BU91" s="719"/>
      <c r="BV91" s="196"/>
      <c r="BW91" s="236">
        <f>+BT91</f>
        <v>9.9949999999999983E-2</v>
      </c>
      <c r="BX91" s="229">
        <f t="shared" si="83"/>
        <v>9.9949999999999983E-2</v>
      </c>
      <c r="BY91" s="229">
        <f t="shared" si="83"/>
        <v>9.9949999999999983E-2</v>
      </c>
      <c r="BZ91" s="229">
        <f t="shared" si="83"/>
        <v>9.9949999999999983E-2</v>
      </c>
      <c r="CA91" s="719"/>
      <c r="CB91" s="196"/>
      <c r="CC91" s="236">
        <f>+BZ91</f>
        <v>9.9949999999999983E-2</v>
      </c>
      <c r="CD91" s="229">
        <f t="shared" si="84"/>
        <v>9.9949999999999983E-2</v>
      </c>
      <c r="CE91" s="229">
        <f t="shared" si="84"/>
        <v>9.9949999999999983E-2</v>
      </c>
      <c r="CF91" s="229">
        <f t="shared" si="84"/>
        <v>9.9949999999999983E-2</v>
      </c>
      <c r="CG91" s="719"/>
    </row>
    <row r="92" spans="2:85" s="7" customFormat="1" ht="11.25" customHeight="1" x14ac:dyDescent="0.2">
      <c r="B92" s="717" t="s">
        <v>211</v>
      </c>
      <c r="C92" s="708" t="s">
        <v>448</v>
      </c>
      <c r="D92" s="709"/>
      <c r="E92" s="709"/>
      <c r="F92" s="709"/>
      <c r="G92" s="712"/>
      <c r="H92" s="205"/>
      <c r="I92" s="708"/>
      <c r="J92" s="709"/>
      <c r="K92" s="709"/>
      <c r="L92" s="709"/>
      <c r="M92" s="712">
        <f>+M119/AVERAGE(G27,M27)</f>
        <v>7.9624215995891423E-2</v>
      </c>
      <c r="N92" s="205"/>
      <c r="O92" s="708"/>
      <c r="P92" s="709"/>
      <c r="Q92" s="709"/>
      <c r="R92" s="709"/>
      <c r="S92" s="712">
        <f>+S119/AVERAGE(M27,S27)</f>
        <v>6.8408784886747662E-2</v>
      </c>
      <c r="T92" s="205"/>
      <c r="U92" s="708"/>
      <c r="V92" s="709"/>
      <c r="W92" s="709"/>
      <c r="X92" s="709"/>
      <c r="Y92" s="712">
        <f>+Y119/AVERAGE(S27,Y27)</f>
        <v>9.9271290134372414E-2</v>
      </c>
      <c r="Z92" s="205"/>
      <c r="AA92" s="708"/>
      <c r="AB92" s="709"/>
      <c r="AC92" s="709"/>
      <c r="AD92" s="709"/>
      <c r="AE92" s="712">
        <f>+AE119/AVERAGE(Y27,AE27)</f>
        <v>7.569763896715466E-2</v>
      </c>
      <c r="AF92" s="205"/>
      <c r="AG92" s="708"/>
      <c r="AH92" s="709"/>
      <c r="AI92" s="709"/>
      <c r="AJ92" s="709"/>
      <c r="AK92" s="712">
        <f>+AK119/AVERAGE(AE27,AK27)</f>
        <v>6.7207351398836476E-2</v>
      </c>
      <c r="AL92" s="205"/>
      <c r="AM92" s="708"/>
      <c r="AN92" s="709"/>
      <c r="AO92" s="709"/>
      <c r="AP92" s="709"/>
      <c r="AQ92" s="712">
        <f>+AQ119/AVERAGE(AK27,AQ27)</f>
        <v>4.2762898438011752E-2</v>
      </c>
      <c r="AR92" s="205"/>
      <c r="AS92" s="708">
        <f>+AS119/AVERAGE(AP27,AS27)*4</f>
        <v>2.9493117956493346E-2</v>
      </c>
      <c r="AT92" s="709">
        <f>+AT119/AVERAGE(AS27,AT27)*4</f>
        <v>3.1778829471119388E-2</v>
      </c>
      <c r="AU92" s="709">
        <f>+AU119/AVERAGE(AT27,AU27)*4</f>
        <v>3.5867172422961814E-2</v>
      </c>
      <c r="AV92" s="709">
        <f>+AV119/AVERAGE(AU27,AV27)*4</f>
        <v>4.2279186182002861E-2</v>
      </c>
      <c r="AW92" s="712"/>
      <c r="AX92" s="205"/>
      <c r="AY92" s="708">
        <f>+AY119/AVERAGE(AV27,AY27)*4</f>
        <v>3.7449283134535029E-2</v>
      </c>
      <c r="AZ92" s="709">
        <f>+AZ119/AVERAGE(AY27,AZ27)*4</f>
        <v>3.6413450429910739E-2</v>
      </c>
      <c r="BA92" s="709">
        <f>+BA119/AVERAGE(AZ27,BA27)*4</f>
        <v>3.8209144049107635E-2</v>
      </c>
      <c r="BB92" s="709">
        <f>+BB119/AVERAGE(BA27,BB27)*4</f>
        <v>4.6699746303694223E-2</v>
      </c>
      <c r="BC92" s="712"/>
      <c r="BD92" s="205"/>
      <c r="BE92" s="708">
        <f>+BE119/AVERAGE(BB27,BE27)*4</f>
        <v>4.0617080550425469E-2</v>
      </c>
      <c r="BF92" s="709">
        <f>+BF119/AVERAGE(BE27,BF27)*4</f>
        <v>3.5646029252093543E-2</v>
      </c>
      <c r="BG92" s="709">
        <f>+BG119/AVERAGE(BF27,BG27)*4</f>
        <v>3.5694201449001019E-2</v>
      </c>
      <c r="BH92" s="709">
        <f>+BH119/AVERAGE(BG27,BH27)*4</f>
        <v>4.5107902949770039E-2</v>
      </c>
      <c r="BI92" s="712"/>
      <c r="BJ92" s="205"/>
      <c r="BK92" s="708">
        <f>+BK119/AVERAGE(BH27,BK27)*4</f>
        <v>5.1134323252493022E-2</v>
      </c>
      <c r="BL92" s="709">
        <f>+BL119/AVERAGE(BK27,BL27)*4</f>
        <v>5.2496763370131441E-2</v>
      </c>
      <c r="BM92" s="709">
        <f>+BM119/AVERAGE(BL27,BM27)*4</f>
        <v>5.2479411215033404E-2</v>
      </c>
      <c r="BN92" s="709">
        <f>+BN119/AVERAGE(BM27,BN27)*4</f>
        <v>6.2222722135520589E-2</v>
      </c>
      <c r="BO92" s="712"/>
      <c r="BP92" s="205"/>
      <c r="BQ92" s="708">
        <f>+BQ119/AVERAGE(BP27,BQ27)*4</f>
        <v>5.373468220442118E-2</v>
      </c>
      <c r="BR92" s="709">
        <f>+BR119/AVERAGE(BQ27,BR27)*4</f>
        <v>5.373468220442118E-2</v>
      </c>
      <c r="BS92" s="709">
        <f>+BS119/AVERAGE(BR27,BS27)*4</f>
        <v>5.373468220442118E-2</v>
      </c>
      <c r="BT92" s="709">
        <f>+BT119/AVERAGE(BS27,BT27)*4</f>
        <v>5.373468220442118E-2</v>
      </c>
      <c r="BU92" s="712"/>
      <c r="BV92" s="205"/>
      <c r="BW92" s="708">
        <f>+BW119/AVERAGE(BV27,BW27)*4</f>
        <v>5.373468220442118E-2</v>
      </c>
      <c r="BX92" s="709">
        <f>+BX119/AVERAGE(BW27,BX27)*4</f>
        <v>5.373468220442118E-2</v>
      </c>
      <c r="BY92" s="709">
        <f>+BY119/AVERAGE(BX27,BY27)*4</f>
        <v>5.373468220442118E-2</v>
      </c>
      <c r="BZ92" s="709">
        <f>+BZ119/AVERAGE(BY27,BZ27)*4</f>
        <v>5.373468220442118E-2</v>
      </c>
      <c r="CA92" s="712"/>
      <c r="CB92" s="205"/>
      <c r="CC92" s="708">
        <f>+CC119/AVERAGE(CB27,CC27)*4</f>
        <v>5.373468220442118E-2</v>
      </c>
      <c r="CD92" s="709">
        <f>+CD119/AVERAGE(CC27,CD27)*4</f>
        <v>5.373468220442118E-2</v>
      </c>
      <c r="CE92" s="709">
        <f>+CE119/AVERAGE(CD27,CE27)*4</f>
        <v>5.4640126541745063E-2</v>
      </c>
      <c r="CF92" s="709">
        <f>+CF119/AVERAGE(CE27,CF27)*4</f>
        <v>5.5655399586373361E-2</v>
      </c>
      <c r="CG92" s="712"/>
    </row>
    <row r="93" spans="2:85" s="7" customFormat="1" ht="11.25" customHeight="1" x14ac:dyDescent="0.2">
      <c r="B93" s="716"/>
      <c r="C93" s="235"/>
      <c r="D93" s="43"/>
      <c r="E93" s="43"/>
      <c r="F93" s="43"/>
      <c r="G93" s="386"/>
      <c r="H93" s="42"/>
      <c r="I93" s="235"/>
      <c r="J93" s="43"/>
      <c r="K93" s="43"/>
      <c r="L93" s="43"/>
      <c r="M93" s="386"/>
      <c r="N93" s="42"/>
      <c r="O93" s="235"/>
      <c r="P93" s="43"/>
      <c r="Q93" s="43"/>
      <c r="R93" s="43"/>
      <c r="S93" s="386"/>
      <c r="T93" s="42"/>
      <c r="U93" s="235"/>
      <c r="V93" s="43"/>
      <c r="W93" s="43"/>
      <c r="X93" s="43"/>
      <c r="Y93" s="386"/>
      <c r="Z93" s="42"/>
      <c r="AA93" s="235"/>
      <c r="AB93" s="43"/>
      <c r="AC93" s="43"/>
      <c r="AD93" s="43"/>
      <c r="AE93" s="386"/>
      <c r="AF93" s="42"/>
      <c r="AG93" s="235"/>
      <c r="AH93" s="43"/>
      <c r="AI93" s="43"/>
      <c r="AJ93" s="43"/>
      <c r="AK93" s="386"/>
      <c r="AL93" s="42"/>
      <c r="AM93" s="235"/>
      <c r="AN93" s="43"/>
      <c r="AO93" s="43"/>
      <c r="AP93" s="43"/>
      <c r="AQ93" s="386"/>
      <c r="AR93" s="42"/>
      <c r="AS93" s="235"/>
      <c r="AT93" s="43"/>
      <c r="AU93" s="43"/>
      <c r="AV93" s="43"/>
      <c r="AW93" s="386"/>
      <c r="AX93" s="42"/>
      <c r="AY93" s="235"/>
      <c r="AZ93" s="43"/>
      <c r="BA93" s="43"/>
      <c r="BB93" s="43"/>
      <c r="BC93" s="386"/>
      <c r="BD93" s="42"/>
      <c r="BE93" s="235"/>
      <c r="BF93" s="43"/>
      <c r="BG93" s="43"/>
      <c r="BH93" s="43"/>
      <c r="BI93" s="386"/>
      <c r="BJ93" s="42"/>
      <c r="BK93" s="235"/>
      <c r="BL93" s="43"/>
      <c r="BM93" s="43"/>
      <c r="BN93" s="43"/>
      <c r="BO93" s="386"/>
      <c r="BP93" s="42"/>
      <c r="BQ93" s="235"/>
      <c r="BR93" s="43"/>
      <c r="BS93" s="43"/>
      <c r="BT93" s="43"/>
      <c r="BU93" s="386"/>
      <c r="BV93" s="42"/>
      <c r="BW93" s="235"/>
      <c r="BX93" s="43"/>
      <c r="BY93" s="43"/>
      <c r="BZ93" s="43"/>
      <c r="CA93" s="386"/>
      <c r="CB93" s="42"/>
      <c r="CC93" s="235"/>
      <c r="CD93" s="43"/>
      <c r="CE93" s="43"/>
      <c r="CF93" s="43"/>
      <c r="CG93" s="386"/>
    </row>
    <row r="94" spans="2:85" s="7" customFormat="1" ht="11.25" customHeight="1" x14ac:dyDescent="0.2">
      <c r="B94" s="718" t="s">
        <v>208</v>
      </c>
      <c r="C94" s="710"/>
      <c r="D94" s="711"/>
      <c r="E94" s="711"/>
      <c r="F94" s="711"/>
      <c r="G94" s="713"/>
      <c r="H94" s="205"/>
      <c r="I94" s="710"/>
      <c r="J94" s="711"/>
      <c r="K94" s="711"/>
      <c r="L94" s="711"/>
      <c r="M94" s="713">
        <f>+M122/AVERAGE(G31,M31)</f>
        <v>7.913702791921412E-2</v>
      </c>
      <c r="N94" s="205"/>
      <c r="O94" s="710"/>
      <c r="P94" s="711"/>
      <c r="Q94" s="711"/>
      <c r="R94" s="711"/>
      <c r="S94" s="713">
        <f>+S122/AVERAGE(M31,S31)</f>
        <v>6.8148614719750839E-2</v>
      </c>
      <c r="T94" s="205"/>
      <c r="U94" s="710"/>
      <c r="V94" s="711"/>
      <c r="W94" s="711"/>
      <c r="X94" s="711"/>
      <c r="Y94" s="713">
        <f>+Y122/AVERAGE(S31,Y31)</f>
        <v>9.4874423444905209E-2</v>
      </c>
      <c r="Z94" s="205"/>
      <c r="AA94" s="710"/>
      <c r="AB94" s="711"/>
      <c r="AC94" s="711"/>
      <c r="AD94" s="711"/>
      <c r="AE94" s="713">
        <f>+AE122/AVERAGE(Y31,AE31)</f>
        <v>6.8830502310626623E-2</v>
      </c>
      <c r="AF94" s="205"/>
      <c r="AG94" s="710"/>
      <c r="AH94" s="711"/>
      <c r="AI94" s="711"/>
      <c r="AJ94" s="711"/>
      <c r="AK94" s="713">
        <f>+AK122/AVERAGE(AE31,AK31)</f>
        <v>6.3412391908363744E-2</v>
      </c>
      <c r="AL94" s="205"/>
      <c r="AM94" s="710"/>
      <c r="AN94" s="711"/>
      <c r="AO94" s="711"/>
      <c r="AP94" s="711"/>
      <c r="AQ94" s="713">
        <f>+AQ122/AVERAGE(AK31,AQ31)</f>
        <v>4.1902439072286524E-2</v>
      </c>
      <c r="AR94" s="205"/>
      <c r="AS94" s="710">
        <f>+AS122/AVERAGE(AP31,AS31)*4</f>
        <v>2.6565182079869857E-2</v>
      </c>
      <c r="AT94" s="711">
        <f>+AT122/AVERAGE(AS31,AT31)*4</f>
        <v>2.930999389375127E-2</v>
      </c>
      <c r="AU94" s="711">
        <f>+AU122/AVERAGE(AT31,AU31)*4</f>
        <v>3.1771628770272273E-2</v>
      </c>
      <c r="AV94" s="711">
        <f>+AV122/AVERAGE(AU31,AV31)*4</f>
        <v>3.5193169986633618E-2</v>
      </c>
      <c r="AW94" s="713">
        <f>+AW122/AVERAGE(AQ31,AW31)</f>
        <v>3.9545580074169528E-2</v>
      </c>
      <c r="AX94" s="205"/>
      <c r="AY94" s="710">
        <f>+AY122/AVERAGE(AV31,AY31)*4</f>
        <v>3.2059153053278576E-2</v>
      </c>
      <c r="AZ94" s="711">
        <f>+AZ122/AVERAGE(AY31,AZ31)*4</f>
        <v>3.211153781848302E-2</v>
      </c>
      <c r="BA94" s="711">
        <f>+BA122/AVERAGE(AZ31,BA31)*4</f>
        <v>3.2837173223650123E-2</v>
      </c>
      <c r="BB94" s="711">
        <f>+BB122/AVERAGE(BA31,BB31)*4</f>
        <v>3.5608352889820789E-2</v>
      </c>
      <c r="BC94" s="713">
        <f>+BC122/AVERAGE(AW31,BC31)</f>
        <v>3.375023682783071E-2</v>
      </c>
      <c r="BD94" s="205"/>
      <c r="BE94" s="710">
        <f>+BE122/AVERAGE(BB31,BE31)*4</f>
        <v>2.9736721325155421E-2</v>
      </c>
      <c r="BF94" s="711">
        <f>+BF122/AVERAGE(BE31,BF31)*4</f>
        <v>2.8572315067271183E-2</v>
      </c>
      <c r="BG94" s="711">
        <f>+BG122/AVERAGE(BF31,BG31)*4</f>
        <v>2.9601854464467055E-2</v>
      </c>
      <c r="BH94" s="711">
        <f>+BH122/AVERAGE(BG31,BH31)*4</f>
        <v>3.4661981417841506E-2</v>
      </c>
      <c r="BI94" s="713">
        <f>+BI122/AVERAGE(BC31,BI31)</f>
        <v>3.1443824960440112E-2</v>
      </c>
      <c r="BJ94" s="205"/>
      <c r="BK94" s="710">
        <f>+BK122/AVERAGE(BH31,BK31)*4</f>
        <v>3.4932682764327407E-2</v>
      </c>
      <c r="BL94" s="711">
        <f>+BL122/AVERAGE(BK31,BL31)*4</f>
        <v>3.4837829375890056E-2</v>
      </c>
      <c r="BM94" s="711">
        <f>+BM122/AVERAGE(BL31,BM31)*4</f>
        <v>3.6303580172940823E-2</v>
      </c>
      <c r="BN94" s="711">
        <f>+BN122/AVERAGE(BM31,BN31)*4</f>
        <v>4.1201797707067084E-2</v>
      </c>
      <c r="BO94" s="713">
        <f>+BO122/AVERAGE(BI31,BO31)</f>
        <v>3.7196127177007085E-2</v>
      </c>
      <c r="BP94" s="205"/>
      <c r="BQ94" s="710">
        <f>+BQ122/AVERAGE(BP31,BQ31)*4</f>
        <v>3.5557054063819725E-2</v>
      </c>
      <c r="BR94" s="711">
        <f>+BR122/AVERAGE(BQ31,BR31)*4</f>
        <v>3.5557054063819725E-2</v>
      </c>
      <c r="BS94" s="711">
        <f>+BS122/AVERAGE(BR31,BS31)*4</f>
        <v>3.5557054063819725E-2</v>
      </c>
      <c r="BT94" s="711">
        <f>+BT122/AVERAGE(BS31,BT31)*4</f>
        <v>3.5557054063819725E-2</v>
      </c>
      <c r="BU94" s="713">
        <f>+BU122/AVERAGE(BO31,BU31)</f>
        <v>3.5557054063819725E-2</v>
      </c>
      <c r="BV94" s="205"/>
      <c r="BW94" s="710">
        <f>+BW122/AVERAGE(BV31,BW31)*4</f>
        <v>3.5557054063819725E-2</v>
      </c>
      <c r="BX94" s="711">
        <f>+BX122/AVERAGE(BW31,BX31)*4</f>
        <v>3.5557054063819725E-2</v>
      </c>
      <c r="BY94" s="711">
        <f>+BY122/AVERAGE(BX31,BY31)*4</f>
        <v>3.5557054063819725E-2</v>
      </c>
      <c r="BZ94" s="711">
        <f>+BZ122/AVERAGE(BY31,BZ31)*4</f>
        <v>3.5557054063819725E-2</v>
      </c>
      <c r="CA94" s="713">
        <f>+CA122/AVERAGE(BU31,CA31)</f>
        <v>3.5557054063819725E-2</v>
      </c>
      <c r="CB94" s="205"/>
      <c r="CC94" s="710">
        <f>+CC122/AVERAGE(CB31,CC31)*4</f>
        <v>3.5557054063819725E-2</v>
      </c>
      <c r="CD94" s="711">
        <f>+CD122/AVERAGE(CC31,CD31)*4</f>
        <v>3.5557054063819725E-2</v>
      </c>
      <c r="CE94" s="711">
        <f>+CE122/AVERAGE(CD31,CE31)*4</f>
        <v>3.5484564974988676E-2</v>
      </c>
      <c r="CF94" s="711">
        <f>+CF122/AVERAGE(CE31,CF31)*4</f>
        <v>3.5407447154274269E-2</v>
      </c>
      <c r="CG94" s="713">
        <f>+CG122/AVERAGE(CA31,CG31)</f>
        <v>3.5777714768190444E-2</v>
      </c>
    </row>
    <row r="95" spans="2:85" s="7" customFormat="1" ht="11.25" customHeight="1" x14ac:dyDescent="0.2">
      <c r="B95" s="11"/>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row>
    <row r="96" spans="2:85" s="7" customFormat="1" ht="11.25" customHeight="1" x14ac:dyDescent="0.2">
      <c r="B96" s="815" t="s">
        <v>98</v>
      </c>
      <c r="C96" s="816"/>
      <c r="D96" s="816"/>
      <c r="E96" s="816"/>
      <c r="F96" s="816"/>
      <c r="G96" s="816"/>
      <c r="H96" s="816"/>
      <c r="I96" s="816"/>
      <c r="J96" s="816"/>
      <c r="K96" s="816"/>
      <c r="L96" s="816"/>
      <c r="M96" s="816"/>
      <c r="N96" s="816"/>
      <c r="O96" s="816"/>
      <c r="P96" s="816"/>
      <c r="Q96" s="816"/>
      <c r="R96" s="816"/>
      <c r="S96" s="816"/>
      <c r="T96" s="816"/>
      <c r="U96" s="816"/>
      <c r="V96" s="816"/>
      <c r="W96" s="816"/>
      <c r="X96" s="816"/>
      <c r="Y96" s="816"/>
      <c r="Z96" s="816"/>
      <c r="AA96" s="816"/>
      <c r="AB96" s="816"/>
      <c r="AC96" s="816"/>
      <c r="AD96" s="816"/>
      <c r="AE96" s="816"/>
      <c r="AF96" s="816"/>
      <c r="AG96" s="816"/>
      <c r="AH96" s="816"/>
      <c r="AI96" s="816"/>
      <c r="AJ96" s="816"/>
      <c r="AK96" s="816"/>
      <c r="AL96" s="816"/>
      <c r="AM96" s="816"/>
      <c r="AN96" s="816"/>
      <c r="AO96" s="816"/>
      <c r="AP96" s="816"/>
      <c r="AQ96" s="816"/>
      <c r="AR96" s="816"/>
      <c r="AS96" s="816"/>
      <c r="AT96" s="816"/>
      <c r="AU96" s="816"/>
      <c r="AV96" s="816"/>
      <c r="AW96" s="816"/>
      <c r="AX96" s="816"/>
      <c r="AY96" s="816"/>
      <c r="AZ96" s="816"/>
      <c r="BA96" s="816"/>
      <c r="BB96" s="816"/>
      <c r="BC96" s="816"/>
      <c r="BD96" s="816"/>
      <c r="BE96" s="816"/>
      <c r="BF96" s="816"/>
      <c r="BG96" s="816"/>
      <c r="BH96" s="816"/>
      <c r="BI96" s="816"/>
      <c r="BJ96" s="816"/>
      <c r="BK96" s="816"/>
      <c r="BL96" s="816"/>
      <c r="BM96" s="816"/>
      <c r="BN96" s="816"/>
      <c r="BO96" s="816"/>
      <c r="BP96" s="816"/>
      <c r="BQ96" s="816"/>
      <c r="BR96" s="816"/>
      <c r="BS96" s="816"/>
      <c r="BT96" s="816"/>
      <c r="BU96" s="816"/>
      <c r="BV96" s="816"/>
      <c r="BW96" s="816"/>
      <c r="BX96" s="816"/>
      <c r="BY96" s="816"/>
      <c r="BZ96" s="816"/>
      <c r="CA96" s="816"/>
      <c r="CB96" s="816"/>
      <c r="CC96" s="816"/>
      <c r="CD96" s="816"/>
      <c r="CE96" s="816"/>
      <c r="CF96" s="816"/>
      <c r="CG96" s="816"/>
    </row>
    <row r="97" spans="2:85" s="7" customFormat="1" ht="11.25" customHeight="1" x14ac:dyDescent="0.2">
      <c r="B97" s="426" t="s">
        <v>269</v>
      </c>
      <c r="C97" s="237" t="s">
        <v>448</v>
      </c>
      <c r="D97" s="39"/>
      <c r="E97" s="39"/>
      <c r="F97" s="39"/>
      <c r="G97" s="388"/>
      <c r="H97" s="39"/>
      <c r="I97" s="237"/>
      <c r="J97" s="39"/>
      <c r="K97" s="39"/>
      <c r="L97" s="39"/>
      <c r="M97" s="388">
        <f>+AVERAGE(G6,M6)*M71</f>
        <v>0.34086850000000002</v>
      </c>
      <c r="N97" s="39"/>
      <c r="O97" s="237"/>
      <c r="P97" s="39"/>
      <c r="Q97" s="39"/>
      <c r="R97" s="39"/>
      <c r="S97" s="388">
        <f>+AVERAGE(M6,S6)*S71</f>
        <v>0.11149200000000001</v>
      </c>
      <c r="T97" s="39"/>
      <c r="U97" s="237"/>
      <c r="V97" s="39"/>
      <c r="W97" s="39"/>
      <c r="X97" s="39"/>
      <c r="Y97" s="388">
        <f>+AVERAGE(S6,Y6)*Y71</f>
        <v>0.54747600000000007</v>
      </c>
      <c r="Z97" s="39"/>
      <c r="AA97" s="237"/>
      <c r="AB97" s="39"/>
      <c r="AC97" s="39"/>
      <c r="AD97" s="39"/>
      <c r="AE97" s="388">
        <f>+AVERAGE(Y6,AE6)*AE71</f>
        <v>0.62256690000000003</v>
      </c>
      <c r="AF97" s="39"/>
      <c r="AG97" s="237"/>
      <c r="AH97" s="39"/>
      <c r="AI97" s="39"/>
      <c r="AJ97" s="39"/>
      <c r="AK97" s="388">
        <f>+AVERAGE(AE6,AK6)*AK71</f>
        <v>0.91219800000000006</v>
      </c>
      <c r="AL97" s="39"/>
      <c r="AM97" s="237"/>
      <c r="AN97" s="39"/>
      <c r="AO97" s="39"/>
      <c r="AP97" s="39"/>
      <c r="AQ97" s="388">
        <f>+AVERAGE(AK6,AQ6)*AQ71</f>
        <v>0.77360010000000001</v>
      </c>
      <c r="AR97" s="39"/>
      <c r="AS97" s="237">
        <f>+AVERAGE(AP6,AS6)*AS71/4</f>
        <v>0.48254070000000004</v>
      </c>
      <c r="AT97" s="39">
        <f>+AVERAGE(AS6,AT6)*AT71/4</f>
        <v>0.42696187500000005</v>
      </c>
      <c r="AU97" s="39">
        <f>+AVERAGE(AT6,AU6)*AU71/4</f>
        <v>0.41213507499999996</v>
      </c>
      <c r="AV97" s="39">
        <f>+AVERAGE(AU6,AV6)*AV71/4</f>
        <v>0.58544954999999999</v>
      </c>
      <c r="AW97" s="388">
        <f>+SUM(AS97:AV97)</f>
        <v>1.9070871999999999</v>
      </c>
      <c r="AX97" s="39"/>
      <c r="AY97" s="237">
        <f>+AVERAGE(AV6,AY6)*AY71/4</f>
        <v>0.56651932500000002</v>
      </c>
      <c r="AZ97" s="39">
        <f>+AVERAGE(AY6,AZ6)*AZ71/4</f>
        <v>0.5023415</v>
      </c>
      <c r="BA97" s="39">
        <f>+AVERAGE(AZ6,BA6)*BA71/4</f>
        <v>0.49493669999999995</v>
      </c>
      <c r="BB97" s="39">
        <f>+AVERAGE(BA6,BB6)*BB71/4</f>
        <v>0.7797194624999999</v>
      </c>
      <c r="BC97" s="388">
        <f>+SUM(AY97:BB97)</f>
        <v>2.3435169875000001</v>
      </c>
      <c r="BD97" s="39"/>
      <c r="BE97" s="237">
        <f>+AVERAGE(BB6,BE6)*BE71/4</f>
        <v>1.2136658624999999</v>
      </c>
      <c r="BF97" s="39">
        <f>+AVERAGE(BE6,BF6)*BF71/4</f>
        <v>1.1251262999999998</v>
      </c>
      <c r="BG97" s="39">
        <f>+AVERAGE(BF6,BG6)*BG71/4</f>
        <v>1.0062676500000001</v>
      </c>
      <c r="BH97" s="39">
        <f>+AVERAGE(BG6,BH6)*BH71/4</f>
        <v>1.3581807374999999</v>
      </c>
      <c r="BI97" s="388">
        <f>+SUM(BE97:BH97)</f>
        <v>4.7032405499999994</v>
      </c>
      <c r="BJ97" s="39"/>
      <c r="BK97" s="237">
        <f>+AVERAGE(BH6,BK6)*BK71/4</f>
        <v>1.7885850000000001</v>
      </c>
      <c r="BL97" s="39">
        <f>+AVERAGE(BK6,BL6)*BL71/4</f>
        <v>2.0143366125000002</v>
      </c>
      <c r="BM97" s="39">
        <f>+AVERAGE(BL6,BM6)*BM71/4</f>
        <v>1.9500639750000002</v>
      </c>
      <c r="BN97" s="39">
        <f>+AVERAGE(BM6,BN6)*BN71/4</f>
        <v>2.2147977750000001</v>
      </c>
      <c r="BO97" s="388">
        <f>+SUM(BK97:BN97)</f>
        <v>7.9677833625000005</v>
      </c>
      <c r="BP97" s="39"/>
      <c r="BQ97" s="237">
        <f>+AVERAGE(BN6,BQ6)*BQ71/4</f>
        <v>2.3918309250000003</v>
      </c>
      <c r="BR97" s="39">
        <f>+AVERAGE(BQ6,BR6)*BR71/4</f>
        <v>2.3918309250000003</v>
      </c>
      <c r="BS97" s="39">
        <f>+AVERAGE(BR6,BS6)*BS71/4</f>
        <v>2.3918309250000003</v>
      </c>
      <c r="BT97" s="39">
        <f>+AVERAGE(BS6,BT6)*BT71/4</f>
        <v>2.3918309250000003</v>
      </c>
      <c r="BU97" s="388">
        <f>+SUM(BQ97:BT97)</f>
        <v>9.5673237000000011</v>
      </c>
      <c r="BV97" s="39"/>
      <c r="BW97" s="237">
        <f>+AVERAGE(BT6,BW6)*BW71/4</f>
        <v>2.3918309250000003</v>
      </c>
      <c r="BX97" s="39">
        <f>+AVERAGE(BW6,BX6)*BX71/4</f>
        <v>2.3918309250000003</v>
      </c>
      <c r="BY97" s="39">
        <f>+AVERAGE(BX6,BY6)*BY71/4</f>
        <v>2.3918309250000003</v>
      </c>
      <c r="BZ97" s="39">
        <f>+AVERAGE(BY6,BZ6)*BZ71/4</f>
        <v>2.3918309250000003</v>
      </c>
      <c r="CA97" s="388">
        <f>+SUM(BW97:BZ97)</f>
        <v>9.5673237000000011</v>
      </c>
      <c r="CB97" s="39"/>
      <c r="CC97" s="237">
        <f>+AVERAGE(BZ6,CC6)*CC71/4</f>
        <v>2.3918309250000003</v>
      </c>
      <c r="CD97" s="39">
        <f>+AVERAGE(CC6,CD6)*CD71/4</f>
        <v>2.3918309250000003</v>
      </c>
      <c r="CE97" s="39">
        <f>+AVERAGE(CD6,CE6)*CE71/4</f>
        <v>2.3918309250000003</v>
      </c>
      <c r="CF97" s="39">
        <f>+AVERAGE(CE6,CF6)*CF71/4</f>
        <v>2.3918309250000003</v>
      </c>
      <c r="CG97" s="388">
        <f>+SUM(CC97:CF97)</f>
        <v>9.5673237000000011</v>
      </c>
    </row>
    <row r="98" spans="2:85" s="7" customFormat="1" ht="11.25" customHeight="1" x14ac:dyDescent="0.2">
      <c r="B98" s="491"/>
      <c r="C98" s="237" t="s">
        <v>448</v>
      </c>
      <c r="D98" s="39"/>
      <c r="E98" s="39"/>
      <c r="F98" s="39"/>
      <c r="G98" s="388"/>
      <c r="H98" s="39"/>
      <c r="I98" s="237"/>
      <c r="J98" s="39"/>
      <c r="K98" s="39"/>
      <c r="L98" s="39"/>
      <c r="M98" s="388"/>
      <c r="N98" s="39"/>
      <c r="O98" s="237"/>
      <c r="P98" s="39"/>
      <c r="Q98" s="39"/>
      <c r="R98" s="39"/>
      <c r="S98" s="388"/>
      <c r="T98" s="39"/>
      <c r="U98" s="237"/>
      <c r="V98" s="39"/>
      <c r="W98" s="39"/>
      <c r="X98" s="39"/>
      <c r="Y98" s="388"/>
      <c r="Z98" s="39"/>
      <c r="AA98" s="237"/>
      <c r="AB98" s="39"/>
      <c r="AC98" s="39"/>
      <c r="AD98" s="39"/>
      <c r="AE98" s="388"/>
      <c r="AF98" s="39"/>
      <c r="AG98" s="237"/>
      <c r="AH98" s="39"/>
      <c r="AI98" s="39"/>
      <c r="AJ98" s="39"/>
      <c r="AK98" s="388"/>
      <c r="AL98" s="39"/>
      <c r="AM98" s="237"/>
      <c r="AN98" s="39"/>
      <c r="AO98" s="39"/>
      <c r="AP98" s="39"/>
      <c r="AQ98" s="388"/>
      <c r="AR98" s="39"/>
      <c r="AS98" s="237"/>
      <c r="AT98" s="39"/>
      <c r="AU98" s="39"/>
      <c r="AV98" s="39"/>
      <c r="AW98" s="388"/>
      <c r="AX98" s="39"/>
      <c r="AY98" s="237"/>
      <c r="AZ98" s="39"/>
      <c r="BA98" s="39"/>
      <c r="BB98" s="39"/>
      <c r="BC98" s="388"/>
      <c r="BD98" s="39"/>
      <c r="BE98" s="237"/>
      <c r="BF98" s="39"/>
      <c r="BG98" s="39"/>
      <c r="BH98" s="39"/>
      <c r="BI98" s="388"/>
      <c r="BJ98" s="39"/>
      <c r="BK98" s="237"/>
      <c r="BL98" s="39"/>
      <c r="BM98" s="39"/>
      <c r="BN98" s="39"/>
      <c r="BO98" s="388"/>
      <c r="BP98" s="39"/>
      <c r="BQ98" s="237"/>
      <c r="BR98" s="39"/>
      <c r="BS98" s="39"/>
      <c r="BT98" s="39"/>
      <c r="BU98" s="388"/>
      <c r="BV98" s="39"/>
      <c r="BW98" s="237"/>
      <c r="BX98" s="39"/>
      <c r="BY98" s="39"/>
      <c r="BZ98" s="39"/>
      <c r="CA98" s="388"/>
      <c r="CB98" s="39"/>
      <c r="CC98" s="237"/>
      <c r="CD98" s="39"/>
      <c r="CE98" s="39"/>
      <c r="CF98" s="39"/>
      <c r="CG98" s="388"/>
    </row>
    <row r="99" spans="2:85" s="7" customFormat="1" ht="11.25" customHeight="1" x14ac:dyDescent="0.2">
      <c r="B99" s="426" t="s">
        <v>210</v>
      </c>
      <c r="C99" s="237" t="s">
        <v>448</v>
      </c>
      <c r="D99" s="39"/>
      <c r="E99" s="39"/>
      <c r="F99" s="39"/>
      <c r="G99" s="388"/>
      <c r="H99" s="39"/>
      <c r="I99" s="237"/>
      <c r="J99" s="39"/>
      <c r="K99" s="39"/>
      <c r="L99" s="39"/>
      <c r="M99" s="388">
        <f>+AVERAGE(G8,M8)*M73</f>
        <v>7.1950034058207404</v>
      </c>
      <c r="N99" s="39"/>
      <c r="O99" s="237"/>
      <c r="P99" s="39"/>
      <c r="Q99" s="39"/>
      <c r="R99" s="39"/>
      <c r="S99" s="388">
        <f>+AVERAGE(M8,S8)*S73</f>
        <v>6.1555934860717718</v>
      </c>
      <c r="T99" s="39"/>
      <c r="U99" s="237"/>
      <c r="V99" s="39"/>
      <c r="W99" s="39"/>
      <c r="X99" s="39"/>
      <c r="Y99" s="388">
        <f>+AVERAGE(S8,Y8)*Y73</f>
        <v>1.3921309371993713</v>
      </c>
      <c r="Z99" s="39"/>
      <c r="AA99" s="237"/>
      <c r="AB99" s="39"/>
      <c r="AC99" s="39"/>
      <c r="AD99" s="39"/>
      <c r="AE99" s="388">
        <f>+AVERAGE(Y8,AE8)*AE73</f>
        <v>1.0334998648185625</v>
      </c>
      <c r="AF99" s="39"/>
      <c r="AG99" s="237"/>
      <c r="AH99" s="39"/>
      <c r="AI99" s="39"/>
      <c r="AJ99" s="39"/>
      <c r="AK99" s="388">
        <f>+AVERAGE(AE8,AK8)*AK73</f>
        <v>1.3713996089689577</v>
      </c>
      <c r="AL99" s="39"/>
      <c r="AM99" s="237"/>
      <c r="AN99" s="39"/>
      <c r="AO99" s="39"/>
      <c r="AP99" s="39"/>
      <c r="AQ99" s="388">
        <f>+AVERAGE(AK8,AQ8)*AQ73</f>
        <v>0.50103149954896464</v>
      </c>
      <c r="AR99" s="39"/>
      <c r="AS99" s="237">
        <f>+AVERAGE(AP8,AS8)*AS73/4</f>
        <v>0.78144965337524763</v>
      </c>
      <c r="AT99" s="39">
        <f>+AVERAGE(AS8,AT8)*AT73/4</f>
        <v>0.44603970574926394</v>
      </c>
      <c r="AU99" s="39">
        <f>+AVERAGE(AT8,AU8)*AU73/4</f>
        <v>5.4177363944883816E-2</v>
      </c>
      <c r="AV99" s="39">
        <f>+AVERAGE(AU8,AV8)*AV73/4</f>
        <v>6.12889652690859E-2</v>
      </c>
      <c r="AW99" s="388">
        <f>+SUM(AS99:AV99)</f>
        <v>1.3429556883384814</v>
      </c>
      <c r="AX99" s="39"/>
      <c r="AY99" s="237">
        <f>+AVERAGE(AV8,AY8)*AY73/4</f>
        <v>9.5500353153456133E-2</v>
      </c>
      <c r="AZ99" s="39">
        <f>+AVERAGE(AY8,AZ8)*AZ73/4</f>
        <v>0.13337336556215557</v>
      </c>
      <c r="BA99" s="39">
        <f>+AVERAGE(AZ8,BA8)*BA73/4</f>
        <v>0.13932964377507098</v>
      </c>
      <c r="BB99" s="39">
        <f>+AVERAGE(BA8,BB8)*BB73/4</f>
        <v>0.18555560446944103</v>
      </c>
      <c r="BC99" s="388">
        <f>+SUM(AY99:BB99)</f>
        <v>0.55375896696012372</v>
      </c>
      <c r="BD99" s="39"/>
      <c r="BE99" s="237">
        <f>+AVERAGE(BB8,BE8)*BE73/4</f>
        <v>0.17599381002499356</v>
      </c>
      <c r="BF99" s="39">
        <f>+AVERAGE(BE8,BF8)*BF73/4</f>
        <v>0.15382152773009666</v>
      </c>
      <c r="BG99" s="39">
        <f>+AVERAGE(BF8,BG8)*BG73/4</f>
        <v>0.15459604825080453</v>
      </c>
      <c r="BH99" s="39">
        <f>+AVERAGE(BG8,BH8)*BH73/4</f>
        <v>0.47015403395758443</v>
      </c>
      <c r="BI99" s="388">
        <f>+SUM(BE99:BH99)</f>
        <v>0.95456541996347921</v>
      </c>
      <c r="BJ99" s="39"/>
      <c r="BK99" s="237">
        <f>+AVERAGE(BH8,BK8)*BK73/4</f>
        <v>0.54027886769543476</v>
      </c>
      <c r="BL99" s="39">
        <f>+AVERAGE(BK8,BL8)*BL73/4</f>
        <v>0.23521831037529517</v>
      </c>
      <c r="BM99" s="39">
        <f>+AVERAGE(BL8,BM8)*BM73/4</f>
        <v>0.22623874174800901</v>
      </c>
      <c r="BN99" s="39">
        <f>+AVERAGE(BM8,BN8)*BN73/4</f>
        <v>0.26371545209087011</v>
      </c>
      <c r="BO99" s="388">
        <f>+SUM(BK99:BN99)</f>
        <v>1.265451371909609</v>
      </c>
      <c r="BP99" s="39"/>
      <c r="BQ99" s="237">
        <f>+AVERAGE(BN8,BQ8)*BQ73/4</f>
        <v>0.22379151771086309</v>
      </c>
      <c r="BR99" s="39">
        <f>+AVERAGE(BQ8,BR8)*BR73/4</f>
        <v>0.22379151771086309</v>
      </c>
      <c r="BS99" s="39">
        <f>+AVERAGE(BR8,BS8)*BS73/4</f>
        <v>0.22379151771086309</v>
      </c>
      <c r="BT99" s="39">
        <f>+AVERAGE(BS8,BT8)*BT73/4</f>
        <v>0.22379151771086309</v>
      </c>
      <c r="BU99" s="388">
        <f>+SUM(BQ99:BT99)</f>
        <v>0.89516607084345234</v>
      </c>
      <c r="BV99" s="39"/>
      <c r="BW99" s="237">
        <f>+AVERAGE(BT8,BW8)*BW73/4</f>
        <v>0.22379151771086309</v>
      </c>
      <c r="BX99" s="39">
        <f>+AVERAGE(BW8,BX8)*BX73/4</f>
        <v>0.22379151771086309</v>
      </c>
      <c r="BY99" s="39">
        <f>+AVERAGE(BX8,BY8)*BY73/4</f>
        <v>0.22379151771086309</v>
      </c>
      <c r="BZ99" s="39">
        <f>+AVERAGE(BY8,BZ8)*BZ73/4</f>
        <v>0.22379151771086309</v>
      </c>
      <c r="CA99" s="388">
        <f>+SUM(BW99:BZ99)</f>
        <v>0.89516607084345234</v>
      </c>
      <c r="CB99" s="39"/>
      <c r="CC99" s="237">
        <f>+AVERAGE(BZ8,CC8)*CC73/4</f>
        <v>0.22379151771086309</v>
      </c>
      <c r="CD99" s="39">
        <f>+AVERAGE(CC8,CD8)*CD73/4</f>
        <v>0.22379151771086309</v>
      </c>
      <c r="CE99" s="39">
        <f>+AVERAGE(CD8,CE8)*CE73/4</f>
        <v>0.22756246701473273</v>
      </c>
      <c r="CF99" s="39">
        <f>+AVERAGE(CE8,CF8)*CF73/4</f>
        <v>0.23179082542734844</v>
      </c>
      <c r="CG99" s="388">
        <f>+SUM(CC99:CF99)</f>
        <v>0.90693632786380729</v>
      </c>
    </row>
    <row r="100" spans="2:85" s="7" customFormat="1" ht="11.25" customHeight="1" x14ac:dyDescent="0.2">
      <c r="B100" s="429"/>
      <c r="C100" s="237" t="s">
        <v>448</v>
      </c>
      <c r="D100" s="39"/>
      <c r="E100" s="39"/>
      <c r="F100" s="39"/>
      <c r="G100" s="388"/>
      <c r="H100" s="39"/>
      <c r="I100" s="237"/>
      <c r="J100" s="39"/>
      <c r="K100" s="39"/>
      <c r="L100" s="39"/>
      <c r="M100" s="388"/>
      <c r="N100" s="39"/>
      <c r="O100" s="237"/>
      <c r="P100" s="39"/>
      <c r="Q100" s="39"/>
      <c r="R100" s="39"/>
      <c r="S100" s="388"/>
      <c r="T100" s="39"/>
      <c r="U100" s="237"/>
      <c r="V100" s="39"/>
      <c r="W100" s="39"/>
      <c r="X100" s="39"/>
      <c r="Y100" s="388"/>
      <c r="Z100" s="39"/>
      <c r="AA100" s="237"/>
      <c r="AB100" s="39"/>
      <c r="AC100" s="39"/>
      <c r="AD100" s="39"/>
      <c r="AE100" s="388"/>
      <c r="AF100" s="39"/>
      <c r="AG100" s="237"/>
      <c r="AH100" s="39"/>
      <c r="AI100" s="39"/>
      <c r="AJ100" s="39"/>
      <c r="AK100" s="388"/>
      <c r="AL100" s="39"/>
      <c r="AM100" s="237"/>
      <c r="AN100" s="39"/>
      <c r="AO100" s="39"/>
      <c r="AP100" s="39"/>
      <c r="AQ100" s="388"/>
      <c r="AR100" s="39"/>
      <c r="AS100" s="237"/>
      <c r="AT100" s="39"/>
      <c r="AU100" s="39"/>
      <c r="AV100" s="39"/>
      <c r="AW100" s="388"/>
      <c r="AX100" s="39"/>
      <c r="AY100" s="237"/>
      <c r="AZ100" s="39"/>
      <c r="BA100" s="39"/>
      <c r="BB100" s="39"/>
      <c r="BC100" s="388"/>
      <c r="BD100" s="39"/>
      <c r="BE100" s="237"/>
      <c r="BF100" s="39"/>
      <c r="BG100" s="39"/>
      <c r="BH100" s="39"/>
      <c r="BI100" s="388"/>
      <c r="BJ100" s="39"/>
      <c r="BK100" s="237"/>
      <c r="BL100" s="39"/>
      <c r="BM100" s="39"/>
      <c r="BN100" s="39"/>
      <c r="BO100" s="388"/>
      <c r="BP100" s="39"/>
      <c r="BQ100" s="237"/>
      <c r="BR100" s="39"/>
      <c r="BS100" s="39"/>
      <c r="BT100" s="39"/>
      <c r="BU100" s="388"/>
      <c r="BV100" s="39"/>
      <c r="BW100" s="237"/>
      <c r="BX100" s="39"/>
      <c r="BY100" s="39"/>
      <c r="BZ100" s="39"/>
      <c r="CA100" s="388"/>
      <c r="CB100" s="39"/>
      <c r="CC100" s="237"/>
      <c r="CD100" s="39"/>
      <c r="CE100" s="39"/>
      <c r="CF100" s="39"/>
      <c r="CG100" s="388"/>
    </row>
    <row r="101" spans="2:85" s="7" customFormat="1" ht="11.25" customHeight="1" x14ac:dyDescent="0.2">
      <c r="B101" s="275" t="s">
        <v>139</v>
      </c>
      <c r="C101" s="237" t="s">
        <v>448</v>
      </c>
      <c r="D101" s="39"/>
      <c r="E101" s="39"/>
      <c r="F101" s="39"/>
      <c r="G101" s="388"/>
      <c r="H101" s="39"/>
      <c r="I101" s="237"/>
      <c r="J101" s="39"/>
      <c r="K101" s="39"/>
      <c r="L101" s="39"/>
      <c r="M101" s="388"/>
      <c r="N101" s="39"/>
      <c r="O101" s="237"/>
      <c r="P101" s="39"/>
      <c r="Q101" s="39"/>
      <c r="R101" s="39"/>
      <c r="S101" s="388"/>
      <c r="T101" s="39"/>
      <c r="U101" s="237"/>
      <c r="V101" s="39"/>
      <c r="W101" s="39"/>
      <c r="X101" s="39"/>
      <c r="Y101" s="388"/>
      <c r="Z101" s="39"/>
      <c r="AA101" s="237"/>
      <c r="AB101" s="39"/>
      <c r="AC101" s="39"/>
      <c r="AD101" s="39"/>
      <c r="AE101" s="388"/>
      <c r="AF101" s="39"/>
      <c r="AG101" s="237"/>
      <c r="AH101" s="39"/>
      <c r="AI101" s="39"/>
      <c r="AJ101" s="39"/>
      <c r="AK101" s="388"/>
      <c r="AL101" s="39"/>
      <c r="AM101" s="237"/>
      <c r="AN101" s="39"/>
      <c r="AO101" s="39"/>
      <c r="AP101" s="39"/>
      <c r="AQ101" s="388"/>
      <c r="AR101" s="39"/>
      <c r="AS101" s="237"/>
      <c r="AT101" s="39"/>
      <c r="AU101" s="39"/>
      <c r="AV101" s="39"/>
      <c r="AW101" s="388"/>
      <c r="AX101" s="39"/>
      <c r="AY101" s="237"/>
      <c r="AZ101" s="39"/>
      <c r="BA101" s="39"/>
      <c r="BB101" s="39"/>
      <c r="BC101" s="388"/>
      <c r="BD101" s="39"/>
      <c r="BE101" s="237"/>
      <c r="BF101" s="39"/>
      <c r="BG101" s="39"/>
      <c r="BH101" s="39"/>
      <c r="BI101" s="388"/>
      <c r="BJ101" s="39"/>
      <c r="BK101" s="237"/>
      <c r="BL101" s="39"/>
      <c r="BM101" s="39"/>
      <c r="BN101" s="39"/>
      <c r="BO101" s="388"/>
      <c r="BP101" s="39"/>
      <c r="BQ101" s="237"/>
      <c r="BR101" s="39"/>
      <c r="BS101" s="39"/>
      <c r="BT101" s="39"/>
      <c r="BU101" s="388"/>
      <c r="BV101" s="39"/>
      <c r="BW101" s="237"/>
      <c r="BX101" s="39"/>
      <c r="BY101" s="39"/>
      <c r="BZ101" s="39"/>
      <c r="CA101" s="388"/>
      <c r="CB101" s="39"/>
      <c r="CC101" s="237"/>
      <c r="CD101" s="39"/>
      <c r="CE101" s="39"/>
      <c r="CF101" s="39"/>
      <c r="CG101" s="388"/>
    </row>
    <row r="102" spans="2:85" s="7" customFormat="1" ht="11.25" customHeight="1" x14ac:dyDescent="0.2">
      <c r="B102" s="429" t="s">
        <v>320</v>
      </c>
      <c r="C102" s="237" t="s">
        <v>448</v>
      </c>
      <c r="D102" s="39"/>
      <c r="E102" s="39"/>
      <c r="F102" s="39"/>
      <c r="G102" s="388"/>
      <c r="H102" s="39"/>
      <c r="I102" s="237"/>
      <c r="J102" s="39"/>
      <c r="K102" s="39"/>
      <c r="L102" s="39"/>
      <c r="M102" s="388">
        <f>+SUM(M103:M107)</f>
        <v>0</v>
      </c>
      <c r="N102" s="39"/>
      <c r="O102" s="237"/>
      <c r="P102" s="39"/>
      <c r="Q102" s="39"/>
      <c r="R102" s="39"/>
      <c r="S102" s="388">
        <f>+SUM(S103:S107)</f>
        <v>0</v>
      </c>
      <c r="T102" s="39"/>
      <c r="U102" s="237"/>
      <c r="V102" s="39"/>
      <c r="W102" s="39"/>
      <c r="X102" s="39"/>
      <c r="Y102" s="388">
        <f>+SUM(Y103:Y107)</f>
        <v>1.8950000000000002</v>
      </c>
      <c r="Z102" s="39"/>
      <c r="AA102" s="237"/>
      <c r="AB102" s="39"/>
      <c r="AC102" s="39"/>
      <c r="AD102" s="39"/>
      <c r="AE102" s="388">
        <f>+SUM(AE103:AE107)</f>
        <v>3.7900000000000005</v>
      </c>
      <c r="AF102" s="39"/>
      <c r="AG102" s="237"/>
      <c r="AH102" s="39"/>
      <c r="AI102" s="39"/>
      <c r="AJ102" s="39"/>
      <c r="AK102" s="388">
        <f>+SUM(AK103:AK107)</f>
        <v>6.1750000000000007</v>
      </c>
      <c r="AL102" s="39"/>
      <c r="AM102" s="237"/>
      <c r="AN102" s="39"/>
      <c r="AO102" s="39"/>
      <c r="AP102" s="39"/>
      <c r="AQ102" s="388">
        <f>+SUM(AQ103:AQ107)</f>
        <v>8.56</v>
      </c>
      <c r="AR102" s="39"/>
      <c r="AS102" s="237">
        <f>+SUM(AS103:AS107)</f>
        <v>2.14</v>
      </c>
      <c r="AT102" s="39">
        <f>+SUM(AT103:AT107)</f>
        <v>2.5387500000000003</v>
      </c>
      <c r="AU102" s="39">
        <f>+SUM(AU103:AU107)</f>
        <v>2.9375</v>
      </c>
      <c r="AV102" s="39">
        <f>+SUM(AV103:AV107)</f>
        <v>2.9375</v>
      </c>
      <c r="AW102" s="388">
        <f>+SUM(AW103:AW107)</f>
        <v>10.553750000000001</v>
      </c>
      <c r="AX102" s="39"/>
      <c r="AY102" s="237">
        <f>+SUM(AY103:AY107)</f>
        <v>2.9375</v>
      </c>
      <c r="AZ102" s="39">
        <f>+SUM(AZ103:AZ107)</f>
        <v>2.9375</v>
      </c>
      <c r="BA102" s="39">
        <f>+SUM(BA103:BA107)</f>
        <v>2.9375</v>
      </c>
      <c r="BB102" s="39">
        <f>+SUM(BB103:BB107)</f>
        <v>2.9375</v>
      </c>
      <c r="BC102" s="388">
        <f>+SUM(BC103:BC107)</f>
        <v>11.75</v>
      </c>
      <c r="BD102" s="39"/>
      <c r="BE102" s="237">
        <f>+SUM(BE103:BE107)</f>
        <v>2.9099101625000001</v>
      </c>
      <c r="BF102" s="39">
        <f>+SUM(BF103:BF107)</f>
        <v>2.8823203249999998</v>
      </c>
      <c r="BG102" s="39">
        <f>+SUM(BG103:BG107)</f>
        <v>2.8823203249999998</v>
      </c>
      <c r="BH102" s="39">
        <f>+SUM(BH103:BH107)</f>
        <v>2.8823203249999998</v>
      </c>
      <c r="BI102" s="388">
        <f>+SUM(BI103:BI107)</f>
        <v>11.5568711375</v>
      </c>
      <c r="BJ102" s="39"/>
      <c r="BK102" s="237">
        <f>+SUM(BK103:BK107)</f>
        <v>2.8547304874999999</v>
      </c>
      <c r="BL102" s="39">
        <f>+SUM(BL103:BL108)</f>
        <v>3.2546406499999998</v>
      </c>
      <c r="BM102" s="39">
        <f>+SUM(BM103:BM109)</f>
        <v>4.5610406499999998</v>
      </c>
      <c r="BN102" s="39">
        <f>+SUM(BN103:BN109)</f>
        <v>4.5591970499999999</v>
      </c>
      <c r="BO102" s="388">
        <f>+SUM(BO103:BO109)</f>
        <v>15.229608837500001</v>
      </c>
      <c r="BP102" s="39"/>
      <c r="BQ102" s="237">
        <f>+SUM(BQ103:BQ109)</f>
        <v>4.55845345</v>
      </c>
      <c r="BR102" s="39">
        <f>+SUM(BR103:BR109)</f>
        <v>4.55845345</v>
      </c>
      <c r="BS102" s="39">
        <f>+SUM(BS103:BS109)</f>
        <v>4.55845345</v>
      </c>
      <c r="BT102" s="39">
        <f>+SUM(BT103:BT109)</f>
        <v>4.55845345</v>
      </c>
      <c r="BU102" s="388">
        <f>+SUM(BU103:BU109)</f>
        <v>18.2338138</v>
      </c>
      <c r="BV102" s="39"/>
      <c r="BW102" s="237">
        <f>+SUM(BW103:BW109)</f>
        <v>4.55845345</v>
      </c>
      <c r="BX102" s="39">
        <f>+SUM(BX103:BX109)</f>
        <v>4.55845345</v>
      </c>
      <c r="BY102" s="39">
        <f>+SUM(BY103:BY109)</f>
        <v>4.55845345</v>
      </c>
      <c r="BZ102" s="39">
        <f>+SUM(BZ103:BZ109)</f>
        <v>4.55845345</v>
      </c>
      <c r="CA102" s="388">
        <f>+SUM(CA103:CA109)</f>
        <v>18.2338138</v>
      </c>
      <c r="CB102" s="39"/>
      <c r="CC102" s="237">
        <f>+SUM(CC103:CC109)</f>
        <v>4.55845345</v>
      </c>
      <c r="CD102" s="39">
        <f>+SUM(CD103:CD109)</f>
        <v>4.55845345</v>
      </c>
      <c r="CE102" s="39">
        <f>+SUM(CE103:CE109)</f>
        <v>4.0847034500000001</v>
      </c>
      <c r="CF102" s="39">
        <f>+SUM(CF103:CF109)</f>
        <v>3.6109534499999998</v>
      </c>
      <c r="CG102" s="388">
        <f>+SUM(CG103:CG109)</f>
        <v>16.8125638</v>
      </c>
    </row>
    <row r="103" spans="2:85" s="7" customFormat="1" ht="11.25" customHeight="1" x14ac:dyDescent="0.2">
      <c r="B103" s="491" t="s">
        <v>326</v>
      </c>
      <c r="C103" s="237" t="s">
        <v>448</v>
      </c>
      <c r="D103" s="39"/>
      <c r="E103" s="39"/>
      <c r="F103" s="39"/>
      <c r="G103" s="388"/>
      <c r="H103" s="39"/>
      <c r="I103" s="237"/>
      <c r="J103" s="39"/>
      <c r="K103" s="39"/>
      <c r="L103" s="39"/>
      <c r="M103" s="388">
        <f>+AVERAGE(G12,M12)*M77</f>
        <v>0</v>
      </c>
      <c r="N103" s="39"/>
      <c r="O103" s="237"/>
      <c r="P103" s="39"/>
      <c r="Q103" s="39"/>
      <c r="R103" s="39"/>
      <c r="S103" s="388">
        <f>+AVERAGE(M12,S12)*S77</f>
        <v>0</v>
      </c>
      <c r="T103" s="39"/>
      <c r="U103" s="237"/>
      <c r="V103" s="39"/>
      <c r="W103" s="39"/>
      <c r="X103" s="39"/>
      <c r="Y103" s="388">
        <f>+AVERAGE(S12,Y12)*Y77</f>
        <v>1.8950000000000002</v>
      </c>
      <c r="Z103" s="39"/>
      <c r="AA103" s="237"/>
      <c r="AB103" s="39"/>
      <c r="AC103" s="39"/>
      <c r="AD103" s="39"/>
      <c r="AE103" s="388">
        <f>+AVERAGE(Y12,AE12)*AE77</f>
        <v>3.7900000000000005</v>
      </c>
      <c r="AF103" s="39"/>
      <c r="AG103" s="237"/>
      <c r="AH103" s="39"/>
      <c r="AI103" s="39"/>
      <c r="AJ103" s="39"/>
      <c r="AK103" s="388">
        <f>+AVERAGE(AE12,AK12)*AK77</f>
        <v>3.7900000000000005</v>
      </c>
      <c r="AL103" s="39"/>
      <c r="AM103" s="237"/>
      <c r="AN103" s="39"/>
      <c r="AO103" s="39"/>
      <c r="AP103" s="39"/>
      <c r="AQ103" s="388">
        <f>+AVERAGE(AK12,AQ12)*AQ77</f>
        <v>3.7900000000000005</v>
      </c>
      <c r="AR103" s="39"/>
      <c r="AS103" s="237">
        <f>+AVERAGE(AP12,AS12)*AS77/4</f>
        <v>0.94750000000000012</v>
      </c>
      <c r="AT103" s="39">
        <f t="shared" ref="AT103:AV107" si="85">+AVERAGE(AS12,AT12)*AT77/4</f>
        <v>0.94750000000000012</v>
      </c>
      <c r="AU103" s="39">
        <f t="shared" si="85"/>
        <v>0.94750000000000012</v>
      </c>
      <c r="AV103" s="39">
        <f t="shared" si="85"/>
        <v>0.94750000000000012</v>
      </c>
      <c r="AW103" s="388">
        <f>+SUM(AS103:AV103)</f>
        <v>3.7900000000000005</v>
      </c>
      <c r="AX103" s="39"/>
      <c r="AY103" s="237">
        <f>+AVERAGE(AV12,AY12)*AY77/4</f>
        <v>0.94750000000000012</v>
      </c>
      <c r="AZ103" s="39">
        <f t="shared" ref="AZ103:BB107" si="86">+AVERAGE(AY12,AZ12)*AZ77/4</f>
        <v>0.94750000000000012</v>
      </c>
      <c r="BA103" s="39">
        <f t="shared" si="86"/>
        <v>0.94750000000000012</v>
      </c>
      <c r="BB103" s="39">
        <f t="shared" si="86"/>
        <v>0.94750000000000012</v>
      </c>
      <c r="BC103" s="388">
        <f>+SUM(AY103:BB103)</f>
        <v>3.7900000000000005</v>
      </c>
      <c r="BD103" s="39"/>
      <c r="BE103" s="237">
        <f>+AVERAGE(BB12,BE12)*BE77/4</f>
        <v>0.94750000000000012</v>
      </c>
      <c r="BF103" s="39">
        <f t="shared" ref="BF103:BH107" si="87">+AVERAGE(BE12,BF12)*BF77/4</f>
        <v>0.94750000000000012</v>
      </c>
      <c r="BG103" s="39">
        <f t="shared" si="87"/>
        <v>0.94750000000000012</v>
      </c>
      <c r="BH103" s="39">
        <f t="shared" si="87"/>
        <v>0.94750000000000012</v>
      </c>
      <c r="BI103" s="388">
        <f>+SUM(BE103:BH103)</f>
        <v>3.7900000000000005</v>
      </c>
      <c r="BJ103" s="39"/>
      <c r="BK103" s="237">
        <f>+AVERAGE(BH12,BK12)*BK77/4</f>
        <v>0.94750000000000012</v>
      </c>
      <c r="BL103" s="39">
        <f t="shared" ref="BL103:BN108" si="88">+AVERAGE(BK12,BL12)*BL77/4</f>
        <v>0.94750000000000012</v>
      </c>
      <c r="BM103" s="39">
        <f t="shared" si="88"/>
        <v>0.94750000000000012</v>
      </c>
      <c r="BN103" s="39">
        <f t="shared" si="88"/>
        <v>0.94750000000000012</v>
      </c>
      <c r="BO103" s="388">
        <f t="shared" ref="BO103:BO109" si="89">+SUM(BK103:BN103)</f>
        <v>3.7900000000000005</v>
      </c>
      <c r="BP103" s="39"/>
      <c r="BQ103" s="237">
        <f t="shared" ref="BQ103:BQ109" si="90">+AVERAGE(BN12,BQ12)*BQ77/4</f>
        <v>0.94750000000000012</v>
      </c>
      <c r="BR103" s="39">
        <f t="shared" ref="BR103:BT109" si="91">+AVERAGE(BQ12,BR12)*BR77/4</f>
        <v>0.94750000000000012</v>
      </c>
      <c r="BS103" s="39">
        <f t="shared" si="91"/>
        <v>0.94750000000000012</v>
      </c>
      <c r="BT103" s="39">
        <f t="shared" si="91"/>
        <v>0.94750000000000012</v>
      </c>
      <c r="BU103" s="388">
        <f t="shared" ref="BU103:BU109" si="92">+SUM(BQ103:BT103)</f>
        <v>3.7900000000000005</v>
      </c>
      <c r="BV103" s="39"/>
      <c r="BW103" s="237">
        <f t="shared" ref="BW103:BW109" si="93">+AVERAGE(BT12,BW12)*BW77/4</f>
        <v>0.94750000000000012</v>
      </c>
      <c r="BX103" s="39">
        <f t="shared" ref="BX103:BZ109" si="94">+AVERAGE(BW12,BX12)*BX77/4</f>
        <v>0.94750000000000012</v>
      </c>
      <c r="BY103" s="39">
        <f t="shared" si="94"/>
        <v>0.94750000000000012</v>
      </c>
      <c r="BZ103" s="39">
        <f t="shared" si="94"/>
        <v>0.94750000000000012</v>
      </c>
      <c r="CA103" s="388">
        <f t="shared" ref="CA103:CA109" si="95">+SUM(BW103:BZ103)</f>
        <v>3.7900000000000005</v>
      </c>
      <c r="CB103" s="39"/>
      <c r="CC103" s="237">
        <f t="shared" ref="CC103:CC109" si="96">+AVERAGE(BZ12,CC12)*CC77/4</f>
        <v>0.94750000000000012</v>
      </c>
      <c r="CD103" s="39">
        <f t="shared" ref="CD103:CF109" si="97">+AVERAGE(CC12,CD12)*CD77/4</f>
        <v>0.94750000000000012</v>
      </c>
      <c r="CE103" s="39">
        <f t="shared" si="97"/>
        <v>0.47375000000000006</v>
      </c>
      <c r="CF103" s="39">
        <f t="shared" si="97"/>
        <v>0</v>
      </c>
      <c r="CG103" s="388">
        <f t="shared" ref="CG103:CG109" si="98">+SUM(CC103:CF103)</f>
        <v>2.3687500000000004</v>
      </c>
    </row>
    <row r="104" spans="2:85" s="7" customFormat="1" ht="11.25" customHeight="1" x14ac:dyDescent="0.2">
      <c r="B104" s="491" t="s">
        <v>327</v>
      </c>
      <c r="C104" s="237" t="s">
        <v>448</v>
      </c>
      <c r="D104" s="39"/>
      <c r="E104" s="39"/>
      <c r="F104" s="39"/>
      <c r="G104" s="388"/>
      <c r="H104" s="39"/>
      <c r="I104" s="237"/>
      <c r="J104" s="39"/>
      <c r="K104" s="39"/>
      <c r="L104" s="39"/>
      <c r="M104" s="388">
        <f>+AVERAGE(G13,M13)*M78</f>
        <v>0</v>
      </c>
      <c r="N104" s="39"/>
      <c r="O104" s="237"/>
      <c r="P104" s="39"/>
      <c r="Q104" s="39"/>
      <c r="R104" s="39"/>
      <c r="S104" s="388">
        <f>+AVERAGE(M13,S13)*S78</f>
        <v>0</v>
      </c>
      <c r="T104" s="39"/>
      <c r="U104" s="237"/>
      <c r="V104" s="39"/>
      <c r="W104" s="39"/>
      <c r="X104" s="39"/>
      <c r="Y104" s="388">
        <f>+AVERAGE(S13,Y13)*Y78</f>
        <v>0</v>
      </c>
      <c r="Z104" s="39"/>
      <c r="AA104" s="237"/>
      <c r="AB104" s="39"/>
      <c r="AC104" s="39"/>
      <c r="AD104" s="39"/>
      <c r="AE104" s="388">
        <f>+AVERAGE(Y13,AE13)*AE78</f>
        <v>0</v>
      </c>
      <c r="AF104" s="39"/>
      <c r="AG104" s="237"/>
      <c r="AH104" s="39"/>
      <c r="AI104" s="39"/>
      <c r="AJ104" s="39"/>
      <c r="AK104" s="388">
        <f>+AVERAGE(AE13,AK13)*AK78</f>
        <v>0.86250000000000004</v>
      </c>
      <c r="AL104" s="39"/>
      <c r="AM104" s="237"/>
      <c r="AN104" s="39"/>
      <c r="AO104" s="39"/>
      <c r="AP104" s="39"/>
      <c r="AQ104" s="388">
        <f>+AVERAGE(AK13,AQ13)*AQ78</f>
        <v>1.7250000000000001</v>
      </c>
      <c r="AR104" s="39"/>
      <c r="AS104" s="237">
        <f>+AVERAGE(AP13,AS13)*AS78/4</f>
        <v>0.43125000000000002</v>
      </c>
      <c r="AT104" s="39">
        <f t="shared" si="85"/>
        <v>0.43125000000000002</v>
      </c>
      <c r="AU104" s="39">
        <f t="shared" si="85"/>
        <v>0.43125000000000002</v>
      </c>
      <c r="AV104" s="39">
        <f t="shared" si="85"/>
        <v>0.43125000000000002</v>
      </c>
      <c r="AW104" s="388">
        <f>+SUM(AS104:AV104)</f>
        <v>1.7250000000000001</v>
      </c>
      <c r="AX104" s="39"/>
      <c r="AY104" s="237">
        <f>+AVERAGE(AV13,AY13)*AY78/4</f>
        <v>0.43125000000000002</v>
      </c>
      <c r="AZ104" s="39">
        <f t="shared" si="86"/>
        <v>0.43125000000000002</v>
      </c>
      <c r="BA104" s="39">
        <f t="shared" si="86"/>
        <v>0.43125000000000002</v>
      </c>
      <c r="BB104" s="39">
        <f t="shared" si="86"/>
        <v>0.43125000000000002</v>
      </c>
      <c r="BC104" s="388">
        <f>+SUM(AY104:BB104)</f>
        <v>1.7250000000000001</v>
      </c>
      <c r="BD104" s="39"/>
      <c r="BE104" s="237">
        <f>+AVERAGE(BB13,BE13)*BE78/4</f>
        <v>0.43125000000000002</v>
      </c>
      <c r="BF104" s="39">
        <f t="shared" si="87"/>
        <v>0.43125000000000002</v>
      </c>
      <c r="BG104" s="39">
        <f t="shared" si="87"/>
        <v>0.43125000000000002</v>
      </c>
      <c r="BH104" s="39">
        <f t="shared" si="87"/>
        <v>0.43125000000000002</v>
      </c>
      <c r="BI104" s="388">
        <f>+SUM(BE104:BH104)</f>
        <v>1.7250000000000001</v>
      </c>
      <c r="BJ104" s="39"/>
      <c r="BK104" s="237">
        <f>+AVERAGE(BH13,BK13)*BK78/4</f>
        <v>0.43125000000000002</v>
      </c>
      <c r="BL104" s="39">
        <f t="shared" si="88"/>
        <v>0.43125000000000002</v>
      </c>
      <c r="BM104" s="39">
        <f t="shared" si="88"/>
        <v>0.43125000000000002</v>
      </c>
      <c r="BN104" s="39">
        <f t="shared" si="88"/>
        <v>0.43125000000000002</v>
      </c>
      <c r="BO104" s="388">
        <f t="shared" si="89"/>
        <v>1.7250000000000001</v>
      </c>
      <c r="BP104" s="39"/>
      <c r="BQ104" s="237">
        <f t="shared" si="90"/>
        <v>0.43125000000000002</v>
      </c>
      <c r="BR104" s="39">
        <f t="shared" si="91"/>
        <v>0.43125000000000002</v>
      </c>
      <c r="BS104" s="39">
        <f t="shared" si="91"/>
        <v>0.43125000000000002</v>
      </c>
      <c r="BT104" s="39">
        <f t="shared" si="91"/>
        <v>0.43125000000000002</v>
      </c>
      <c r="BU104" s="388">
        <f t="shared" si="92"/>
        <v>1.7250000000000001</v>
      </c>
      <c r="BV104" s="39"/>
      <c r="BW104" s="237">
        <f t="shared" si="93"/>
        <v>0.43125000000000002</v>
      </c>
      <c r="BX104" s="39">
        <f t="shared" si="94"/>
        <v>0.43125000000000002</v>
      </c>
      <c r="BY104" s="39">
        <f t="shared" si="94"/>
        <v>0.43125000000000002</v>
      </c>
      <c r="BZ104" s="39">
        <f t="shared" si="94"/>
        <v>0.43125000000000002</v>
      </c>
      <c r="CA104" s="388">
        <f t="shared" si="95"/>
        <v>1.7250000000000001</v>
      </c>
      <c r="CB104" s="39"/>
      <c r="CC104" s="237">
        <f t="shared" si="96"/>
        <v>0.43125000000000002</v>
      </c>
      <c r="CD104" s="39">
        <f t="shared" si="97"/>
        <v>0.43125000000000002</v>
      </c>
      <c r="CE104" s="39">
        <f t="shared" si="97"/>
        <v>0.43125000000000002</v>
      </c>
      <c r="CF104" s="39">
        <f t="shared" si="97"/>
        <v>0.43125000000000002</v>
      </c>
      <c r="CG104" s="388">
        <f t="shared" si="98"/>
        <v>1.7250000000000001</v>
      </c>
    </row>
    <row r="105" spans="2:85" s="7" customFormat="1" ht="11.25" customHeight="1" x14ac:dyDescent="0.2">
      <c r="B105" s="491" t="s">
        <v>328</v>
      </c>
      <c r="C105" s="237" t="s">
        <v>448</v>
      </c>
      <c r="D105" s="39"/>
      <c r="E105" s="39"/>
      <c r="F105" s="39"/>
      <c r="G105" s="388"/>
      <c r="H105" s="39"/>
      <c r="I105" s="237"/>
      <c r="J105" s="39"/>
      <c r="K105" s="39"/>
      <c r="L105" s="39"/>
      <c r="M105" s="388">
        <f>+AVERAGE(G14,M14)*M79</f>
        <v>0</v>
      </c>
      <c r="N105" s="39"/>
      <c r="O105" s="237"/>
      <c r="P105" s="39"/>
      <c r="Q105" s="39"/>
      <c r="R105" s="39"/>
      <c r="S105" s="388">
        <f>+AVERAGE(M14,S14)*S79</f>
        <v>0</v>
      </c>
      <c r="T105" s="39"/>
      <c r="U105" s="237"/>
      <c r="V105" s="39"/>
      <c r="W105" s="39"/>
      <c r="X105" s="39"/>
      <c r="Y105" s="388">
        <f>+AVERAGE(S14,Y14)*Y79</f>
        <v>0</v>
      </c>
      <c r="Z105" s="39"/>
      <c r="AA105" s="237"/>
      <c r="AB105" s="39"/>
      <c r="AC105" s="39"/>
      <c r="AD105" s="39"/>
      <c r="AE105" s="388">
        <f>+AVERAGE(Y14,AE14)*AE79</f>
        <v>0</v>
      </c>
      <c r="AF105" s="39"/>
      <c r="AG105" s="237"/>
      <c r="AH105" s="39"/>
      <c r="AI105" s="39"/>
      <c r="AJ105" s="39"/>
      <c r="AK105" s="388">
        <f>+AVERAGE(AE14,AK14)*AK79</f>
        <v>0.77249999999999996</v>
      </c>
      <c r="AL105" s="39"/>
      <c r="AM105" s="237"/>
      <c r="AN105" s="39"/>
      <c r="AO105" s="39"/>
      <c r="AP105" s="39"/>
      <c r="AQ105" s="388">
        <f>+AVERAGE(AK14,AQ14)*AQ79</f>
        <v>1.5449999999999999</v>
      </c>
      <c r="AR105" s="39"/>
      <c r="AS105" s="237">
        <f>+AVERAGE(AP14,AS14)*AS79/4</f>
        <v>0.38624999999999998</v>
      </c>
      <c r="AT105" s="39">
        <f t="shared" si="85"/>
        <v>0.38624999999999998</v>
      </c>
      <c r="AU105" s="39">
        <f t="shared" si="85"/>
        <v>0.38624999999999998</v>
      </c>
      <c r="AV105" s="39">
        <f t="shared" si="85"/>
        <v>0.38624999999999998</v>
      </c>
      <c r="AW105" s="388">
        <f>+SUM(AS105:AV105)</f>
        <v>1.5449999999999999</v>
      </c>
      <c r="AX105" s="39"/>
      <c r="AY105" s="237">
        <f>+AVERAGE(AV14,AY14)*AY79/4</f>
        <v>0.38624999999999998</v>
      </c>
      <c r="AZ105" s="39">
        <f t="shared" si="86"/>
        <v>0.38624999999999998</v>
      </c>
      <c r="BA105" s="39">
        <f t="shared" si="86"/>
        <v>0.38624999999999998</v>
      </c>
      <c r="BB105" s="39">
        <f t="shared" si="86"/>
        <v>0.38624999999999998</v>
      </c>
      <c r="BC105" s="388">
        <f>+SUM(AY105:BB105)</f>
        <v>1.5449999999999999</v>
      </c>
      <c r="BD105" s="39"/>
      <c r="BE105" s="237">
        <f>+AVERAGE(BB14,BE14)*BE79/4</f>
        <v>0.35866016249999999</v>
      </c>
      <c r="BF105" s="39">
        <f t="shared" si="87"/>
        <v>0.331070325</v>
      </c>
      <c r="BG105" s="39">
        <f t="shared" si="87"/>
        <v>0.331070325</v>
      </c>
      <c r="BH105" s="39">
        <f t="shared" si="87"/>
        <v>0.331070325</v>
      </c>
      <c r="BI105" s="388">
        <f>+SUM(BE105:BH105)</f>
        <v>1.3518711375000001</v>
      </c>
      <c r="BJ105" s="39"/>
      <c r="BK105" s="237">
        <f>+AVERAGE(BH14,BK14)*BK79/4</f>
        <v>0.30348048750000001</v>
      </c>
      <c r="BL105" s="39">
        <f t="shared" si="88"/>
        <v>0.27589065000000002</v>
      </c>
      <c r="BM105" s="39">
        <f t="shared" si="88"/>
        <v>0.27589065000000002</v>
      </c>
      <c r="BN105" s="39">
        <f t="shared" si="88"/>
        <v>0.27589065000000002</v>
      </c>
      <c r="BO105" s="388">
        <f t="shared" si="89"/>
        <v>1.1311524374999999</v>
      </c>
      <c r="BP105" s="39"/>
      <c r="BQ105" s="237">
        <f t="shared" si="90"/>
        <v>0.27589065000000002</v>
      </c>
      <c r="BR105" s="39">
        <f t="shared" si="91"/>
        <v>0.27589065000000002</v>
      </c>
      <c r="BS105" s="39">
        <f t="shared" si="91"/>
        <v>0.27589065000000002</v>
      </c>
      <c r="BT105" s="39">
        <f t="shared" si="91"/>
        <v>0.27589065000000002</v>
      </c>
      <c r="BU105" s="388">
        <f t="shared" si="92"/>
        <v>1.1035626000000001</v>
      </c>
      <c r="BV105" s="39"/>
      <c r="BW105" s="237">
        <f t="shared" si="93"/>
        <v>0.27589065000000002</v>
      </c>
      <c r="BX105" s="39">
        <f t="shared" si="94"/>
        <v>0.27589065000000002</v>
      </c>
      <c r="BY105" s="39">
        <f t="shared" si="94"/>
        <v>0.27589065000000002</v>
      </c>
      <c r="BZ105" s="39">
        <f t="shared" si="94"/>
        <v>0.27589065000000002</v>
      </c>
      <c r="CA105" s="388">
        <f t="shared" si="95"/>
        <v>1.1035626000000001</v>
      </c>
      <c r="CB105" s="39"/>
      <c r="CC105" s="237">
        <f t="shared" si="96"/>
        <v>0.27589065000000002</v>
      </c>
      <c r="CD105" s="39">
        <f t="shared" si="97"/>
        <v>0.27589065000000002</v>
      </c>
      <c r="CE105" s="39">
        <f t="shared" si="97"/>
        <v>0.27589065000000002</v>
      </c>
      <c r="CF105" s="39">
        <f t="shared" si="97"/>
        <v>0.27589065000000002</v>
      </c>
      <c r="CG105" s="388">
        <f t="shared" si="98"/>
        <v>1.1035626000000001</v>
      </c>
    </row>
    <row r="106" spans="2:85" s="7" customFormat="1" ht="11.25" customHeight="1" x14ac:dyDescent="0.2">
      <c r="B106" s="491" t="s">
        <v>329</v>
      </c>
      <c r="C106" s="237" t="s">
        <v>448</v>
      </c>
      <c r="D106" s="39"/>
      <c r="E106" s="39"/>
      <c r="F106" s="39"/>
      <c r="G106" s="388"/>
      <c r="H106" s="39"/>
      <c r="I106" s="237"/>
      <c r="J106" s="39"/>
      <c r="K106" s="39"/>
      <c r="L106" s="39"/>
      <c r="M106" s="388">
        <f>+AVERAGE(G15,M15)*M80</f>
        <v>0</v>
      </c>
      <c r="N106" s="39"/>
      <c r="O106" s="237"/>
      <c r="P106" s="39"/>
      <c r="Q106" s="39"/>
      <c r="R106" s="39"/>
      <c r="S106" s="388">
        <f>+AVERAGE(M15,S15)*S80</f>
        <v>0</v>
      </c>
      <c r="T106" s="39"/>
      <c r="U106" s="237"/>
      <c r="V106" s="39"/>
      <c r="W106" s="39"/>
      <c r="X106" s="39"/>
      <c r="Y106" s="388">
        <f>+AVERAGE(S15,Y15)*Y80</f>
        <v>0</v>
      </c>
      <c r="Z106" s="39"/>
      <c r="AA106" s="237"/>
      <c r="AB106" s="39"/>
      <c r="AC106" s="39"/>
      <c r="AD106" s="39"/>
      <c r="AE106" s="388">
        <f>+AVERAGE(Y15,AE15)*AE80</f>
        <v>0</v>
      </c>
      <c r="AF106" s="39"/>
      <c r="AG106" s="237"/>
      <c r="AH106" s="39"/>
      <c r="AI106" s="39"/>
      <c r="AJ106" s="39"/>
      <c r="AK106" s="388">
        <f>+AVERAGE(AE15,AK15)*AK80</f>
        <v>0.75</v>
      </c>
      <c r="AL106" s="39"/>
      <c r="AM106" s="237"/>
      <c r="AN106" s="39"/>
      <c r="AO106" s="39"/>
      <c r="AP106" s="39"/>
      <c r="AQ106" s="388">
        <f>+AVERAGE(AK15,AQ15)*AQ80</f>
        <v>1.5</v>
      </c>
      <c r="AR106" s="39"/>
      <c r="AS106" s="237">
        <f>+AVERAGE(AP15,AS15)*AS80/4</f>
        <v>0.375</v>
      </c>
      <c r="AT106" s="39">
        <f t="shared" si="85"/>
        <v>0.375</v>
      </c>
      <c r="AU106" s="39">
        <f t="shared" si="85"/>
        <v>0.375</v>
      </c>
      <c r="AV106" s="39">
        <f t="shared" si="85"/>
        <v>0.375</v>
      </c>
      <c r="AW106" s="388">
        <f>+SUM(AS106:AV106)</f>
        <v>1.5</v>
      </c>
      <c r="AX106" s="39"/>
      <c r="AY106" s="237">
        <f>+AVERAGE(AV15,AY15)*AY80/4</f>
        <v>0.375</v>
      </c>
      <c r="AZ106" s="39">
        <f t="shared" si="86"/>
        <v>0.375</v>
      </c>
      <c r="BA106" s="39">
        <f t="shared" si="86"/>
        <v>0.375</v>
      </c>
      <c r="BB106" s="39">
        <f t="shared" si="86"/>
        <v>0.375</v>
      </c>
      <c r="BC106" s="388">
        <f>+SUM(AY106:BB106)</f>
        <v>1.5</v>
      </c>
      <c r="BD106" s="39"/>
      <c r="BE106" s="237">
        <f>+AVERAGE(BB15,BE15)*BE80/4</f>
        <v>0.375</v>
      </c>
      <c r="BF106" s="39">
        <f t="shared" si="87"/>
        <v>0.375</v>
      </c>
      <c r="BG106" s="39">
        <f t="shared" si="87"/>
        <v>0.375</v>
      </c>
      <c r="BH106" s="39">
        <f t="shared" si="87"/>
        <v>0.375</v>
      </c>
      <c r="BI106" s="388">
        <f>+SUM(BE106:BH106)</f>
        <v>1.5</v>
      </c>
      <c r="BJ106" s="39"/>
      <c r="BK106" s="237">
        <f>+AVERAGE(BH15,BK15)*BK80/4</f>
        <v>0.375</v>
      </c>
      <c r="BL106" s="39">
        <f t="shared" si="88"/>
        <v>0.375</v>
      </c>
      <c r="BM106" s="39">
        <f t="shared" si="88"/>
        <v>0.375</v>
      </c>
      <c r="BN106" s="39">
        <f t="shared" si="88"/>
        <v>0.375</v>
      </c>
      <c r="BO106" s="388">
        <f t="shared" si="89"/>
        <v>1.5</v>
      </c>
      <c r="BP106" s="39"/>
      <c r="BQ106" s="237">
        <f t="shared" si="90"/>
        <v>0.375</v>
      </c>
      <c r="BR106" s="39">
        <f t="shared" si="91"/>
        <v>0.375</v>
      </c>
      <c r="BS106" s="39">
        <f t="shared" si="91"/>
        <v>0.375</v>
      </c>
      <c r="BT106" s="39">
        <f t="shared" si="91"/>
        <v>0.375</v>
      </c>
      <c r="BU106" s="388">
        <f t="shared" si="92"/>
        <v>1.5</v>
      </c>
      <c r="BV106" s="39"/>
      <c r="BW106" s="237">
        <f t="shared" si="93"/>
        <v>0.375</v>
      </c>
      <c r="BX106" s="39">
        <f t="shared" si="94"/>
        <v>0.375</v>
      </c>
      <c r="BY106" s="39">
        <f t="shared" si="94"/>
        <v>0.375</v>
      </c>
      <c r="BZ106" s="39">
        <f t="shared" si="94"/>
        <v>0.375</v>
      </c>
      <c r="CA106" s="388">
        <f t="shared" si="95"/>
        <v>1.5</v>
      </c>
      <c r="CB106" s="39"/>
      <c r="CC106" s="237">
        <f t="shared" si="96"/>
        <v>0.375</v>
      </c>
      <c r="CD106" s="39">
        <f t="shared" si="97"/>
        <v>0.375</v>
      </c>
      <c r="CE106" s="39">
        <f t="shared" si="97"/>
        <v>0.375</v>
      </c>
      <c r="CF106" s="39">
        <f t="shared" si="97"/>
        <v>0.375</v>
      </c>
      <c r="CG106" s="388">
        <f t="shared" si="98"/>
        <v>1.5</v>
      </c>
    </row>
    <row r="107" spans="2:85" s="7" customFormat="1" ht="11.25" customHeight="1" x14ac:dyDescent="0.2">
      <c r="B107" s="491" t="s">
        <v>330</v>
      </c>
      <c r="C107" s="237" t="s">
        <v>448</v>
      </c>
      <c r="D107" s="39"/>
      <c r="E107" s="39"/>
      <c r="F107" s="39"/>
      <c r="G107" s="388"/>
      <c r="H107" s="39"/>
      <c r="I107" s="237"/>
      <c r="J107" s="39"/>
      <c r="K107" s="39"/>
      <c r="L107" s="39"/>
      <c r="M107" s="388">
        <f>+AVERAGE(G16,M16)*M81</f>
        <v>0</v>
      </c>
      <c r="N107" s="39"/>
      <c r="O107" s="237"/>
      <c r="P107" s="39"/>
      <c r="Q107" s="39"/>
      <c r="R107" s="39"/>
      <c r="S107" s="388">
        <f>+AVERAGE(M16,S16)*S81</f>
        <v>0</v>
      </c>
      <c r="T107" s="39"/>
      <c r="U107" s="237"/>
      <c r="V107" s="39"/>
      <c r="W107" s="39"/>
      <c r="X107" s="39"/>
      <c r="Y107" s="388">
        <f>+AVERAGE(S16,Y16)*Y81</f>
        <v>0</v>
      </c>
      <c r="Z107" s="39"/>
      <c r="AA107" s="237"/>
      <c r="AB107" s="39"/>
      <c r="AC107" s="39"/>
      <c r="AD107" s="39"/>
      <c r="AE107" s="388">
        <f>+AVERAGE(Y16,AE16)*AE81</f>
        <v>0</v>
      </c>
      <c r="AF107" s="39"/>
      <c r="AG107" s="237"/>
      <c r="AH107" s="39"/>
      <c r="AI107" s="39"/>
      <c r="AJ107" s="39"/>
      <c r="AK107" s="388">
        <f>+AVERAGE(AE16,AK16)*AK81</f>
        <v>0</v>
      </c>
      <c r="AL107" s="39"/>
      <c r="AM107" s="237"/>
      <c r="AN107" s="39"/>
      <c r="AO107" s="39"/>
      <c r="AP107" s="39"/>
      <c r="AQ107" s="388">
        <f>+AVERAGE(AK16,AQ16)*AQ81</f>
        <v>0</v>
      </c>
      <c r="AR107" s="39"/>
      <c r="AS107" s="237">
        <f>+AVERAGE(AP16,AS16)*AS81/4</f>
        <v>0</v>
      </c>
      <c r="AT107" s="39">
        <f t="shared" si="85"/>
        <v>0.39874999999999999</v>
      </c>
      <c r="AU107" s="39">
        <f t="shared" si="85"/>
        <v>0.79749999999999999</v>
      </c>
      <c r="AV107" s="39">
        <f t="shared" si="85"/>
        <v>0.79749999999999999</v>
      </c>
      <c r="AW107" s="388">
        <f>+SUM(AS107:AV107)</f>
        <v>1.9937499999999999</v>
      </c>
      <c r="AX107" s="39"/>
      <c r="AY107" s="237">
        <f>+AVERAGE(AV16,AY16)*AY81/4</f>
        <v>0.79749999999999999</v>
      </c>
      <c r="AZ107" s="39">
        <f t="shared" si="86"/>
        <v>0.79749999999999999</v>
      </c>
      <c r="BA107" s="39">
        <f t="shared" si="86"/>
        <v>0.79749999999999999</v>
      </c>
      <c r="BB107" s="39">
        <f t="shared" si="86"/>
        <v>0.79749999999999999</v>
      </c>
      <c r="BC107" s="388">
        <f>+SUM(AY107:BB107)</f>
        <v>3.19</v>
      </c>
      <c r="BD107" s="39"/>
      <c r="BE107" s="237">
        <f>+AVERAGE(BB16,BE16)*BE81/4</f>
        <v>0.79749999999999999</v>
      </c>
      <c r="BF107" s="39">
        <f t="shared" si="87"/>
        <v>0.79749999999999999</v>
      </c>
      <c r="BG107" s="39">
        <f t="shared" si="87"/>
        <v>0.79749999999999999</v>
      </c>
      <c r="BH107" s="39">
        <f t="shared" si="87"/>
        <v>0.79749999999999999</v>
      </c>
      <c r="BI107" s="388">
        <f>+SUM(BE107:BH107)</f>
        <v>3.19</v>
      </c>
      <c r="BJ107" s="39"/>
      <c r="BK107" s="237">
        <f>+AVERAGE(BH16,BK16)*BK81/4</f>
        <v>0.79749999999999999</v>
      </c>
      <c r="BL107" s="39">
        <f t="shared" si="88"/>
        <v>0.79749999999999999</v>
      </c>
      <c r="BM107" s="39">
        <f t="shared" si="88"/>
        <v>0.79749999999999999</v>
      </c>
      <c r="BN107" s="39">
        <f t="shared" si="88"/>
        <v>0.79749999999999999</v>
      </c>
      <c r="BO107" s="388">
        <f t="shared" si="89"/>
        <v>3.19</v>
      </c>
      <c r="BP107" s="39"/>
      <c r="BQ107" s="237">
        <f t="shared" si="90"/>
        <v>0.79749999999999999</v>
      </c>
      <c r="BR107" s="39">
        <f t="shared" si="91"/>
        <v>0.79749999999999999</v>
      </c>
      <c r="BS107" s="39">
        <f t="shared" si="91"/>
        <v>0.79749999999999999</v>
      </c>
      <c r="BT107" s="39">
        <f t="shared" si="91"/>
        <v>0.79749999999999999</v>
      </c>
      <c r="BU107" s="388">
        <f t="shared" si="92"/>
        <v>3.19</v>
      </c>
      <c r="BV107" s="39"/>
      <c r="BW107" s="237">
        <f t="shared" si="93"/>
        <v>0.79749999999999999</v>
      </c>
      <c r="BX107" s="39">
        <f t="shared" si="94"/>
        <v>0.79749999999999999</v>
      </c>
      <c r="BY107" s="39">
        <f t="shared" si="94"/>
        <v>0.79749999999999999</v>
      </c>
      <c r="BZ107" s="39">
        <f t="shared" si="94"/>
        <v>0.79749999999999999</v>
      </c>
      <c r="CA107" s="388">
        <f t="shared" si="95"/>
        <v>3.19</v>
      </c>
      <c r="CB107" s="39"/>
      <c r="CC107" s="237">
        <f t="shared" si="96"/>
        <v>0.79749999999999999</v>
      </c>
      <c r="CD107" s="39">
        <f t="shared" si="97"/>
        <v>0.79749999999999999</v>
      </c>
      <c r="CE107" s="39">
        <f t="shared" si="97"/>
        <v>0.79749999999999999</v>
      </c>
      <c r="CF107" s="39">
        <f t="shared" si="97"/>
        <v>0.79749999999999999</v>
      </c>
      <c r="CG107" s="388">
        <f t="shared" si="98"/>
        <v>3.19</v>
      </c>
    </row>
    <row r="108" spans="2:85" s="7" customFormat="1" ht="11.25" customHeight="1" x14ac:dyDescent="0.2">
      <c r="B108" s="1149" t="s">
        <v>596</v>
      </c>
      <c r="C108" s="627"/>
      <c r="D108" s="39"/>
      <c r="E108" s="39"/>
      <c r="F108" s="39"/>
      <c r="G108" s="388"/>
      <c r="H108" s="39"/>
      <c r="I108" s="627"/>
      <c r="J108" s="39"/>
      <c r="K108" s="39"/>
      <c r="L108" s="39"/>
      <c r="M108" s="388"/>
      <c r="N108" s="39"/>
      <c r="O108" s="627"/>
      <c r="P108" s="39"/>
      <c r="Q108" s="39"/>
      <c r="R108" s="39"/>
      <c r="S108" s="388"/>
      <c r="T108" s="39"/>
      <c r="U108" s="627"/>
      <c r="V108" s="39"/>
      <c r="W108" s="39"/>
      <c r="X108" s="39"/>
      <c r="Y108" s="388"/>
      <c r="Z108" s="39"/>
      <c r="AA108" s="627"/>
      <c r="AB108" s="39"/>
      <c r="AC108" s="39"/>
      <c r="AD108" s="39"/>
      <c r="AE108" s="388"/>
      <c r="AF108" s="39"/>
      <c r="AG108" s="627"/>
      <c r="AH108" s="39"/>
      <c r="AI108" s="39"/>
      <c r="AJ108" s="39"/>
      <c r="AK108" s="388"/>
      <c r="AL108" s="39"/>
      <c r="AM108" s="627"/>
      <c r="AN108" s="39"/>
      <c r="AO108" s="39"/>
      <c r="AP108" s="39"/>
      <c r="AQ108" s="388"/>
      <c r="AR108" s="39"/>
      <c r="AS108" s="627"/>
      <c r="AT108" s="39"/>
      <c r="AU108" s="39"/>
      <c r="AV108" s="39"/>
      <c r="AW108" s="388"/>
      <c r="AX108" s="39"/>
      <c r="AY108" s="627"/>
      <c r="AZ108" s="39"/>
      <c r="BA108" s="39"/>
      <c r="BB108" s="39"/>
      <c r="BC108" s="388"/>
      <c r="BD108" s="39"/>
      <c r="BE108" s="627"/>
      <c r="BF108" s="39"/>
      <c r="BG108" s="39"/>
      <c r="BH108" s="39"/>
      <c r="BI108" s="388"/>
      <c r="BJ108" s="39"/>
      <c r="BK108" s="627"/>
      <c r="BL108" s="39">
        <f t="shared" si="88"/>
        <v>0.42749999999999999</v>
      </c>
      <c r="BM108" s="39">
        <f t="shared" si="88"/>
        <v>0.85499999999999998</v>
      </c>
      <c r="BN108" s="39">
        <f t="shared" si="88"/>
        <v>0.85499999999999998</v>
      </c>
      <c r="BO108" s="388">
        <f t="shared" si="89"/>
        <v>2.1375000000000002</v>
      </c>
      <c r="BP108" s="39"/>
      <c r="BQ108" s="237">
        <f t="shared" si="90"/>
        <v>0.85499999999999998</v>
      </c>
      <c r="BR108" s="39">
        <f t="shared" si="91"/>
        <v>0.85499999999999998</v>
      </c>
      <c r="BS108" s="39">
        <f t="shared" si="91"/>
        <v>0.85499999999999998</v>
      </c>
      <c r="BT108" s="39">
        <f t="shared" si="91"/>
        <v>0.85499999999999998</v>
      </c>
      <c r="BU108" s="388">
        <f t="shared" si="92"/>
        <v>3.42</v>
      </c>
      <c r="BV108" s="39"/>
      <c r="BW108" s="237">
        <f t="shared" si="93"/>
        <v>0.85499999999999998</v>
      </c>
      <c r="BX108" s="39">
        <f t="shared" si="94"/>
        <v>0.85499999999999998</v>
      </c>
      <c r="BY108" s="39">
        <f t="shared" si="94"/>
        <v>0.85499999999999998</v>
      </c>
      <c r="BZ108" s="39">
        <f t="shared" si="94"/>
        <v>0.85499999999999998</v>
      </c>
      <c r="CA108" s="388">
        <f t="shared" si="95"/>
        <v>3.42</v>
      </c>
      <c r="CB108" s="39"/>
      <c r="CC108" s="237">
        <f t="shared" si="96"/>
        <v>0.85499999999999998</v>
      </c>
      <c r="CD108" s="39">
        <f t="shared" si="97"/>
        <v>0.85499999999999998</v>
      </c>
      <c r="CE108" s="39">
        <f t="shared" si="97"/>
        <v>0.85499999999999998</v>
      </c>
      <c r="CF108" s="39">
        <f t="shared" si="97"/>
        <v>0.85499999999999998</v>
      </c>
      <c r="CG108" s="388">
        <f t="shared" si="98"/>
        <v>3.42</v>
      </c>
    </row>
    <row r="109" spans="2:85" s="7" customFormat="1" ht="11.25" customHeight="1" x14ac:dyDescent="0.2">
      <c r="B109" s="1149" t="s">
        <v>625</v>
      </c>
      <c r="C109" s="627"/>
      <c r="D109" s="39"/>
      <c r="E109" s="39"/>
      <c r="F109" s="39"/>
      <c r="G109" s="388"/>
      <c r="H109" s="39"/>
      <c r="I109" s="627"/>
      <c r="J109" s="39"/>
      <c r="K109" s="39"/>
      <c r="L109" s="39"/>
      <c r="M109" s="388"/>
      <c r="N109" s="39"/>
      <c r="O109" s="627"/>
      <c r="P109" s="39"/>
      <c r="Q109" s="39"/>
      <c r="R109" s="39"/>
      <c r="S109" s="388"/>
      <c r="T109" s="39"/>
      <c r="U109" s="627"/>
      <c r="V109" s="39"/>
      <c r="W109" s="39"/>
      <c r="X109" s="39"/>
      <c r="Y109" s="388"/>
      <c r="Z109" s="39"/>
      <c r="AA109" s="627"/>
      <c r="AB109" s="39"/>
      <c r="AC109" s="39"/>
      <c r="AD109" s="39"/>
      <c r="AE109" s="388"/>
      <c r="AF109" s="39"/>
      <c r="AG109" s="627"/>
      <c r="AH109" s="39"/>
      <c r="AI109" s="39"/>
      <c r="AJ109" s="39"/>
      <c r="AK109" s="388"/>
      <c r="AL109" s="39"/>
      <c r="AM109" s="627"/>
      <c r="AN109" s="39"/>
      <c r="AO109" s="39"/>
      <c r="AP109" s="39"/>
      <c r="AQ109" s="388"/>
      <c r="AR109" s="39"/>
      <c r="AS109" s="627"/>
      <c r="AT109" s="39"/>
      <c r="AU109" s="39"/>
      <c r="AV109" s="39"/>
      <c r="AW109" s="388"/>
      <c r="AX109" s="39"/>
      <c r="AY109" s="627"/>
      <c r="AZ109" s="39"/>
      <c r="BA109" s="39"/>
      <c r="BB109" s="39"/>
      <c r="BC109" s="388"/>
      <c r="BD109" s="39"/>
      <c r="BE109" s="627"/>
      <c r="BF109" s="39"/>
      <c r="BG109" s="39"/>
      <c r="BH109" s="39"/>
      <c r="BI109" s="388"/>
      <c r="BJ109" s="39"/>
      <c r="BK109" s="627"/>
      <c r="BL109" s="39"/>
      <c r="BM109" s="39">
        <f>+AVERAGE(BL18,BM18)*BM83/4</f>
        <v>0.87890000000000001</v>
      </c>
      <c r="BN109" s="39">
        <f>+AVERAGE(BM18,BN18)*BN83/4</f>
        <v>0.87705640000000018</v>
      </c>
      <c r="BO109" s="388">
        <f t="shared" si="89"/>
        <v>1.7559564000000001</v>
      </c>
      <c r="BP109" s="39"/>
      <c r="BQ109" s="237">
        <f t="shared" si="90"/>
        <v>0.87631280000000011</v>
      </c>
      <c r="BR109" s="39">
        <f t="shared" si="91"/>
        <v>0.87631280000000011</v>
      </c>
      <c r="BS109" s="39">
        <f t="shared" si="91"/>
        <v>0.87631280000000011</v>
      </c>
      <c r="BT109" s="39">
        <f t="shared" si="91"/>
        <v>0.87631280000000011</v>
      </c>
      <c r="BU109" s="388">
        <f t="shared" si="92"/>
        <v>3.5052512000000005</v>
      </c>
      <c r="BV109" s="39"/>
      <c r="BW109" s="237">
        <f t="shared" si="93"/>
        <v>0.87631280000000011</v>
      </c>
      <c r="BX109" s="39">
        <f t="shared" si="94"/>
        <v>0.87631280000000011</v>
      </c>
      <c r="BY109" s="39">
        <f t="shared" si="94"/>
        <v>0.87631280000000011</v>
      </c>
      <c r="BZ109" s="39">
        <f t="shared" si="94"/>
        <v>0.87631280000000011</v>
      </c>
      <c r="CA109" s="388">
        <f t="shared" si="95"/>
        <v>3.5052512000000005</v>
      </c>
      <c r="CB109" s="39"/>
      <c r="CC109" s="237">
        <f t="shared" si="96"/>
        <v>0.87631280000000011</v>
      </c>
      <c r="CD109" s="39">
        <f t="shared" si="97"/>
        <v>0.87631280000000011</v>
      </c>
      <c r="CE109" s="39">
        <f t="shared" si="97"/>
        <v>0.87631280000000011</v>
      </c>
      <c r="CF109" s="39">
        <f t="shared" si="97"/>
        <v>0.87631280000000011</v>
      </c>
      <c r="CG109" s="388">
        <f t="shared" si="98"/>
        <v>3.5052512000000005</v>
      </c>
    </row>
    <row r="110" spans="2:85" s="7" customFormat="1" ht="11.25" customHeight="1" x14ac:dyDescent="0.2">
      <c r="B110" s="429"/>
      <c r="C110" s="237" t="s">
        <v>448</v>
      </c>
      <c r="D110" s="39"/>
      <c r="E110" s="39"/>
      <c r="F110" s="39"/>
      <c r="G110" s="388"/>
      <c r="H110" s="39"/>
      <c r="I110" s="237"/>
      <c r="J110" s="39"/>
      <c r="K110" s="39"/>
      <c r="L110" s="39"/>
      <c r="M110" s="388"/>
      <c r="N110" s="39"/>
      <c r="O110" s="237"/>
      <c r="P110" s="39"/>
      <c r="Q110" s="39"/>
      <c r="R110" s="39"/>
      <c r="S110" s="388"/>
      <c r="T110" s="39"/>
      <c r="U110" s="237"/>
      <c r="V110" s="39"/>
      <c r="W110" s="39"/>
      <c r="X110" s="39"/>
      <c r="Y110" s="388"/>
      <c r="Z110" s="39"/>
      <c r="AA110" s="237"/>
      <c r="AB110" s="39"/>
      <c r="AC110" s="39"/>
      <c r="AD110" s="39"/>
      <c r="AE110" s="388"/>
      <c r="AF110" s="39"/>
      <c r="AG110" s="237"/>
      <c r="AH110" s="39"/>
      <c r="AI110" s="39"/>
      <c r="AJ110" s="39"/>
      <c r="AK110" s="388"/>
      <c r="AL110" s="39"/>
      <c r="AM110" s="237"/>
      <c r="AN110" s="39"/>
      <c r="AO110" s="39"/>
      <c r="AP110" s="39"/>
      <c r="AQ110" s="388"/>
      <c r="AR110" s="39"/>
      <c r="AS110" s="237"/>
      <c r="AT110" s="39"/>
      <c r="AU110" s="39"/>
      <c r="AV110" s="39"/>
      <c r="AW110" s="388"/>
      <c r="AX110" s="39"/>
      <c r="AY110" s="237"/>
      <c r="AZ110" s="39"/>
      <c r="BA110" s="39"/>
      <c r="BB110" s="39"/>
      <c r="BC110" s="388"/>
      <c r="BD110" s="39"/>
      <c r="BE110" s="237"/>
      <c r="BF110" s="39"/>
      <c r="BG110" s="39"/>
      <c r="BH110" s="39"/>
      <c r="BI110" s="388"/>
      <c r="BJ110" s="39"/>
      <c r="BK110" s="237"/>
      <c r="BL110" s="39"/>
      <c r="BM110" s="39"/>
      <c r="BN110" s="39"/>
      <c r="BO110" s="388"/>
      <c r="BP110" s="39"/>
      <c r="BQ110" s="237"/>
      <c r="BR110" s="39"/>
      <c r="BS110" s="39"/>
      <c r="BT110" s="39"/>
      <c r="BU110" s="388"/>
      <c r="BV110" s="39"/>
      <c r="BW110" s="237"/>
      <c r="BX110" s="39"/>
      <c r="BY110" s="39"/>
      <c r="BZ110" s="39"/>
      <c r="CA110" s="388"/>
      <c r="CB110" s="39"/>
      <c r="CC110" s="237"/>
      <c r="CD110" s="39"/>
      <c r="CE110" s="39"/>
      <c r="CF110" s="39"/>
      <c r="CG110" s="388"/>
    </row>
    <row r="111" spans="2:85" s="7" customFormat="1" ht="11.25" customHeight="1" x14ac:dyDescent="0.2">
      <c r="B111" s="429" t="s">
        <v>321</v>
      </c>
      <c r="C111" s="237" t="s">
        <v>448</v>
      </c>
      <c r="D111" s="39"/>
      <c r="E111" s="39"/>
      <c r="F111" s="39"/>
      <c r="G111" s="388"/>
      <c r="H111" s="39"/>
      <c r="I111" s="237"/>
      <c r="J111" s="39"/>
      <c r="K111" s="39"/>
      <c r="L111" s="39"/>
      <c r="M111" s="388">
        <f t="shared" ref="M111:M117" si="99">+AVERAGE(G20,M20)*M85</f>
        <v>0</v>
      </c>
      <c r="N111" s="39"/>
      <c r="O111" s="237"/>
      <c r="P111" s="39"/>
      <c r="Q111" s="39"/>
      <c r="R111" s="39"/>
      <c r="S111" s="388">
        <f t="shared" ref="S111:S117" si="100">+AVERAGE(M20,S20)*S85</f>
        <v>0</v>
      </c>
      <c r="T111" s="39"/>
      <c r="U111" s="237"/>
      <c r="V111" s="39"/>
      <c r="W111" s="39"/>
      <c r="X111" s="39"/>
      <c r="Y111" s="388">
        <f t="shared" ref="Y111:Y117" si="101">+AVERAGE(S20,Y20)*Y85</f>
        <v>0</v>
      </c>
      <c r="Z111" s="39"/>
      <c r="AA111" s="237"/>
      <c r="AB111" s="39"/>
      <c r="AC111" s="39"/>
      <c r="AD111" s="39"/>
      <c r="AE111" s="388">
        <f t="shared" ref="AE111:AE117" si="102">+AVERAGE(Y20,AE20)*AE85</f>
        <v>0</v>
      </c>
      <c r="AF111" s="39"/>
      <c r="AG111" s="237"/>
      <c r="AH111" s="39"/>
      <c r="AI111" s="39"/>
      <c r="AJ111" s="39"/>
      <c r="AK111" s="388">
        <f t="shared" ref="AK111:AK117" si="103">+AVERAGE(AE20,AK20)*AK85</f>
        <v>0</v>
      </c>
      <c r="AL111" s="39"/>
      <c r="AM111" s="237"/>
      <c r="AN111" s="39"/>
      <c r="AO111" s="39"/>
      <c r="AP111" s="39"/>
      <c r="AQ111" s="388">
        <f t="shared" ref="AQ111:AQ117" si="104">+AVERAGE(AK20,AQ20)*AQ85</f>
        <v>0.7679999999999999</v>
      </c>
      <c r="AR111" s="39"/>
      <c r="AS111" s="237">
        <f t="shared" ref="AS111:AS117" si="105">+AVERAGE(AP20,AS20)*AS85/4</f>
        <v>0.59375</v>
      </c>
      <c r="AT111" s="39">
        <f t="shared" ref="AT111:AV117" si="106">+AVERAGE(AS20,AT20)*AT85/4</f>
        <v>0.61617</v>
      </c>
      <c r="AU111" s="39">
        <f t="shared" si="106"/>
        <v>0.60441999999999996</v>
      </c>
      <c r="AV111" s="39">
        <f t="shared" si="106"/>
        <v>0.46312500000000001</v>
      </c>
      <c r="AW111" s="388">
        <f t="shared" ref="AW111:AW118" si="107">+SUM(AS111:AV111)</f>
        <v>2.2774649999999999</v>
      </c>
      <c r="AX111" s="39"/>
      <c r="AY111" s="237">
        <f t="shared" ref="AY111:AY117" si="108">+AVERAGE(AV20,AY20)*AY85/4</f>
        <v>0.50468749999999996</v>
      </c>
      <c r="AZ111" s="39">
        <f t="shared" ref="AZ111:BB117" si="109">+AVERAGE(AY20,AZ20)*AZ85/4</f>
        <v>0.58199999999999996</v>
      </c>
      <c r="BA111" s="39">
        <f t="shared" si="109"/>
        <v>0.53749999999999998</v>
      </c>
      <c r="BB111" s="39">
        <f t="shared" si="109"/>
        <v>0.44562499999999999</v>
      </c>
      <c r="BC111" s="388">
        <f t="shared" ref="BC111:BC118" si="110">+SUM(AY111:BB111)</f>
        <v>2.0698125000000003</v>
      </c>
      <c r="BD111" s="39"/>
      <c r="BE111" s="237">
        <f t="shared" ref="BE111:BE117" si="111">+AVERAGE(BB20,BE20)*BE85/4</f>
        <v>0.63374999999999992</v>
      </c>
      <c r="BF111" s="39">
        <f t="shared" ref="BF111:BH117" si="112">+AVERAGE(BE20,BF20)*BF85/4</f>
        <v>1.0302499999999999</v>
      </c>
      <c r="BG111" s="39">
        <f t="shared" si="112"/>
        <v>1.35945</v>
      </c>
      <c r="BH111" s="39">
        <f t="shared" si="112"/>
        <v>1.54</v>
      </c>
      <c r="BI111" s="388">
        <f t="shared" ref="BI111:BI118" si="113">+SUM(BE111:BH111)</f>
        <v>4.5634499999999996</v>
      </c>
      <c r="BJ111" s="39"/>
      <c r="BK111" s="237">
        <f t="shared" ref="BK111:BK117" si="114">+AVERAGE(BH20,BK20)*BK85/4</f>
        <v>1.575</v>
      </c>
      <c r="BL111" s="39">
        <f t="shared" ref="BL111:BN117" si="115">+AVERAGE(BK20,BL20)*BL85/4</f>
        <v>1.5740099999999997</v>
      </c>
      <c r="BM111" s="39">
        <f t="shared" si="115"/>
        <v>1.5740099999999997</v>
      </c>
      <c r="BN111" s="39">
        <f t="shared" si="115"/>
        <v>1.575</v>
      </c>
      <c r="BO111" s="388">
        <f t="shared" ref="BO111:BO118" si="116">+SUM(BK111:BN111)</f>
        <v>6.2980199999999993</v>
      </c>
      <c r="BP111" s="39"/>
      <c r="BQ111" s="237">
        <f t="shared" ref="BQ111:BQ117" si="117">+AVERAGE(BN20,BQ20)*BQ85/4</f>
        <v>1.575</v>
      </c>
      <c r="BR111" s="39">
        <f t="shared" ref="BR111:BT117" si="118">+AVERAGE(BQ20,BR20)*BR85/4</f>
        <v>1.575</v>
      </c>
      <c r="BS111" s="39">
        <f t="shared" si="118"/>
        <v>1.575</v>
      </c>
      <c r="BT111" s="39">
        <f t="shared" si="118"/>
        <v>1.575</v>
      </c>
      <c r="BU111" s="388">
        <f t="shared" ref="BU111:BU118" si="119">+SUM(BQ111:BT111)</f>
        <v>6.3</v>
      </c>
      <c r="BV111" s="39"/>
      <c r="BW111" s="237">
        <f t="shared" ref="BW111:BW117" si="120">+AVERAGE(BT20,BW20)*BW85/4</f>
        <v>1.575</v>
      </c>
      <c r="BX111" s="39">
        <f t="shared" ref="BX111:BZ117" si="121">+AVERAGE(BW20,BX20)*BX85/4</f>
        <v>1.575</v>
      </c>
      <c r="BY111" s="39">
        <f t="shared" si="121"/>
        <v>1.575</v>
      </c>
      <c r="BZ111" s="39">
        <f t="shared" si="121"/>
        <v>1.575</v>
      </c>
      <c r="CA111" s="388">
        <f t="shared" ref="CA111:CA118" si="122">+SUM(BW111:BZ111)</f>
        <v>6.3</v>
      </c>
      <c r="CB111" s="39"/>
      <c r="CC111" s="237">
        <f t="shared" ref="CC111:CC117" si="123">+AVERAGE(BZ20,CC20)*CC85/4</f>
        <v>1.575</v>
      </c>
      <c r="CD111" s="39">
        <f t="shared" ref="CD111:CF117" si="124">+AVERAGE(CC20,CD20)*CD85/4</f>
        <v>1.575</v>
      </c>
      <c r="CE111" s="39">
        <f t="shared" si="124"/>
        <v>1.575</v>
      </c>
      <c r="CF111" s="39">
        <f t="shared" si="124"/>
        <v>1.575</v>
      </c>
      <c r="CG111" s="388">
        <f t="shared" ref="CG111:CG118" si="125">+SUM(CC111:CF111)</f>
        <v>6.3</v>
      </c>
    </row>
    <row r="112" spans="2:85" s="7" customFormat="1" ht="11.25" customHeight="1" x14ac:dyDescent="0.2">
      <c r="B112" s="429" t="s">
        <v>337</v>
      </c>
      <c r="C112" s="237" t="s">
        <v>448</v>
      </c>
      <c r="D112" s="39"/>
      <c r="E112" s="39"/>
      <c r="F112" s="39"/>
      <c r="G112" s="388"/>
      <c r="H112" s="39"/>
      <c r="I112" s="237"/>
      <c r="J112" s="39"/>
      <c r="K112" s="39"/>
      <c r="L112" s="39"/>
      <c r="M112" s="388">
        <f t="shared" si="99"/>
        <v>12.357862200000001</v>
      </c>
      <c r="N112" s="39"/>
      <c r="O112" s="237"/>
      <c r="P112" s="39"/>
      <c r="Q112" s="39"/>
      <c r="R112" s="39"/>
      <c r="S112" s="388">
        <f t="shared" si="100"/>
        <v>6.4639590000000009</v>
      </c>
      <c r="T112" s="39"/>
      <c r="U112" s="237"/>
      <c r="V112" s="39"/>
      <c r="W112" s="39"/>
      <c r="X112" s="39"/>
      <c r="Y112" s="388">
        <f t="shared" si="101"/>
        <v>0</v>
      </c>
      <c r="Z112" s="39"/>
      <c r="AA112" s="237"/>
      <c r="AB112" s="39"/>
      <c r="AC112" s="39"/>
      <c r="AD112" s="39"/>
      <c r="AE112" s="388">
        <f t="shared" si="102"/>
        <v>0</v>
      </c>
      <c r="AF112" s="39"/>
      <c r="AG112" s="237"/>
      <c r="AH112" s="39"/>
      <c r="AI112" s="39"/>
      <c r="AJ112" s="39"/>
      <c r="AK112" s="388">
        <f t="shared" si="103"/>
        <v>0</v>
      </c>
      <c r="AL112" s="39"/>
      <c r="AM112" s="237"/>
      <c r="AN112" s="39"/>
      <c r="AO112" s="39"/>
      <c r="AP112" s="39"/>
      <c r="AQ112" s="388">
        <f t="shared" si="104"/>
        <v>0</v>
      </c>
      <c r="AR112" s="39"/>
      <c r="AS112" s="237">
        <f t="shared" si="105"/>
        <v>0</v>
      </c>
      <c r="AT112" s="39">
        <f t="shared" si="106"/>
        <v>0</v>
      </c>
      <c r="AU112" s="39">
        <f t="shared" si="106"/>
        <v>0</v>
      </c>
      <c r="AV112" s="39">
        <f t="shared" si="106"/>
        <v>0</v>
      </c>
      <c r="AW112" s="388">
        <f t="shared" si="107"/>
        <v>0</v>
      </c>
      <c r="AX112" s="39"/>
      <c r="AY112" s="237">
        <f t="shared" si="108"/>
        <v>0</v>
      </c>
      <c r="AZ112" s="39">
        <f t="shared" si="109"/>
        <v>0</v>
      </c>
      <c r="BA112" s="39">
        <f t="shared" si="109"/>
        <v>0</v>
      </c>
      <c r="BB112" s="39">
        <f t="shared" si="109"/>
        <v>0</v>
      </c>
      <c r="BC112" s="388">
        <f t="shared" si="110"/>
        <v>0</v>
      </c>
      <c r="BD112" s="39"/>
      <c r="BE112" s="237">
        <f t="shared" si="111"/>
        <v>0</v>
      </c>
      <c r="BF112" s="39">
        <f t="shared" si="112"/>
        <v>0</v>
      </c>
      <c r="BG112" s="39">
        <f t="shared" si="112"/>
        <v>0</v>
      </c>
      <c r="BH112" s="39">
        <f t="shared" si="112"/>
        <v>0</v>
      </c>
      <c r="BI112" s="388">
        <f t="shared" si="113"/>
        <v>0</v>
      </c>
      <c r="BJ112" s="39"/>
      <c r="BK112" s="237">
        <f t="shared" si="114"/>
        <v>0</v>
      </c>
      <c r="BL112" s="39">
        <f t="shared" si="115"/>
        <v>0</v>
      </c>
      <c r="BM112" s="39">
        <f t="shared" si="115"/>
        <v>0</v>
      </c>
      <c r="BN112" s="39">
        <f t="shared" si="115"/>
        <v>0</v>
      </c>
      <c r="BO112" s="388">
        <f t="shared" si="116"/>
        <v>0</v>
      </c>
      <c r="BP112" s="39"/>
      <c r="BQ112" s="237">
        <f t="shared" si="117"/>
        <v>0</v>
      </c>
      <c r="BR112" s="39">
        <f t="shared" si="118"/>
        <v>0</v>
      </c>
      <c r="BS112" s="39">
        <f t="shared" si="118"/>
        <v>0</v>
      </c>
      <c r="BT112" s="39">
        <f t="shared" si="118"/>
        <v>0</v>
      </c>
      <c r="BU112" s="388">
        <f t="shared" si="119"/>
        <v>0</v>
      </c>
      <c r="BV112" s="39"/>
      <c r="BW112" s="237">
        <f t="shared" si="120"/>
        <v>0</v>
      </c>
      <c r="BX112" s="39">
        <f t="shared" si="121"/>
        <v>0</v>
      </c>
      <c r="BY112" s="39">
        <f t="shared" si="121"/>
        <v>0</v>
      </c>
      <c r="BZ112" s="39">
        <f t="shared" si="121"/>
        <v>0</v>
      </c>
      <c r="CA112" s="388">
        <f t="shared" si="122"/>
        <v>0</v>
      </c>
      <c r="CB112" s="39"/>
      <c r="CC112" s="237">
        <f t="shared" si="123"/>
        <v>0</v>
      </c>
      <c r="CD112" s="39">
        <f t="shared" si="124"/>
        <v>0</v>
      </c>
      <c r="CE112" s="39">
        <f t="shared" si="124"/>
        <v>0</v>
      </c>
      <c r="CF112" s="39">
        <f t="shared" si="124"/>
        <v>0</v>
      </c>
      <c r="CG112" s="388">
        <f t="shared" si="125"/>
        <v>0</v>
      </c>
    </row>
    <row r="113" spans="2:85" s="7" customFormat="1" ht="11.25" customHeight="1" x14ac:dyDescent="0.2">
      <c r="B113" s="429" t="s">
        <v>338</v>
      </c>
      <c r="C113" s="237" t="s">
        <v>448</v>
      </c>
      <c r="D113" s="39"/>
      <c r="E113" s="39"/>
      <c r="F113" s="39"/>
      <c r="G113" s="388"/>
      <c r="H113" s="39"/>
      <c r="I113" s="237"/>
      <c r="J113" s="39"/>
      <c r="K113" s="39"/>
      <c r="L113" s="39"/>
      <c r="M113" s="388">
        <f t="shared" si="99"/>
        <v>7.0500299999999996</v>
      </c>
      <c r="N113" s="39"/>
      <c r="O113" s="237"/>
      <c r="P113" s="39"/>
      <c r="Q113" s="39"/>
      <c r="R113" s="39"/>
      <c r="S113" s="388">
        <f t="shared" si="100"/>
        <v>6.9899249999999995</v>
      </c>
      <c r="T113" s="39"/>
      <c r="U113" s="237"/>
      <c r="V113" s="39"/>
      <c r="W113" s="39"/>
      <c r="X113" s="39"/>
      <c r="Y113" s="388">
        <f t="shared" si="101"/>
        <v>3.539895</v>
      </c>
      <c r="Z113" s="39"/>
      <c r="AA113" s="237"/>
      <c r="AB113" s="39"/>
      <c r="AC113" s="39"/>
      <c r="AD113" s="39"/>
      <c r="AE113" s="388">
        <f t="shared" si="102"/>
        <v>0</v>
      </c>
      <c r="AF113" s="39"/>
      <c r="AG113" s="237"/>
      <c r="AH113" s="39"/>
      <c r="AI113" s="39"/>
      <c r="AJ113" s="39"/>
      <c r="AK113" s="388">
        <f t="shared" si="103"/>
        <v>0</v>
      </c>
      <c r="AL113" s="39"/>
      <c r="AM113" s="237"/>
      <c r="AN113" s="39"/>
      <c r="AO113" s="39"/>
      <c r="AP113" s="39"/>
      <c r="AQ113" s="388">
        <f t="shared" si="104"/>
        <v>0</v>
      </c>
      <c r="AR113" s="39"/>
      <c r="AS113" s="237">
        <f t="shared" si="105"/>
        <v>0</v>
      </c>
      <c r="AT113" s="39">
        <f t="shared" si="106"/>
        <v>0</v>
      </c>
      <c r="AU113" s="39">
        <f t="shared" si="106"/>
        <v>0</v>
      </c>
      <c r="AV113" s="39">
        <f t="shared" si="106"/>
        <v>0</v>
      </c>
      <c r="AW113" s="388">
        <f t="shared" si="107"/>
        <v>0</v>
      </c>
      <c r="AX113" s="39"/>
      <c r="AY113" s="237">
        <f t="shared" si="108"/>
        <v>0</v>
      </c>
      <c r="AZ113" s="39">
        <f t="shared" si="109"/>
        <v>0</v>
      </c>
      <c r="BA113" s="39">
        <f t="shared" si="109"/>
        <v>0</v>
      </c>
      <c r="BB113" s="39">
        <f t="shared" si="109"/>
        <v>0</v>
      </c>
      <c r="BC113" s="388">
        <f t="shared" si="110"/>
        <v>0</v>
      </c>
      <c r="BD113" s="39"/>
      <c r="BE113" s="237">
        <f t="shared" si="111"/>
        <v>0</v>
      </c>
      <c r="BF113" s="39">
        <f t="shared" si="112"/>
        <v>0</v>
      </c>
      <c r="BG113" s="39">
        <f t="shared" si="112"/>
        <v>0</v>
      </c>
      <c r="BH113" s="39">
        <f t="shared" si="112"/>
        <v>0</v>
      </c>
      <c r="BI113" s="388">
        <f t="shared" si="113"/>
        <v>0</v>
      </c>
      <c r="BJ113" s="39"/>
      <c r="BK113" s="237">
        <f t="shared" si="114"/>
        <v>0</v>
      </c>
      <c r="BL113" s="39">
        <f t="shared" si="115"/>
        <v>0</v>
      </c>
      <c r="BM113" s="39">
        <f t="shared" si="115"/>
        <v>0</v>
      </c>
      <c r="BN113" s="39">
        <f t="shared" si="115"/>
        <v>0</v>
      </c>
      <c r="BO113" s="388">
        <f t="shared" si="116"/>
        <v>0</v>
      </c>
      <c r="BP113" s="39"/>
      <c r="BQ113" s="237">
        <f t="shared" si="117"/>
        <v>0</v>
      </c>
      <c r="BR113" s="39">
        <f t="shared" si="118"/>
        <v>0</v>
      </c>
      <c r="BS113" s="39">
        <f t="shared" si="118"/>
        <v>0</v>
      </c>
      <c r="BT113" s="39">
        <f t="shared" si="118"/>
        <v>0</v>
      </c>
      <c r="BU113" s="388">
        <f t="shared" si="119"/>
        <v>0</v>
      </c>
      <c r="BV113" s="39"/>
      <c r="BW113" s="237">
        <f t="shared" si="120"/>
        <v>0</v>
      </c>
      <c r="BX113" s="39">
        <f t="shared" si="121"/>
        <v>0</v>
      </c>
      <c r="BY113" s="39">
        <f t="shared" si="121"/>
        <v>0</v>
      </c>
      <c r="BZ113" s="39">
        <f t="shared" si="121"/>
        <v>0</v>
      </c>
      <c r="CA113" s="388">
        <f t="shared" si="122"/>
        <v>0</v>
      </c>
      <c r="CB113" s="39"/>
      <c r="CC113" s="237">
        <f t="shared" si="123"/>
        <v>0</v>
      </c>
      <c r="CD113" s="39">
        <f t="shared" si="124"/>
        <v>0</v>
      </c>
      <c r="CE113" s="39">
        <f t="shared" si="124"/>
        <v>0</v>
      </c>
      <c r="CF113" s="39">
        <f t="shared" si="124"/>
        <v>0</v>
      </c>
      <c r="CG113" s="388">
        <f t="shared" si="125"/>
        <v>0</v>
      </c>
    </row>
    <row r="114" spans="2:85" s="7" customFormat="1" ht="11.25" customHeight="1" x14ac:dyDescent="0.2">
      <c r="B114" s="429" t="s">
        <v>318</v>
      </c>
      <c r="C114" s="237" t="s">
        <v>448</v>
      </c>
      <c r="D114" s="39"/>
      <c r="E114" s="39"/>
      <c r="F114" s="39"/>
      <c r="G114" s="388"/>
      <c r="H114" s="39"/>
      <c r="I114" s="237"/>
      <c r="J114" s="39"/>
      <c r="K114" s="39"/>
      <c r="L114" s="39"/>
      <c r="M114" s="388">
        <f t="shared" si="99"/>
        <v>3.8060000000000004E-2</v>
      </c>
      <c r="N114" s="39"/>
      <c r="O114" s="237"/>
      <c r="P114" s="39"/>
      <c r="Q114" s="39"/>
      <c r="R114" s="39"/>
      <c r="S114" s="388">
        <f t="shared" si="100"/>
        <v>1.5408E-2</v>
      </c>
      <c r="T114" s="39"/>
      <c r="U114" s="237"/>
      <c r="V114" s="39"/>
      <c r="W114" s="39"/>
      <c r="X114" s="39"/>
      <c r="Y114" s="388">
        <f t="shared" si="101"/>
        <v>7.6745350000000006</v>
      </c>
      <c r="Z114" s="39"/>
      <c r="AA114" s="237"/>
      <c r="AB114" s="39"/>
      <c r="AC114" s="39"/>
      <c r="AD114" s="39"/>
      <c r="AE114" s="388">
        <f t="shared" si="102"/>
        <v>6.1526216000000007</v>
      </c>
      <c r="AF114" s="39"/>
      <c r="AG114" s="237"/>
      <c r="AH114" s="39"/>
      <c r="AI114" s="39"/>
      <c r="AJ114" s="39"/>
      <c r="AK114" s="388">
        <f t="shared" si="103"/>
        <v>0.76776149999999999</v>
      </c>
      <c r="AL114" s="39"/>
      <c r="AM114" s="237"/>
      <c r="AN114" s="39"/>
      <c r="AO114" s="39"/>
      <c r="AP114" s="39"/>
      <c r="AQ114" s="388">
        <f t="shared" si="104"/>
        <v>0.47013874999999999</v>
      </c>
      <c r="AR114" s="39"/>
      <c r="AS114" s="237">
        <f t="shared" si="105"/>
        <v>0</v>
      </c>
      <c r="AT114" s="39">
        <f t="shared" si="106"/>
        <v>0</v>
      </c>
      <c r="AU114" s="39">
        <f t="shared" si="106"/>
        <v>4.2947500000000002E-4</v>
      </c>
      <c r="AV114" s="39">
        <f t="shared" si="106"/>
        <v>7.5437500000000016E-4</v>
      </c>
      <c r="AW114" s="388">
        <f t="shared" si="107"/>
        <v>1.1838500000000002E-3</v>
      </c>
      <c r="AX114" s="39"/>
      <c r="AY114" s="237">
        <f t="shared" si="108"/>
        <v>5.3348749999999998E-4</v>
      </c>
      <c r="AZ114" s="39">
        <f t="shared" si="109"/>
        <v>3.6423750000000001E-4</v>
      </c>
      <c r="BA114" s="39">
        <f t="shared" si="109"/>
        <v>2.6490000000000004E-4</v>
      </c>
      <c r="BB114" s="39">
        <f t="shared" si="109"/>
        <v>1.6556249999999999E-4</v>
      </c>
      <c r="BC114" s="388">
        <f t="shared" si="110"/>
        <v>1.3281874999999999E-3</v>
      </c>
      <c r="BD114" s="39"/>
      <c r="BE114" s="237">
        <f t="shared" si="111"/>
        <v>5.5187500000000007E-5</v>
      </c>
      <c r="BF114" s="39">
        <f t="shared" si="112"/>
        <v>0</v>
      </c>
      <c r="BG114" s="39">
        <f t="shared" si="112"/>
        <v>4.5375E-4</v>
      </c>
      <c r="BH114" s="39">
        <f t="shared" si="112"/>
        <v>0.90581124999999996</v>
      </c>
      <c r="BI114" s="388">
        <f t="shared" si="113"/>
        <v>0.90632018749999999</v>
      </c>
      <c r="BJ114" s="39"/>
      <c r="BK114" s="237">
        <f t="shared" si="114"/>
        <v>0.52932538750000002</v>
      </c>
      <c r="BL114" s="39">
        <f t="shared" si="115"/>
        <v>0</v>
      </c>
      <c r="BM114" s="39">
        <f t="shared" si="115"/>
        <v>0</v>
      </c>
      <c r="BN114" s="39">
        <f t="shared" si="115"/>
        <v>0</v>
      </c>
      <c r="BO114" s="388">
        <f t="shared" si="116"/>
        <v>0.52932538750000002</v>
      </c>
      <c r="BP114" s="39"/>
      <c r="BQ114" s="237">
        <f t="shared" si="117"/>
        <v>0</v>
      </c>
      <c r="BR114" s="39">
        <f t="shared" si="118"/>
        <v>0</v>
      </c>
      <c r="BS114" s="39">
        <f t="shared" si="118"/>
        <v>0</v>
      </c>
      <c r="BT114" s="39">
        <f t="shared" si="118"/>
        <v>0</v>
      </c>
      <c r="BU114" s="388">
        <f t="shared" si="119"/>
        <v>0</v>
      </c>
      <c r="BV114" s="39"/>
      <c r="BW114" s="237">
        <f t="shared" si="120"/>
        <v>0</v>
      </c>
      <c r="BX114" s="39">
        <f t="shared" si="121"/>
        <v>0</v>
      </c>
      <c r="BY114" s="39">
        <f t="shared" si="121"/>
        <v>0</v>
      </c>
      <c r="BZ114" s="39">
        <f t="shared" si="121"/>
        <v>0</v>
      </c>
      <c r="CA114" s="388">
        <f t="shared" si="122"/>
        <v>0</v>
      </c>
      <c r="CB114" s="39"/>
      <c r="CC114" s="237">
        <f t="shared" si="123"/>
        <v>0</v>
      </c>
      <c r="CD114" s="39">
        <f t="shared" si="124"/>
        <v>0</v>
      </c>
      <c r="CE114" s="39">
        <f t="shared" si="124"/>
        <v>0</v>
      </c>
      <c r="CF114" s="39">
        <f t="shared" si="124"/>
        <v>0</v>
      </c>
      <c r="CG114" s="388">
        <f t="shared" si="125"/>
        <v>0</v>
      </c>
    </row>
    <row r="115" spans="2:85" s="7" customFormat="1" ht="11.25" customHeight="1" x14ac:dyDescent="0.2">
      <c r="B115" s="429" t="s">
        <v>339</v>
      </c>
      <c r="C115" s="237" t="s">
        <v>448</v>
      </c>
      <c r="D115" s="39"/>
      <c r="E115" s="39"/>
      <c r="F115" s="39"/>
      <c r="G115" s="388"/>
      <c r="H115" s="39"/>
      <c r="I115" s="237"/>
      <c r="J115" s="39"/>
      <c r="K115" s="39"/>
      <c r="L115" s="39"/>
      <c r="M115" s="388">
        <f t="shared" si="99"/>
        <v>0</v>
      </c>
      <c r="N115" s="39"/>
      <c r="O115" s="237"/>
      <c r="P115" s="39"/>
      <c r="Q115" s="39"/>
      <c r="R115" s="39"/>
      <c r="S115" s="388">
        <f t="shared" si="100"/>
        <v>0</v>
      </c>
      <c r="T115" s="39"/>
      <c r="U115" s="237"/>
      <c r="V115" s="39"/>
      <c r="W115" s="39"/>
      <c r="X115" s="39"/>
      <c r="Y115" s="388">
        <f t="shared" si="101"/>
        <v>0</v>
      </c>
      <c r="Z115" s="39"/>
      <c r="AA115" s="237"/>
      <c r="AB115" s="39"/>
      <c r="AC115" s="39"/>
      <c r="AD115" s="39"/>
      <c r="AE115" s="388">
        <f t="shared" si="102"/>
        <v>0</v>
      </c>
      <c r="AF115" s="39"/>
      <c r="AG115" s="237"/>
      <c r="AH115" s="39"/>
      <c r="AI115" s="39"/>
      <c r="AJ115" s="39"/>
      <c r="AK115" s="388">
        <f t="shared" si="103"/>
        <v>9.0643391999999992</v>
      </c>
      <c r="AL115" s="39"/>
      <c r="AM115" s="237"/>
      <c r="AN115" s="39"/>
      <c r="AO115" s="39"/>
      <c r="AP115" s="39"/>
      <c r="AQ115" s="388">
        <f t="shared" si="104"/>
        <v>0</v>
      </c>
      <c r="AR115" s="39"/>
      <c r="AS115" s="237">
        <f t="shared" si="105"/>
        <v>0</v>
      </c>
      <c r="AT115" s="39">
        <f t="shared" si="106"/>
        <v>0</v>
      </c>
      <c r="AU115" s="39">
        <f t="shared" si="106"/>
        <v>0</v>
      </c>
      <c r="AV115" s="39">
        <f t="shared" si="106"/>
        <v>0</v>
      </c>
      <c r="AW115" s="388">
        <f t="shared" si="107"/>
        <v>0</v>
      </c>
      <c r="AX115" s="39"/>
      <c r="AY115" s="237">
        <f t="shared" si="108"/>
        <v>0</v>
      </c>
      <c r="AZ115" s="39">
        <f t="shared" si="109"/>
        <v>0</v>
      </c>
      <c r="BA115" s="39">
        <f t="shared" si="109"/>
        <v>0</v>
      </c>
      <c r="BB115" s="39">
        <f t="shared" si="109"/>
        <v>0</v>
      </c>
      <c r="BC115" s="388">
        <f t="shared" si="110"/>
        <v>0</v>
      </c>
      <c r="BD115" s="39"/>
      <c r="BE115" s="237">
        <f t="shared" si="111"/>
        <v>0</v>
      </c>
      <c r="BF115" s="39">
        <f t="shared" si="112"/>
        <v>0</v>
      </c>
      <c r="BG115" s="39">
        <f t="shared" si="112"/>
        <v>0</v>
      </c>
      <c r="BH115" s="39">
        <f t="shared" si="112"/>
        <v>0</v>
      </c>
      <c r="BI115" s="388">
        <f t="shared" si="113"/>
        <v>0</v>
      </c>
      <c r="BJ115" s="39"/>
      <c r="BK115" s="237">
        <f t="shared" si="114"/>
        <v>0</v>
      </c>
      <c r="BL115" s="39">
        <f t="shared" si="115"/>
        <v>0</v>
      </c>
      <c r="BM115" s="39">
        <f t="shared" si="115"/>
        <v>0</v>
      </c>
      <c r="BN115" s="39">
        <f t="shared" si="115"/>
        <v>0</v>
      </c>
      <c r="BO115" s="388">
        <f t="shared" si="116"/>
        <v>0</v>
      </c>
      <c r="BP115" s="39"/>
      <c r="BQ115" s="237">
        <f t="shared" si="117"/>
        <v>0</v>
      </c>
      <c r="BR115" s="39">
        <f t="shared" si="118"/>
        <v>0</v>
      </c>
      <c r="BS115" s="39">
        <f t="shared" si="118"/>
        <v>0</v>
      </c>
      <c r="BT115" s="39">
        <f t="shared" si="118"/>
        <v>0</v>
      </c>
      <c r="BU115" s="388">
        <f t="shared" si="119"/>
        <v>0</v>
      </c>
      <c r="BV115" s="39"/>
      <c r="BW115" s="237">
        <f t="shared" si="120"/>
        <v>0</v>
      </c>
      <c r="BX115" s="39">
        <f t="shared" si="121"/>
        <v>0</v>
      </c>
      <c r="BY115" s="39">
        <f t="shared" si="121"/>
        <v>0</v>
      </c>
      <c r="BZ115" s="39">
        <f t="shared" si="121"/>
        <v>0</v>
      </c>
      <c r="CA115" s="388">
        <f t="shared" si="122"/>
        <v>0</v>
      </c>
      <c r="CB115" s="39"/>
      <c r="CC115" s="237">
        <f t="shared" si="123"/>
        <v>0</v>
      </c>
      <c r="CD115" s="39">
        <f t="shared" si="124"/>
        <v>0</v>
      </c>
      <c r="CE115" s="39">
        <f t="shared" si="124"/>
        <v>0</v>
      </c>
      <c r="CF115" s="39">
        <f t="shared" si="124"/>
        <v>0</v>
      </c>
      <c r="CG115" s="388">
        <f t="shared" si="125"/>
        <v>0</v>
      </c>
    </row>
    <row r="116" spans="2:85" s="7" customFormat="1" ht="11.25" customHeight="1" x14ac:dyDescent="0.2">
      <c r="B116" s="429" t="s">
        <v>322</v>
      </c>
      <c r="C116" s="237" t="s">
        <v>448</v>
      </c>
      <c r="D116" s="39"/>
      <c r="E116" s="39"/>
      <c r="F116" s="39"/>
      <c r="G116" s="388"/>
      <c r="H116" s="39"/>
      <c r="I116" s="237"/>
      <c r="J116" s="39"/>
      <c r="K116" s="39"/>
      <c r="L116" s="39"/>
      <c r="M116" s="388">
        <f t="shared" si="99"/>
        <v>0</v>
      </c>
      <c r="N116" s="39"/>
      <c r="O116" s="237"/>
      <c r="P116" s="39"/>
      <c r="Q116" s="39"/>
      <c r="R116" s="39"/>
      <c r="S116" s="388">
        <f t="shared" si="100"/>
        <v>0</v>
      </c>
      <c r="T116" s="39"/>
      <c r="U116" s="237"/>
      <c r="V116" s="39"/>
      <c r="W116" s="39"/>
      <c r="X116" s="39"/>
      <c r="Y116" s="388">
        <f t="shared" si="101"/>
        <v>0.61671224999999996</v>
      </c>
      <c r="Z116" s="39"/>
      <c r="AA116" s="237"/>
      <c r="AB116" s="39"/>
      <c r="AC116" s="39"/>
      <c r="AD116" s="39"/>
      <c r="AE116" s="388">
        <f t="shared" si="102"/>
        <v>0.83918237500000004</v>
      </c>
      <c r="AF116" s="39"/>
      <c r="AG116" s="237"/>
      <c r="AH116" s="39"/>
      <c r="AI116" s="39"/>
      <c r="AJ116" s="39"/>
      <c r="AK116" s="388">
        <f t="shared" si="103"/>
        <v>0.95034437500000002</v>
      </c>
      <c r="AL116" s="39"/>
      <c r="AM116" s="237"/>
      <c r="AN116" s="39"/>
      <c r="AO116" s="39"/>
      <c r="AP116" s="39"/>
      <c r="AQ116" s="388">
        <f t="shared" si="104"/>
        <v>1.2743772250000001</v>
      </c>
      <c r="AR116" s="39"/>
      <c r="AS116" s="237">
        <f t="shared" si="105"/>
        <v>0.38659500000000002</v>
      </c>
      <c r="AT116" s="39">
        <f t="shared" si="106"/>
        <v>0.37422</v>
      </c>
      <c r="AU116" s="39">
        <f t="shared" si="106"/>
        <v>0.393597225</v>
      </c>
      <c r="AV116" s="39">
        <f t="shared" si="106"/>
        <v>0.40249800000000008</v>
      </c>
      <c r="AW116" s="388">
        <f t="shared" si="107"/>
        <v>1.556910225</v>
      </c>
      <c r="AX116" s="39"/>
      <c r="AY116" s="237">
        <f t="shared" si="108"/>
        <v>0.37607481250000002</v>
      </c>
      <c r="AZ116" s="39">
        <f t="shared" si="109"/>
        <v>0.37506235625000001</v>
      </c>
      <c r="BA116" s="39">
        <f t="shared" si="109"/>
        <v>0.37055024999999997</v>
      </c>
      <c r="BB116" s="39">
        <f t="shared" si="109"/>
        <v>0.35223052500000007</v>
      </c>
      <c r="BC116" s="388">
        <f t="shared" si="110"/>
        <v>1.4739179437500001</v>
      </c>
      <c r="BD116" s="39"/>
      <c r="BE116" s="237">
        <f t="shared" si="111"/>
        <v>0.34633250000000004</v>
      </c>
      <c r="BF116" s="39">
        <f t="shared" si="112"/>
        <v>0.34580209374999998</v>
      </c>
      <c r="BG116" s="39">
        <f t="shared" si="112"/>
        <v>0.54540338749999984</v>
      </c>
      <c r="BH116" s="39">
        <f t="shared" si="112"/>
        <v>0.69856010000000002</v>
      </c>
      <c r="BI116" s="388">
        <f t="shared" si="113"/>
        <v>1.9360980812499999</v>
      </c>
      <c r="BJ116" s="39"/>
      <c r="BK116" s="237">
        <f t="shared" si="114"/>
        <v>0.68565100000000012</v>
      </c>
      <c r="BL116" s="39">
        <f t="shared" si="115"/>
        <v>0.67527347500000001</v>
      </c>
      <c r="BM116" s="39">
        <f t="shared" si="115"/>
        <v>0.65772637499999997</v>
      </c>
      <c r="BN116" s="39">
        <f t="shared" si="115"/>
        <v>0.65725291250000006</v>
      </c>
      <c r="BO116" s="388">
        <f t="shared" si="116"/>
        <v>2.6759037625000004</v>
      </c>
      <c r="BP116" s="39"/>
      <c r="BQ116" s="237">
        <f t="shared" si="117"/>
        <v>0.65757177500000008</v>
      </c>
      <c r="BR116" s="39">
        <f t="shared" si="118"/>
        <v>0.65757177500000008</v>
      </c>
      <c r="BS116" s="39">
        <f t="shared" si="118"/>
        <v>0.65757177500000008</v>
      </c>
      <c r="BT116" s="39">
        <f t="shared" si="118"/>
        <v>0.65757177500000008</v>
      </c>
      <c r="BU116" s="388">
        <f t="shared" si="119"/>
        <v>2.6302871000000003</v>
      </c>
      <c r="BV116" s="39"/>
      <c r="BW116" s="237">
        <f t="shared" si="120"/>
        <v>0.65757177500000008</v>
      </c>
      <c r="BX116" s="39">
        <f t="shared" si="121"/>
        <v>0.65757177500000008</v>
      </c>
      <c r="BY116" s="39">
        <f t="shared" si="121"/>
        <v>0.65757177500000008</v>
      </c>
      <c r="BZ116" s="39">
        <f t="shared" si="121"/>
        <v>0.65757177500000008</v>
      </c>
      <c r="CA116" s="388">
        <f t="shared" si="122"/>
        <v>2.6302871000000003</v>
      </c>
      <c r="CB116" s="39"/>
      <c r="CC116" s="237">
        <f t="shared" si="123"/>
        <v>0.65757177500000008</v>
      </c>
      <c r="CD116" s="39">
        <f t="shared" si="124"/>
        <v>0.65757177500000008</v>
      </c>
      <c r="CE116" s="39">
        <f t="shared" si="124"/>
        <v>0.65757177500000008</v>
      </c>
      <c r="CF116" s="39">
        <f t="shared" si="124"/>
        <v>0.65757177500000008</v>
      </c>
      <c r="CG116" s="388">
        <f t="shared" si="125"/>
        <v>2.6302871000000003</v>
      </c>
    </row>
    <row r="117" spans="2:85" s="7" customFormat="1" ht="11.25" customHeight="1" x14ac:dyDescent="0.2">
      <c r="B117" s="429" t="s">
        <v>323</v>
      </c>
      <c r="C117" s="237" t="s">
        <v>448</v>
      </c>
      <c r="D117" s="39"/>
      <c r="E117" s="39"/>
      <c r="F117" s="39"/>
      <c r="G117" s="388"/>
      <c r="H117" s="39"/>
      <c r="I117" s="237"/>
      <c r="J117" s="39"/>
      <c r="K117" s="39"/>
      <c r="L117" s="39"/>
      <c r="M117" s="388">
        <f t="shared" si="99"/>
        <v>0.50219400000000003</v>
      </c>
      <c r="N117" s="39"/>
      <c r="O117" s="237"/>
      <c r="P117" s="39"/>
      <c r="Q117" s="39"/>
      <c r="R117" s="39"/>
      <c r="S117" s="388">
        <f t="shared" si="100"/>
        <v>0.49821135</v>
      </c>
      <c r="T117" s="39"/>
      <c r="U117" s="237"/>
      <c r="V117" s="39"/>
      <c r="W117" s="39"/>
      <c r="X117" s="39"/>
      <c r="Y117" s="388">
        <f t="shared" si="101"/>
        <v>0.33271752499999996</v>
      </c>
      <c r="Z117" s="39"/>
      <c r="AA117" s="237"/>
      <c r="AB117" s="39"/>
      <c r="AC117" s="39"/>
      <c r="AD117" s="39"/>
      <c r="AE117" s="388">
        <f t="shared" si="102"/>
        <v>0.38580850000000005</v>
      </c>
      <c r="AF117" s="39"/>
      <c r="AG117" s="237"/>
      <c r="AH117" s="39"/>
      <c r="AI117" s="39"/>
      <c r="AJ117" s="39"/>
      <c r="AK117" s="388">
        <f t="shared" si="103"/>
        <v>0.37041350000000001</v>
      </c>
      <c r="AL117" s="39"/>
      <c r="AM117" s="237"/>
      <c r="AN117" s="39"/>
      <c r="AO117" s="39"/>
      <c r="AP117" s="39"/>
      <c r="AQ117" s="388">
        <f t="shared" si="104"/>
        <v>0.2145494</v>
      </c>
      <c r="AR117" s="39"/>
      <c r="AS117" s="237">
        <f t="shared" si="105"/>
        <v>2.0263312500000006</v>
      </c>
      <c r="AT117" s="39">
        <f t="shared" si="106"/>
        <v>1.0901437500000004</v>
      </c>
      <c r="AU117" s="39">
        <f t="shared" si="106"/>
        <v>0.10365937500000012</v>
      </c>
      <c r="AV117" s="39">
        <f t="shared" si="106"/>
        <v>9.51375E-2</v>
      </c>
      <c r="AW117" s="388">
        <f t="shared" si="107"/>
        <v>3.3152718750000014</v>
      </c>
      <c r="AX117" s="39"/>
      <c r="AY117" s="237">
        <f t="shared" si="108"/>
        <v>8.2255275000000003E-2</v>
      </c>
      <c r="AZ117" s="39">
        <f t="shared" si="109"/>
        <v>3.9129431249999999E-2</v>
      </c>
      <c r="BA117" s="39">
        <f t="shared" si="109"/>
        <v>3.2595524999999993E-2</v>
      </c>
      <c r="BB117" s="39">
        <f t="shared" si="109"/>
        <v>3.4810043749999992E-2</v>
      </c>
      <c r="BC117" s="388">
        <f t="shared" si="110"/>
        <v>0.18879027499999998</v>
      </c>
      <c r="BD117" s="39"/>
      <c r="BE117" s="237">
        <f t="shared" si="111"/>
        <v>3.9287593749999988E-2</v>
      </c>
      <c r="BF117" s="39">
        <f t="shared" si="112"/>
        <v>5.6205187500000003E-2</v>
      </c>
      <c r="BG117" s="39">
        <f t="shared" si="112"/>
        <v>9.0760199999999999E-2</v>
      </c>
      <c r="BH117" s="39">
        <f t="shared" si="112"/>
        <v>0.13939869999999999</v>
      </c>
      <c r="BI117" s="388">
        <f t="shared" si="113"/>
        <v>0.32565168124999999</v>
      </c>
      <c r="BJ117" s="39"/>
      <c r="BK117" s="237">
        <f t="shared" si="114"/>
        <v>0.13640676249999997</v>
      </c>
      <c r="BL117" s="39">
        <f t="shared" si="115"/>
        <v>0.1376561375</v>
      </c>
      <c r="BM117" s="39">
        <f t="shared" si="115"/>
        <v>0.13614439374999998</v>
      </c>
      <c r="BN117" s="39">
        <f t="shared" si="115"/>
        <v>0.13085953749999998</v>
      </c>
      <c r="BO117" s="388">
        <f t="shared" si="116"/>
        <v>0.54106683124999999</v>
      </c>
      <c r="BP117" s="39"/>
      <c r="BQ117" s="237">
        <f t="shared" si="117"/>
        <v>0.12726133749999999</v>
      </c>
      <c r="BR117" s="39">
        <f t="shared" si="118"/>
        <v>0.12726133749999999</v>
      </c>
      <c r="BS117" s="39">
        <f t="shared" si="118"/>
        <v>0.12726133749999999</v>
      </c>
      <c r="BT117" s="39">
        <f t="shared" si="118"/>
        <v>0.12726133749999999</v>
      </c>
      <c r="BU117" s="388">
        <f t="shared" si="119"/>
        <v>0.50904534999999995</v>
      </c>
      <c r="BV117" s="39"/>
      <c r="BW117" s="237">
        <f t="shared" si="120"/>
        <v>0.12726133749999999</v>
      </c>
      <c r="BX117" s="39">
        <f t="shared" si="121"/>
        <v>0.12726133749999999</v>
      </c>
      <c r="BY117" s="39">
        <f t="shared" si="121"/>
        <v>0.12726133749999999</v>
      </c>
      <c r="BZ117" s="39">
        <f t="shared" si="121"/>
        <v>0.12726133749999999</v>
      </c>
      <c r="CA117" s="388">
        <f t="shared" si="122"/>
        <v>0.50904534999999995</v>
      </c>
      <c r="CB117" s="39"/>
      <c r="CC117" s="237">
        <f t="shared" si="123"/>
        <v>0.12726133749999999</v>
      </c>
      <c r="CD117" s="39">
        <f t="shared" si="124"/>
        <v>0.12726133749999999</v>
      </c>
      <c r="CE117" s="39">
        <f t="shared" si="124"/>
        <v>0.12726133749999999</v>
      </c>
      <c r="CF117" s="39">
        <f t="shared" si="124"/>
        <v>0.12726133749999999</v>
      </c>
      <c r="CG117" s="388">
        <f t="shared" si="125"/>
        <v>0.50904534999999995</v>
      </c>
    </row>
    <row r="118" spans="2:85" s="7" customFormat="1" ht="11.25" customHeight="1" x14ac:dyDescent="0.2">
      <c r="B118" s="429" t="s">
        <v>340</v>
      </c>
      <c r="C118" s="237" t="s">
        <v>448</v>
      </c>
      <c r="D118" s="39"/>
      <c r="E118" s="39"/>
      <c r="F118" s="39"/>
      <c r="G118" s="388"/>
      <c r="H118" s="39"/>
      <c r="I118" s="237"/>
      <c r="J118" s="39"/>
      <c r="K118" s="39"/>
      <c r="L118" s="39"/>
      <c r="M118" s="388">
        <f>+M124-SUM(M97,M102,M111:M117)</f>
        <v>14.315985299999994</v>
      </c>
      <c r="N118" s="39"/>
      <c r="O118" s="237"/>
      <c r="P118" s="39"/>
      <c r="Q118" s="39"/>
      <c r="R118" s="39"/>
      <c r="S118" s="388">
        <f>+S124-SUM(S97,S102,S111:S117)</f>
        <v>9.2910046499999996</v>
      </c>
      <c r="T118" s="39"/>
      <c r="U118" s="237"/>
      <c r="V118" s="39"/>
      <c r="W118" s="39"/>
      <c r="X118" s="39"/>
      <c r="Y118" s="388">
        <f>+Y124-SUM(Y97,Y102,Y111:Y117)</f>
        <v>19.034664224999997</v>
      </c>
      <c r="Z118" s="39"/>
      <c r="AA118" s="237"/>
      <c r="AB118" s="39"/>
      <c r="AC118" s="39"/>
      <c r="AD118" s="39"/>
      <c r="AE118" s="388">
        <f>+AE124-SUM(AE97,AE102,AE111:AE117)</f>
        <v>18.586820624999998</v>
      </c>
      <c r="AF118" s="39"/>
      <c r="AG118" s="237"/>
      <c r="AH118" s="39"/>
      <c r="AI118" s="39"/>
      <c r="AJ118" s="39"/>
      <c r="AK118" s="388">
        <f>+AK124-SUM(AK97,AK102,AK111:AK117)</f>
        <v>12.661943425</v>
      </c>
      <c r="AL118" s="39"/>
      <c r="AM118" s="237"/>
      <c r="AN118" s="39"/>
      <c r="AO118" s="39"/>
      <c r="AP118" s="39"/>
      <c r="AQ118" s="388">
        <f>+AQ124-SUM(AQ97,AQ102,AQ111:AQ117)</f>
        <v>9.2773345250000006</v>
      </c>
      <c r="AR118" s="39"/>
      <c r="AS118" s="237">
        <f>+AS124-SUM(AS97,AS102,AS111:AS117)</f>
        <v>-0.37121694999999999</v>
      </c>
      <c r="AT118" s="39">
        <f>+AT124-SUM(AT97,AT102,AT111:AT117)</f>
        <v>0.62375437499999986</v>
      </c>
      <c r="AU118" s="39">
        <f>+AU124-SUM(AU97,AU102,AU111:AU117)</f>
        <v>1.8282588500000001</v>
      </c>
      <c r="AV118" s="39">
        <f>+AV124-SUM(AV97,AV102,AV111:AV117)</f>
        <v>2.364535574999997</v>
      </c>
      <c r="AW118" s="388">
        <f t="shared" si="107"/>
        <v>4.445331849999997</v>
      </c>
      <c r="AX118" s="39"/>
      <c r="AY118" s="237">
        <f>+AY124-SUM(AY97,AY102,AY111:AY117)</f>
        <v>1.7954296000000003</v>
      </c>
      <c r="AZ118" s="39">
        <f>+AZ124-SUM(AZ97,AZ102,AZ111:AZ117)</f>
        <v>1.8536024749999997</v>
      </c>
      <c r="BA118" s="39">
        <f>+BA124-SUM(BA97,BA102,BA111:BA117)</f>
        <v>1.9236526249999999</v>
      </c>
      <c r="BB118" s="39">
        <f>+BB124-SUM(BB97,BB102,BB111:BB117)</f>
        <v>2.6079494062499968</v>
      </c>
      <c r="BC118" s="388">
        <f t="shared" si="110"/>
        <v>8.1806341062499968</v>
      </c>
      <c r="BD118" s="39"/>
      <c r="BE118" s="237">
        <f>+BE124-SUM(BE97,BE102,BE111:BE117)</f>
        <v>1.9839986937499994</v>
      </c>
      <c r="BF118" s="39">
        <f>+BF124-SUM(BF97,BF102,BF111:BF117)</f>
        <v>1.9272960937500008</v>
      </c>
      <c r="BG118" s="39">
        <f>+BG124-SUM(BG97,BG102,BG111:BG117)</f>
        <v>1.6033446875000008</v>
      </c>
      <c r="BH118" s="39">
        <f>+BH124-SUM(BH97,BH102,BH111:BH117)</f>
        <v>2.3867288874999995</v>
      </c>
      <c r="BI118" s="388">
        <f t="shared" si="113"/>
        <v>7.9013683625000004</v>
      </c>
      <c r="BJ118" s="39"/>
      <c r="BK118" s="237">
        <f>+BK124-SUM(BK97,BK102,BK111:BK117)</f>
        <v>3.8603013624999996</v>
      </c>
      <c r="BL118" s="39">
        <f>+BL124-SUM(BL97,BL102,BL111:BL117)</f>
        <v>4.5420831250000013</v>
      </c>
      <c r="BM118" s="39">
        <f>+BM124-SUM(BM97,BM102,BM111:BM117)</f>
        <v>4.5490146062500028</v>
      </c>
      <c r="BN118" s="39">
        <f>+BN124-SUM(BN97,BN102,BN111:BN117)</f>
        <v>7.460892724999999</v>
      </c>
      <c r="BO118" s="388">
        <f t="shared" si="116"/>
        <v>20.412291818750003</v>
      </c>
      <c r="BP118" s="39"/>
      <c r="BQ118" s="537">
        <v>5.5</v>
      </c>
      <c r="BR118" s="206">
        <f>BQ118</f>
        <v>5.5</v>
      </c>
      <c r="BS118" s="206">
        <f>BR118</f>
        <v>5.5</v>
      </c>
      <c r="BT118" s="206">
        <f>BS118</f>
        <v>5.5</v>
      </c>
      <c r="BU118" s="388">
        <f t="shared" si="119"/>
        <v>22</v>
      </c>
      <c r="BV118" s="39"/>
      <c r="BW118" s="537">
        <f>BT118</f>
        <v>5.5</v>
      </c>
      <c r="BX118" s="206">
        <f>BW118</f>
        <v>5.5</v>
      </c>
      <c r="BY118" s="206">
        <f>BX118</f>
        <v>5.5</v>
      </c>
      <c r="BZ118" s="206">
        <f>BY118</f>
        <v>5.5</v>
      </c>
      <c r="CA118" s="388">
        <f t="shared" si="122"/>
        <v>22</v>
      </c>
      <c r="CB118" s="39"/>
      <c r="CC118" s="537">
        <f>BZ118</f>
        <v>5.5</v>
      </c>
      <c r="CD118" s="206">
        <f>CC118</f>
        <v>5.5</v>
      </c>
      <c r="CE118" s="206">
        <f>CD118</f>
        <v>5.5</v>
      </c>
      <c r="CF118" s="206">
        <f>CE118</f>
        <v>5.5</v>
      </c>
      <c r="CG118" s="388">
        <f t="shared" si="125"/>
        <v>22</v>
      </c>
    </row>
    <row r="119" spans="2:85" s="7" customFormat="1" ht="11.25" customHeight="1" x14ac:dyDescent="0.2">
      <c r="B119" s="491" t="s">
        <v>324</v>
      </c>
      <c r="C119" s="237" t="s">
        <v>448</v>
      </c>
      <c r="D119" s="39"/>
      <c r="E119" s="39"/>
      <c r="F119" s="39"/>
      <c r="G119" s="388"/>
      <c r="H119" s="39"/>
      <c r="I119" s="237"/>
      <c r="J119" s="39"/>
      <c r="K119" s="39"/>
      <c r="L119" s="39"/>
      <c r="M119" s="388">
        <f>+SUM(M102,M111:M118)</f>
        <v>34.264131499999991</v>
      </c>
      <c r="N119" s="39"/>
      <c r="O119" s="237"/>
      <c r="P119" s="39"/>
      <c r="Q119" s="39"/>
      <c r="R119" s="39"/>
      <c r="S119" s="388">
        <f>+SUM(S102,S111:S118)</f>
        <v>23.258507999999999</v>
      </c>
      <c r="T119" s="39"/>
      <c r="U119" s="237"/>
      <c r="V119" s="39"/>
      <c r="W119" s="39"/>
      <c r="X119" s="39"/>
      <c r="Y119" s="388">
        <f>+SUM(Y102,Y111:Y118)</f>
        <v>33.093523999999995</v>
      </c>
      <c r="Z119" s="39"/>
      <c r="AA119" s="237"/>
      <c r="AB119" s="39"/>
      <c r="AC119" s="39"/>
      <c r="AD119" s="39"/>
      <c r="AE119" s="388">
        <f>+SUM(AE102,AE111:AE118)</f>
        <v>29.7544331</v>
      </c>
      <c r="AF119" s="39"/>
      <c r="AG119" s="237"/>
      <c r="AH119" s="39"/>
      <c r="AI119" s="39"/>
      <c r="AJ119" s="39"/>
      <c r="AK119" s="388">
        <f>+SUM(AK102,AK111:AK118)</f>
        <v>29.989802000000001</v>
      </c>
      <c r="AL119" s="39"/>
      <c r="AM119" s="237"/>
      <c r="AN119" s="39"/>
      <c r="AO119" s="39"/>
      <c r="AP119" s="39"/>
      <c r="AQ119" s="388">
        <f>+SUM(AQ102,AQ111:AQ118)</f>
        <v>20.564399900000002</v>
      </c>
      <c r="AR119" s="39"/>
      <c r="AS119" s="237">
        <f>+SUM(AS102,AS111:AS118)</f>
        <v>4.7754593000000005</v>
      </c>
      <c r="AT119" s="39">
        <f>+SUM(AT102,AT111:AT118)</f>
        <v>5.243038125</v>
      </c>
      <c r="AU119" s="39">
        <f>+SUM(AU102,AU111:AU118)</f>
        <v>5.8678649250000001</v>
      </c>
      <c r="AV119" s="39">
        <f>+SUM(AV102,AV111:AV118)</f>
        <v>6.2635504499999968</v>
      </c>
      <c r="AW119" s="388">
        <f>+SUM(AW102,AW111:AW118)</f>
        <v>22.149912799999996</v>
      </c>
      <c r="AX119" s="39"/>
      <c r="AY119" s="237">
        <f>+SUM(AY102,AY111:AY118)</f>
        <v>5.6964806750000001</v>
      </c>
      <c r="AZ119" s="39">
        <f>+SUM(AZ102,AZ111:AZ118)</f>
        <v>5.7876584999999992</v>
      </c>
      <c r="BA119" s="39">
        <f>+SUM(BA102,BA111:BA118)</f>
        <v>5.8020633000000004</v>
      </c>
      <c r="BB119" s="39">
        <f>+SUM(BB102,BB111:BB118)</f>
        <v>6.3782805374999967</v>
      </c>
      <c r="BC119" s="388">
        <f>+SUM(BC102,BC111:BC118)</f>
        <v>23.6644830125</v>
      </c>
      <c r="BD119" s="39"/>
      <c r="BE119" s="237">
        <f>+SUM(BE102,BE111:BE118)</f>
        <v>5.9133341374999997</v>
      </c>
      <c r="BF119" s="39">
        <f>+SUM(BF102,BF111:BF118)</f>
        <v>6.2418737000000002</v>
      </c>
      <c r="BG119" s="39">
        <f>+SUM(BG102,BG111:BG118)</f>
        <v>6.4817323500000006</v>
      </c>
      <c r="BH119" s="39">
        <f>+SUM(BH102,BH111:BH118)</f>
        <v>8.5528192624999981</v>
      </c>
      <c r="BI119" s="388">
        <f>+SUM(BI102,BI111:BI118)</f>
        <v>27.189759450000004</v>
      </c>
      <c r="BJ119" s="39"/>
      <c r="BK119" s="237">
        <f>+SUM(BK102,BK111:BK118)</f>
        <v>9.6414149999999985</v>
      </c>
      <c r="BL119" s="39">
        <f>+SUM(BL102,BL111:BL118)</f>
        <v>10.183663387500001</v>
      </c>
      <c r="BM119" s="39">
        <f>+SUM(BM102,BM111:BM118)</f>
        <v>11.477936025000002</v>
      </c>
      <c r="BN119" s="39">
        <f>+SUM(BN102,BN111:BN118)</f>
        <v>14.383202224999998</v>
      </c>
      <c r="BO119" s="388">
        <f>+SUM(BO102,BO111:BO118)</f>
        <v>45.686216637499996</v>
      </c>
      <c r="BP119" s="39"/>
      <c r="BQ119" s="237">
        <f>+SUM(BQ102,BQ111:BQ118)</f>
        <v>12.418286562500001</v>
      </c>
      <c r="BR119" s="39">
        <f>+SUM(BR102,BR111:BR118)</f>
        <v>12.418286562500001</v>
      </c>
      <c r="BS119" s="39">
        <f>+SUM(BS102,BS111:BS118)</f>
        <v>12.418286562500001</v>
      </c>
      <c r="BT119" s="39">
        <f>+SUM(BT102,BT111:BT118)</f>
        <v>12.418286562500001</v>
      </c>
      <c r="BU119" s="388">
        <f>+SUM(BU102,BU111:BU118)</f>
        <v>49.673146250000002</v>
      </c>
      <c r="BV119" s="39"/>
      <c r="BW119" s="237">
        <f>+SUM(BW102,BW111:BW118)</f>
        <v>12.418286562500001</v>
      </c>
      <c r="BX119" s="39">
        <f>+SUM(BX102,BX111:BX118)</f>
        <v>12.418286562500001</v>
      </c>
      <c r="BY119" s="39">
        <f>+SUM(BY102,BY111:BY118)</f>
        <v>12.418286562500001</v>
      </c>
      <c r="BZ119" s="39">
        <f>+SUM(BZ102,BZ111:BZ118)</f>
        <v>12.418286562500001</v>
      </c>
      <c r="CA119" s="388">
        <f>+SUM(CA102,CA111:CA118)</f>
        <v>49.673146250000002</v>
      </c>
      <c r="CB119" s="39"/>
      <c r="CC119" s="237">
        <f>+SUM(CC102,CC111:CC118)</f>
        <v>12.418286562500001</v>
      </c>
      <c r="CD119" s="39">
        <f>+SUM(CD102,CD111:CD118)</f>
        <v>12.418286562500001</v>
      </c>
      <c r="CE119" s="39">
        <f>+SUM(CE102,CE111:CE118)</f>
        <v>11.944536562500002</v>
      </c>
      <c r="CF119" s="39">
        <f>+SUM(CF102,CF111:CF118)</f>
        <v>11.470786562499999</v>
      </c>
      <c r="CG119" s="388">
        <f>+SUM(CG102,CG111:CG118)</f>
        <v>48.251896250000001</v>
      </c>
    </row>
    <row r="120" spans="2:85" s="7" customFormat="1" ht="11.25" customHeight="1" x14ac:dyDescent="0.2">
      <c r="B120" s="491" t="s">
        <v>325</v>
      </c>
      <c r="C120" s="237" t="s">
        <v>448</v>
      </c>
      <c r="D120" s="39"/>
      <c r="E120" s="39"/>
      <c r="F120" s="39"/>
      <c r="G120" s="388"/>
      <c r="H120" s="39"/>
      <c r="I120" s="237"/>
      <c r="J120" s="39"/>
      <c r="K120" s="39"/>
      <c r="L120" s="39"/>
      <c r="M120" s="388">
        <f>-M99</f>
        <v>-7.1950034058207404</v>
      </c>
      <c r="N120" s="39"/>
      <c r="O120" s="237"/>
      <c r="P120" s="39"/>
      <c r="Q120" s="39"/>
      <c r="R120" s="39"/>
      <c r="S120" s="388">
        <f>-S99</f>
        <v>-6.1555934860717718</v>
      </c>
      <c r="T120" s="39"/>
      <c r="U120" s="237"/>
      <c r="V120" s="39"/>
      <c r="W120" s="39"/>
      <c r="X120" s="39"/>
      <c r="Y120" s="388">
        <f>-Y99</f>
        <v>-1.3921309371993713</v>
      </c>
      <c r="Z120" s="39"/>
      <c r="AA120" s="237"/>
      <c r="AB120" s="39"/>
      <c r="AC120" s="39"/>
      <c r="AD120" s="39"/>
      <c r="AE120" s="388">
        <f>-AE99</f>
        <v>-1.0334998648185625</v>
      </c>
      <c r="AF120" s="39"/>
      <c r="AG120" s="237"/>
      <c r="AH120" s="39"/>
      <c r="AI120" s="39"/>
      <c r="AJ120" s="39"/>
      <c r="AK120" s="388">
        <f>-AK99</f>
        <v>-1.3713996089689577</v>
      </c>
      <c r="AL120" s="39"/>
      <c r="AM120" s="237"/>
      <c r="AN120" s="39"/>
      <c r="AO120" s="39"/>
      <c r="AP120" s="39"/>
      <c r="AQ120" s="388">
        <f>-AQ99</f>
        <v>-0.50103149954896464</v>
      </c>
      <c r="AR120" s="39"/>
      <c r="AS120" s="237">
        <f>-AS99</f>
        <v>-0.78144965337524763</v>
      </c>
      <c r="AT120" s="39">
        <f>-AT99</f>
        <v>-0.44603970574926394</v>
      </c>
      <c r="AU120" s="39">
        <f>-AU99</f>
        <v>-5.4177363944883816E-2</v>
      </c>
      <c r="AV120" s="39">
        <f>-AV99</f>
        <v>-6.12889652690859E-2</v>
      </c>
      <c r="AW120" s="388">
        <f>+SUM(AS120:AV120)</f>
        <v>-1.3429556883384814</v>
      </c>
      <c r="AX120" s="39"/>
      <c r="AY120" s="237">
        <f>-AY99</f>
        <v>-9.5500353153456133E-2</v>
      </c>
      <c r="AZ120" s="39">
        <f>-AZ99</f>
        <v>-0.13337336556215557</v>
      </c>
      <c r="BA120" s="39">
        <f>-BA99</f>
        <v>-0.13932964377507098</v>
      </c>
      <c r="BB120" s="39">
        <f>-BB99</f>
        <v>-0.18555560446944103</v>
      </c>
      <c r="BC120" s="388">
        <f>+SUM(AY120:BB120)</f>
        <v>-0.55375896696012372</v>
      </c>
      <c r="BD120" s="39"/>
      <c r="BE120" s="237">
        <f>-BE99</f>
        <v>-0.17599381002499356</v>
      </c>
      <c r="BF120" s="39">
        <f>-BF99</f>
        <v>-0.15382152773009666</v>
      </c>
      <c r="BG120" s="39">
        <f>-BG99</f>
        <v>-0.15459604825080453</v>
      </c>
      <c r="BH120" s="39">
        <f>-BH99</f>
        <v>-0.47015403395758443</v>
      </c>
      <c r="BI120" s="388">
        <f>+SUM(BE120:BH120)</f>
        <v>-0.95456541996347921</v>
      </c>
      <c r="BJ120" s="39"/>
      <c r="BK120" s="237">
        <f>-BK99</f>
        <v>-0.54027886769543476</v>
      </c>
      <c r="BL120" s="39">
        <f>-BL99</f>
        <v>-0.23521831037529517</v>
      </c>
      <c r="BM120" s="39">
        <f>-BM99</f>
        <v>-0.22623874174800901</v>
      </c>
      <c r="BN120" s="39">
        <f>-BN99</f>
        <v>-0.26371545209087011</v>
      </c>
      <c r="BO120" s="388">
        <f>+SUM(BK120:BN120)</f>
        <v>-1.265451371909609</v>
      </c>
      <c r="BP120" s="39"/>
      <c r="BQ120" s="237">
        <f>-BQ99</f>
        <v>-0.22379151771086309</v>
      </c>
      <c r="BR120" s="39">
        <f>-BR99</f>
        <v>-0.22379151771086309</v>
      </c>
      <c r="BS120" s="39">
        <f>-BS99</f>
        <v>-0.22379151771086309</v>
      </c>
      <c r="BT120" s="39">
        <f>-BT99</f>
        <v>-0.22379151771086309</v>
      </c>
      <c r="BU120" s="388">
        <f>+SUM(BQ120:BT120)</f>
        <v>-0.89516607084345234</v>
      </c>
      <c r="BV120" s="39"/>
      <c r="BW120" s="237">
        <f>-BW99</f>
        <v>-0.22379151771086309</v>
      </c>
      <c r="BX120" s="39">
        <f>-BX99</f>
        <v>-0.22379151771086309</v>
      </c>
      <c r="BY120" s="39">
        <f>-BY99</f>
        <v>-0.22379151771086309</v>
      </c>
      <c r="BZ120" s="39">
        <f>-BZ99</f>
        <v>-0.22379151771086309</v>
      </c>
      <c r="CA120" s="388">
        <f>+SUM(BW120:BZ120)</f>
        <v>-0.89516607084345234</v>
      </c>
      <c r="CB120" s="39"/>
      <c r="CC120" s="237">
        <f>-CC99</f>
        <v>-0.22379151771086309</v>
      </c>
      <c r="CD120" s="39">
        <f>-CD99</f>
        <v>-0.22379151771086309</v>
      </c>
      <c r="CE120" s="39">
        <f>-CE99</f>
        <v>-0.22756246701473273</v>
      </c>
      <c r="CF120" s="39">
        <f>-CF99</f>
        <v>-0.23179082542734844</v>
      </c>
      <c r="CG120" s="388">
        <f>+SUM(CC120:CF120)</f>
        <v>-0.90693632786380729</v>
      </c>
    </row>
    <row r="121" spans="2:85" s="7" customFormat="1" ht="11.25" customHeight="1" x14ac:dyDescent="0.2">
      <c r="B121" s="491" t="s">
        <v>319</v>
      </c>
      <c r="C121" s="237"/>
      <c r="D121" s="39"/>
      <c r="E121" s="39"/>
      <c r="F121" s="39"/>
      <c r="G121" s="388"/>
      <c r="H121" s="39"/>
      <c r="I121" s="237"/>
      <c r="J121" s="39"/>
      <c r="K121" s="39"/>
      <c r="L121" s="39"/>
      <c r="M121" s="388">
        <f>+M119+M120</f>
        <v>27.069128094179248</v>
      </c>
      <c r="N121" s="39"/>
      <c r="O121" s="237"/>
      <c r="P121" s="39"/>
      <c r="Q121" s="39"/>
      <c r="R121" s="39"/>
      <c r="S121" s="388">
        <f>+S119+S120</f>
        <v>17.102914513928226</v>
      </c>
      <c r="T121" s="39"/>
      <c r="U121" s="237"/>
      <c r="V121" s="39"/>
      <c r="W121" s="39"/>
      <c r="X121" s="39"/>
      <c r="Y121" s="388">
        <f>+Y119+Y120</f>
        <v>31.701393062800623</v>
      </c>
      <c r="Z121" s="39"/>
      <c r="AA121" s="237"/>
      <c r="AB121" s="39"/>
      <c r="AC121" s="39"/>
      <c r="AD121" s="39"/>
      <c r="AE121" s="388">
        <f>+AE119+AE120</f>
        <v>28.720933235181437</v>
      </c>
      <c r="AF121" s="39"/>
      <c r="AG121" s="237"/>
      <c r="AH121" s="39"/>
      <c r="AI121" s="39"/>
      <c r="AJ121" s="39"/>
      <c r="AK121" s="388">
        <f>+AK119+AK120</f>
        <v>28.618402391031044</v>
      </c>
      <c r="AL121" s="39"/>
      <c r="AM121" s="237"/>
      <c r="AN121" s="39"/>
      <c r="AO121" s="39"/>
      <c r="AP121" s="39"/>
      <c r="AQ121" s="388">
        <f>+AQ119+AQ120</f>
        <v>20.063368400451036</v>
      </c>
      <c r="AR121" s="39"/>
      <c r="AS121" s="237">
        <f>+AS119+AS120</f>
        <v>3.994009646624753</v>
      </c>
      <c r="AT121" s="39">
        <f>+AT119+AT120</f>
        <v>4.7969984192507358</v>
      </c>
      <c r="AU121" s="39">
        <f>+AU119+AU120</f>
        <v>5.813687561055116</v>
      </c>
      <c r="AV121" s="39">
        <f>+AV119+AV120</f>
        <v>6.2022614847309105</v>
      </c>
      <c r="AW121" s="388">
        <f>+AW119+AW120</f>
        <v>20.806957111661514</v>
      </c>
      <c r="AX121" s="39"/>
      <c r="AY121" s="237">
        <f>+AY119+AY120</f>
        <v>5.6009803218465439</v>
      </c>
      <c r="AZ121" s="39">
        <f>+AZ119+AZ120</f>
        <v>5.6542851344378438</v>
      </c>
      <c r="BA121" s="39">
        <f>+BA119+BA120</f>
        <v>5.6627336562249297</v>
      </c>
      <c r="BB121" s="39">
        <f>+BB119+BB120</f>
        <v>6.192724933030556</v>
      </c>
      <c r="BC121" s="388">
        <f>+BC119+BC120</f>
        <v>23.110724045539875</v>
      </c>
      <c r="BD121" s="39"/>
      <c r="BE121" s="237">
        <f>+BE119+BE120</f>
        <v>5.7373403274750059</v>
      </c>
      <c r="BF121" s="39">
        <f>+BF119+BF120</f>
        <v>6.0880521722699035</v>
      </c>
      <c r="BG121" s="39">
        <f>+BG119+BG120</f>
        <v>6.3271363017491957</v>
      </c>
      <c r="BH121" s="39">
        <f>+BH119+BH120</f>
        <v>8.0826652285424139</v>
      </c>
      <c r="BI121" s="388">
        <f>+BI119+BI120</f>
        <v>26.235194030036524</v>
      </c>
      <c r="BJ121" s="39"/>
      <c r="BK121" s="237">
        <f>+BK119+BK120</f>
        <v>9.1011361323045641</v>
      </c>
      <c r="BL121" s="39">
        <f>+BL119+BL120</f>
        <v>9.9484450771247062</v>
      </c>
      <c r="BM121" s="39">
        <f>+BM119+BM120</f>
        <v>11.251697283251993</v>
      </c>
      <c r="BN121" s="39">
        <f>+BN119+BN120</f>
        <v>14.119486772909127</v>
      </c>
      <c r="BO121" s="388">
        <f>+BO119+BO120</f>
        <v>44.42076526559039</v>
      </c>
      <c r="BP121" s="39"/>
      <c r="BQ121" s="237">
        <f>+BQ119+BQ120</f>
        <v>12.194495044789138</v>
      </c>
      <c r="BR121" s="39">
        <f>+BR119+BR120</f>
        <v>12.194495044789138</v>
      </c>
      <c r="BS121" s="39">
        <f>+BS119+BS120</f>
        <v>12.194495044789138</v>
      </c>
      <c r="BT121" s="39">
        <f>+BT119+BT120</f>
        <v>12.194495044789138</v>
      </c>
      <c r="BU121" s="388">
        <f>+BU119+BU120</f>
        <v>48.77798017915655</v>
      </c>
      <c r="BV121" s="39"/>
      <c r="BW121" s="237">
        <f>+BW119+BW120</f>
        <v>12.194495044789138</v>
      </c>
      <c r="BX121" s="39">
        <f>+BX119+BX120</f>
        <v>12.194495044789138</v>
      </c>
      <c r="BY121" s="39">
        <f>+BY119+BY120</f>
        <v>12.194495044789138</v>
      </c>
      <c r="BZ121" s="39">
        <f>+BZ119+BZ120</f>
        <v>12.194495044789138</v>
      </c>
      <c r="CA121" s="388">
        <f>+CA119+CA120</f>
        <v>48.77798017915655</v>
      </c>
      <c r="CB121" s="39"/>
      <c r="CC121" s="237">
        <f>+CC119+CC120</f>
        <v>12.194495044789138</v>
      </c>
      <c r="CD121" s="39">
        <f>+CD119+CD120</f>
        <v>12.194495044789138</v>
      </c>
      <c r="CE121" s="39">
        <f>+CE119+CE120</f>
        <v>11.716974095485268</v>
      </c>
      <c r="CF121" s="39">
        <f>+CF119+CF120</f>
        <v>11.238995737072651</v>
      </c>
      <c r="CG121" s="388">
        <f>+CG119+CG120</f>
        <v>47.344959922136191</v>
      </c>
    </row>
    <row r="122" spans="2:85" s="7" customFormat="1" ht="11.25" customHeight="1" thickBot="1" x14ac:dyDescent="0.25">
      <c r="B122" s="721" t="s">
        <v>212</v>
      </c>
      <c r="C122" s="725"/>
      <c r="D122" s="207"/>
      <c r="E122" s="207"/>
      <c r="F122" s="207"/>
      <c r="G122" s="730"/>
      <c r="H122" s="40"/>
      <c r="I122" s="725"/>
      <c r="J122" s="207"/>
      <c r="K122" s="207"/>
      <c r="L122" s="207"/>
      <c r="M122" s="730">
        <f>M97+M99+M121</f>
        <v>34.60499999999999</v>
      </c>
      <c r="N122" s="40"/>
      <c r="O122" s="725"/>
      <c r="P122" s="207"/>
      <c r="Q122" s="207"/>
      <c r="R122" s="207"/>
      <c r="S122" s="730">
        <f>S97+S99+S121</f>
        <v>23.369999999999997</v>
      </c>
      <c r="T122" s="40"/>
      <c r="U122" s="725"/>
      <c r="V122" s="207"/>
      <c r="W122" s="207"/>
      <c r="X122" s="207"/>
      <c r="Y122" s="730">
        <f>Y97+Y99+Y121</f>
        <v>33.640999999999991</v>
      </c>
      <c r="Z122" s="40"/>
      <c r="AA122" s="725"/>
      <c r="AB122" s="207"/>
      <c r="AC122" s="207"/>
      <c r="AD122" s="207"/>
      <c r="AE122" s="730">
        <f>AE97+AE99+AE121</f>
        <v>30.376999999999999</v>
      </c>
      <c r="AF122" s="40"/>
      <c r="AG122" s="725"/>
      <c r="AH122" s="207"/>
      <c r="AI122" s="207"/>
      <c r="AJ122" s="207"/>
      <c r="AK122" s="730">
        <f>AK97+AK99+AK121</f>
        <v>30.902000000000001</v>
      </c>
      <c r="AL122" s="40"/>
      <c r="AM122" s="725"/>
      <c r="AN122" s="207"/>
      <c r="AO122" s="207"/>
      <c r="AP122" s="207"/>
      <c r="AQ122" s="730">
        <f>AQ97+AQ99+AQ121</f>
        <v>21.338000000000001</v>
      </c>
      <c r="AR122" s="40"/>
      <c r="AS122" s="725">
        <f>AS97+AS99+AS121</f>
        <v>5.2580000000000009</v>
      </c>
      <c r="AT122" s="207">
        <f>AT97+AT99+AT121</f>
        <v>5.67</v>
      </c>
      <c r="AU122" s="207">
        <f>AU97+AU99+AU121</f>
        <v>6.2799999999999994</v>
      </c>
      <c r="AV122" s="207">
        <f>AV97+AV99+AV121</f>
        <v>6.8489999999999966</v>
      </c>
      <c r="AW122" s="730">
        <f>AW97+AW99+AW121</f>
        <v>24.056999999999995</v>
      </c>
      <c r="AX122" s="40"/>
      <c r="AY122" s="725">
        <f>AY97+AY99+AY121</f>
        <v>6.2629999999999999</v>
      </c>
      <c r="AZ122" s="207">
        <f>AZ97+AZ99+AZ121</f>
        <v>6.2899999999999991</v>
      </c>
      <c r="BA122" s="207">
        <f>BA97+BA99+BA121</f>
        <v>6.2970000000000006</v>
      </c>
      <c r="BB122" s="207">
        <f>BB97+BB99+BB121</f>
        <v>7.1579999999999968</v>
      </c>
      <c r="BC122" s="730">
        <f>BC97+BC99+BC121</f>
        <v>26.007999999999999</v>
      </c>
      <c r="BD122" s="40"/>
      <c r="BE122" s="725">
        <f>BE97+BE99+BE121</f>
        <v>7.1269999999999989</v>
      </c>
      <c r="BF122" s="207">
        <f>BF97+BF99+BF121</f>
        <v>7.367</v>
      </c>
      <c r="BG122" s="207">
        <f>BG97+BG99+BG121</f>
        <v>7.4880000000000004</v>
      </c>
      <c r="BH122" s="207">
        <f>BH97+BH99+BH121</f>
        <v>9.9109999999999978</v>
      </c>
      <c r="BI122" s="730">
        <f>BI97+BI99+BI121</f>
        <v>31.893000000000001</v>
      </c>
      <c r="BJ122" s="40"/>
      <c r="BK122" s="725">
        <f>BK97+BK99+BK121</f>
        <v>11.43</v>
      </c>
      <c r="BL122" s="207">
        <f>BL97+BL99+BL121</f>
        <v>12.198</v>
      </c>
      <c r="BM122" s="207">
        <f>BM97+BM99+BM121</f>
        <v>13.428000000000001</v>
      </c>
      <c r="BN122" s="207">
        <f>BN97+BN99+BN121</f>
        <v>16.597999999999999</v>
      </c>
      <c r="BO122" s="730">
        <f>BO97+BO99+BO121</f>
        <v>53.653999999999996</v>
      </c>
      <c r="BP122" s="40"/>
      <c r="BQ122" s="725">
        <f>BQ97+BQ99+BQ121</f>
        <v>14.810117487500001</v>
      </c>
      <c r="BR122" s="207">
        <f>BR97+BR99+BR121</f>
        <v>14.810117487500001</v>
      </c>
      <c r="BS122" s="207">
        <f>BS97+BS99+BS121</f>
        <v>14.810117487500001</v>
      </c>
      <c r="BT122" s="207">
        <f>BT97+BT99+BT121</f>
        <v>14.810117487500001</v>
      </c>
      <c r="BU122" s="730">
        <f>BU97+BU99+BU121</f>
        <v>59.240469950000005</v>
      </c>
      <c r="BV122" s="40"/>
      <c r="BW122" s="725">
        <f>BW97+BW99+BW121</f>
        <v>14.810117487500001</v>
      </c>
      <c r="BX122" s="207">
        <f>BX97+BX99+BX121</f>
        <v>14.810117487500001</v>
      </c>
      <c r="BY122" s="207">
        <f>BY97+BY99+BY121</f>
        <v>14.810117487500001</v>
      </c>
      <c r="BZ122" s="207">
        <f>BZ97+BZ99+BZ121</f>
        <v>14.810117487500001</v>
      </c>
      <c r="CA122" s="730">
        <f>CA97+CA99+CA121</f>
        <v>59.240469950000005</v>
      </c>
      <c r="CB122" s="40"/>
      <c r="CC122" s="725">
        <f>CC97+CC99+CC121</f>
        <v>14.810117487500001</v>
      </c>
      <c r="CD122" s="207">
        <f>CD97+CD99+CD121</f>
        <v>14.810117487500001</v>
      </c>
      <c r="CE122" s="207">
        <f>CE97+CE99+CE121</f>
        <v>14.336367487500002</v>
      </c>
      <c r="CF122" s="207">
        <f>CF97+CF99+CF121</f>
        <v>13.8626174875</v>
      </c>
      <c r="CG122" s="730">
        <f>CG97+CG99+CG121</f>
        <v>57.819219949999997</v>
      </c>
    </row>
    <row r="123" spans="2:85" s="7" customFormat="1" ht="11.25" customHeight="1" thickTop="1" x14ac:dyDescent="0.2">
      <c r="B123" s="433"/>
      <c r="C123" s="530"/>
      <c r="D123" s="13"/>
      <c r="E123" s="13"/>
      <c r="F123" s="13"/>
      <c r="G123" s="460"/>
      <c r="H123" s="13"/>
      <c r="I123" s="530"/>
      <c r="J123" s="13"/>
      <c r="K123" s="13"/>
      <c r="L123" s="13"/>
      <c r="M123" s="460"/>
      <c r="N123" s="13"/>
      <c r="O123" s="530"/>
      <c r="P123" s="13"/>
      <c r="Q123" s="13"/>
      <c r="R123" s="13"/>
      <c r="S123" s="460"/>
      <c r="T123" s="13"/>
      <c r="U123" s="530"/>
      <c r="V123" s="13"/>
      <c r="W123" s="13"/>
      <c r="X123" s="13"/>
      <c r="Y123" s="460"/>
      <c r="Z123" s="13"/>
      <c r="AA123" s="530"/>
      <c r="AB123" s="13"/>
      <c r="AC123" s="13"/>
      <c r="AD123" s="13"/>
      <c r="AE123" s="460"/>
      <c r="AF123" s="13"/>
      <c r="AG123" s="530"/>
      <c r="AH123" s="13"/>
      <c r="AI123" s="13"/>
      <c r="AJ123" s="13"/>
      <c r="AK123" s="460"/>
      <c r="AL123" s="13"/>
      <c r="AM123" s="530"/>
      <c r="AN123" s="13"/>
      <c r="AO123" s="13"/>
      <c r="AP123" s="13"/>
      <c r="AQ123" s="460"/>
      <c r="AR123" s="13"/>
      <c r="AS123" s="530"/>
      <c r="AT123" s="13"/>
      <c r="AU123" s="13"/>
      <c r="AV123" s="13"/>
      <c r="AW123" s="460"/>
      <c r="AX123" s="13"/>
      <c r="AY123" s="530"/>
      <c r="AZ123" s="13"/>
      <c r="BA123" s="13"/>
      <c r="BB123" s="13"/>
      <c r="BC123" s="460"/>
      <c r="BD123" s="13"/>
      <c r="BE123" s="530"/>
      <c r="BF123" s="13"/>
      <c r="BG123" s="13"/>
      <c r="BH123" s="13"/>
      <c r="BI123" s="460"/>
      <c r="BJ123" s="13"/>
      <c r="BK123" s="530"/>
      <c r="BL123" s="13"/>
      <c r="BM123" s="13"/>
      <c r="BN123" s="13"/>
      <c r="BO123" s="460"/>
      <c r="BP123" s="13"/>
      <c r="BQ123" s="530"/>
      <c r="BR123" s="13"/>
      <c r="BS123" s="13"/>
      <c r="BT123" s="13"/>
      <c r="BU123" s="460"/>
      <c r="BV123" s="13"/>
      <c r="BW123" s="530"/>
      <c r="BX123" s="13"/>
      <c r="BY123" s="13"/>
      <c r="BZ123" s="13"/>
      <c r="CA123" s="460"/>
      <c r="CB123" s="13"/>
      <c r="CC123" s="530"/>
      <c r="CD123" s="13"/>
      <c r="CE123" s="13"/>
      <c r="CF123" s="13"/>
      <c r="CG123" s="460"/>
    </row>
    <row r="124" spans="2:85" s="7" customFormat="1" ht="11.25" customHeight="1" x14ac:dyDescent="0.2">
      <c r="B124" s="720" t="s">
        <v>209</v>
      </c>
      <c r="C124" s="726">
        <f>-'P&amp;L'!C18</f>
        <v>5.9420000000000002</v>
      </c>
      <c r="D124" s="727">
        <f>-'P&amp;L'!D18</f>
        <v>6.2229999999999999</v>
      </c>
      <c r="E124" s="727">
        <f>-'P&amp;L'!E18</f>
        <v>6.2160000000000002</v>
      </c>
      <c r="F124" s="727">
        <f>-'P&amp;L'!F18</f>
        <v>6.4549999999999983</v>
      </c>
      <c r="G124" s="731">
        <f>-'P&amp;L'!G18</f>
        <v>24.835999999999999</v>
      </c>
      <c r="H124" s="219"/>
      <c r="I124" s="728">
        <f>-'P&amp;L'!I18</f>
        <v>8.1669999999999998</v>
      </c>
      <c r="J124" s="729">
        <f>-'P&amp;L'!J18</f>
        <v>9.593</v>
      </c>
      <c r="K124" s="729">
        <f>-'P&amp;L'!K18</f>
        <v>9.24</v>
      </c>
      <c r="L124" s="729">
        <f>-'P&amp;L'!L18</f>
        <v>7.6049999999999969</v>
      </c>
      <c r="M124" s="731">
        <f>-'P&amp;L'!M18</f>
        <v>34.604999999999997</v>
      </c>
      <c r="N124" s="219"/>
      <c r="O124" s="728">
        <f>-'P&amp;L'!O18</f>
        <v>6.7519999999999998</v>
      </c>
      <c r="P124" s="729">
        <f>-'P&amp;L'!P18</f>
        <v>6.4059999999999997</v>
      </c>
      <c r="Q124" s="729">
        <f>-'P&amp;L'!Q18</f>
        <v>5.1710000000000003</v>
      </c>
      <c r="R124" s="729">
        <f>-'P&amp;L'!R18</f>
        <v>5.0410000000000004</v>
      </c>
      <c r="S124" s="731">
        <f>-'P&amp;L'!S18</f>
        <v>23.37</v>
      </c>
      <c r="T124" s="219"/>
      <c r="U124" s="728">
        <f>-'P&amp;L'!U18</f>
        <v>9.0869999999999997</v>
      </c>
      <c r="V124" s="729">
        <f>-'P&amp;L'!V18</f>
        <v>9.1850000000000005</v>
      </c>
      <c r="W124" s="729">
        <f>-'P&amp;L'!W18</f>
        <v>7.8239999999999998</v>
      </c>
      <c r="X124" s="729">
        <f>-'P&amp;L'!X18</f>
        <v>7.5450000000000017</v>
      </c>
      <c r="Y124" s="731">
        <f>-'P&amp;L'!Y18</f>
        <v>33.640999999999998</v>
      </c>
      <c r="Z124" s="219"/>
      <c r="AA124" s="728">
        <f>-'P&amp;L'!AA18</f>
        <v>8.0850000000000009</v>
      </c>
      <c r="AB124" s="729">
        <f>-'P&amp;L'!AB18</f>
        <v>7.9020000000000001</v>
      </c>
      <c r="AC124" s="729">
        <f>-'P&amp;L'!AC18</f>
        <v>6.8129999999999997</v>
      </c>
      <c r="AD124" s="729">
        <f>-'P&amp;L'!AD18</f>
        <v>7.5769999999999982</v>
      </c>
      <c r="AE124" s="731">
        <f>-'P&amp;L'!AE18</f>
        <v>30.376999999999999</v>
      </c>
      <c r="AF124" s="219"/>
      <c r="AG124" s="728">
        <f>-'P&amp;L'!AG18</f>
        <v>7.64</v>
      </c>
      <c r="AH124" s="729">
        <f>-'P&amp;L'!AH18</f>
        <v>7.7110000000000003</v>
      </c>
      <c r="AI124" s="729">
        <f>-'P&amp;L'!AI18</f>
        <v>7.3079999999999998</v>
      </c>
      <c r="AJ124" s="729">
        <f>-'P&amp;L'!AJ18</f>
        <v>8.2430000000000021</v>
      </c>
      <c r="AK124" s="731">
        <f>-'P&amp;L'!AK18</f>
        <v>30.902000000000001</v>
      </c>
      <c r="AL124" s="219"/>
      <c r="AM124" s="728">
        <f>-'P&amp;L'!AM18</f>
        <v>6.5270000000000001</v>
      </c>
      <c r="AN124" s="729">
        <f>-'P&amp;L'!AN18</f>
        <v>4.8899999999999997</v>
      </c>
      <c r="AO124" s="729">
        <f>-'P&amp;L'!AO18</f>
        <v>5.0510000000000002</v>
      </c>
      <c r="AP124" s="729">
        <f>-'P&amp;L'!AP18</f>
        <v>4.87</v>
      </c>
      <c r="AQ124" s="731">
        <f>-'P&amp;L'!AQ18</f>
        <v>21.338000000000001</v>
      </c>
      <c r="AR124" s="219"/>
      <c r="AS124" s="728">
        <f>-'P&amp;L'!AS18</f>
        <v>5.258</v>
      </c>
      <c r="AT124" s="729">
        <f>-'P&amp;L'!AT18</f>
        <v>5.67</v>
      </c>
      <c r="AU124" s="729">
        <f>-'P&amp;L'!AU18</f>
        <v>6.28</v>
      </c>
      <c r="AV124" s="729">
        <f>-'P&amp;L'!AV18</f>
        <v>6.8489999999999966</v>
      </c>
      <c r="AW124" s="731">
        <f>-'P&amp;L'!AW18</f>
        <v>24.056999999999999</v>
      </c>
      <c r="AX124" s="219"/>
      <c r="AY124" s="728">
        <f>-'P&amp;L'!AY18</f>
        <v>6.2629999999999999</v>
      </c>
      <c r="AZ124" s="729">
        <f>-'P&amp;L'!AZ18</f>
        <v>6.29</v>
      </c>
      <c r="BA124" s="729">
        <f>-'P&amp;L'!BA18</f>
        <v>6.2969999999999997</v>
      </c>
      <c r="BB124" s="729">
        <f>-'P&amp;L'!BB18</f>
        <v>7.1579999999999977</v>
      </c>
      <c r="BC124" s="731">
        <f>-'P&amp;L'!BC18</f>
        <v>26.007999999999999</v>
      </c>
      <c r="BD124" s="219"/>
      <c r="BE124" s="728">
        <f>-'P&amp;L'!BE18</f>
        <v>7.1269999999999998</v>
      </c>
      <c r="BF124" s="729">
        <f>-'P&amp;L'!BF18</f>
        <v>7.367</v>
      </c>
      <c r="BG124" s="729">
        <f>-'P&amp;L'!BG18</f>
        <v>7.4880000000000004</v>
      </c>
      <c r="BH124" s="729">
        <f>-'P&amp;L'!BH18</f>
        <v>9.9109999999999996</v>
      </c>
      <c r="BI124" s="731">
        <f>-'P&amp;L'!BI18</f>
        <v>31.893000000000001</v>
      </c>
      <c r="BJ124" s="219"/>
      <c r="BK124" s="728">
        <f>-'P&amp;L'!BK18</f>
        <v>11.43</v>
      </c>
      <c r="BL124" s="729">
        <f>-'P&amp;L'!BL18</f>
        <v>12.198</v>
      </c>
      <c r="BM124" s="729">
        <f>-'P&amp;L'!BM18</f>
        <v>13.428000000000001</v>
      </c>
      <c r="BN124" s="729">
        <f>-'P&amp;L'!BN18</f>
        <v>16.597999999999999</v>
      </c>
      <c r="BO124" s="731">
        <f>-'P&amp;L'!BO18</f>
        <v>53.653999999999996</v>
      </c>
      <c r="BP124" s="219"/>
      <c r="BQ124" s="728">
        <f>-'P&amp;L'!BQ18</f>
        <v>14.810117487500001</v>
      </c>
      <c r="BR124" s="729">
        <f>-'P&amp;L'!BR18</f>
        <v>14.810117487500001</v>
      </c>
      <c r="BS124" s="729">
        <f>-'P&amp;L'!BS18</f>
        <v>14.810117487500001</v>
      </c>
      <c r="BT124" s="729">
        <f>-'P&amp;L'!BT18</f>
        <v>14.810117487500001</v>
      </c>
      <c r="BU124" s="731">
        <f>-'P&amp;L'!BU18</f>
        <v>59.240469950000005</v>
      </c>
      <c r="BV124" s="219"/>
      <c r="BW124" s="728">
        <f>-'P&amp;L'!BW18</f>
        <v>14.810117487500001</v>
      </c>
      <c r="BX124" s="729">
        <f>-'P&amp;L'!BX18</f>
        <v>14.810117487500001</v>
      </c>
      <c r="BY124" s="729">
        <f>-'P&amp;L'!BY18</f>
        <v>14.810117487500001</v>
      </c>
      <c r="BZ124" s="729">
        <f>-'P&amp;L'!BZ18</f>
        <v>14.810117487500001</v>
      </c>
      <c r="CA124" s="731">
        <f>-'P&amp;L'!CA18</f>
        <v>59.240469950000005</v>
      </c>
      <c r="CB124" s="219"/>
      <c r="CC124" s="728">
        <f>-'P&amp;L'!CC18</f>
        <v>14.810117487500001</v>
      </c>
      <c r="CD124" s="729">
        <f>-'P&amp;L'!CD18</f>
        <v>14.810117487500001</v>
      </c>
      <c r="CE124" s="729">
        <f>-'P&amp;L'!CE18</f>
        <v>14.336367487500002</v>
      </c>
      <c r="CF124" s="729">
        <f>-'P&amp;L'!CF18</f>
        <v>13.8626174875</v>
      </c>
      <c r="CG124" s="731">
        <f>-'P&amp;L'!CG18</f>
        <v>57.819219950000004</v>
      </c>
    </row>
    <row r="125" spans="2:85" s="7" customFormat="1" ht="11.25" customHeight="1" x14ac:dyDescent="0.2">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row>
    <row r="126" spans="2:85" s="7" customFormat="1" ht="11.25" customHeight="1" x14ac:dyDescent="0.2">
      <c r="C126" s="136"/>
      <c r="D126" s="136"/>
      <c r="E126" s="136"/>
      <c r="F126" s="136"/>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36"/>
      <c r="AG126" s="136"/>
      <c r="AH126" s="136"/>
      <c r="AI126" s="136"/>
      <c r="AJ126" s="136"/>
      <c r="AK126" s="136"/>
      <c r="AL126" s="136"/>
      <c r="AM126" s="136"/>
      <c r="AN126" s="136"/>
      <c r="AO126" s="136"/>
      <c r="AP126" s="136"/>
      <c r="AQ126" s="136"/>
      <c r="AR126" s="136"/>
      <c r="AS126" s="136"/>
      <c r="AT126" s="136"/>
      <c r="AU126" s="136"/>
      <c r="AV126" s="136"/>
      <c r="AW126" s="136"/>
      <c r="AX126" s="136"/>
      <c r="AY126" s="136"/>
      <c r="AZ126" s="136"/>
      <c r="BA126" s="136"/>
      <c r="BB126" s="136"/>
      <c r="BC126" s="136"/>
      <c r="BD126" s="136"/>
      <c r="BE126" s="136"/>
      <c r="BF126" s="136"/>
      <c r="BG126" s="136"/>
      <c r="BH126" s="136"/>
      <c r="BI126" s="136"/>
      <c r="BJ126" s="136"/>
      <c r="BK126" s="136"/>
      <c r="BL126" s="136"/>
      <c r="BM126" s="136"/>
      <c r="BN126" s="136"/>
      <c r="BO126" s="136"/>
      <c r="BP126" s="136"/>
      <c r="BQ126" s="136"/>
      <c r="BR126" s="136"/>
      <c r="BS126" s="136"/>
      <c r="BT126" s="136"/>
      <c r="BU126" s="136"/>
      <c r="BV126" s="136"/>
      <c r="BW126" s="136"/>
      <c r="BX126" s="136"/>
      <c r="BY126" s="136"/>
      <c r="BZ126" s="136"/>
      <c r="CA126" s="136"/>
      <c r="CB126" s="136"/>
      <c r="CC126" s="136"/>
      <c r="CD126" s="136"/>
      <c r="CE126" s="136"/>
      <c r="CF126" s="136"/>
      <c r="CG126" s="136"/>
    </row>
    <row r="127" spans="2:85" s="7" customFormat="1" ht="11.25" customHeight="1" x14ac:dyDescent="0.2"/>
    <row r="128" spans="2:85" s="7" customFormat="1" ht="12" customHeight="1" x14ac:dyDescent="0.2"/>
    <row r="129" s="7" customFormat="1" ht="12" customHeight="1" x14ac:dyDescent="0.2"/>
    <row r="130" s="7" customFormat="1" ht="12" customHeight="1" x14ac:dyDescent="0.2"/>
    <row r="131" s="7" customFormat="1" ht="12" customHeight="1" x14ac:dyDescent="0.2"/>
    <row r="132" s="7" customFormat="1" ht="12" customHeight="1" x14ac:dyDescent="0.2"/>
    <row r="133" s="7" customFormat="1" ht="12" customHeight="1" x14ac:dyDescent="0.2"/>
    <row r="134" s="7" customFormat="1" ht="12" customHeight="1" x14ac:dyDescent="0.2"/>
    <row r="135" s="7" customFormat="1" ht="12" customHeight="1" x14ac:dyDescent="0.2"/>
    <row r="136" s="7" customFormat="1" ht="12" customHeight="1" x14ac:dyDescent="0.2"/>
    <row r="137" s="7" customFormat="1" ht="12" customHeight="1" x14ac:dyDescent="0.2"/>
    <row r="138" s="7" customFormat="1" ht="12" customHeight="1" x14ac:dyDescent="0.2"/>
    <row r="139" s="7" customFormat="1" ht="12" customHeight="1" x14ac:dyDescent="0.2"/>
    <row r="140" s="7" customFormat="1" ht="12" customHeight="1" x14ac:dyDescent="0.2"/>
    <row r="141" s="7" customFormat="1" ht="12" customHeight="1" x14ac:dyDescent="0.2"/>
    <row r="142" s="7" customFormat="1" ht="12" customHeight="1" x14ac:dyDescent="0.2"/>
    <row r="143" s="7" customFormat="1" ht="12" customHeight="1" x14ac:dyDescent="0.2"/>
    <row r="144" s="7" customFormat="1" ht="12" customHeight="1" x14ac:dyDescent="0.2"/>
    <row r="145" s="7" customFormat="1" ht="12" customHeight="1" x14ac:dyDescent="0.2"/>
    <row r="146" s="7" customFormat="1" ht="12" customHeight="1" x14ac:dyDescent="0.2"/>
    <row r="147" s="7" customFormat="1" ht="12" customHeight="1" x14ac:dyDescent="0.2"/>
    <row r="148" s="7" customFormat="1" ht="12" customHeight="1" x14ac:dyDescent="0.2"/>
    <row r="149" s="7" customFormat="1" ht="12" customHeight="1" x14ac:dyDescent="0.2"/>
    <row r="150" s="7" customFormat="1" ht="12" customHeight="1" x14ac:dyDescent="0.2"/>
    <row r="151" s="7" customFormat="1" ht="12" customHeight="1" x14ac:dyDescent="0.2"/>
    <row r="152" s="7" customFormat="1" ht="12" customHeight="1" x14ac:dyDescent="0.2"/>
    <row r="153" s="7" customFormat="1" ht="12" customHeight="1" x14ac:dyDescent="0.2"/>
    <row r="154" s="7" customFormat="1" ht="12" customHeight="1" x14ac:dyDescent="0.2"/>
  </sheetData>
  <mergeCells count="14">
    <mergeCell ref="BW4:BZ4"/>
    <mergeCell ref="CC4:CF4"/>
    <mergeCell ref="AA4:AD4"/>
    <mergeCell ref="AG4:AJ4"/>
    <mergeCell ref="AM4:AP4"/>
    <mergeCell ref="AS4:AV4"/>
    <mergeCell ref="AY4:BB4"/>
    <mergeCell ref="BE4:BH4"/>
    <mergeCell ref="BK4:BN4"/>
    <mergeCell ref="C4:F4"/>
    <mergeCell ref="I4:L4"/>
    <mergeCell ref="O4:R4"/>
    <mergeCell ref="U4:X4"/>
    <mergeCell ref="BQ4:BT4"/>
  </mergeCells>
  <phoneticPr fontId="12" type="noConversion"/>
  <printOptions horizontalCentered="1" verticalCentered="1"/>
  <pageMargins left="0" right="0" top="0" bottom="0" header="0" footer="0"/>
  <pageSetup scale="44" orientation="landscape" r:id="rId1"/>
  <headerFooter alignWithMargins="0"/>
  <rowBreaks count="2" manualBreakCount="2">
    <brk id="47" max="16383" man="1"/>
    <brk id="96" max="16383" man="1"/>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1"/>
  <sheetViews>
    <sheetView workbookViewId="0"/>
  </sheetViews>
  <sheetFormatPr defaultRowHeight="12.75" x14ac:dyDescent="0.2"/>
  <sheetData>
    <row r="1" spans="1:2" x14ac:dyDescent="0.2">
      <c r="B1" t="s">
        <v>121</v>
      </c>
    </row>
  </sheetData>
  <phoneticPr fontId="12"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B2"/>
  <sheetViews>
    <sheetView workbookViewId="0"/>
  </sheetViews>
  <sheetFormatPr defaultRowHeight="12.75" x14ac:dyDescent="0.2"/>
  <sheetData>
    <row r="1" spans="1:80" x14ac:dyDescent="0.2">
      <c r="A1" t="s">
        <v>368</v>
      </c>
    </row>
    <row r="2" spans="1:80" x14ac:dyDescent="0.2">
      <c r="A2" s="18" t="s">
        <v>7</v>
      </c>
      <c r="B2" s="18" t="s">
        <v>151</v>
      </c>
      <c r="C2" s="18" t="s">
        <v>154</v>
      </c>
      <c r="D2" s="18" t="s">
        <v>143</v>
      </c>
      <c r="E2" s="18" t="s">
        <v>4</v>
      </c>
      <c r="F2" s="18" t="s">
        <v>151</v>
      </c>
      <c r="G2" s="18" t="s">
        <v>217</v>
      </c>
      <c r="H2" s="18" t="s">
        <v>262</v>
      </c>
      <c r="I2" s="18" t="s">
        <v>9</v>
      </c>
      <c r="J2" s="18" t="s">
        <v>109</v>
      </c>
      <c r="K2" s="18" t="s">
        <v>366</v>
      </c>
      <c r="L2" s="18" t="s">
        <v>133</v>
      </c>
      <c r="M2" s="18" t="s">
        <v>28</v>
      </c>
      <c r="N2" s="18" t="s">
        <v>151</v>
      </c>
      <c r="O2" s="18" t="s">
        <v>5</v>
      </c>
      <c r="P2" s="18" t="s">
        <v>144</v>
      </c>
      <c r="Q2" s="18" t="s">
        <v>24</v>
      </c>
      <c r="R2" s="18" t="s">
        <v>151</v>
      </c>
      <c r="S2" s="18" t="s">
        <v>156</v>
      </c>
      <c r="T2" s="18" t="s">
        <v>107</v>
      </c>
      <c r="U2" s="18" t="s">
        <v>365</v>
      </c>
      <c r="V2" s="18" t="s">
        <v>598</v>
      </c>
      <c r="W2" s="18" t="s">
        <v>155</v>
      </c>
      <c r="X2" s="18" t="s">
        <v>160</v>
      </c>
      <c r="Y2" s="18" t="s">
        <v>30</v>
      </c>
      <c r="Z2" s="18" t="s">
        <v>151</v>
      </c>
      <c r="AA2" s="18" t="s">
        <v>22</v>
      </c>
      <c r="AB2" s="18" t="s">
        <v>151</v>
      </c>
      <c r="AC2" s="18" t="s">
        <v>227</v>
      </c>
      <c r="AD2" s="18" t="s">
        <v>231</v>
      </c>
      <c r="AE2" s="18" t="s">
        <v>21</v>
      </c>
      <c r="AF2" s="18" t="s">
        <v>29</v>
      </c>
      <c r="AG2" s="18" t="s">
        <v>20</v>
      </c>
      <c r="AH2" s="18" t="s">
        <v>151</v>
      </c>
      <c r="AI2" s="18" t="s">
        <v>153</v>
      </c>
      <c r="AJ2" s="18" t="s">
        <v>145</v>
      </c>
      <c r="AK2" s="18" t="s">
        <v>12</v>
      </c>
      <c r="AL2" s="18" t="s">
        <v>108</v>
      </c>
      <c r="AM2" s="18" t="s">
        <v>229</v>
      </c>
      <c r="AN2" s="18" t="s">
        <v>31</v>
      </c>
      <c r="AO2" s="18" t="s">
        <v>226</v>
      </c>
      <c r="AP2" s="18" t="s">
        <v>2</v>
      </c>
      <c r="AQ2" s="18" t="s">
        <v>367</v>
      </c>
      <c r="AR2" s="18" t="s">
        <v>679</v>
      </c>
      <c r="AS2" s="18" t="s">
        <v>10</v>
      </c>
      <c r="AT2" s="18" t="s">
        <v>234</v>
      </c>
      <c r="AU2" s="18" t="s">
        <v>11</v>
      </c>
      <c r="AV2" s="18" t="s">
        <v>235</v>
      </c>
      <c r="AW2" s="18" t="s">
        <v>23</v>
      </c>
      <c r="AX2" s="18" t="s">
        <v>149</v>
      </c>
      <c r="AY2" s="18" t="s">
        <v>222</v>
      </c>
      <c r="AZ2" s="18" t="s">
        <v>147</v>
      </c>
      <c r="BA2" s="18" t="s">
        <v>218</v>
      </c>
      <c r="BB2" s="18" t="s">
        <v>252</v>
      </c>
      <c r="BC2" s="18" t="s">
        <v>216</v>
      </c>
      <c r="BD2" s="18" t="s">
        <v>133</v>
      </c>
      <c r="BE2" s="18" t="s">
        <v>25</v>
      </c>
      <c r="BF2" s="18" t="s">
        <v>151</v>
      </c>
      <c r="BG2" s="18" t="s">
        <v>221</v>
      </c>
      <c r="BH2" s="18" t="s">
        <v>223</v>
      </c>
      <c r="BI2" s="18" t="s">
        <v>27</v>
      </c>
      <c r="BJ2" s="18" t="s">
        <v>151</v>
      </c>
      <c r="BK2" s="18" t="s">
        <v>3</v>
      </c>
      <c r="BL2" s="18" t="s">
        <v>236</v>
      </c>
      <c r="BM2" s="18" t="s">
        <v>6</v>
      </c>
      <c r="BN2" s="18" t="s">
        <v>151</v>
      </c>
      <c r="BO2" s="18" t="s">
        <v>225</v>
      </c>
      <c r="BP2" s="18" t="s">
        <v>161</v>
      </c>
      <c r="BQ2" s="18" t="s">
        <v>8</v>
      </c>
      <c r="BR2" s="18" t="s">
        <v>237</v>
      </c>
      <c r="BS2" s="18" t="s">
        <v>157</v>
      </c>
      <c r="BT2" s="18" t="s">
        <v>232</v>
      </c>
      <c r="BU2" s="18" t="s">
        <v>158</v>
      </c>
      <c r="BV2" s="18" t="s">
        <v>233</v>
      </c>
      <c r="BW2" s="18" t="s">
        <v>228</v>
      </c>
      <c r="BX2" s="18" t="s">
        <v>159</v>
      </c>
      <c r="BY2" s="18" t="s">
        <v>26</v>
      </c>
      <c r="BZ2" s="18" t="s">
        <v>151</v>
      </c>
      <c r="CA2" s="18" t="s">
        <v>224</v>
      </c>
      <c r="CB2" s="18" t="s">
        <v>148</v>
      </c>
    </row>
  </sheetData>
  <phoneticPr fontId="1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2.75" x14ac:dyDescent="0.2"/>
  <sheetData/>
  <phoneticPr fontId="12"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K71"/>
  <sheetViews>
    <sheetView workbookViewId="0">
      <selection sqref="A1:XFD1048576"/>
    </sheetView>
  </sheetViews>
  <sheetFormatPr defaultRowHeight="11.25" outlineLevelRow="1" x14ac:dyDescent="0.2"/>
  <cols>
    <col min="1" max="1" width="20.42578125" style="1357" bestFit="1" customWidth="1"/>
    <col min="2" max="8" width="8.7109375" style="1357" customWidth="1"/>
    <col min="9" max="9" width="1.85546875" style="1357" customWidth="1"/>
    <col min="10" max="10" width="20.7109375" style="1357" bestFit="1" customWidth="1"/>
    <col min="11" max="16384" width="9.140625" style="1357"/>
  </cols>
  <sheetData>
    <row r="1" spans="1:10" x14ac:dyDescent="0.2">
      <c r="A1" s="1356" t="s">
        <v>708</v>
      </c>
    </row>
    <row r="2" spans="1:10" ht="12" x14ac:dyDescent="0.2">
      <c r="A2" s="1418"/>
      <c r="B2" s="1419" t="s">
        <v>752</v>
      </c>
      <c r="C2" s="1419" t="s">
        <v>753</v>
      </c>
      <c r="D2" s="1419" t="s">
        <v>754</v>
      </c>
      <c r="E2" s="1419" t="s">
        <v>755</v>
      </c>
      <c r="F2" s="1419" t="s">
        <v>756</v>
      </c>
      <c r="G2" s="1419" t="s">
        <v>757</v>
      </c>
      <c r="H2" s="1419" t="s">
        <v>758</v>
      </c>
      <c r="J2" s="1386" t="s">
        <v>372</v>
      </c>
    </row>
    <row r="3" spans="1:10" outlineLevel="1" x14ac:dyDescent="0.2">
      <c r="A3" s="1357" t="s">
        <v>709</v>
      </c>
      <c r="B3" s="1358"/>
      <c r="C3" s="1359"/>
      <c r="D3" s="1360">
        <v>1</v>
      </c>
      <c r="E3" s="1360">
        <v>2</v>
      </c>
      <c r="F3" s="1360">
        <v>3</v>
      </c>
      <c r="G3" s="1360">
        <v>4</v>
      </c>
      <c r="H3" s="1360">
        <v>5</v>
      </c>
    </row>
    <row r="4" spans="1:10" outlineLevel="1" x14ac:dyDescent="0.2">
      <c r="B4" s="1358"/>
      <c r="C4" s="1359"/>
      <c r="D4" s="1360"/>
      <c r="E4" s="1360"/>
      <c r="F4" s="1360"/>
      <c r="G4" s="1360"/>
      <c r="H4" s="1360"/>
    </row>
    <row r="5" spans="1:10" outlineLevel="1" x14ac:dyDescent="0.2">
      <c r="A5" s="1358" t="s">
        <v>710</v>
      </c>
    </row>
    <row r="6" spans="1:10" outlineLevel="1" x14ac:dyDescent="0.2">
      <c r="A6" s="1357" t="s">
        <v>711</v>
      </c>
      <c r="B6" s="1361">
        <v>3476.6350000000002</v>
      </c>
      <c r="C6" s="1362">
        <v>3773.336225</v>
      </c>
      <c r="D6" s="1362">
        <v>3999.7363985000002</v>
      </c>
      <c r="E6" s="1362">
        <v>4218.2455931820004</v>
      </c>
      <c r="F6" s="1363">
        <f t="shared" ref="F6:H6" si="0">+E6*(1+F7)</f>
        <v>4429.1578728411005</v>
      </c>
      <c r="G6" s="1363">
        <f t="shared" si="0"/>
        <v>4650.6157664831553</v>
      </c>
      <c r="H6" s="1363">
        <f t="shared" si="0"/>
        <v>4883.1465548073129</v>
      </c>
    </row>
    <row r="7" spans="1:10" outlineLevel="1" x14ac:dyDescent="0.2">
      <c r="A7" s="1364" t="s">
        <v>712</v>
      </c>
      <c r="B7" s="1363"/>
      <c r="C7" s="1365">
        <f>+C6/B6-1</f>
        <v>8.5341494002102447E-2</v>
      </c>
      <c r="D7" s="1365">
        <f t="shared" ref="D7:E7" si="1">+D6/C6-1</f>
        <v>6.0000000000000053E-2</v>
      </c>
      <c r="E7" s="1365">
        <f t="shared" si="1"/>
        <v>5.4630898867221944E-2</v>
      </c>
      <c r="F7" s="1366">
        <v>0.05</v>
      </c>
      <c r="G7" s="1366">
        <f>+F7</f>
        <v>0.05</v>
      </c>
      <c r="H7" s="1366">
        <f>+G7</f>
        <v>0.05</v>
      </c>
    </row>
    <row r="8" spans="1:10" outlineLevel="1" x14ac:dyDescent="0.2">
      <c r="A8" s="1357" t="s">
        <v>371</v>
      </c>
      <c r="B8" s="1367">
        <v>146.57900000000001</v>
      </c>
      <c r="C8" s="1368">
        <f>+C9*C6</f>
        <v>159.46560447183421</v>
      </c>
      <c r="D8" s="1368">
        <f t="shared" ref="D8:H8" si="2">+D9*D6</f>
        <v>169.43351437999428</v>
      </c>
      <c r="E8" s="1368">
        <f t="shared" si="2"/>
        <v>179.11164412812397</v>
      </c>
      <c r="F8" s="1368">
        <f t="shared" si="2"/>
        <v>188.06722633453015</v>
      </c>
      <c r="G8" s="1368">
        <f t="shared" si="2"/>
        <v>197.47058765125666</v>
      </c>
      <c r="H8" s="1368">
        <f t="shared" si="2"/>
        <v>207.34411703381949</v>
      </c>
    </row>
    <row r="9" spans="1:10" s="1373" customFormat="1" outlineLevel="1" x14ac:dyDescent="0.2">
      <c r="A9" s="1369" t="s">
        <v>713</v>
      </c>
      <c r="B9" s="1370">
        <f>+B8/B6</f>
        <v>4.216117021200097E-2</v>
      </c>
      <c r="C9" s="1371">
        <f>+B9+0.01%</f>
        <v>4.2261170212000973E-2</v>
      </c>
      <c r="D9" s="1371">
        <f t="shared" ref="D9:E9" si="3">+C9+0.01%</f>
        <v>4.2361170212000976E-2</v>
      </c>
      <c r="E9" s="1371">
        <f t="shared" si="3"/>
        <v>4.2461170212000979E-2</v>
      </c>
      <c r="F9" s="1372">
        <f>+E9</f>
        <v>4.2461170212000979E-2</v>
      </c>
      <c r="G9" s="1372">
        <f>+F9</f>
        <v>4.2461170212000979E-2</v>
      </c>
      <c r="H9" s="1372">
        <f>+G9</f>
        <v>4.2461170212000979E-2</v>
      </c>
    </row>
    <row r="10" spans="1:10" outlineLevel="1" x14ac:dyDescent="0.2">
      <c r="B10" s="1374"/>
      <c r="C10" s="1374"/>
      <c r="D10" s="1374"/>
      <c r="E10" s="1374"/>
    </row>
    <row r="11" spans="1:10" outlineLevel="1" x14ac:dyDescent="0.2">
      <c r="A11" s="1375" t="s">
        <v>714</v>
      </c>
      <c r="B11" s="1374"/>
      <c r="C11" s="1374"/>
      <c r="D11" s="1374"/>
      <c r="E11" s="1374"/>
    </row>
    <row r="12" spans="1:10" outlineLevel="1" x14ac:dyDescent="0.2">
      <c r="A12" s="1357" t="s">
        <v>711</v>
      </c>
      <c r="B12" s="1361">
        <v>100</v>
      </c>
      <c r="C12" s="1363">
        <f>+B12*(1+C13)</f>
        <v>107.88672840281122</v>
      </c>
      <c r="D12" s="1363">
        <f t="shared" ref="D12:H12" si="4">+C12*(1+D13)</f>
        <v>114.03841155315001</v>
      </c>
      <c r="E12" s="1363">
        <f t="shared" si="4"/>
        <v>120.35509448204445</v>
      </c>
      <c r="F12" s="1363">
        <f t="shared" si="4"/>
        <v>126.37284920614668</v>
      </c>
      <c r="G12" s="1363">
        <f t="shared" si="4"/>
        <v>132.69149166645403</v>
      </c>
      <c r="H12" s="1363">
        <f t="shared" si="4"/>
        <v>139.32606624977674</v>
      </c>
    </row>
    <row r="13" spans="1:10" outlineLevel="1" x14ac:dyDescent="0.2">
      <c r="A13" s="1364" t="s">
        <v>712</v>
      </c>
      <c r="B13" s="1363"/>
      <c r="C13" s="1365">
        <f>+C71</f>
        <v>7.8867284028112217E-2</v>
      </c>
      <c r="D13" s="1365">
        <f>+D71</f>
        <v>5.7019832201886347E-2</v>
      </c>
      <c r="E13" s="1365">
        <f>+E71</f>
        <v>5.5390835797028082E-2</v>
      </c>
      <c r="F13" s="1376">
        <v>0.05</v>
      </c>
      <c r="G13" s="1376">
        <v>0.05</v>
      </c>
      <c r="H13" s="1376">
        <v>0.05</v>
      </c>
    </row>
    <row r="14" spans="1:10" outlineLevel="1" x14ac:dyDescent="0.2">
      <c r="A14" s="1357" t="s">
        <v>371</v>
      </c>
      <c r="B14" s="1367">
        <v>22.975999999999999</v>
      </c>
      <c r="C14" s="1368">
        <f>+C15*C12</f>
        <v>24.895941446232715</v>
      </c>
      <c r="D14" s="1368">
        <f t="shared" ref="D14:H14" si="5">+D15*D12</f>
        <v>26.429542261558048</v>
      </c>
      <c r="E14" s="1368">
        <f t="shared" si="5"/>
        <v>28.013851791640665</v>
      </c>
      <c r="F14" s="1368">
        <f t="shared" si="5"/>
        <v>29.54091723042885</v>
      </c>
      <c r="G14" s="1368">
        <f t="shared" si="5"/>
        <v>31.150654583616745</v>
      </c>
      <c r="H14" s="1368">
        <f t="shared" si="5"/>
        <v>32.847513379047363</v>
      </c>
    </row>
    <row r="15" spans="1:10" s="1373" customFormat="1" outlineLevel="1" x14ac:dyDescent="0.2">
      <c r="A15" s="1369" t="s">
        <v>713</v>
      </c>
      <c r="B15" s="1372">
        <f>+B14/B12</f>
        <v>0.22975999999999999</v>
      </c>
      <c r="C15" s="1371">
        <f>+B15+0.1%</f>
        <v>0.23075999999999999</v>
      </c>
      <c r="D15" s="1371">
        <f t="shared" ref="D15:H15" si="6">+C15+0.1%</f>
        <v>0.23175999999999999</v>
      </c>
      <c r="E15" s="1371">
        <f t="shared" si="6"/>
        <v>0.23275999999999999</v>
      </c>
      <c r="F15" s="1371">
        <f t="shared" si="6"/>
        <v>0.23376</v>
      </c>
      <c r="G15" s="1371">
        <f t="shared" si="6"/>
        <v>0.23476</v>
      </c>
      <c r="H15" s="1371">
        <f t="shared" si="6"/>
        <v>0.23576</v>
      </c>
    </row>
    <row r="16" spans="1:10" outlineLevel="1" x14ac:dyDescent="0.2">
      <c r="B16" s="1374"/>
      <c r="C16" s="1374"/>
      <c r="D16" s="1374"/>
      <c r="E16" s="1374"/>
    </row>
    <row r="17" spans="1:10" x14ac:dyDescent="0.2">
      <c r="A17" s="1373" t="s">
        <v>737</v>
      </c>
      <c r="B17" s="1374"/>
      <c r="C17" s="1374"/>
      <c r="D17" s="1374"/>
      <c r="E17" s="1374"/>
    </row>
    <row r="18" spans="1:10" x14ac:dyDescent="0.2">
      <c r="A18" s="1377" t="s">
        <v>715</v>
      </c>
      <c r="B18" s="1378"/>
      <c r="C18" s="1378"/>
      <c r="D18" s="1378"/>
      <c r="E18" s="1378"/>
      <c r="F18" s="1379"/>
      <c r="G18" s="1379"/>
      <c r="H18" s="1379"/>
    </row>
    <row r="19" spans="1:10" x14ac:dyDescent="0.2">
      <c r="A19" s="1357" t="s">
        <v>711</v>
      </c>
      <c r="B19" s="1363">
        <f>+B12+B6</f>
        <v>3576.6350000000002</v>
      </c>
      <c r="C19" s="1363">
        <f t="shared" ref="C19:H19" si="7">+C12+C6</f>
        <v>3881.2229534028111</v>
      </c>
      <c r="D19" s="1363">
        <f t="shared" si="7"/>
        <v>4113.7748100531498</v>
      </c>
      <c r="E19" s="1363">
        <f t="shared" si="7"/>
        <v>4338.6006876640449</v>
      </c>
      <c r="F19" s="1363">
        <f t="shared" si="7"/>
        <v>4555.5307220472469</v>
      </c>
      <c r="G19" s="1363">
        <f t="shared" si="7"/>
        <v>4783.307258149609</v>
      </c>
      <c r="H19" s="1363">
        <f t="shared" si="7"/>
        <v>5022.4726210570898</v>
      </c>
    </row>
    <row r="20" spans="1:10" x14ac:dyDescent="0.2">
      <c r="A20" s="1364" t="s">
        <v>712</v>
      </c>
      <c r="B20" s="1363"/>
      <c r="C20" s="1365">
        <f>+C19/B19-1</f>
        <v>8.5160480005035621E-2</v>
      </c>
      <c r="D20" s="1365">
        <f t="shared" ref="D20:H20" si="8">+D19/C19-1</f>
        <v>5.9917159988567947E-2</v>
      </c>
      <c r="E20" s="1365">
        <f t="shared" si="8"/>
        <v>5.465196516383708E-2</v>
      </c>
      <c r="F20" s="1365">
        <f t="shared" si="8"/>
        <v>4.9999999999999822E-2</v>
      </c>
      <c r="G20" s="1365">
        <f t="shared" si="8"/>
        <v>5.0000000000000044E-2</v>
      </c>
      <c r="H20" s="1365">
        <f t="shared" si="8"/>
        <v>5.0000000000000044E-2</v>
      </c>
      <c r="J20" s="1357" t="s">
        <v>747</v>
      </c>
    </row>
    <row r="21" spans="1:10" x14ac:dyDescent="0.2">
      <c r="A21" s="1357" t="s">
        <v>371</v>
      </c>
      <c r="B21" s="1380">
        <f>+B14+B8</f>
        <v>169.55500000000001</v>
      </c>
      <c r="C21" s="1380">
        <f t="shared" ref="C21:H21" si="9">+C14+C8</f>
        <v>184.36154591806692</v>
      </c>
      <c r="D21" s="1380">
        <f t="shared" si="9"/>
        <v>195.86305664155233</v>
      </c>
      <c r="E21" s="1380">
        <f t="shared" si="9"/>
        <v>207.12549591976463</v>
      </c>
      <c r="F21" s="1380">
        <f t="shared" si="9"/>
        <v>217.60814356495899</v>
      </c>
      <c r="G21" s="1380">
        <f t="shared" si="9"/>
        <v>228.62124223487342</v>
      </c>
      <c r="H21" s="1380">
        <f t="shared" si="9"/>
        <v>240.19163041286686</v>
      </c>
      <c r="J21" s="1357" t="s">
        <v>748</v>
      </c>
    </row>
    <row r="22" spans="1:10" s="1373" customFormat="1" x14ac:dyDescent="0.2">
      <c r="A22" s="1369" t="s">
        <v>713</v>
      </c>
      <c r="B22" s="1381">
        <f>+B21/B19</f>
        <v>4.7406291108821559E-2</v>
      </c>
      <c r="C22" s="1381">
        <f t="shared" ref="C22:H22" si="10">+C21/C19</f>
        <v>4.7500890346026212E-2</v>
      </c>
      <c r="D22" s="1381">
        <f t="shared" si="10"/>
        <v>4.7611516353035808E-2</v>
      </c>
      <c r="E22" s="1381">
        <f t="shared" si="10"/>
        <v>4.7740161132755338E-2</v>
      </c>
      <c r="F22" s="1381">
        <f t="shared" si="10"/>
        <v>4.7767901665509198E-2</v>
      </c>
      <c r="G22" s="1381">
        <f t="shared" si="10"/>
        <v>4.7795642198263058E-2</v>
      </c>
      <c r="H22" s="1381">
        <f t="shared" si="10"/>
        <v>4.7823382731016911E-2</v>
      </c>
    </row>
    <row r="23" spans="1:10" s="1373" customFormat="1" x14ac:dyDescent="0.2">
      <c r="A23" s="1357" t="s">
        <v>374</v>
      </c>
      <c r="B23" s="1382">
        <f>+B24*B19</f>
        <v>64.379429999999999</v>
      </c>
      <c r="C23" s="1382">
        <f t="shared" ref="C23:H23" si="11">+C24*C19</f>
        <v>69.862013161250587</v>
      </c>
      <c r="D23" s="1382">
        <f t="shared" si="11"/>
        <v>74.04794658095669</v>
      </c>
      <c r="E23" s="1382">
        <f t="shared" si="11"/>
        <v>78.094812377952806</v>
      </c>
      <c r="F23" s="1382">
        <f t="shared" si="11"/>
        <v>81.99955299685044</v>
      </c>
      <c r="G23" s="1382">
        <f t="shared" si="11"/>
        <v>86.099530646692955</v>
      </c>
      <c r="H23" s="1382">
        <f t="shared" si="11"/>
        <v>90.404507179027604</v>
      </c>
      <c r="J23" s="1357" t="s">
        <v>739</v>
      </c>
    </row>
    <row r="24" spans="1:10" s="1373" customFormat="1" x14ac:dyDescent="0.2">
      <c r="A24" s="1369" t="s">
        <v>713</v>
      </c>
      <c r="B24" s="1383">
        <v>1.7999999999999999E-2</v>
      </c>
      <c r="C24" s="1383">
        <f t="shared" ref="C24:H24" si="12">+B24</f>
        <v>1.7999999999999999E-2</v>
      </c>
      <c r="D24" s="1383">
        <f t="shared" si="12"/>
        <v>1.7999999999999999E-2</v>
      </c>
      <c r="E24" s="1383">
        <f t="shared" si="12"/>
        <v>1.7999999999999999E-2</v>
      </c>
      <c r="F24" s="1383">
        <f t="shared" si="12"/>
        <v>1.7999999999999999E-2</v>
      </c>
      <c r="G24" s="1383">
        <f t="shared" si="12"/>
        <v>1.7999999999999999E-2</v>
      </c>
      <c r="H24" s="1383">
        <f t="shared" si="12"/>
        <v>1.7999999999999999E-2</v>
      </c>
      <c r="J24" s="1357" t="s">
        <v>743</v>
      </c>
    </row>
    <row r="25" spans="1:10" s="1373" customFormat="1" x14ac:dyDescent="0.2">
      <c r="A25" s="1357" t="s">
        <v>99</v>
      </c>
      <c r="B25" s="1382">
        <f>+B23+B21</f>
        <v>233.93443000000002</v>
      </c>
      <c r="C25" s="1382">
        <f t="shared" ref="C25:H25" si="13">+C23+C21</f>
        <v>254.22355907931751</v>
      </c>
      <c r="D25" s="1382">
        <f t="shared" si="13"/>
        <v>269.91100322250901</v>
      </c>
      <c r="E25" s="1382">
        <f t="shared" si="13"/>
        <v>285.22030829771745</v>
      </c>
      <c r="F25" s="1382">
        <f t="shared" si="13"/>
        <v>299.60769656180946</v>
      </c>
      <c r="G25" s="1382">
        <f t="shared" si="13"/>
        <v>314.7207728815664</v>
      </c>
      <c r="H25" s="1382">
        <f t="shared" si="13"/>
        <v>330.59613759189449</v>
      </c>
      <c r="J25" s="1357" t="s">
        <v>744</v>
      </c>
    </row>
    <row r="26" spans="1:10" s="1373" customFormat="1" x14ac:dyDescent="0.2">
      <c r="A26" s="1369" t="s">
        <v>713</v>
      </c>
      <c r="B26" s="1381">
        <f>+B25/B19</f>
        <v>6.5406291108821568E-2</v>
      </c>
      <c r="C26" s="1381">
        <f t="shared" ref="C26:H26" si="14">+C25/C19</f>
        <v>6.5500890346026214E-2</v>
      </c>
      <c r="D26" s="1381">
        <f t="shared" si="14"/>
        <v>6.5611516353035804E-2</v>
      </c>
      <c r="E26" s="1381">
        <f t="shared" si="14"/>
        <v>6.574016113275534E-2</v>
      </c>
      <c r="F26" s="1381">
        <f t="shared" si="14"/>
        <v>6.5767901665509207E-2</v>
      </c>
      <c r="G26" s="1381">
        <f t="shared" si="14"/>
        <v>6.579564219826306E-2</v>
      </c>
      <c r="H26" s="1381">
        <f t="shared" si="14"/>
        <v>6.5823382731016913E-2</v>
      </c>
    </row>
    <row r="28" spans="1:10" x14ac:dyDescent="0.2">
      <c r="A28" s="1357" t="s">
        <v>716</v>
      </c>
      <c r="C28" s="1384"/>
      <c r="D28" s="1384">
        <f>+D25/((1+$B$67)^D3)</f>
        <v>249.91759557639722</v>
      </c>
      <c r="E28" s="1384">
        <f t="shared" ref="E28:H28" si="15">+E25/((1+$B$67)^E3)</f>
        <v>244.530442642076</v>
      </c>
      <c r="F28" s="1384">
        <f t="shared" si="15"/>
        <v>237.83824918855217</v>
      </c>
      <c r="G28" s="1384">
        <f t="shared" si="15"/>
        <v>231.32916336312374</v>
      </c>
      <c r="H28" s="1384">
        <f t="shared" si="15"/>
        <v>224.99817624930205</v>
      </c>
    </row>
    <row r="29" spans="1:10" x14ac:dyDescent="0.2">
      <c r="A29" s="1357" t="s">
        <v>370</v>
      </c>
      <c r="C29" s="1384"/>
      <c r="D29" s="1384"/>
      <c r="E29" s="1384"/>
      <c r="F29" s="1384"/>
      <c r="G29" s="1384"/>
      <c r="H29" s="1385">
        <f>+((H25*(1+$B$68))/($B$67-$B$68))/((1+B67)^(H3+1))</f>
        <v>4291.6318803107606</v>
      </c>
    </row>
    <row r="30" spans="1:10" x14ac:dyDescent="0.2">
      <c r="A30" s="1386" t="s">
        <v>717</v>
      </c>
      <c r="B30" s="1386"/>
      <c r="C30" s="1387"/>
      <c r="D30" s="1387"/>
      <c r="E30" s="1387"/>
      <c r="F30" s="1387"/>
      <c r="G30" s="1387"/>
      <c r="H30" s="1416">
        <f>+SUM(C28:H28)+H29</f>
        <v>5480.2455073302117</v>
      </c>
    </row>
    <row r="31" spans="1:10" x14ac:dyDescent="0.2">
      <c r="B31" s="1384"/>
      <c r="D31" s="1417"/>
    </row>
    <row r="32" spans="1:10" x14ac:dyDescent="0.2">
      <c r="A32" s="1377" t="s">
        <v>718</v>
      </c>
      <c r="B32" s="1379"/>
      <c r="C32" s="1379"/>
      <c r="D32" s="1379"/>
      <c r="E32" s="1379"/>
      <c r="F32" s="1379"/>
      <c r="G32" s="1379"/>
      <c r="H32" s="1379"/>
    </row>
    <row r="33" spans="1:11" x14ac:dyDescent="0.2">
      <c r="A33" s="1357" t="s">
        <v>711</v>
      </c>
      <c r="B33" s="1388">
        <v>157</v>
      </c>
      <c r="C33" s="1363">
        <f>+B33*(1+C34)</f>
        <v>235.5</v>
      </c>
      <c r="D33" s="1363">
        <f t="shared" ref="D33:H33" si="16">+C33*(1+D34)</f>
        <v>329.7</v>
      </c>
      <c r="E33" s="1363">
        <f t="shared" si="16"/>
        <v>428.61</v>
      </c>
      <c r="F33" s="1363">
        <f t="shared" si="16"/>
        <v>514.33199999999999</v>
      </c>
      <c r="G33" s="1363">
        <f t="shared" si="16"/>
        <v>591.48179999999991</v>
      </c>
      <c r="H33" s="1363">
        <f t="shared" si="16"/>
        <v>650.62997999999993</v>
      </c>
      <c r="J33" s="1374" t="s">
        <v>740</v>
      </c>
      <c r="K33" s="1374"/>
    </row>
    <row r="34" spans="1:11" x14ac:dyDescent="0.2">
      <c r="A34" s="1364" t="s">
        <v>712</v>
      </c>
      <c r="B34" s="1389">
        <v>0.6</v>
      </c>
      <c r="C34" s="1366">
        <f>+B34-10%</f>
        <v>0.5</v>
      </c>
      <c r="D34" s="1390">
        <f t="shared" ref="D34:E34" si="17">+C34-10%</f>
        <v>0.4</v>
      </c>
      <c r="E34" s="1390">
        <f t="shared" si="17"/>
        <v>0.30000000000000004</v>
      </c>
      <c r="F34" s="1391">
        <f>+E34-10%</f>
        <v>0.20000000000000004</v>
      </c>
      <c r="G34" s="1391">
        <f>+F34-5%</f>
        <v>0.15000000000000002</v>
      </c>
      <c r="H34" s="1391">
        <f>+G34-5%</f>
        <v>0.10000000000000002</v>
      </c>
      <c r="J34" s="1357" t="s">
        <v>749</v>
      </c>
    </row>
    <row r="35" spans="1:11" x14ac:dyDescent="0.2">
      <c r="A35" s="1357" t="s">
        <v>371</v>
      </c>
      <c r="B35" s="1357">
        <f>+B36*B33</f>
        <v>0</v>
      </c>
      <c r="C35" s="1384">
        <f t="shared" ref="C35:H35" si="18">+C36*C33</f>
        <v>7.0649999999999995</v>
      </c>
      <c r="D35" s="1384">
        <f t="shared" si="18"/>
        <v>19.782</v>
      </c>
      <c r="E35" s="1384">
        <f t="shared" si="18"/>
        <v>38.5749</v>
      </c>
      <c r="F35" s="1384">
        <f t="shared" si="18"/>
        <v>61.719839999999998</v>
      </c>
      <c r="G35" s="1384">
        <f t="shared" si="18"/>
        <v>88.72226999999998</v>
      </c>
      <c r="H35" s="1384">
        <f t="shared" si="18"/>
        <v>117.11339639999998</v>
      </c>
    </row>
    <row r="36" spans="1:11" x14ac:dyDescent="0.2">
      <c r="A36" s="1369" t="s">
        <v>713</v>
      </c>
      <c r="B36" s="1392">
        <v>0</v>
      </c>
      <c r="C36" s="1366">
        <f>+B36+3%</f>
        <v>0.03</v>
      </c>
      <c r="D36" s="1366">
        <f t="shared" ref="D36:H36" si="19">+C36+3%</f>
        <v>0.06</v>
      </c>
      <c r="E36" s="1366">
        <f t="shared" si="19"/>
        <v>0.09</v>
      </c>
      <c r="F36" s="1366">
        <f t="shared" si="19"/>
        <v>0.12</v>
      </c>
      <c r="G36" s="1366">
        <f t="shared" si="19"/>
        <v>0.15</v>
      </c>
      <c r="H36" s="1366">
        <f t="shared" si="19"/>
        <v>0.18</v>
      </c>
      <c r="J36" s="1357" t="s">
        <v>741</v>
      </c>
    </row>
    <row r="37" spans="1:11" x14ac:dyDescent="0.2">
      <c r="J37" s="1357" t="s">
        <v>742</v>
      </c>
    </row>
    <row r="38" spans="1:11" x14ac:dyDescent="0.2">
      <c r="A38" s="1393" t="s">
        <v>733</v>
      </c>
      <c r="B38" s="1379"/>
      <c r="C38" s="1379"/>
      <c r="D38" s="1379"/>
      <c r="E38" s="1379"/>
      <c r="F38" s="1379"/>
      <c r="G38" s="1379"/>
      <c r="H38" s="1379"/>
    </row>
    <row r="39" spans="1:11" x14ac:dyDescent="0.2">
      <c r="A39" s="1357" t="s">
        <v>711</v>
      </c>
      <c r="B39" s="1394">
        <f>+B33+B19+B41</f>
        <v>3733.6350000000002</v>
      </c>
      <c r="C39" s="1394">
        <f t="shared" ref="C39:H39" si="20">+C33+C19+C41</f>
        <v>4116.7229534028111</v>
      </c>
      <c r="D39" s="1394">
        <f t="shared" si="20"/>
        <v>4543.4748100531497</v>
      </c>
      <c r="E39" s="1394">
        <f t="shared" si="20"/>
        <v>5017.2106876640446</v>
      </c>
      <c r="F39" s="1394">
        <f t="shared" si="20"/>
        <v>5469.8627220472472</v>
      </c>
      <c r="G39" s="1394">
        <f t="shared" si="20"/>
        <v>5774.7890581496085</v>
      </c>
      <c r="H39" s="1394">
        <f t="shared" si="20"/>
        <v>6073.1026010570895</v>
      </c>
    </row>
    <row r="40" spans="1:11" x14ac:dyDescent="0.2">
      <c r="A40" s="1364" t="s">
        <v>712</v>
      </c>
      <c r="B40" s="1363"/>
      <c r="C40" s="1365">
        <f>+C39/B39-1</f>
        <v>0.10260455384707146</v>
      </c>
      <c r="D40" s="1365">
        <f t="shared" ref="D40:H40" si="21">+D39/C39-1</f>
        <v>0.10366300124656025</v>
      </c>
      <c r="E40" s="1365">
        <f t="shared" si="21"/>
        <v>0.10426730584324573</v>
      </c>
      <c r="F40" s="1365">
        <f t="shared" si="21"/>
        <v>9.0219857718184082E-2</v>
      </c>
      <c r="G40" s="1365">
        <f t="shared" si="21"/>
        <v>5.5746615883667694E-2</v>
      </c>
      <c r="H40" s="1365">
        <f t="shared" si="21"/>
        <v>5.1657911640337506E-2</v>
      </c>
    </row>
    <row r="41" spans="1:11" x14ac:dyDescent="0.2">
      <c r="A41" s="1364" t="s">
        <v>719</v>
      </c>
      <c r="B41" s="1363"/>
      <c r="C41" s="1395"/>
      <c r="D41" s="1395">
        <v>100</v>
      </c>
      <c r="E41" s="1395">
        <v>250</v>
      </c>
      <c r="F41" s="1395">
        <v>400</v>
      </c>
      <c r="G41" s="1395">
        <f>+F41</f>
        <v>400</v>
      </c>
      <c r="H41" s="1395">
        <f>+G41</f>
        <v>400</v>
      </c>
      <c r="J41" s="1357" t="s">
        <v>745</v>
      </c>
    </row>
    <row r="42" spans="1:11" x14ac:dyDescent="0.2">
      <c r="A42" s="1357" t="s">
        <v>720</v>
      </c>
      <c r="B42" s="1380">
        <f t="shared" ref="B42:H42" si="22">+B35+B21</f>
        <v>169.55500000000001</v>
      </c>
      <c r="C42" s="1380">
        <f t="shared" si="22"/>
        <v>191.42654591806692</v>
      </c>
      <c r="D42" s="1380">
        <f t="shared" si="22"/>
        <v>215.64505664155234</v>
      </c>
      <c r="E42" s="1380">
        <f t="shared" si="22"/>
        <v>245.70039591976462</v>
      </c>
      <c r="F42" s="1380">
        <f t="shared" si="22"/>
        <v>279.32798356495897</v>
      </c>
      <c r="G42" s="1380">
        <f t="shared" si="22"/>
        <v>317.3435122348734</v>
      </c>
      <c r="H42" s="1380">
        <f t="shared" si="22"/>
        <v>357.30502681286686</v>
      </c>
      <c r="J42" s="1357" t="s">
        <v>746</v>
      </c>
    </row>
    <row r="43" spans="1:11" x14ac:dyDescent="0.2">
      <c r="A43" s="1369" t="s">
        <v>713</v>
      </c>
      <c r="B43" s="1381">
        <f>+B42/B39</f>
        <v>4.5412848336808496E-2</v>
      </c>
      <c r="C43" s="1381">
        <f t="shared" ref="C43:H43" si="23">+C42/C39</f>
        <v>4.6499739740765669E-2</v>
      </c>
      <c r="D43" s="1381">
        <f t="shared" si="23"/>
        <v>4.7462584400028783E-2</v>
      </c>
      <c r="E43" s="1381">
        <f t="shared" si="23"/>
        <v>4.897151250272886E-2</v>
      </c>
      <c r="F43" s="1381">
        <f t="shared" si="23"/>
        <v>5.1066726490059472E-2</v>
      </c>
      <c r="G43" s="1381">
        <f t="shared" si="23"/>
        <v>5.4953264792767763E-2</v>
      </c>
      <c r="H43" s="1381">
        <f t="shared" si="23"/>
        <v>5.883401784627746E-2</v>
      </c>
    </row>
    <row r="44" spans="1:11" x14ac:dyDescent="0.2">
      <c r="A44" s="1364" t="s">
        <v>727</v>
      </c>
      <c r="B44" s="1396">
        <f>+B43*B41</f>
        <v>0</v>
      </c>
      <c r="C44" s="1396">
        <f t="shared" ref="C44:H44" si="24">+C43*C41</f>
        <v>0</v>
      </c>
      <c r="D44" s="1396">
        <f t="shared" si="24"/>
        <v>4.7462584400028787</v>
      </c>
      <c r="E44" s="1396">
        <f t="shared" si="24"/>
        <v>12.242878125682216</v>
      </c>
      <c r="F44" s="1396">
        <f t="shared" si="24"/>
        <v>20.426690596023789</v>
      </c>
      <c r="G44" s="1396">
        <f t="shared" si="24"/>
        <v>21.981305917107104</v>
      </c>
      <c r="H44" s="1396">
        <f t="shared" si="24"/>
        <v>23.533607138510984</v>
      </c>
    </row>
    <row r="45" spans="1:11" x14ac:dyDescent="0.2">
      <c r="A45" s="1357" t="s">
        <v>721</v>
      </c>
      <c r="B45" s="1380">
        <f>+B42+B44</f>
        <v>169.55500000000001</v>
      </c>
      <c r="C45" s="1380">
        <f t="shared" ref="C45:H45" si="25">+C42+C44</f>
        <v>191.42654591806692</v>
      </c>
      <c r="D45" s="1380">
        <f t="shared" si="25"/>
        <v>220.39131508155523</v>
      </c>
      <c r="E45" s="1380">
        <f t="shared" si="25"/>
        <v>257.94327404544686</v>
      </c>
      <c r="F45" s="1380">
        <f t="shared" si="25"/>
        <v>299.75467416098274</v>
      </c>
      <c r="G45" s="1380">
        <f t="shared" si="25"/>
        <v>339.32481815198048</v>
      </c>
      <c r="H45" s="1380">
        <f t="shared" si="25"/>
        <v>380.83863395137786</v>
      </c>
    </row>
    <row r="46" spans="1:11" x14ac:dyDescent="0.2">
      <c r="A46" s="1369" t="s">
        <v>713</v>
      </c>
      <c r="B46" s="1381">
        <f>+B45/B39</f>
        <v>4.5412848336808496E-2</v>
      </c>
      <c r="C46" s="1381">
        <f t="shared" ref="C46:H46" si="26">+C45/C39</f>
        <v>4.6499739740765669E-2</v>
      </c>
      <c r="D46" s="1381">
        <f t="shared" si="26"/>
        <v>4.8507216237648094E-2</v>
      </c>
      <c r="E46" s="1381">
        <f t="shared" si="26"/>
        <v>5.1411688705770155E-2</v>
      </c>
      <c r="F46" s="1381">
        <f t="shared" si="26"/>
        <v>5.4801132933879421E-2</v>
      </c>
      <c r="G46" s="1381">
        <f t="shared" si="26"/>
        <v>5.8759690567937194E-2</v>
      </c>
      <c r="H46" s="1381">
        <f t="shared" si="26"/>
        <v>6.2709072934991866E-2</v>
      </c>
    </row>
    <row r="47" spans="1:11" x14ac:dyDescent="0.2">
      <c r="A47" s="1357" t="s">
        <v>374</v>
      </c>
      <c r="B47" s="1382">
        <f>+B48*B39</f>
        <v>67.205429999999993</v>
      </c>
      <c r="C47" s="1382">
        <f t="shared" ref="C47:H47" si="27">+C48*C39</f>
        <v>74.101013161250592</v>
      </c>
      <c r="D47" s="1382">
        <f t="shared" si="27"/>
        <v>81.782546580956691</v>
      </c>
      <c r="E47" s="1382">
        <f t="shared" si="27"/>
        <v>90.309792377952789</v>
      </c>
      <c r="F47" s="1382">
        <f t="shared" si="27"/>
        <v>98.457528996850442</v>
      </c>
      <c r="G47" s="1382">
        <f t="shared" si="27"/>
        <v>103.94620304669294</v>
      </c>
      <c r="H47" s="1382">
        <f t="shared" si="27"/>
        <v>109.3158468190276</v>
      </c>
    </row>
    <row r="48" spans="1:11" x14ac:dyDescent="0.2">
      <c r="A48" s="1369" t="s">
        <v>713</v>
      </c>
      <c r="B48" s="1383">
        <v>1.7999999999999999E-2</v>
      </c>
      <c r="C48" s="1383">
        <f t="shared" ref="C48:H48" si="28">+B48</f>
        <v>1.7999999999999999E-2</v>
      </c>
      <c r="D48" s="1383">
        <f t="shared" si="28"/>
        <v>1.7999999999999999E-2</v>
      </c>
      <c r="E48" s="1383">
        <f t="shared" si="28"/>
        <v>1.7999999999999999E-2</v>
      </c>
      <c r="F48" s="1383">
        <f t="shared" si="28"/>
        <v>1.7999999999999999E-2</v>
      </c>
      <c r="G48" s="1383">
        <f t="shared" si="28"/>
        <v>1.7999999999999999E-2</v>
      </c>
      <c r="H48" s="1383">
        <f t="shared" si="28"/>
        <v>1.7999999999999999E-2</v>
      </c>
    </row>
    <row r="49" spans="1:10" x14ac:dyDescent="0.2">
      <c r="A49" s="1357" t="s">
        <v>726</v>
      </c>
      <c r="B49" s="1382">
        <f>+B47+B45</f>
        <v>236.76042999999999</v>
      </c>
      <c r="C49" s="1382">
        <f t="shared" ref="C49:H49" si="29">+C47+C45</f>
        <v>265.52755907931748</v>
      </c>
      <c r="D49" s="1382">
        <f t="shared" si="29"/>
        <v>302.17386166251191</v>
      </c>
      <c r="E49" s="1382">
        <f t="shared" si="29"/>
        <v>348.25306642339967</v>
      </c>
      <c r="F49" s="1382">
        <f t="shared" si="29"/>
        <v>398.21220315783319</v>
      </c>
      <c r="G49" s="1382">
        <f t="shared" si="29"/>
        <v>443.27102119867345</v>
      </c>
      <c r="H49" s="1382">
        <f t="shared" si="29"/>
        <v>490.15448077040548</v>
      </c>
    </row>
    <row r="50" spans="1:10" x14ac:dyDescent="0.2">
      <c r="A50" s="1369" t="s">
        <v>713</v>
      </c>
      <c r="B50" s="1381">
        <f>+B49/B39</f>
        <v>6.3412848336808492E-2</v>
      </c>
      <c r="C50" s="1381">
        <f t="shared" ref="C50:H50" si="30">+C49/C39</f>
        <v>6.4499739740765658E-2</v>
      </c>
      <c r="D50" s="1381">
        <f t="shared" si="30"/>
        <v>6.650721623764809E-2</v>
      </c>
      <c r="E50" s="1381">
        <f t="shared" si="30"/>
        <v>6.941168870577015E-2</v>
      </c>
      <c r="F50" s="1381">
        <f t="shared" si="30"/>
        <v>7.2801132933879423E-2</v>
      </c>
      <c r="G50" s="1381">
        <f t="shared" si="30"/>
        <v>7.6759690567937203E-2</v>
      </c>
      <c r="H50" s="1381">
        <f t="shared" si="30"/>
        <v>8.0709072934991868E-2</v>
      </c>
    </row>
    <row r="52" spans="1:10" x14ac:dyDescent="0.2">
      <c r="A52" s="1357" t="s">
        <v>716</v>
      </c>
      <c r="C52" s="1384"/>
      <c r="D52" s="1384">
        <f>+D49/((1+$B$67)^D$3)</f>
        <v>279.79061265047397</v>
      </c>
      <c r="E52" s="1384">
        <f t="shared" ref="E52:H52" si="31">+E49/((1+$B$67)^E$3)</f>
        <v>298.570873133916</v>
      </c>
      <c r="F52" s="1384">
        <f t="shared" si="31"/>
        <v>316.11368563436179</v>
      </c>
      <c r="G52" s="1384">
        <f t="shared" si="31"/>
        <v>325.81743346059443</v>
      </c>
      <c r="H52" s="1384">
        <f t="shared" si="31"/>
        <v>333.59090356314175</v>
      </c>
    </row>
    <row r="53" spans="1:10" x14ac:dyDescent="0.2">
      <c r="A53" s="1357" t="s">
        <v>370</v>
      </c>
      <c r="C53" s="1384"/>
      <c r="D53" s="1384"/>
      <c r="E53" s="1384"/>
      <c r="F53" s="1384"/>
      <c r="G53" s="1384"/>
      <c r="H53" s="1397">
        <f>+((H49*(1+$B$68))/($B$67-$B$68))/((1+B67)^(H3+1))</f>
        <v>6362.9376050006667</v>
      </c>
    </row>
    <row r="54" spans="1:10" x14ac:dyDescent="0.2">
      <c r="A54" s="1386" t="s">
        <v>728</v>
      </c>
      <c r="B54" s="1386"/>
      <c r="C54" s="1387"/>
      <c r="D54" s="1387"/>
      <c r="E54" s="1387"/>
      <c r="F54" s="1387"/>
      <c r="G54" s="1387"/>
      <c r="H54" s="1398">
        <f>+SUM(C52:H52)+H53</f>
        <v>7916.8211134431549</v>
      </c>
      <c r="J54" s="1357" t="s">
        <v>750</v>
      </c>
    </row>
    <row r="55" spans="1:10" x14ac:dyDescent="0.2">
      <c r="H55" s="1397"/>
      <c r="J55" s="1357" t="s">
        <v>751</v>
      </c>
    </row>
    <row r="56" spans="1:10" x14ac:dyDescent="0.2">
      <c r="A56" s="276" t="s">
        <v>734</v>
      </c>
      <c r="B56" s="277"/>
      <c r="H56" s="1397"/>
    </row>
    <row r="57" spans="1:10" x14ac:dyDescent="0.2">
      <c r="A57" s="1399" t="s">
        <v>735</v>
      </c>
      <c r="B57" s="1400"/>
      <c r="C57" s="1400"/>
      <c r="D57" s="1400"/>
      <c r="E57" s="1400"/>
      <c r="F57" s="1400"/>
      <c r="G57" s="1400"/>
      <c r="H57" s="1401">
        <f>63%*H54</f>
        <v>4987.5973014691872</v>
      </c>
    </row>
    <row r="58" spans="1:10" x14ac:dyDescent="0.2">
      <c r="A58" s="1402" t="s">
        <v>722</v>
      </c>
      <c r="B58" s="1374"/>
      <c r="C58" s="1374"/>
      <c r="D58" s="1374"/>
      <c r="E58" s="1374"/>
      <c r="F58" s="1374"/>
      <c r="G58" s="1374"/>
      <c r="H58" s="1403">
        <v>1125</v>
      </c>
    </row>
    <row r="59" spans="1:10" x14ac:dyDescent="0.2">
      <c r="A59" s="1402" t="s">
        <v>736</v>
      </c>
      <c r="B59" s="1374"/>
      <c r="C59" s="1374"/>
      <c r="D59" s="1374"/>
      <c r="E59" s="1374"/>
      <c r="F59" s="1374"/>
      <c r="G59" s="1374"/>
      <c r="H59" s="1403">
        <v>-365</v>
      </c>
    </row>
    <row r="60" spans="1:10" x14ac:dyDescent="0.2">
      <c r="A60" s="1404" t="s">
        <v>738</v>
      </c>
      <c r="B60" s="1405"/>
      <c r="C60" s="1405"/>
      <c r="D60" s="1405"/>
      <c r="E60" s="1405"/>
      <c r="F60" s="1405"/>
      <c r="G60" s="1405"/>
      <c r="H60" s="1406">
        <f>+H59+H58+H57</f>
        <v>5747.5973014691872</v>
      </c>
    </row>
    <row r="61" spans="1:10" x14ac:dyDescent="0.2">
      <c r="A61" s="1404" t="s">
        <v>731</v>
      </c>
      <c r="B61" s="1405"/>
      <c r="C61" s="1405"/>
      <c r="D61" s="1405"/>
      <c r="E61" s="1405"/>
      <c r="F61" s="1405"/>
      <c r="G61" s="1405"/>
      <c r="H61" s="1406">
        <f>-H30</f>
        <v>-5480.2455073302117</v>
      </c>
    </row>
    <row r="62" spans="1:10" x14ac:dyDescent="0.2">
      <c r="A62" s="1404" t="s">
        <v>730</v>
      </c>
      <c r="B62" s="1405"/>
      <c r="C62" s="1405"/>
      <c r="D62" s="1405"/>
      <c r="E62" s="1405"/>
      <c r="F62" s="1405"/>
      <c r="G62" s="1405"/>
      <c r="H62" s="1406">
        <f>+H61+H60</f>
        <v>267.35179413897549</v>
      </c>
    </row>
    <row r="63" spans="1:10" x14ac:dyDescent="0.2">
      <c r="A63" s="1407" t="s">
        <v>729</v>
      </c>
      <c r="B63" s="1408"/>
      <c r="C63" s="1408"/>
      <c r="D63" s="1408"/>
      <c r="E63" s="1408"/>
      <c r="F63" s="1408"/>
      <c r="G63" s="1408"/>
      <c r="H63" s="1409">
        <f>+'P&amp;L'!BU32</f>
        <v>147.86120211280831</v>
      </c>
    </row>
    <row r="64" spans="1:10" x14ac:dyDescent="0.2">
      <c r="A64" s="1413" t="s">
        <v>732</v>
      </c>
      <c r="B64" s="1414"/>
      <c r="C64" s="1414"/>
      <c r="D64" s="1414"/>
      <c r="E64" s="1414"/>
      <c r="F64" s="1414"/>
      <c r="G64" s="1414"/>
      <c r="H64" s="1415">
        <f>+(H62)/H63</f>
        <v>1.8081267453446224</v>
      </c>
    </row>
    <row r="67" spans="1:5" x14ac:dyDescent="0.2">
      <c r="A67" s="1357" t="s">
        <v>723</v>
      </c>
      <c r="B67" s="1410">
        <v>0.08</v>
      </c>
    </row>
    <row r="68" spans="1:5" x14ac:dyDescent="0.2">
      <c r="A68" s="1357" t="s">
        <v>724</v>
      </c>
      <c r="B68" s="1410">
        <v>0.03</v>
      </c>
    </row>
    <row r="70" spans="1:5" x14ac:dyDescent="0.2">
      <c r="A70" s="1357" t="s">
        <v>725</v>
      </c>
      <c r="B70" s="1411">
        <v>438.101</v>
      </c>
      <c r="C70" s="1411">
        <v>545.61531100000002</v>
      </c>
      <c r="D70" s="1411">
        <v>601.6201990400001</v>
      </c>
      <c r="E70" s="1411">
        <v>634.94444469720008</v>
      </c>
    </row>
    <row r="71" spans="1:5" x14ac:dyDescent="0.2">
      <c r="A71" s="1357" t="s">
        <v>600</v>
      </c>
      <c r="C71" s="1412">
        <v>7.8867284028112217E-2</v>
      </c>
      <c r="D71" s="1412">
        <v>5.7019832201886347E-2</v>
      </c>
      <c r="E71" s="1412">
        <v>5.5390835797028082E-2</v>
      </c>
    </row>
  </sheetData>
  <pageMargins left="0.7" right="0.7" top="0.75" bottom="0.75" header="0.3" footer="0.3"/>
  <pageSetup orientation="portrait" r:id="rId1"/>
  <ignoredErrors>
    <ignoredError sqref="C20:H20 G8:H8" 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x14ac:dyDescent="0.2"/>
  <cols>
    <col min="1" max="1" width="29.5703125" style="273" bestFit="1" customWidth="1"/>
    <col min="2" max="2" width="19.85546875" style="1446" customWidth="1"/>
    <col min="3" max="3" width="12" style="273" bestFit="1" customWidth="1"/>
    <col min="4" max="256" width="9.140625" style="273"/>
    <col min="257" max="257" width="29.5703125" style="273" bestFit="1" customWidth="1"/>
    <col min="258" max="258" width="19.85546875" style="273" customWidth="1"/>
    <col min="259" max="259" width="12" style="273" bestFit="1" customWidth="1"/>
    <col min="260" max="512" width="9.140625" style="273"/>
    <col min="513" max="513" width="29.5703125" style="273" bestFit="1" customWidth="1"/>
    <col min="514" max="514" width="19.85546875" style="273" customWidth="1"/>
    <col min="515" max="515" width="12" style="273" bestFit="1" customWidth="1"/>
    <col min="516" max="768" width="9.140625" style="273"/>
    <col min="769" max="769" width="29.5703125" style="273" bestFit="1" customWidth="1"/>
    <col min="770" max="770" width="19.85546875" style="273" customWidth="1"/>
    <col min="771" max="771" width="12" style="273" bestFit="1" customWidth="1"/>
    <col min="772" max="1024" width="9.140625" style="273"/>
    <col min="1025" max="1025" width="29.5703125" style="273" bestFit="1" customWidth="1"/>
    <col min="1026" max="1026" width="19.85546875" style="273" customWidth="1"/>
    <col min="1027" max="1027" width="12" style="273" bestFit="1" customWidth="1"/>
    <col min="1028" max="1280" width="9.140625" style="273"/>
    <col min="1281" max="1281" width="29.5703125" style="273" bestFit="1" customWidth="1"/>
    <col min="1282" max="1282" width="19.85546875" style="273" customWidth="1"/>
    <col min="1283" max="1283" width="12" style="273" bestFit="1" customWidth="1"/>
    <col min="1284" max="1536" width="9.140625" style="273"/>
    <col min="1537" max="1537" width="29.5703125" style="273" bestFit="1" customWidth="1"/>
    <col min="1538" max="1538" width="19.85546875" style="273" customWidth="1"/>
    <col min="1539" max="1539" width="12" style="273" bestFit="1" customWidth="1"/>
    <col min="1540" max="1792" width="9.140625" style="273"/>
    <col min="1793" max="1793" width="29.5703125" style="273" bestFit="1" customWidth="1"/>
    <col min="1794" max="1794" width="19.85546875" style="273" customWidth="1"/>
    <col min="1795" max="1795" width="12" style="273" bestFit="1" customWidth="1"/>
    <col min="1796" max="2048" width="9.140625" style="273"/>
    <col min="2049" max="2049" width="29.5703125" style="273" bestFit="1" customWidth="1"/>
    <col min="2050" max="2050" width="19.85546875" style="273" customWidth="1"/>
    <col min="2051" max="2051" width="12" style="273" bestFit="1" customWidth="1"/>
    <col min="2052" max="2304" width="9.140625" style="273"/>
    <col min="2305" max="2305" width="29.5703125" style="273" bestFit="1" customWidth="1"/>
    <col min="2306" max="2306" width="19.85546875" style="273" customWidth="1"/>
    <col min="2307" max="2307" width="12" style="273" bestFit="1" customWidth="1"/>
    <col min="2308" max="2560" width="9.140625" style="273"/>
    <col min="2561" max="2561" width="29.5703125" style="273" bestFit="1" customWidth="1"/>
    <col min="2562" max="2562" width="19.85546875" style="273" customWidth="1"/>
    <col min="2563" max="2563" width="12" style="273" bestFit="1" customWidth="1"/>
    <col min="2564" max="2816" width="9.140625" style="273"/>
    <col min="2817" max="2817" width="29.5703125" style="273" bestFit="1" customWidth="1"/>
    <col min="2818" max="2818" width="19.85546875" style="273" customWidth="1"/>
    <col min="2819" max="2819" width="12" style="273" bestFit="1" customWidth="1"/>
    <col min="2820" max="3072" width="9.140625" style="273"/>
    <col min="3073" max="3073" width="29.5703125" style="273" bestFit="1" customWidth="1"/>
    <col min="3074" max="3074" width="19.85546875" style="273" customWidth="1"/>
    <col min="3075" max="3075" width="12" style="273" bestFit="1" customWidth="1"/>
    <col min="3076" max="3328" width="9.140625" style="273"/>
    <col min="3329" max="3329" width="29.5703125" style="273" bestFit="1" customWidth="1"/>
    <col min="3330" max="3330" width="19.85546875" style="273" customWidth="1"/>
    <col min="3331" max="3331" width="12" style="273" bestFit="1" customWidth="1"/>
    <col min="3332" max="3584" width="9.140625" style="273"/>
    <col min="3585" max="3585" width="29.5703125" style="273" bestFit="1" customWidth="1"/>
    <col min="3586" max="3586" width="19.85546875" style="273" customWidth="1"/>
    <col min="3587" max="3587" width="12" style="273" bestFit="1" customWidth="1"/>
    <col min="3588" max="3840" width="9.140625" style="273"/>
    <col min="3841" max="3841" width="29.5703125" style="273" bestFit="1" customWidth="1"/>
    <col min="3842" max="3842" width="19.85546875" style="273" customWidth="1"/>
    <col min="3843" max="3843" width="12" style="273" bestFit="1" customWidth="1"/>
    <col min="3844" max="4096" width="9.140625" style="273"/>
    <col min="4097" max="4097" width="29.5703125" style="273" bestFit="1" customWidth="1"/>
    <col min="4098" max="4098" width="19.85546875" style="273" customWidth="1"/>
    <col min="4099" max="4099" width="12" style="273" bestFit="1" customWidth="1"/>
    <col min="4100" max="4352" width="9.140625" style="273"/>
    <col min="4353" max="4353" width="29.5703125" style="273" bestFit="1" customWidth="1"/>
    <col min="4354" max="4354" width="19.85546875" style="273" customWidth="1"/>
    <col min="4355" max="4355" width="12" style="273" bestFit="1" customWidth="1"/>
    <col min="4356" max="4608" width="9.140625" style="273"/>
    <col min="4609" max="4609" width="29.5703125" style="273" bestFit="1" customWidth="1"/>
    <col min="4610" max="4610" width="19.85546875" style="273" customWidth="1"/>
    <col min="4611" max="4611" width="12" style="273" bestFit="1" customWidth="1"/>
    <col min="4612" max="4864" width="9.140625" style="273"/>
    <col min="4865" max="4865" width="29.5703125" style="273" bestFit="1" customWidth="1"/>
    <col min="4866" max="4866" width="19.85546875" style="273" customWidth="1"/>
    <col min="4867" max="4867" width="12" style="273" bestFit="1" customWidth="1"/>
    <col min="4868" max="5120" width="9.140625" style="273"/>
    <col min="5121" max="5121" width="29.5703125" style="273" bestFit="1" customWidth="1"/>
    <col min="5122" max="5122" width="19.85546875" style="273" customWidth="1"/>
    <col min="5123" max="5123" width="12" style="273" bestFit="1" customWidth="1"/>
    <col min="5124" max="5376" width="9.140625" style="273"/>
    <col min="5377" max="5377" width="29.5703125" style="273" bestFit="1" customWidth="1"/>
    <col min="5378" max="5378" width="19.85546875" style="273" customWidth="1"/>
    <col min="5379" max="5379" width="12" style="273" bestFit="1" customWidth="1"/>
    <col min="5380" max="5632" width="9.140625" style="273"/>
    <col min="5633" max="5633" width="29.5703125" style="273" bestFit="1" customWidth="1"/>
    <col min="5634" max="5634" width="19.85546875" style="273" customWidth="1"/>
    <col min="5635" max="5635" width="12" style="273" bestFit="1" customWidth="1"/>
    <col min="5636" max="5888" width="9.140625" style="273"/>
    <col min="5889" max="5889" width="29.5703125" style="273" bestFit="1" customWidth="1"/>
    <col min="5890" max="5890" width="19.85546875" style="273" customWidth="1"/>
    <col min="5891" max="5891" width="12" style="273" bestFit="1" customWidth="1"/>
    <col min="5892" max="6144" width="9.140625" style="273"/>
    <col min="6145" max="6145" width="29.5703125" style="273" bestFit="1" customWidth="1"/>
    <col min="6146" max="6146" width="19.85546875" style="273" customWidth="1"/>
    <col min="6147" max="6147" width="12" style="273" bestFit="1" customWidth="1"/>
    <col min="6148" max="6400" width="9.140625" style="273"/>
    <col min="6401" max="6401" width="29.5703125" style="273" bestFit="1" customWidth="1"/>
    <col min="6402" max="6402" width="19.85546875" style="273" customWidth="1"/>
    <col min="6403" max="6403" width="12" style="273" bestFit="1" customWidth="1"/>
    <col min="6404" max="6656" width="9.140625" style="273"/>
    <col min="6657" max="6657" width="29.5703125" style="273" bestFit="1" customWidth="1"/>
    <col min="6658" max="6658" width="19.85546875" style="273" customWidth="1"/>
    <col min="6659" max="6659" width="12" style="273" bestFit="1" customWidth="1"/>
    <col min="6660" max="6912" width="9.140625" style="273"/>
    <col min="6913" max="6913" width="29.5703125" style="273" bestFit="1" customWidth="1"/>
    <col min="6914" max="6914" width="19.85546875" style="273" customWidth="1"/>
    <col min="6915" max="6915" width="12" style="273" bestFit="1" customWidth="1"/>
    <col min="6916" max="7168" width="9.140625" style="273"/>
    <col min="7169" max="7169" width="29.5703125" style="273" bestFit="1" customWidth="1"/>
    <col min="7170" max="7170" width="19.85546875" style="273" customWidth="1"/>
    <col min="7171" max="7171" width="12" style="273" bestFit="1" customWidth="1"/>
    <col min="7172" max="7424" width="9.140625" style="273"/>
    <col min="7425" max="7425" width="29.5703125" style="273" bestFit="1" customWidth="1"/>
    <col min="7426" max="7426" width="19.85546875" style="273" customWidth="1"/>
    <col min="7427" max="7427" width="12" style="273" bestFit="1" customWidth="1"/>
    <col min="7428" max="7680" width="9.140625" style="273"/>
    <col min="7681" max="7681" width="29.5703125" style="273" bestFit="1" customWidth="1"/>
    <col min="7682" max="7682" width="19.85546875" style="273" customWidth="1"/>
    <col min="7683" max="7683" width="12" style="273" bestFit="1" customWidth="1"/>
    <col min="7684" max="7936" width="9.140625" style="273"/>
    <col min="7937" max="7937" width="29.5703125" style="273" bestFit="1" customWidth="1"/>
    <col min="7938" max="7938" width="19.85546875" style="273" customWidth="1"/>
    <col min="7939" max="7939" width="12" style="273" bestFit="1" customWidth="1"/>
    <col min="7940" max="8192" width="9.140625" style="273"/>
    <col min="8193" max="8193" width="29.5703125" style="273" bestFit="1" customWidth="1"/>
    <col min="8194" max="8194" width="19.85546875" style="273" customWidth="1"/>
    <col min="8195" max="8195" width="12" style="273" bestFit="1" customWidth="1"/>
    <col min="8196" max="8448" width="9.140625" style="273"/>
    <col min="8449" max="8449" width="29.5703125" style="273" bestFit="1" customWidth="1"/>
    <col min="8450" max="8450" width="19.85546875" style="273" customWidth="1"/>
    <col min="8451" max="8451" width="12" style="273" bestFit="1" customWidth="1"/>
    <col min="8452" max="8704" width="9.140625" style="273"/>
    <col min="8705" max="8705" width="29.5703125" style="273" bestFit="1" customWidth="1"/>
    <col min="8706" max="8706" width="19.85546875" style="273" customWidth="1"/>
    <col min="8707" max="8707" width="12" style="273" bestFit="1" customWidth="1"/>
    <col min="8708" max="8960" width="9.140625" style="273"/>
    <col min="8961" max="8961" width="29.5703125" style="273" bestFit="1" customWidth="1"/>
    <col min="8962" max="8962" width="19.85546875" style="273" customWidth="1"/>
    <col min="8963" max="8963" width="12" style="273" bestFit="1" customWidth="1"/>
    <col min="8964" max="9216" width="9.140625" style="273"/>
    <col min="9217" max="9217" width="29.5703125" style="273" bestFit="1" customWidth="1"/>
    <col min="9218" max="9218" width="19.85546875" style="273" customWidth="1"/>
    <col min="9219" max="9219" width="12" style="273" bestFit="1" customWidth="1"/>
    <col min="9220" max="9472" width="9.140625" style="273"/>
    <col min="9473" max="9473" width="29.5703125" style="273" bestFit="1" customWidth="1"/>
    <col min="9474" max="9474" width="19.85546875" style="273" customWidth="1"/>
    <col min="9475" max="9475" width="12" style="273" bestFit="1" customWidth="1"/>
    <col min="9476" max="9728" width="9.140625" style="273"/>
    <col min="9729" max="9729" width="29.5703125" style="273" bestFit="1" customWidth="1"/>
    <col min="9730" max="9730" width="19.85546875" style="273" customWidth="1"/>
    <col min="9731" max="9731" width="12" style="273" bestFit="1" customWidth="1"/>
    <col min="9732" max="9984" width="9.140625" style="273"/>
    <col min="9985" max="9985" width="29.5703125" style="273" bestFit="1" customWidth="1"/>
    <col min="9986" max="9986" width="19.85546875" style="273" customWidth="1"/>
    <col min="9987" max="9987" width="12" style="273" bestFit="1" customWidth="1"/>
    <col min="9988" max="10240" width="9.140625" style="273"/>
    <col min="10241" max="10241" width="29.5703125" style="273" bestFit="1" customWidth="1"/>
    <col min="10242" max="10242" width="19.85546875" style="273" customWidth="1"/>
    <col min="10243" max="10243" width="12" style="273" bestFit="1" customWidth="1"/>
    <col min="10244" max="10496" width="9.140625" style="273"/>
    <col min="10497" max="10497" width="29.5703125" style="273" bestFit="1" customWidth="1"/>
    <col min="10498" max="10498" width="19.85546875" style="273" customWidth="1"/>
    <col min="10499" max="10499" width="12" style="273" bestFit="1" customWidth="1"/>
    <col min="10500" max="10752" width="9.140625" style="273"/>
    <col min="10753" max="10753" width="29.5703125" style="273" bestFit="1" customWidth="1"/>
    <col min="10754" max="10754" width="19.85546875" style="273" customWidth="1"/>
    <col min="10755" max="10755" width="12" style="273" bestFit="1" customWidth="1"/>
    <col min="10756" max="11008" width="9.140625" style="273"/>
    <col min="11009" max="11009" width="29.5703125" style="273" bestFit="1" customWidth="1"/>
    <col min="11010" max="11010" width="19.85546875" style="273" customWidth="1"/>
    <col min="11011" max="11011" width="12" style="273" bestFit="1" customWidth="1"/>
    <col min="11012" max="11264" width="9.140625" style="273"/>
    <col min="11265" max="11265" width="29.5703125" style="273" bestFit="1" customWidth="1"/>
    <col min="11266" max="11266" width="19.85546875" style="273" customWidth="1"/>
    <col min="11267" max="11267" width="12" style="273" bestFit="1" customWidth="1"/>
    <col min="11268" max="11520" width="9.140625" style="273"/>
    <col min="11521" max="11521" width="29.5703125" style="273" bestFit="1" customWidth="1"/>
    <col min="11522" max="11522" width="19.85546875" style="273" customWidth="1"/>
    <col min="11523" max="11523" width="12" style="273" bestFit="1" customWidth="1"/>
    <col min="11524" max="11776" width="9.140625" style="273"/>
    <col min="11777" max="11777" width="29.5703125" style="273" bestFit="1" customWidth="1"/>
    <col min="11778" max="11778" width="19.85546875" style="273" customWidth="1"/>
    <col min="11779" max="11779" width="12" style="273" bestFit="1" customWidth="1"/>
    <col min="11780" max="12032" width="9.140625" style="273"/>
    <col min="12033" max="12033" width="29.5703125" style="273" bestFit="1" customWidth="1"/>
    <col min="12034" max="12034" width="19.85546875" style="273" customWidth="1"/>
    <col min="12035" max="12035" width="12" style="273" bestFit="1" customWidth="1"/>
    <col min="12036" max="12288" width="9.140625" style="273"/>
    <col min="12289" max="12289" width="29.5703125" style="273" bestFit="1" customWidth="1"/>
    <col min="12290" max="12290" width="19.85546875" style="273" customWidth="1"/>
    <col min="12291" max="12291" width="12" style="273" bestFit="1" customWidth="1"/>
    <col min="12292" max="12544" width="9.140625" style="273"/>
    <col min="12545" max="12545" width="29.5703125" style="273" bestFit="1" customWidth="1"/>
    <col min="12546" max="12546" width="19.85546875" style="273" customWidth="1"/>
    <col min="12547" max="12547" width="12" style="273" bestFit="1" customWidth="1"/>
    <col min="12548" max="12800" width="9.140625" style="273"/>
    <col min="12801" max="12801" width="29.5703125" style="273" bestFit="1" customWidth="1"/>
    <col min="12802" max="12802" width="19.85546875" style="273" customWidth="1"/>
    <col min="12803" max="12803" width="12" style="273" bestFit="1" customWidth="1"/>
    <col min="12804" max="13056" width="9.140625" style="273"/>
    <col min="13057" max="13057" width="29.5703125" style="273" bestFit="1" customWidth="1"/>
    <col min="13058" max="13058" width="19.85546875" style="273" customWidth="1"/>
    <col min="13059" max="13059" width="12" style="273" bestFit="1" customWidth="1"/>
    <col min="13060" max="13312" width="9.140625" style="273"/>
    <col min="13313" max="13313" width="29.5703125" style="273" bestFit="1" customWidth="1"/>
    <col min="13314" max="13314" width="19.85546875" style="273" customWidth="1"/>
    <col min="13315" max="13315" width="12" style="273" bestFit="1" customWidth="1"/>
    <col min="13316" max="13568" width="9.140625" style="273"/>
    <col min="13569" max="13569" width="29.5703125" style="273" bestFit="1" customWidth="1"/>
    <col min="13570" max="13570" width="19.85546875" style="273" customWidth="1"/>
    <col min="13571" max="13571" width="12" style="273" bestFit="1" customWidth="1"/>
    <col min="13572" max="13824" width="9.140625" style="273"/>
    <col min="13825" max="13825" width="29.5703125" style="273" bestFit="1" customWidth="1"/>
    <col min="13826" max="13826" width="19.85546875" style="273" customWidth="1"/>
    <col min="13827" max="13827" width="12" style="273" bestFit="1" customWidth="1"/>
    <col min="13828" max="14080" width="9.140625" style="273"/>
    <col min="14081" max="14081" width="29.5703125" style="273" bestFit="1" customWidth="1"/>
    <col min="14082" max="14082" width="19.85546875" style="273" customWidth="1"/>
    <col min="14083" max="14083" width="12" style="273" bestFit="1" customWidth="1"/>
    <col min="14084" max="14336" width="9.140625" style="273"/>
    <col min="14337" max="14337" width="29.5703125" style="273" bestFit="1" customWidth="1"/>
    <col min="14338" max="14338" width="19.85546875" style="273" customWidth="1"/>
    <col min="14339" max="14339" width="12" style="273" bestFit="1" customWidth="1"/>
    <col min="14340" max="14592" width="9.140625" style="273"/>
    <col min="14593" max="14593" width="29.5703125" style="273" bestFit="1" customWidth="1"/>
    <col min="14594" max="14594" width="19.85546875" style="273" customWidth="1"/>
    <col min="14595" max="14595" width="12" style="273" bestFit="1" customWidth="1"/>
    <col min="14596" max="14848" width="9.140625" style="273"/>
    <col min="14849" max="14849" width="29.5703125" style="273" bestFit="1" customWidth="1"/>
    <col min="14850" max="14850" width="19.85546875" style="273" customWidth="1"/>
    <col min="14851" max="14851" width="12" style="273" bestFit="1" customWidth="1"/>
    <col min="14852" max="15104" width="9.140625" style="273"/>
    <col min="15105" max="15105" width="29.5703125" style="273" bestFit="1" customWidth="1"/>
    <col min="15106" max="15106" width="19.85546875" style="273" customWidth="1"/>
    <col min="15107" max="15107" width="12" style="273" bestFit="1" customWidth="1"/>
    <col min="15108" max="15360" width="9.140625" style="273"/>
    <col min="15361" max="15361" width="29.5703125" style="273" bestFit="1" customWidth="1"/>
    <col min="15362" max="15362" width="19.85546875" style="273" customWidth="1"/>
    <col min="15363" max="15363" width="12" style="273" bestFit="1" customWidth="1"/>
    <col min="15364" max="15616" width="9.140625" style="273"/>
    <col min="15617" max="15617" width="29.5703125" style="273" bestFit="1" customWidth="1"/>
    <col min="15618" max="15618" width="19.85546875" style="273" customWidth="1"/>
    <col min="15619" max="15619" width="12" style="273" bestFit="1" customWidth="1"/>
    <col min="15620" max="15872" width="9.140625" style="273"/>
    <col min="15873" max="15873" width="29.5703125" style="273" bestFit="1" customWidth="1"/>
    <col min="15874" max="15874" width="19.85546875" style="273" customWidth="1"/>
    <col min="15875" max="15875" width="12" style="273" bestFit="1" customWidth="1"/>
    <col min="15876" max="16128" width="9.140625" style="273"/>
    <col min="16129" max="16129" width="29.5703125" style="273" bestFit="1" customWidth="1"/>
    <col min="16130" max="16130" width="19.85546875" style="273" customWidth="1"/>
    <col min="16131" max="16131" width="12" style="273" bestFit="1" customWidth="1"/>
    <col min="16132" max="16384" width="9.140625" style="273"/>
  </cols>
  <sheetData>
    <row r="1" spans="1:2" x14ac:dyDescent="0.2">
      <c r="A1" s="273" t="s">
        <v>1053</v>
      </c>
      <c r="B1" s="1445">
        <v>6.1</v>
      </c>
    </row>
    <row r="2" spans="1:2" x14ac:dyDescent="0.2">
      <c r="A2" s="273" t="s">
        <v>1054</v>
      </c>
      <c r="B2" s="1448">
        <v>43216.744803240741</v>
      </c>
    </row>
    <row r="3" spans="1:2" x14ac:dyDescent="0.2">
      <c r="A3" s="273" t="s">
        <v>1055</v>
      </c>
      <c r="B3" s="1446" t="s">
        <v>759</v>
      </c>
    </row>
    <row r="4" spans="1:2" x14ac:dyDescent="0.2">
      <c r="A4" s="273" t="s">
        <v>1056</v>
      </c>
      <c r="B4" s="1446" t="s">
        <v>1057</v>
      </c>
    </row>
    <row r="5" spans="1:2" x14ac:dyDescent="0.2">
      <c r="A5" s="273" t="s">
        <v>1058</v>
      </c>
      <c r="B5" s="1446" t="s">
        <v>1059</v>
      </c>
    </row>
    <row r="6" spans="1:2" x14ac:dyDescent="0.2">
      <c r="A6" s="273" t="s">
        <v>1060</v>
      </c>
    </row>
    <row r="7" spans="1:2" x14ac:dyDescent="0.2">
      <c r="A7" s="273" t="s">
        <v>1061</v>
      </c>
      <c r="B7" s="1446" t="s">
        <v>359</v>
      </c>
    </row>
    <row r="8" spans="1:2" x14ac:dyDescent="0.2">
      <c r="A8" s="273" t="s">
        <v>1062</v>
      </c>
      <c r="B8" s="1446" t="s">
        <v>1063</v>
      </c>
    </row>
    <row r="9" spans="1:2" x14ac:dyDescent="0.2">
      <c r="A9" s="273" t="s">
        <v>1064</v>
      </c>
      <c r="B9" s="1446" t="s">
        <v>1101</v>
      </c>
    </row>
    <row r="10" spans="1:2" x14ac:dyDescent="0.2">
      <c r="A10" s="273" t="s">
        <v>1065</v>
      </c>
    </row>
    <row r="11" spans="1:2" x14ac:dyDescent="0.2">
      <c r="A11" s="273" t="s">
        <v>1066</v>
      </c>
    </row>
    <row r="12" spans="1:2" x14ac:dyDescent="0.2">
      <c r="A12" s="273" t="s">
        <v>1067</v>
      </c>
    </row>
    <row r="13" spans="1:2" x14ac:dyDescent="0.2">
      <c r="A13" s="273" t="s">
        <v>1068</v>
      </c>
    </row>
    <row r="14" spans="1:2" x14ac:dyDescent="0.2">
      <c r="A14" s="273" t="s">
        <v>1069</v>
      </c>
    </row>
    <row r="15" spans="1:2" x14ac:dyDescent="0.2">
      <c r="A15" s="273" t="s">
        <v>1070</v>
      </c>
    </row>
    <row r="16" spans="1:2" x14ac:dyDescent="0.2">
      <c r="A16" s="273" t="s">
        <v>1071</v>
      </c>
    </row>
    <row r="17" spans="1:4" x14ac:dyDescent="0.2">
      <c r="A17" s="273" t="s">
        <v>1072</v>
      </c>
      <c r="B17" s="1446" t="s">
        <v>1102</v>
      </c>
    </row>
    <row r="18" spans="1:4" x14ac:dyDescent="0.2">
      <c r="A18" s="273" t="s">
        <v>1073</v>
      </c>
      <c r="B18" s="1446" t="s">
        <v>1105</v>
      </c>
    </row>
    <row r="19" spans="1:4" x14ac:dyDescent="0.2">
      <c r="A19" s="273" t="s">
        <v>1074</v>
      </c>
      <c r="B19" s="1446" t="s">
        <v>358</v>
      </c>
    </row>
    <row r="20" spans="1:4" x14ac:dyDescent="0.2">
      <c r="A20" s="273" t="s">
        <v>1075</v>
      </c>
      <c r="B20" s="1447">
        <v>806407102</v>
      </c>
    </row>
    <row r="21" spans="1:4" x14ac:dyDescent="0.2">
      <c r="A21" s="273" t="s">
        <v>1076</v>
      </c>
      <c r="B21" s="1446" t="s">
        <v>358</v>
      </c>
    </row>
    <row r="22" spans="1:4" x14ac:dyDescent="0.2">
      <c r="A22" s="273" t="s">
        <v>1077</v>
      </c>
      <c r="B22" s="1447">
        <v>2416962</v>
      </c>
    </row>
    <row r="23" spans="1:4" x14ac:dyDescent="0.2">
      <c r="A23" s="273" t="s">
        <v>363</v>
      </c>
      <c r="B23" s="1445">
        <v>76.25</v>
      </c>
    </row>
    <row r="24" spans="1:4" x14ac:dyDescent="0.2">
      <c r="A24" s="273" t="s">
        <v>362</v>
      </c>
      <c r="B24" s="1446" t="s">
        <v>133</v>
      </c>
      <c r="D24" s="273" t="s">
        <v>448</v>
      </c>
    </row>
    <row r="25" spans="1:4" x14ac:dyDescent="0.2">
      <c r="A25" s="273" t="s">
        <v>1078</v>
      </c>
      <c r="B25" s="1446" t="s">
        <v>1106</v>
      </c>
    </row>
    <row r="26" spans="1:4" x14ac:dyDescent="0.2">
      <c r="A26" s="273" t="s">
        <v>1079</v>
      </c>
      <c r="B26" s="1446">
        <v>0</v>
      </c>
    </row>
    <row r="27" spans="1:4" x14ac:dyDescent="0.2">
      <c r="A27" s="273" t="s">
        <v>1080</v>
      </c>
      <c r="B27" s="1446" t="s">
        <v>1081</v>
      </c>
    </row>
    <row r="28" spans="1:4" x14ac:dyDescent="0.2">
      <c r="A28" s="273" t="s">
        <v>1082</v>
      </c>
      <c r="B28" s="1446" t="s">
        <v>1083</v>
      </c>
    </row>
    <row r="29" spans="1:4" x14ac:dyDescent="0.2">
      <c r="A29" s="273" t="s">
        <v>1084</v>
      </c>
    </row>
    <row r="30" spans="1:4" x14ac:dyDescent="0.2">
      <c r="A30" s="273" t="s">
        <v>1085</v>
      </c>
    </row>
    <row r="31" spans="1:4" x14ac:dyDescent="0.2">
      <c r="A31" s="273" t="s">
        <v>1086</v>
      </c>
    </row>
    <row r="32" spans="1:4" x14ac:dyDescent="0.2">
      <c r="A32" s="273" t="s">
        <v>1087</v>
      </c>
      <c r="B32" s="1445"/>
    </row>
    <row r="33" spans="1:2" x14ac:dyDescent="0.2">
      <c r="A33" s="273" t="s">
        <v>1088</v>
      </c>
      <c r="B33" s="1445"/>
    </row>
    <row r="34" spans="1:2" x14ac:dyDescent="0.2">
      <c r="A34" s="273" t="s">
        <v>1089</v>
      </c>
      <c r="B34" s="1445"/>
    </row>
    <row r="35" spans="1:2" x14ac:dyDescent="0.2">
      <c r="A35" s="273" t="s">
        <v>1090</v>
      </c>
      <c r="B35" s="1446">
        <v>1000000</v>
      </c>
    </row>
    <row r="36" spans="1:2" x14ac:dyDescent="0.2">
      <c r="A36" s="273" t="s">
        <v>1091</v>
      </c>
      <c r="B36" s="1446" t="s">
        <v>1103</v>
      </c>
    </row>
    <row r="37" spans="1:2" x14ac:dyDescent="0.2">
      <c r="A37" s="273" t="s">
        <v>1092</v>
      </c>
      <c r="B37" s="1446" t="s">
        <v>1093</v>
      </c>
    </row>
    <row r="38" spans="1:2" x14ac:dyDescent="0.2">
      <c r="A38" s="273" t="s">
        <v>1094</v>
      </c>
      <c r="B38" s="1446" t="s">
        <v>1095</v>
      </c>
    </row>
    <row r="39" spans="1:2" x14ac:dyDescent="0.2">
      <c r="A39" s="273" t="s">
        <v>1096</v>
      </c>
      <c r="B39" s="1446" t="s">
        <v>1104</v>
      </c>
    </row>
    <row r="40" spans="1:2" x14ac:dyDescent="0.2">
      <c r="A40" s="273" t="s">
        <v>1097</v>
      </c>
      <c r="B40" s="1446">
        <v>1500005486</v>
      </c>
    </row>
    <row r="41" spans="1:2" x14ac:dyDescent="0.2">
      <c r="A41" s="273" t="s">
        <v>1098</v>
      </c>
      <c r="B41" s="1446">
        <v>1</v>
      </c>
    </row>
    <row r="42" spans="1:2" x14ac:dyDescent="0.2">
      <c r="A42" s="286" t="s">
        <v>1099</v>
      </c>
    </row>
    <row r="43" spans="1:2" x14ac:dyDescent="0.2">
      <c r="A43" s="273" t="s">
        <v>1100</v>
      </c>
    </row>
  </sheetData>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x14ac:dyDescent="0.2"/>
  <cols>
    <col min="1" max="1" width="28.5703125" style="273" bestFit="1" customWidth="1"/>
    <col min="2" max="256" width="9.140625" style="273"/>
    <col min="257" max="257" width="28.5703125" style="273" bestFit="1" customWidth="1"/>
    <col min="258" max="512" width="9.140625" style="273"/>
    <col min="513" max="513" width="28.5703125" style="273" bestFit="1" customWidth="1"/>
    <col min="514" max="768" width="9.140625" style="273"/>
    <col min="769" max="769" width="28.5703125" style="273" bestFit="1" customWidth="1"/>
    <col min="770" max="1024" width="9.140625" style="273"/>
    <col min="1025" max="1025" width="28.5703125" style="273" bestFit="1" customWidth="1"/>
    <col min="1026" max="1280" width="9.140625" style="273"/>
    <col min="1281" max="1281" width="28.5703125" style="273" bestFit="1" customWidth="1"/>
    <col min="1282" max="1536" width="9.140625" style="273"/>
    <col min="1537" max="1537" width="28.5703125" style="273" bestFit="1" customWidth="1"/>
    <col min="1538" max="1792" width="9.140625" style="273"/>
    <col min="1793" max="1793" width="28.5703125" style="273" bestFit="1" customWidth="1"/>
    <col min="1794" max="2048" width="9.140625" style="273"/>
    <col min="2049" max="2049" width="28.5703125" style="273" bestFit="1" customWidth="1"/>
    <col min="2050" max="2304" width="9.140625" style="273"/>
    <col min="2305" max="2305" width="28.5703125" style="273" bestFit="1" customWidth="1"/>
    <col min="2306" max="2560" width="9.140625" style="273"/>
    <col min="2561" max="2561" width="28.5703125" style="273" bestFit="1" customWidth="1"/>
    <col min="2562" max="2816" width="9.140625" style="273"/>
    <col min="2817" max="2817" width="28.5703125" style="273" bestFit="1" customWidth="1"/>
    <col min="2818" max="3072" width="9.140625" style="273"/>
    <col min="3073" max="3073" width="28.5703125" style="273" bestFit="1" customWidth="1"/>
    <col min="3074" max="3328" width="9.140625" style="273"/>
    <col min="3329" max="3329" width="28.5703125" style="273" bestFit="1" customWidth="1"/>
    <col min="3330" max="3584" width="9.140625" style="273"/>
    <col min="3585" max="3585" width="28.5703125" style="273" bestFit="1" customWidth="1"/>
    <col min="3586" max="3840" width="9.140625" style="273"/>
    <col min="3841" max="3841" width="28.5703125" style="273" bestFit="1" customWidth="1"/>
    <col min="3842" max="4096" width="9.140625" style="273"/>
    <col min="4097" max="4097" width="28.5703125" style="273" bestFit="1" customWidth="1"/>
    <col min="4098" max="4352" width="9.140625" style="273"/>
    <col min="4353" max="4353" width="28.5703125" style="273" bestFit="1" customWidth="1"/>
    <col min="4354" max="4608" width="9.140625" style="273"/>
    <col min="4609" max="4609" width="28.5703125" style="273" bestFit="1" customWidth="1"/>
    <col min="4610" max="4864" width="9.140625" style="273"/>
    <col min="4865" max="4865" width="28.5703125" style="273" bestFit="1" customWidth="1"/>
    <col min="4866" max="5120" width="9.140625" style="273"/>
    <col min="5121" max="5121" width="28.5703125" style="273" bestFit="1" customWidth="1"/>
    <col min="5122" max="5376" width="9.140625" style="273"/>
    <col min="5377" max="5377" width="28.5703125" style="273" bestFit="1" customWidth="1"/>
    <col min="5378" max="5632" width="9.140625" style="273"/>
    <col min="5633" max="5633" width="28.5703125" style="273" bestFit="1" customWidth="1"/>
    <col min="5634" max="5888" width="9.140625" style="273"/>
    <col min="5889" max="5889" width="28.5703125" style="273" bestFit="1" customWidth="1"/>
    <col min="5890" max="6144" width="9.140625" style="273"/>
    <col min="6145" max="6145" width="28.5703125" style="273" bestFit="1" customWidth="1"/>
    <col min="6146" max="6400" width="9.140625" style="273"/>
    <col min="6401" max="6401" width="28.5703125" style="273" bestFit="1" customWidth="1"/>
    <col min="6402" max="6656" width="9.140625" style="273"/>
    <col min="6657" max="6657" width="28.5703125" style="273" bestFit="1" customWidth="1"/>
    <col min="6658" max="6912" width="9.140625" style="273"/>
    <col min="6913" max="6913" width="28.5703125" style="273" bestFit="1" customWidth="1"/>
    <col min="6914" max="7168" width="9.140625" style="273"/>
    <col min="7169" max="7169" width="28.5703125" style="273" bestFit="1" customWidth="1"/>
    <col min="7170" max="7424" width="9.140625" style="273"/>
    <col min="7425" max="7425" width="28.5703125" style="273" bestFit="1" customWidth="1"/>
    <col min="7426" max="7680" width="9.140625" style="273"/>
    <col min="7681" max="7681" width="28.5703125" style="273" bestFit="1" customWidth="1"/>
    <col min="7682" max="7936" width="9.140625" style="273"/>
    <col min="7937" max="7937" width="28.5703125" style="273" bestFit="1" customWidth="1"/>
    <col min="7938" max="8192" width="9.140625" style="273"/>
    <col min="8193" max="8193" width="28.5703125" style="273" bestFit="1" customWidth="1"/>
    <col min="8194" max="8448" width="9.140625" style="273"/>
    <col min="8449" max="8449" width="28.5703125" style="273" bestFit="1" customWidth="1"/>
    <col min="8450" max="8704" width="9.140625" style="273"/>
    <col min="8705" max="8705" width="28.5703125" style="273" bestFit="1" customWidth="1"/>
    <col min="8706" max="8960" width="9.140625" style="273"/>
    <col min="8961" max="8961" width="28.5703125" style="273" bestFit="1" customWidth="1"/>
    <col min="8962" max="9216" width="9.140625" style="273"/>
    <col min="9217" max="9217" width="28.5703125" style="273" bestFit="1" customWidth="1"/>
    <col min="9218" max="9472" width="9.140625" style="273"/>
    <col min="9473" max="9473" width="28.5703125" style="273" bestFit="1" customWidth="1"/>
    <col min="9474" max="9728" width="9.140625" style="273"/>
    <col min="9729" max="9729" width="28.5703125" style="273" bestFit="1" customWidth="1"/>
    <col min="9730" max="9984" width="9.140625" style="273"/>
    <col min="9985" max="9985" width="28.5703125" style="273" bestFit="1" customWidth="1"/>
    <col min="9986" max="10240" width="9.140625" style="273"/>
    <col min="10241" max="10241" width="28.5703125" style="273" bestFit="1" customWidth="1"/>
    <col min="10242" max="10496" width="9.140625" style="273"/>
    <col min="10497" max="10497" width="28.5703125" style="273" bestFit="1" customWidth="1"/>
    <col min="10498" max="10752" width="9.140625" style="273"/>
    <col min="10753" max="10753" width="28.5703125" style="273" bestFit="1" customWidth="1"/>
    <col min="10754" max="11008" width="9.140625" style="273"/>
    <col min="11009" max="11009" width="28.5703125" style="273" bestFit="1" customWidth="1"/>
    <col min="11010" max="11264" width="9.140625" style="273"/>
    <col min="11265" max="11265" width="28.5703125" style="273" bestFit="1" customWidth="1"/>
    <col min="11266" max="11520" width="9.140625" style="273"/>
    <col min="11521" max="11521" width="28.5703125" style="273" bestFit="1" customWidth="1"/>
    <col min="11522" max="11776" width="9.140625" style="273"/>
    <col min="11777" max="11777" width="28.5703125" style="273" bestFit="1" customWidth="1"/>
    <col min="11778" max="12032" width="9.140625" style="273"/>
    <col min="12033" max="12033" width="28.5703125" style="273" bestFit="1" customWidth="1"/>
    <col min="12034" max="12288" width="9.140625" style="273"/>
    <col min="12289" max="12289" width="28.5703125" style="273" bestFit="1" customWidth="1"/>
    <col min="12290" max="12544" width="9.140625" style="273"/>
    <col min="12545" max="12545" width="28.5703125" style="273" bestFit="1" customWidth="1"/>
    <col min="12546" max="12800" width="9.140625" style="273"/>
    <col min="12801" max="12801" width="28.5703125" style="273" bestFit="1" customWidth="1"/>
    <col min="12802" max="13056" width="9.140625" style="273"/>
    <col min="13057" max="13057" width="28.5703125" style="273" bestFit="1" customWidth="1"/>
    <col min="13058" max="13312" width="9.140625" style="273"/>
    <col min="13313" max="13313" width="28.5703125" style="273" bestFit="1" customWidth="1"/>
    <col min="13314" max="13568" width="9.140625" style="273"/>
    <col min="13569" max="13569" width="28.5703125" style="273" bestFit="1" customWidth="1"/>
    <col min="13570" max="13824" width="9.140625" style="273"/>
    <col min="13825" max="13825" width="28.5703125" style="273" bestFit="1" customWidth="1"/>
    <col min="13826" max="14080" width="9.140625" style="273"/>
    <col min="14081" max="14081" width="28.5703125" style="273" bestFit="1" customWidth="1"/>
    <col min="14082" max="14336" width="9.140625" style="273"/>
    <col min="14337" max="14337" width="28.5703125" style="273" bestFit="1" customWidth="1"/>
    <col min="14338" max="14592" width="9.140625" style="273"/>
    <col min="14593" max="14593" width="28.5703125" style="273" bestFit="1" customWidth="1"/>
    <col min="14594" max="14848" width="9.140625" style="273"/>
    <col min="14849" max="14849" width="28.5703125" style="273" bestFit="1" customWidth="1"/>
    <col min="14850" max="15104" width="9.140625" style="273"/>
    <col min="15105" max="15105" width="28.5703125" style="273" bestFit="1" customWidth="1"/>
    <col min="15106" max="15360" width="9.140625" style="273"/>
    <col min="15361" max="15361" width="28.5703125" style="273" bestFit="1" customWidth="1"/>
    <col min="15362" max="15616" width="9.140625" style="273"/>
    <col min="15617" max="15617" width="28.5703125" style="273" bestFit="1" customWidth="1"/>
    <col min="15618" max="15872" width="9.140625" style="273"/>
    <col min="15873" max="15873" width="28.5703125" style="273" bestFit="1" customWidth="1"/>
    <col min="15874" max="16128" width="9.140625" style="273"/>
    <col min="16129" max="16129" width="28.5703125" style="273" bestFit="1" customWidth="1"/>
    <col min="16130" max="16384" width="9.140625" style="273"/>
  </cols>
  <sheetData>
    <row r="1" spans="1:1" x14ac:dyDescent="0.2">
      <c r="A1" s="1449" t="s">
        <v>1107</v>
      </c>
    </row>
    <row r="2" spans="1:1" x14ac:dyDescent="0.2">
      <c r="A2" s="1449" t="s">
        <v>1112</v>
      </c>
    </row>
    <row r="3" spans="1:1" x14ac:dyDescent="0.2">
      <c r="A3" s="1449" t="s">
        <v>1113</v>
      </c>
    </row>
    <row r="4" spans="1:1" x14ac:dyDescent="0.2">
      <c r="A4" s="1449" t="s">
        <v>1114</v>
      </c>
    </row>
    <row r="5" spans="1:1" x14ac:dyDescent="0.2">
      <c r="A5" s="1449" t="s">
        <v>1115</v>
      </c>
    </row>
    <row r="6" spans="1:1" x14ac:dyDescent="0.2">
      <c r="A6" s="1449" t="s">
        <v>1108</v>
      </c>
    </row>
    <row r="7" spans="1:1" x14ac:dyDescent="0.2">
      <c r="A7" s="1449" t="s">
        <v>1116</v>
      </c>
    </row>
    <row r="8" spans="1:1" x14ac:dyDescent="0.2">
      <c r="A8" s="1449" t="s">
        <v>1117</v>
      </c>
    </row>
    <row r="9" spans="1:1" x14ac:dyDescent="0.2">
      <c r="A9" s="1449" t="s">
        <v>1118</v>
      </c>
    </row>
    <row r="10" spans="1:1" x14ac:dyDescent="0.2">
      <c r="A10" s="1449" t="s">
        <v>1109</v>
      </c>
    </row>
    <row r="11" spans="1:1" x14ac:dyDescent="0.2">
      <c r="A11" s="1449" t="s">
        <v>1119</v>
      </c>
    </row>
    <row r="12" spans="1:1" x14ac:dyDescent="0.2">
      <c r="A12" s="1449" t="s">
        <v>1110</v>
      </c>
    </row>
    <row r="13" spans="1:1" x14ac:dyDescent="0.2">
      <c r="A13" s="1449" t="s">
        <v>1111</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e9dff103-7423-4098-999c-4d8d17374545</GUID>
    <SOURCE_ALTADDRESS>$B$4:$K$35</SOURCE_ALTADDRESS>
    <SOURCETYPE>Table</SOURCETYPE>
    <SOURCE_OBJECTNAME>Linking_Range_35</SOURCE_OBJECTNAME>
    <OBJECTTYPE>Native</OBJECTTYPE>
    <SOURCE_SHEETCODE>Sheet9</SOURCE_SHEETCODE>
    <SOURCE_SHEETNAME>Variance</SOURCE_SHEETNAME>
    <SOURCEAPPLICATION>EXCEL_SOURCE</SOURCEAPPLICATION>
    <UPDATEDAT>5/6/2015 9:56:18 AM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/MSResearch/Content/ExternalAssets/2015-04/Images/_0PvITTleEaKfme4tNcyDg--.png</TARGET_BINARYFULLNAME>
    <TARGET_STORYFULLNAME>/MSResearch/Content/ExternalAssets/2015-04/Sections/20150416_044127_Linking_Range_35.xml</TARGET_STORYFULLNAME>
    <TARGET_UUID>f44e4746-e478-11e4-8428-e799a3b9280a</TARGET_UUID>
    <LINKSTATUS>Unknown</LINKSTATUS>
  </Link>
  <Link>
    <GUID>952bd6f4-4a4c-437e-b0a0-0ec51c4dd140</GUID>
    <SOURCETYPE>Chart</SOURCETYPE>
    <SOURCE_OBJECTNAME>XRAY EBIT Trend</SOURCE_OBJECTNAME>
    <SOURCE_SHEETCODE>Sheet25</SOURCE_SHEETCODE>
    <SOURCE_SHEETNAME>Graphs</SOURCE_SHEETNAME>
    <OBJECTTYPE>Native</OBJECTTYPE>
    <SOURCEAPPLICATION>EXCEL_SOURCE</SOURCEAPPLICATION>
    <UPDATEDAT>5/6/2015 10:39:06 AM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/MSResearch/Content/ExternalAssets/2015-04/Images/dhWYlD6xKk6ThTkevhh_gg--.png</TARGET_BINARYFULLNAME>
    <TARGET_STORYFULLNAME>/MSResearch/Content/ExternalAssets/2015-04/Sections/20150416_043208_XRAYEBITTrend.xml</TARGET_STORYFULLNAME>
    <TARGET_UUID>a702cc60-e477-11e4-8428-e799a3b9280a</TARGET_UUID>
    <LINKSTATUS>Unknown</LINKSTATUS>
  </Link>
  <Link>
    <GUID>ebf011fd-7d84-4764-b2d2-3fb82a30be35</GUID>
    <SOURCE_ALTADDRESS>$B$18:$AL$30</SOURCE_ALTADDRESS>
    <SOURCETYPE>Table</SOURCETYPE>
    <SOURCE_OBJECTNAME>Linking_Range_41</SOURCE_OBJECTNAME>
    <OBJECTTYPE>Native</OBJECTTYPE>
    <SOURCE_SHEETCODE>Sheet15</SOURCE_SHEETCODE>
    <SOURCE_SHEETNAME>ccGro</SOURCE_SHEETNAME>
    <SOURCEAPPLICATION>EXCEL_SOURCE</SOURCEAPPLICATION>
    <UPDATEDAT>5/6/2015 4:57:59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/MSResearch/Content/ExternalAssets/2015-04/Images/wQZVndbaNUSpP_f6sBXEoA--.png</TARGET_BINARYFULLNAME>
    <TARGET_STORYFULLNAME>/MSResearch/Content/ExternalAssets/2015-04/Sections/20150416_042059_Linking_Range_41.xml</TARGET_STORYFULLNAME>
    <TARGET_UUID>189fa444-e476-11e4-8428-e799a3b9280a</TARGET_UUID>
    <LINKSTATUS>Unknown</LINKSTATUS>
  </Link>
  <Link>
    <GUID>ed7e6996-7393-4e57-9214-87d3711d76df</GUID>
    <SOURCE_ALTADDRESS>$B$4:$O$15</SOURCE_ALTADDRESS>
    <SOURCETYPE>Table</SOURCETYPE>
    <SOURCE_OBJECTNAME>Linking_Range_36</SOURCE_OBJECTNAME>
    <OBJECTTYPE>Native</OBJECTTYPE>
    <SOURCE_SHEETCODE>Sheet12</SOURCE_SHEETCODE>
    <SOURCE_SHEETNAME>Guidance</SOURCE_SHEETNAME>
    <SOURCEAPPLICATION>EXCEL_SOURCE</SOURCEAPPLICATION>
    <UPDATEDAT>5/6/2015 4:59:20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/MSResearch/Content/ExternalAssets/2015-04/Images/m2YWruCisUKb1DkDuHyABg--.png</TARGET_BINARYFULLNAME>
    <TARGET_STORYFULLNAME>/MSResearch/Content/ExternalAssets/2015-04/Sections/20150416_042905_Linking_Range_36.xml</TARGET_STORYFULLNAME>
    <TARGET_UUID>3a0a0e70-e477-11e4-8428-e799a3b9280a</TARGET_UUID>
    <TRANSPARENTBACKGROUND>False</TRANSPARENTBACKGROUND>
    <TRANSPARENTPLOTAREA>False</TRANSPARENTPLOTAREA>
  </Link>
  <Link>
    <GUID>b8f47e53-c6fb-4cca-b09d-985cc21b6bdd</GUID>
    <SOURCE_ALTADDRESS>$B$4:$J$31</SOURCE_ALTADDRESS>
    <SOURCETYPE>Table</SOURCETYPE>
    <SOURCE_OBJECTNAME>Linking_Range_45</SOURCE_OBJECTNAME>
    <OBJECTTYPE>Native</OBJECTTYPE>
    <SOURCE_SHEETCODE>Sheet27</SOURCE_SHEETCODE>
    <SOURCE_SHEETNAME>Model Chgs</SOURCE_SHEETNAME>
    <SOURCEAPPLICATION>EXCEL_SOURCE</SOURCEAPPLICATION>
    <UPDATEDAT>5/6/2015 4:59:48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/MSResearch/Content/ExternalAssets/2015-04/Images/eD0I1aWBt0iRHdUNKARV6g--.png</TARGET_BINARYFULLNAME>
    <TARGET_STORYFULLNAME>/MSResearch/Content/ExternalAssets/2015-04/Sections/20150416_043131_Linking_Range_45.xml</TARGET_STORYFULLNAME>
    <TARGET_UUID>9156468a-e477-11e4-8428-e799a3b9280a</TARGET_UUID>
    <LINKSTATUS>Unknown</LINKSTATUS>
  </Link>
  <Link>
    <GUID>bbc765fd-5447-4d29-a870-9228d7682a4e</GUID>
    <SOURCETYPE>Chart</SOURCETYPE>
    <SOURCE_OBJECTNAME>Chart 2</SOURCE_OBJECTNAME>
    <SOURCE_SHEETCODE>Sheet18</SOURCE_SHEETCODE>
    <SOURCE_SHEETNAME>HSIC+PDCO</SOURCE_SHEETNAME>
    <OBJECTTYPE>Native</OBJECTTYPE>
    <SOURCEAPPLICATION>EXCEL_SOURCE</SOURCEAPPLICATION>
    <UPDATEDAT>5/6/2015 5:01:35 PM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/MSResearch/Content/ExternalAssets/2015-04/Images/eSckybNG30Gyf6Y8jZ2dJg--.png</TARGET_BINARYFULLNAME>
    <TARGET_STORYFULLNAME>/MSResearch/Content/ExternalAssets/2015-04/Sections/20150416_044301_Chart2.xml</TARGET_STORYFULLNAME>
    <TARGET_UUID>2c44a410-e479-11e4-8428-e799a3b9280a</TARGET_UUID>
    <LINKSTATUS>Unknown</LINKSTATUS>
    <HIDEGRIDLINES>False</HIDEGRIDLINES>
  </Link>
  <Link>
    <GUID>8d9f8fec-5d5f-4426-bb3d-e741fbfbd880</GUID>
    <SOURCETYPE>Chart</SOURCETYPE>
    <SOURCE_OBJECTNAME>Chart 22</SOURCE_OBJECTNAME>
    <SOURCE_SHEETCODE>Sheet18</SOURCE_SHEETCODE>
    <SOURCE_SHEETNAME>HSIC+PDCO</SOURCE_SHEETNAME>
    <OBJECTTYPE>Native</OBJECTTYPE>
    <SOURCEAPPLICATION>EXCEL_SOURCE</SOURCEAPPLICATION>
    <UPDATEDAT>5/6/2015 5:02:33 PM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/MSResearch/Content/ExternalAssets/2015-05/Images/TN5OiwaDh0uQBf624Y4qGw--.png</TARGET_BINARYFULLNAME>
    <TARGET_STORYFULLNAME>/MSResearch/Content/ExternalAssets/2015-05/Sections/20150506_050213_Chart22.xml</TARGET_STORYFULLNAME>
    <TARGET_UUID>2b4b6d2c-f433-11e4-96ae-7c07ebc02301</TARGET_UUID>
    <LINKSTATUS>Unknown</LINKSTATUS>
  </Link>
  <Link>
    <GUID>f95cec36-e70a-45de-b2a9-950779a76031</GUID>
    <SOURCETYPE>Chart</SOURCETYPE>
    <SOURCE_OBJECTNAME>MWA_Risk_Reward</SOURCE_OBJECTNAME>
    <SOURCE_SHEETCODE>MWRSSData</SOURCE_SHEETCODE>
    <SOURCE_SHEETNAME>MWA RR</SOURCE_SHEETNAME>
    <OBJECTTYPE>Native</OBJECTTYPE>
    <SOURCEAPPLICATION>EXCEL_SOURCE</SOURCEAPPLICATION>
    <UPDATEDAT>5/6/2015 7:16:57 PM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/MSResearch/Content/ExternalAssets/2015-04/Images/yNdxz3sfhEGVuYBDUBb23Q--.png</TARGET_BINARYFULLNAME>
    <TARGET_STORYFULLNAME>/MSResearch/Content/ExternalAssets/2015-04/Sections/20150416_041854_MWA_Risk_Reward.xml</TARGET_STORYFULLNAME>
    <TARGET_UUID>cddf65ca-e475-11e4-8428-e799a3b9280a</TARGET_UUID>
    <LINKSTATUS>Unknown</LINKSTATUS>
  </Link>
  <Link>
    <GUID>403cdfdb-d12f-4c25-984e-f69df2761aa7</GUID>
    <SOURCE_ALTADDRESS>$B$5:$BO$68</SOURCE_ALTADDRESS>
    <SOURCETYPE>Table</SOURCETYPE>
    <SOURCE_OBJECTNAME>Linking_Range_51</SOURCE_OBJECTNAME>
    <OBJECTTYPE>Native</OBJECTTYPE>
    <SOURCE_SHEETCODE>Sheet1</SOURCE_SHEETCODE>
    <SOURCE_SHEETNAME>P&amp;L</SOURCE_SHEETNAME>
    <SOURCEAPPLICATION>EXCEL_SOURCE</SOURCEAPPLICATION>
    <UPDATEDAT>5/6/2015 7:19:34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/MSResearch/Content/ExternalAssets/2015-04/Images/IQe3lJ1lm0_VPTkXVsaDuw--.png</TARGET_BINARYFULLNAME>
    <TARGET_STORYFULLNAME>/MSResearch/Content/ExternalAssets/2015-04/Sections/20150416_044657_Linking_Range_51.xml</TARGET_STORYFULLNAME>
    <TARGET_UUID>b8e115e8-e479-11e4-8428-e799a3b9280a</TARGET_UUID>
    <TRANSPARENTBACKGROUND>False</TRANSPARENTBACKGROUND>
    <TRANSPARENTPLOTAREA>False</TRANSPARENTPLOTAREA>
  </Link>
  <Link>
    <GUID>028df768-1c4d-4546-9ab8-89c82a6c7016</GUID>
    <SOURCETYPE>Chart</SOURCETYPE>
    <SOURCE_OBJECTNAME>Org Equip</SOURCE_OBJECTNAME>
    <SOURCE_SHEETCODE>Sheet18</SOURCE_SHEETCODE>
    <SOURCE_SHEETNAME>HSIC+PDCO</SOURCE_SHEETNAME>
    <OBJECTTYPE>Native</OBJECTTYPE>
    <SOURCEAPPLICATION>EXCEL_SOURCE</SOURCEAPPLICATION>
    <UPDATEDAT>5/21/2015 10:03:03 AM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/MSResearch/Content/ExternalAssets/2015-05/Images/CgUt8YBZ1UKjr9tiaozVlQ--.png</TARGET_BINARYFULLNAME>
    <TARGET_STORYFULLNAME>/MSResearch/Content/ExternalAssets/2015-05/Sections/20150521_100300_OrgEquip.xml</TARGET_STORYFULLNAME>
    <TARGET_UUID>176342b8-ffc2-11e4-816b-9b441484c75b</TARGET_UUID>
  </Link>
  <Link>
    <GUID>659a75ce-da73-4928-887b-f11c9784e989</GUID>
    <SOURCETYPE>Chart</SOURCETYPE>
    <SOURCE_OBJECTNAME>Org Consum</SOURCE_OBJECTNAME>
    <SOURCE_SHEETCODE>Sheet18</SOURCE_SHEETCODE>
    <SOURCE_SHEETNAME>HSIC+PDCO</SOURCE_SHEETNAME>
    <OBJECTTYPE>Native</OBJECTTYPE>
    <SOURCEAPPLICATION>EXCEL_SOURCE</SOURCEAPPLICATION>
    <UPDATEDAT>5/21/2015 10:04:10 AM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/MSResearch/Content/ExternalAssets/2015-05/Images/nE7QAhD6QUS1C9ox5-1N6g--.png</TARGET_BINARYFULLNAME>
    <TARGET_STORYFULLNAME>/MSResearch/Content/ExternalAssets/2015-05/Sections/20150521_100406_OrgConsum.xml</TARGET_STORYFULLNAME>
    <TARGET_UUID>3e694254-ffc2-11e4-816b-9b441484c75b</TARGET_UUID>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327C2432-E33B-45A6-A406-6F92885B8321}">
  <ds:schemaRefs>
    <ds:schemaRef ds:uri="thomsonreuters.linking.metadata"/>
  </ds:schemaRefs>
</ds:datastoreItem>
</file>

<file path=customXml/itemProps2.xml><?xml version="1.0" encoding="utf-8"?>
<ds:datastoreItem xmlns:ds="http://schemas.openxmlformats.org/officeDocument/2006/customXml" ds:itemID="{C435C6E5-E1CB-4D41-A9C3-91056F6D02DD}">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133</vt:i4>
      </vt:variant>
    </vt:vector>
  </HeadingPairs>
  <TitlesOfParts>
    <vt:vector size="143" baseType="lpstr">
      <vt:lpstr>ImportantDisclosures</vt:lpstr>
      <vt:lpstr>P&amp;L</vt:lpstr>
      <vt:lpstr>RevBuild</vt:lpstr>
      <vt:lpstr>OrgGrowth</vt:lpstr>
      <vt:lpstr>BalSht </vt:lpstr>
      <vt:lpstr>Cash Flow</vt:lpstr>
      <vt:lpstr>Debt</vt:lpstr>
      <vt:lpstr>HSAH-VFC</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OrgGrowth!Linking_1</vt:lpstr>
      <vt:lpstr>Linking_11</vt:lpstr>
      <vt:lpstr>Linking_12</vt:lpstr>
      <vt:lpstr>Linking_13</vt:lpstr>
      <vt:lpstr>Linking_14</vt:lpstr>
      <vt:lpstr>Linking_15</vt:lpstr>
      <vt:lpstr>Linking_16</vt:lpstr>
      <vt:lpstr>Linking_17</vt:lpstr>
      <vt:lpstr>Linking_2</vt:lpstr>
      <vt:lpstr>Linking_21</vt:lpstr>
      <vt:lpstr>Linking_23</vt:lpstr>
      <vt:lpstr>Linking_24</vt:lpstr>
      <vt:lpstr>Linking_26</vt:lpstr>
      <vt:lpstr>Linking_27</vt:lpstr>
      <vt:lpstr>Linking_28</vt:lpstr>
      <vt:lpstr>Linking_29</vt:lpstr>
      <vt:lpstr>Linking_30</vt:lpstr>
      <vt:lpstr>Linking_31</vt:lpstr>
      <vt:lpstr>Linking_35</vt:lpstr>
      <vt:lpstr>Linking_36</vt:lpstr>
      <vt:lpstr>Linking_37</vt:lpstr>
      <vt:lpstr>Linking_38</vt:lpstr>
      <vt:lpstr>Linking_41</vt:lpstr>
      <vt:lpstr>Linking_54</vt:lpstr>
      <vt:lpstr>Linking_55</vt:lpstr>
      <vt:lpstr>Linking_56</vt:lpstr>
      <vt:lpstr>Linking_6</vt:lpstr>
      <vt:lpstr>Linking_7</vt:lpstr>
      <vt:lpstr>Linking_Range_1</vt:lpstr>
      <vt:lpstr>OrgGrowth!Linking_Range_14</vt:lpstr>
      <vt:lpstr>OrgGrowth!Linking_Range_15</vt:lpstr>
      <vt:lpstr>OrgGrowth!Linking_Range_16</vt:lpstr>
      <vt:lpstr>Linking_Range_21</vt:lpstr>
      <vt:lpstr>OrgGrowth!Linking_Range_24</vt:lpstr>
      <vt:lpstr>OrgGrowth!Linking_Range_26</vt:lpstr>
      <vt:lpstr>Linking_Range_28</vt:lpstr>
      <vt:lpstr>OrgGrowth!Linking_Range_29</vt:lpstr>
      <vt:lpstr>OrgGrowth!Linking_Range_3</vt:lpstr>
      <vt:lpstr>OrgGrowth!Linking_Range_31</vt:lpstr>
      <vt:lpstr>Linking_Range_33</vt:lpstr>
      <vt:lpstr>OrgGrowth!Linking_Range_34</vt:lpstr>
      <vt:lpstr>OrgGrowth!Linking_Range_38</vt:lpstr>
      <vt:lpstr>OrgGrowth!Linking_Range_39</vt:lpstr>
      <vt:lpstr>Linking_Range_43</vt:lpstr>
      <vt:lpstr>OrgGrowth!Linking_Range_44</vt:lpstr>
      <vt:lpstr>Linking_Range_46</vt:lpstr>
      <vt:lpstr>OrgGrowth!Linking_Range_5</vt:lpstr>
      <vt:lpstr>Linking_Range_51</vt:lpstr>
      <vt:lpstr>Linking_Range_52</vt:lpstr>
      <vt:lpstr>OrgGrowth!Linking_Range_54</vt:lpstr>
      <vt:lpstr>Linking_Range_55</vt:lpstr>
      <vt:lpstr>OrgGrowth!Linking_Range_6</vt:lpstr>
      <vt:lpstr>'BalSht '!Linking_Range_60</vt:lpstr>
      <vt:lpstr>OrgGrowth!Linking_Range_61</vt:lpstr>
      <vt:lpstr>Linking_Range_61</vt:lpstr>
      <vt:lpstr>Linking_Range_62</vt:lpstr>
      <vt:lpstr>OrgGrowth!Linking_Range_66</vt:lpstr>
      <vt:lpstr>Linking_Range_66</vt:lpstr>
      <vt:lpstr>Linking_Range_67</vt:lpstr>
      <vt:lpstr>Linking_Range_68</vt:lpstr>
      <vt:lpstr>Linking_Range_69</vt:lpstr>
      <vt:lpstr>Linking_Range_70</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OrgGrowth!Print_Area</vt:lpstr>
      <vt:lpstr>RevBuild!Print_Area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2011-02-01T06:20:47Z</dcterms:created>
  <dc:creator>Wachter, Zachary (Research)</dc:creator>
  <cp:lastModifiedBy>Wachter, Zachary (Research)</cp:lastModifiedBy>
  <cp:lastPrinted>2018-04-23T21:48:48Z</cp:lastPrinted>
  <dcterms:modified xsi:type="dcterms:W3CDTF">2018-04-26T21:52:33Z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71</vt:lpwstr>
  </property>
  <property fmtid="{D5CDD505-2E9C-101B-9397-08002B2CF9AE}" name="{A44787D4-0540-4523-9961-78E4036D8C6D}" pid="3">
    <vt:lpwstr>{6FEB1940-8431-4AD7-BC5B-55C958FCB2DC}</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764445</vt:lpwstr>
  </property>
  <property fmtid="{D5CDD505-2E9C-101B-9397-08002B2CF9AE}" name="ERModPubCompanyName" pid="7">
    <vt:lpwstr>Henry Schein, Inc.</vt:lpwstr>
  </property>
  <property fmtid="{D5CDD505-2E9C-101B-9397-08002B2CF9AE}" name="MSDH34TAG" pid="8">
    <vt:lpwstr>.TEZUF76X5TAHATHESADREYAK-00-INB160+*94600-06=2427987e/-499c/-11e8/-adef/-6a0a1ce82510,MD=20180426175613/-0400,ZZ=000Z-89af.</vt:lpwstr>
  </property>
</Properties>
</file>